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167822\Documents\Raphael\Biblioteca Digital\Revisão de TDEs\Hidráulica e Saneamento\"/>
    </mc:Choice>
  </mc:AlternateContent>
  <workbookProtection workbookAlgorithmName="SHA-512" workbookHashValue="p7JWcnaHF4UPphPdVUWUUeTD/J1RhSHE8a9vX++92EszHxUnGjbmalhqrgz1jnZEnbx4w0zM7acZ+U+9jfShng==" workbookSaltValue="E0tXf6vqAlay+EEwmnEwvA==" workbookSpinCount="100000" lockStructure="1"/>
  <bookViews>
    <workbookView xWindow="0" yWindow="465" windowWidth="25605" windowHeight="15540"/>
  </bookViews>
  <sheets>
    <sheet name="Info" sheetId="1" r:id="rId1"/>
    <sheet name="Dados (F)" sheetId="2" r:id="rId2"/>
    <sheet name="Quant. mod. (oc)" sheetId="4" state="hidden" r:id="rId3"/>
    <sheet name="Quantitativos (A)" sheetId="5" r:id="rId4"/>
    <sheet name="Custos (B1)" sheetId="6" r:id="rId5"/>
    <sheet name="Resumo (B2)" sheetId="11" r:id="rId6"/>
    <sheet name="Gráficos (B3)" sheetId="13" r:id="rId7"/>
    <sheet name="Gráficos (B4)" sheetId="18" r:id="rId8"/>
    <sheet name="Gráficos (B5)" sheetId="17" r:id="rId9"/>
    <sheet name="Seleção (S)" sheetId="12" r:id="rId10"/>
    <sheet name="Análise (R)" sheetId="15" r:id="rId11"/>
  </sheets>
  <definedNames>
    <definedName name="b">'Dados (F)'!$B$29</definedName>
    <definedName name="group_box_12">'Dados (F)'!$E$22</definedName>
    <definedName name="group_box_13">'Dados (F)'!$E$22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0" i="5" l="1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Y580" i="5"/>
  <c r="Z580" i="5"/>
  <c r="AA580" i="5"/>
  <c r="AB580" i="5"/>
  <c r="AC580" i="5"/>
  <c r="AD580" i="5"/>
  <c r="AE580" i="5"/>
  <c r="AF580" i="5"/>
  <c r="AG580" i="5"/>
  <c r="D580" i="5"/>
  <c r="E21" i="4" l="1"/>
  <c r="E31" i="6"/>
  <c r="E30" i="6"/>
  <c r="E24" i="6"/>
  <c r="E23" i="6"/>
  <c r="E12" i="6"/>
  <c r="D14" i="2" l="1"/>
  <c r="B40" i="2" l="1"/>
  <c r="B5" i="6"/>
  <c r="M4" i="17" l="1"/>
  <c r="D142" i="11" s="1"/>
  <c r="M4" i="18"/>
  <c r="D120" i="11" s="1"/>
  <c r="N6" i="12"/>
  <c r="L7" i="12" s="1"/>
  <c r="M5" i="13"/>
  <c r="N4" i="13" s="1"/>
  <c r="D12" i="6" l="1"/>
  <c r="D13" i="6"/>
  <c r="E13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D24" i="6"/>
  <c r="D26" i="6"/>
  <c r="E26" i="6"/>
  <c r="D27" i="6"/>
  <c r="E27" i="6"/>
  <c r="D28" i="6"/>
  <c r="E28" i="6"/>
  <c r="D29" i="6"/>
  <c r="E29" i="6"/>
  <c r="D30" i="6"/>
  <c r="D31" i="6"/>
  <c r="D34" i="6"/>
  <c r="E34" i="6"/>
  <c r="D35" i="6"/>
  <c r="E35" i="6"/>
  <c r="D36" i="6"/>
  <c r="E36" i="6"/>
  <c r="D38" i="6"/>
  <c r="E38" i="6"/>
  <c r="D39" i="6"/>
  <c r="E39" i="6"/>
  <c r="D40" i="6"/>
  <c r="E40" i="6"/>
  <c r="D43" i="6"/>
  <c r="E43" i="6"/>
  <c r="D44" i="6"/>
  <c r="E44" i="6"/>
  <c r="D45" i="6"/>
  <c r="E45" i="6"/>
  <c r="D47" i="6"/>
  <c r="E47" i="6"/>
  <c r="D48" i="6"/>
  <c r="E48" i="6"/>
  <c r="D49" i="6"/>
  <c r="E49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D110" i="6"/>
  <c r="E110" i="6"/>
  <c r="D111" i="6"/>
  <c r="E111" i="6"/>
  <c r="D112" i="6"/>
  <c r="E112" i="6"/>
  <c r="D113" i="6"/>
  <c r="E113" i="6"/>
  <c r="D115" i="6"/>
  <c r="E115" i="6"/>
  <c r="D116" i="6"/>
  <c r="E116" i="6"/>
  <c r="D117" i="6"/>
  <c r="E117" i="6"/>
  <c r="D118" i="6"/>
  <c r="E118" i="6"/>
  <c r="D119" i="6"/>
  <c r="E119" i="6"/>
  <c r="D120" i="6"/>
  <c r="E120" i="6"/>
  <c r="D121" i="6"/>
  <c r="E121" i="6"/>
  <c r="D122" i="6"/>
  <c r="E122" i="6"/>
  <c r="D123" i="6"/>
  <c r="E123" i="6"/>
  <c r="D124" i="6"/>
  <c r="E124" i="6"/>
  <c r="D125" i="6"/>
  <c r="E125" i="6"/>
  <c r="D126" i="6"/>
  <c r="E126" i="6"/>
  <c r="D127" i="6"/>
  <c r="E127" i="6"/>
  <c r="D129" i="6"/>
  <c r="E129" i="6"/>
  <c r="D130" i="6"/>
  <c r="E130" i="6"/>
  <c r="D131" i="6"/>
  <c r="E131" i="6"/>
  <c r="D132" i="6"/>
  <c r="E132" i="6"/>
  <c r="D134" i="6"/>
  <c r="E134" i="6"/>
  <c r="D135" i="6"/>
  <c r="E135" i="6"/>
  <c r="D136" i="6"/>
  <c r="E136" i="6"/>
  <c r="D137" i="6"/>
  <c r="E137" i="6"/>
  <c r="D138" i="6"/>
  <c r="E138" i="6"/>
  <c r="D139" i="6"/>
  <c r="E139" i="6"/>
  <c r="D140" i="6"/>
  <c r="E140" i="6"/>
  <c r="D141" i="6"/>
  <c r="E141" i="6"/>
  <c r="D142" i="6"/>
  <c r="E142" i="6"/>
  <c r="D144" i="6"/>
  <c r="E144" i="6"/>
  <c r="D145" i="6"/>
  <c r="E145" i="6"/>
  <c r="D146" i="6"/>
  <c r="E146" i="6"/>
  <c r="D147" i="6"/>
  <c r="E147" i="6"/>
  <c r="D148" i="6"/>
  <c r="E148" i="6"/>
  <c r="D149" i="6"/>
  <c r="E149" i="6"/>
  <c r="D151" i="6"/>
  <c r="E151" i="6"/>
  <c r="D152" i="6"/>
  <c r="E152" i="6"/>
  <c r="D153" i="6"/>
  <c r="E153" i="6"/>
  <c r="D154" i="6"/>
  <c r="E154" i="6"/>
  <c r="D155" i="6"/>
  <c r="E155" i="6"/>
  <c r="D156" i="6"/>
  <c r="E156" i="6"/>
  <c r="D157" i="6"/>
  <c r="E157" i="6"/>
  <c r="D158" i="6"/>
  <c r="E158" i="6"/>
  <c r="D159" i="6"/>
  <c r="E159" i="6"/>
  <c r="D160" i="6"/>
  <c r="E160" i="6"/>
  <c r="D161" i="6"/>
  <c r="E161" i="6"/>
  <c r="D162" i="6"/>
  <c r="E162" i="6"/>
  <c r="D163" i="6"/>
  <c r="E163" i="6"/>
  <c r="D164" i="6"/>
  <c r="E164" i="6"/>
  <c r="D165" i="6"/>
  <c r="E165" i="6"/>
  <c r="D166" i="6"/>
  <c r="E166" i="6"/>
  <c r="D167" i="6"/>
  <c r="E167" i="6"/>
  <c r="D168" i="6"/>
  <c r="E168" i="6"/>
  <c r="D169" i="6"/>
  <c r="E169" i="6"/>
  <c r="D170" i="6"/>
  <c r="E170" i="6"/>
  <c r="D171" i="6"/>
  <c r="E171" i="6"/>
  <c r="D173" i="6"/>
  <c r="E173" i="6"/>
  <c r="D174" i="6"/>
  <c r="E174" i="6"/>
  <c r="D175" i="6"/>
  <c r="E175" i="6"/>
  <c r="D176" i="6"/>
  <c r="E176" i="6"/>
  <c r="D177" i="6"/>
  <c r="E177" i="6"/>
  <c r="D178" i="6"/>
  <c r="E178" i="6"/>
  <c r="D179" i="6"/>
  <c r="E179" i="6"/>
  <c r="D180" i="6"/>
  <c r="E180" i="6"/>
  <c r="D181" i="6"/>
  <c r="E181" i="6"/>
  <c r="D182" i="6"/>
  <c r="E182" i="6"/>
  <c r="D183" i="6"/>
  <c r="E183" i="6"/>
  <c r="D184" i="6"/>
  <c r="E184" i="6"/>
  <c r="D185" i="6"/>
  <c r="E185" i="6"/>
  <c r="D187" i="6"/>
  <c r="E187" i="6"/>
  <c r="D188" i="6"/>
  <c r="E188" i="6"/>
  <c r="D189" i="6"/>
  <c r="E189" i="6"/>
  <c r="D190" i="6"/>
  <c r="E190" i="6"/>
  <c r="D191" i="6"/>
  <c r="E191" i="6"/>
  <c r="D192" i="6"/>
  <c r="E192" i="6"/>
  <c r="D193" i="6"/>
  <c r="E193" i="6"/>
  <c r="D195" i="6"/>
  <c r="E195" i="6"/>
  <c r="D196" i="6"/>
  <c r="E196" i="6"/>
  <c r="D197" i="6"/>
  <c r="E197" i="6"/>
  <c r="D198" i="6"/>
  <c r="E198" i="6"/>
  <c r="D199" i="6"/>
  <c r="E199" i="6"/>
  <c r="D200" i="6"/>
  <c r="E200" i="6"/>
  <c r="D201" i="6"/>
  <c r="E201" i="6"/>
  <c r="D202" i="6"/>
  <c r="E202" i="6"/>
  <c r="D203" i="6"/>
  <c r="E203" i="6"/>
  <c r="D204" i="6"/>
  <c r="E204" i="6"/>
  <c r="D205" i="6"/>
  <c r="E205" i="6"/>
  <c r="D208" i="6"/>
  <c r="E208" i="6"/>
  <c r="D209" i="6"/>
  <c r="E209" i="6"/>
  <c r="D210" i="6"/>
  <c r="E210" i="6"/>
  <c r="D211" i="6"/>
  <c r="E211" i="6"/>
  <c r="D212" i="6"/>
  <c r="E212" i="6"/>
  <c r="D213" i="6"/>
  <c r="E213" i="6"/>
  <c r="D214" i="6"/>
  <c r="E214" i="6"/>
  <c r="D215" i="6"/>
  <c r="E215" i="6"/>
  <c r="D216" i="6"/>
  <c r="E216" i="6"/>
  <c r="D217" i="6"/>
  <c r="E217" i="6"/>
  <c r="D218" i="6"/>
  <c r="E218" i="6"/>
  <c r="D219" i="6"/>
  <c r="E219" i="6"/>
  <c r="D220" i="6"/>
  <c r="E220" i="6"/>
  <c r="D221" i="6"/>
  <c r="E221" i="6"/>
  <c r="D222" i="6"/>
  <c r="E222" i="6"/>
  <c r="D223" i="6"/>
  <c r="E223" i="6"/>
  <c r="D224" i="6"/>
  <c r="E224" i="6"/>
  <c r="D225" i="6"/>
  <c r="E225" i="6"/>
  <c r="D226" i="6"/>
  <c r="E226" i="6"/>
  <c r="D227" i="6"/>
  <c r="E227" i="6"/>
  <c r="D228" i="6"/>
  <c r="E228" i="6"/>
  <c r="D229" i="6"/>
  <c r="E229" i="6"/>
  <c r="D230" i="6"/>
  <c r="E230" i="6"/>
  <c r="D231" i="6"/>
  <c r="E231" i="6"/>
  <c r="D232" i="6"/>
  <c r="E232" i="6"/>
  <c r="D233" i="6"/>
  <c r="E233" i="6"/>
  <c r="D234" i="6"/>
  <c r="E234" i="6"/>
  <c r="D235" i="6"/>
  <c r="E235" i="6"/>
  <c r="D236" i="6"/>
  <c r="E236" i="6"/>
  <c r="D237" i="6"/>
  <c r="E237" i="6"/>
  <c r="D238" i="6"/>
  <c r="E238" i="6"/>
  <c r="D239" i="6"/>
  <c r="E239" i="6"/>
  <c r="D240" i="6"/>
  <c r="E240" i="6"/>
  <c r="D241" i="6"/>
  <c r="E241" i="6"/>
  <c r="D242" i="6"/>
  <c r="E242" i="6"/>
  <c r="D243" i="6"/>
  <c r="E243" i="6"/>
  <c r="D244" i="6"/>
  <c r="E244" i="6"/>
  <c r="D245" i="6"/>
  <c r="E245" i="6"/>
  <c r="D246" i="6"/>
  <c r="E246" i="6"/>
  <c r="D247" i="6"/>
  <c r="E247" i="6"/>
  <c r="D248" i="6"/>
  <c r="E248" i="6"/>
  <c r="D249" i="6"/>
  <c r="E249" i="6"/>
  <c r="D250" i="6"/>
  <c r="E250" i="6"/>
  <c r="D251" i="6"/>
  <c r="E251" i="6"/>
  <c r="D252" i="6"/>
  <c r="E252" i="6"/>
  <c r="D254" i="6"/>
  <c r="E254" i="6"/>
  <c r="D255" i="6"/>
  <c r="E255" i="6"/>
  <c r="D256" i="6"/>
  <c r="E256" i="6"/>
  <c r="D257" i="6"/>
  <c r="E257" i="6"/>
  <c r="D258" i="6"/>
  <c r="E258" i="6"/>
  <c r="D259" i="6"/>
  <c r="E259" i="6"/>
  <c r="D260" i="6"/>
  <c r="E260" i="6"/>
  <c r="D261" i="6"/>
  <c r="E261" i="6"/>
  <c r="D262" i="6"/>
  <c r="E262" i="6"/>
  <c r="D263" i="6"/>
  <c r="E263" i="6"/>
  <c r="D264" i="6"/>
  <c r="E264" i="6"/>
  <c r="D265" i="6"/>
  <c r="E265" i="6"/>
  <c r="D266" i="6"/>
  <c r="E266" i="6"/>
  <c r="D267" i="6"/>
  <c r="E267" i="6"/>
  <c r="D269" i="6"/>
  <c r="E269" i="6"/>
  <c r="D270" i="6"/>
  <c r="E270" i="6"/>
  <c r="D271" i="6"/>
  <c r="E271" i="6"/>
  <c r="D273" i="6"/>
  <c r="E273" i="6"/>
  <c r="D275" i="6"/>
  <c r="E275" i="6"/>
  <c r="D277" i="6"/>
  <c r="E277" i="6"/>
  <c r="D278" i="6"/>
  <c r="E278" i="6"/>
  <c r="D279" i="6"/>
  <c r="E279" i="6"/>
  <c r="D280" i="6"/>
  <c r="E280" i="6"/>
  <c r="D281" i="6"/>
  <c r="E281" i="6"/>
  <c r="D283" i="6"/>
  <c r="E283" i="6"/>
  <c r="D284" i="6"/>
  <c r="E284" i="6"/>
  <c r="D285" i="6"/>
  <c r="E285" i="6"/>
  <c r="D286" i="6"/>
  <c r="E286" i="6"/>
  <c r="D288" i="6"/>
  <c r="E288" i="6"/>
  <c r="D289" i="6"/>
  <c r="E289" i="6"/>
  <c r="D290" i="6"/>
  <c r="E290" i="6"/>
  <c r="D291" i="6"/>
  <c r="E291" i="6"/>
  <c r="D292" i="6"/>
  <c r="E292" i="6"/>
  <c r="D295" i="6"/>
  <c r="E295" i="6"/>
  <c r="D296" i="6"/>
  <c r="E296" i="6"/>
  <c r="D297" i="6"/>
  <c r="E297" i="6"/>
  <c r="D298" i="6"/>
  <c r="E298" i="6"/>
  <c r="D299" i="6"/>
  <c r="E299" i="6"/>
  <c r="D300" i="6"/>
  <c r="E300" i="6"/>
  <c r="D301" i="6"/>
  <c r="E301" i="6"/>
  <c r="D302" i="6"/>
  <c r="E302" i="6"/>
  <c r="D303" i="6"/>
  <c r="E303" i="6"/>
  <c r="D304" i="6"/>
  <c r="E304" i="6"/>
  <c r="D305" i="6"/>
  <c r="E305" i="6"/>
  <c r="D306" i="6"/>
  <c r="E306" i="6"/>
  <c r="D307" i="6"/>
  <c r="E307" i="6"/>
  <c r="D308" i="6"/>
  <c r="E308" i="6"/>
  <c r="D309" i="6"/>
  <c r="E309" i="6"/>
  <c r="D310" i="6"/>
  <c r="E310" i="6"/>
  <c r="D311" i="6"/>
  <c r="E311" i="6"/>
  <c r="D312" i="6"/>
  <c r="E312" i="6"/>
  <c r="D313" i="6"/>
  <c r="E313" i="6"/>
  <c r="D314" i="6"/>
  <c r="E314" i="6"/>
  <c r="D315" i="6"/>
  <c r="E315" i="6"/>
  <c r="D316" i="6"/>
  <c r="E316" i="6"/>
  <c r="D318" i="6"/>
  <c r="E318" i="6"/>
  <c r="D319" i="6"/>
  <c r="E319" i="6"/>
  <c r="D320" i="6"/>
  <c r="E320" i="6"/>
  <c r="D321" i="6"/>
  <c r="E321" i="6"/>
  <c r="D322" i="6"/>
  <c r="E322" i="6"/>
  <c r="D323" i="6"/>
  <c r="E323" i="6"/>
  <c r="D324" i="6"/>
  <c r="E324" i="6"/>
  <c r="D325" i="6"/>
  <c r="E325" i="6"/>
  <c r="D326" i="6"/>
  <c r="E326" i="6"/>
  <c r="D327" i="6"/>
  <c r="E327" i="6"/>
  <c r="D328" i="6"/>
  <c r="E328" i="6"/>
  <c r="D329" i="6"/>
  <c r="E329" i="6"/>
  <c r="D330" i="6"/>
  <c r="E330" i="6"/>
  <c r="D331" i="6"/>
  <c r="E331" i="6"/>
  <c r="D332" i="6"/>
  <c r="E332" i="6"/>
  <c r="D333" i="6"/>
  <c r="E333" i="6"/>
  <c r="D334" i="6"/>
  <c r="E334" i="6"/>
  <c r="D335" i="6"/>
  <c r="E335" i="6"/>
  <c r="D336" i="6"/>
  <c r="E336" i="6"/>
  <c r="D337" i="6"/>
  <c r="E337" i="6"/>
  <c r="D338" i="6"/>
  <c r="E338" i="6"/>
  <c r="D339" i="6"/>
  <c r="E339" i="6"/>
  <c r="D341" i="6"/>
  <c r="E341" i="6"/>
  <c r="D343" i="6"/>
  <c r="E343" i="6"/>
  <c r="D344" i="6"/>
  <c r="E344" i="6"/>
  <c r="D345" i="6"/>
  <c r="E345" i="6"/>
  <c r="D347" i="6"/>
  <c r="E347" i="6"/>
  <c r="D348" i="6"/>
  <c r="E348" i="6"/>
  <c r="D349" i="6"/>
  <c r="E349" i="6"/>
  <c r="D350" i="6"/>
  <c r="E350" i="6"/>
  <c r="D352" i="6"/>
  <c r="E352" i="6"/>
  <c r="D353" i="6"/>
  <c r="E353" i="6"/>
  <c r="D354" i="6"/>
  <c r="E354" i="6"/>
  <c r="D357" i="6"/>
  <c r="E357" i="6"/>
  <c r="D358" i="6"/>
  <c r="E358" i="6"/>
  <c r="D359" i="6"/>
  <c r="E359" i="6"/>
  <c r="D360" i="6"/>
  <c r="E360" i="6"/>
  <c r="D361" i="6"/>
  <c r="E361" i="6"/>
  <c r="D362" i="6"/>
  <c r="E362" i="6"/>
  <c r="D363" i="6"/>
  <c r="E363" i="6"/>
  <c r="D364" i="6"/>
  <c r="E364" i="6"/>
  <c r="D365" i="6"/>
  <c r="E365" i="6"/>
  <c r="D366" i="6"/>
  <c r="E366" i="6"/>
  <c r="D367" i="6"/>
  <c r="E367" i="6"/>
  <c r="D368" i="6"/>
  <c r="E368" i="6"/>
  <c r="D369" i="6"/>
  <c r="E369" i="6"/>
  <c r="D370" i="6"/>
  <c r="E370" i="6"/>
  <c r="D371" i="6"/>
  <c r="E371" i="6"/>
  <c r="D372" i="6"/>
  <c r="E372" i="6"/>
  <c r="D373" i="6"/>
  <c r="E373" i="6"/>
  <c r="D375" i="6"/>
  <c r="E375" i="6"/>
  <c r="D376" i="6"/>
  <c r="E376" i="6"/>
  <c r="D377" i="6"/>
  <c r="E377" i="6"/>
  <c r="D378" i="6"/>
  <c r="E378" i="6"/>
  <c r="D379" i="6"/>
  <c r="E379" i="6"/>
  <c r="D380" i="6"/>
  <c r="E380" i="6"/>
  <c r="D381" i="6"/>
  <c r="E381" i="6"/>
  <c r="D382" i="6"/>
  <c r="E382" i="6"/>
  <c r="D383" i="6"/>
  <c r="E383" i="6"/>
  <c r="D384" i="6"/>
  <c r="E384" i="6"/>
  <c r="D385" i="6"/>
  <c r="E385" i="6"/>
  <c r="D388" i="6"/>
  <c r="E388" i="6"/>
  <c r="D389" i="6"/>
  <c r="E389" i="6"/>
  <c r="D390" i="6"/>
  <c r="E390" i="6"/>
  <c r="D391" i="6"/>
  <c r="E391" i="6"/>
  <c r="D392" i="6"/>
  <c r="E392" i="6"/>
  <c r="D393" i="6"/>
  <c r="E393" i="6"/>
  <c r="D394" i="6"/>
  <c r="E394" i="6"/>
  <c r="D395" i="6"/>
  <c r="E395" i="6"/>
  <c r="D396" i="6"/>
  <c r="E396" i="6"/>
  <c r="D397" i="6"/>
  <c r="E397" i="6"/>
  <c r="D398" i="6"/>
  <c r="E398" i="6"/>
  <c r="D399" i="6"/>
  <c r="E399" i="6"/>
  <c r="D400" i="6"/>
  <c r="E400" i="6"/>
  <c r="D401" i="6"/>
  <c r="E401" i="6"/>
  <c r="D402" i="6"/>
  <c r="E402" i="6"/>
  <c r="D403" i="6"/>
  <c r="E403" i="6"/>
  <c r="D404" i="6"/>
  <c r="E404" i="6"/>
  <c r="D405" i="6"/>
  <c r="E405" i="6"/>
  <c r="D406" i="6"/>
  <c r="E406" i="6"/>
  <c r="D407" i="6"/>
  <c r="E407" i="6"/>
  <c r="D408" i="6"/>
  <c r="E408" i="6"/>
  <c r="D409" i="6"/>
  <c r="E409" i="6"/>
  <c r="D410" i="6"/>
  <c r="E410" i="6"/>
  <c r="D411" i="6"/>
  <c r="E411" i="6"/>
  <c r="D412" i="6"/>
  <c r="E412" i="6"/>
  <c r="D413" i="6"/>
  <c r="E413" i="6"/>
  <c r="D414" i="6"/>
  <c r="E414" i="6"/>
  <c r="D415" i="6"/>
  <c r="E415" i="6"/>
  <c r="D416" i="6"/>
  <c r="E416" i="6"/>
  <c r="D417" i="6"/>
  <c r="E417" i="6"/>
  <c r="D418" i="6"/>
  <c r="E418" i="6"/>
  <c r="D419" i="6"/>
  <c r="E419" i="6"/>
  <c r="D420" i="6"/>
  <c r="E420" i="6"/>
  <c r="D421" i="6"/>
  <c r="E421" i="6"/>
  <c r="D422" i="6"/>
  <c r="E422" i="6"/>
  <c r="D423" i="6"/>
  <c r="E423" i="6"/>
  <c r="D424" i="6"/>
  <c r="E424" i="6"/>
  <c r="D425" i="6"/>
  <c r="E425" i="6"/>
  <c r="D426" i="6"/>
  <c r="E426" i="6"/>
  <c r="D427" i="6"/>
  <c r="E427" i="6"/>
  <c r="D428" i="6"/>
  <c r="E428" i="6"/>
  <c r="D429" i="6"/>
  <c r="E429" i="6"/>
  <c r="D430" i="6"/>
  <c r="E430" i="6"/>
  <c r="D431" i="6"/>
  <c r="E431" i="6"/>
  <c r="D432" i="6"/>
  <c r="E432" i="6"/>
  <c r="D433" i="6"/>
  <c r="E433" i="6"/>
  <c r="D434" i="6"/>
  <c r="E434" i="6"/>
  <c r="D435" i="6"/>
  <c r="E435" i="6"/>
  <c r="D436" i="6"/>
  <c r="E436" i="6"/>
  <c r="D437" i="6"/>
  <c r="E437" i="6"/>
  <c r="D438" i="6"/>
  <c r="E438" i="6"/>
  <c r="D439" i="6"/>
  <c r="E439" i="6"/>
  <c r="D440" i="6"/>
  <c r="E440" i="6"/>
  <c r="D441" i="6"/>
  <c r="E441" i="6"/>
  <c r="D442" i="6"/>
  <c r="E442" i="6"/>
  <c r="D443" i="6"/>
  <c r="E443" i="6"/>
  <c r="D444" i="6"/>
  <c r="E444" i="6"/>
  <c r="D445" i="6"/>
  <c r="E445" i="6"/>
  <c r="D446" i="6"/>
  <c r="E446" i="6"/>
  <c r="D447" i="6"/>
  <c r="E447" i="6"/>
  <c r="D448" i="6"/>
  <c r="E448" i="6"/>
  <c r="D449" i="6"/>
  <c r="E449" i="6"/>
  <c r="D450" i="6"/>
  <c r="E450" i="6"/>
  <c r="D451" i="6"/>
  <c r="E451" i="6"/>
  <c r="D452" i="6"/>
  <c r="E452" i="6"/>
  <c r="D453" i="6"/>
  <c r="E453" i="6"/>
  <c r="D454" i="6"/>
  <c r="E454" i="6"/>
  <c r="D455" i="6"/>
  <c r="E455" i="6"/>
  <c r="D456" i="6"/>
  <c r="E456" i="6"/>
  <c r="D457" i="6"/>
  <c r="E457" i="6"/>
  <c r="D458" i="6"/>
  <c r="E458" i="6"/>
  <c r="D459" i="6"/>
  <c r="E459" i="6"/>
  <c r="D460" i="6"/>
  <c r="E460" i="6"/>
  <c r="D461" i="6"/>
  <c r="E461" i="6"/>
  <c r="D462" i="6"/>
  <c r="E462" i="6"/>
  <c r="D463" i="6"/>
  <c r="E463" i="6"/>
  <c r="D464" i="6"/>
  <c r="E464" i="6"/>
  <c r="D465" i="6"/>
  <c r="E465" i="6"/>
  <c r="D466" i="6"/>
  <c r="E466" i="6"/>
  <c r="D467" i="6"/>
  <c r="E467" i="6"/>
  <c r="D468" i="6"/>
  <c r="E468" i="6"/>
  <c r="D469" i="6"/>
  <c r="E469" i="6"/>
  <c r="D470" i="6"/>
  <c r="E470" i="6"/>
  <c r="D471" i="6"/>
  <c r="E471" i="6"/>
  <c r="D472" i="6"/>
  <c r="E472" i="6"/>
  <c r="D473" i="6"/>
  <c r="E473" i="6"/>
  <c r="D474" i="6"/>
  <c r="E474" i="6"/>
  <c r="D476" i="6"/>
  <c r="E476" i="6"/>
  <c r="D477" i="6"/>
  <c r="E477" i="6"/>
  <c r="D478" i="6"/>
  <c r="E478" i="6"/>
  <c r="D479" i="6"/>
  <c r="E479" i="6"/>
  <c r="D480" i="6"/>
  <c r="E480" i="6"/>
  <c r="D481" i="6"/>
  <c r="E481" i="6"/>
  <c r="D482" i="6"/>
  <c r="E482" i="6"/>
  <c r="D483" i="6"/>
  <c r="E483" i="6"/>
  <c r="D484" i="6"/>
  <c r="E484" i="6"/>
  <c r="D485" i="6"/>
  <c r="E485" i="6"/>
  <c r="D486" i="6"/>
  <c r="E486" i="6"/>
  <c r="D487" i="6"/>
  <c r="E487" i="6"/>
  <c r="D488" i="6"/>
  <c r="E488" i="6"/>
  <c r="D489" i="6"/>
  <c r="E489" i="6"/>
  <c r="D490" i="6"/>
  <c r="E490" i="6"/>
  <c r="D491" i="6"/>
  <c r="E491" i="6"/>
  <c r="D492" i="6"/>
  <c r="E492" i="6"/>
  <c r="D493" i="6"/>
  <c r="E493" i="6"/>
  <c r="D494" i="6"/>
  <c r="E494" i="6"/>
  <c r="D495" i="6"/>
  <c r="E495" i="6"/>
  <c r="D496" i="6"/>
  <c r="E496" i="6"/>
  <c r="D497" i="6"/>
  <c r="E497" i="6"/>
  <c r="D498" i="6"/>
  <c r="E498" i="6"/>
  <c r="D499" i="6"/>
  <c r="E499" i="6"/>
  <c r="D500" i="6"/>
  <c r="E500" i="6"/>
  <c r="D501" i="6"/>
  <c r="E501" i="6"/>
  <c r="D502" i="6"/>
  <c r="E502" i="6"/>
  <c r="D503" i="6"/>
  <c r="E503" i="6"/>
  <c r="D504" i="6"/>
  <c r="E504" i="6"/>
  <c r="D505" i="6"/>
  <c r="E505" i="6"/>
  <c r="D506" i="6"/>
  <c r="E506" i="6"/>
  <c r="D507" i="6"/>
  <c r="E507" i="6"/>
  <c r="D508" i="6"/>
  <c r="E508" i="6"/>
  <c r="D509" i="6"/>
  <c r="E509" i="6"/>
  <c r="D510" i="6"/>
  <c r="E510" i="6"/>
  <c r="D511" i="6"/>
  <c r="E511" i="6"/>
  <c r="D512" i="6"/>
  <c r="E512" i="6"/>
  <c r="D513" i="6"/>
  <c r="E513" i="6"/>
  <c r="D514" i="6"/>
  <c r="E514" i="6"/>
  <c r="D515" i="6"/>
  <c r="E515" i="6"/>
  <c r="D516" i="6"/>
  <c r="E516" i="6"/>
  <c r="D517" i="6"/>
  <c r="E517" i="6"/>
  <c r="D518" i="6"/>
  <c r="E518" i="6"/>
  <c r="D519" i="6"/>
  <c r="E519" i="6"/>
  <c r="D520" i="6"/>
  <c r="E520" i="6"/>
  <c r="D521" i="6"/>
  <c r="E521" i="6"/>
  <c r="D522" i="6"/>
  <c r="E522" i="6"/>
  <c r="D523" i="6"/>
  <c r="E523" i="6"/>
  <c r="D524" i="6"/>
  <c r="E524" i="6"/>
  <c r="D525" i="6"/>
  <c r="E525" i="6"/>
  <c r="D526" i="6"/>
  <c r="E526" i="6"/>
  <c r="D527" i="6"/>
  <c r="E527" i="6"/>
  <c r="D528" i="6"/>
  <c r="E528" i="6"/>
  <c r="D529" i="6"/>
  <c r="E529" i="6"/>
  <c r="D530" i="6"/>
  <c r="E530" i="6"/>
  <c r="D531" i="6"/>
  <c r="E531" i="6"/>
  <c r="D532" i="6"/>
  <c r="E532" i="6"/>
  <c r="D533" i="6"/>
  <c r="E533" i="6"/>
  <c r="D534" i="6"/>
  <c r="E534" i="6"/>
  <c r="D535" i="6"/>
  <c r="E535" i="6"/>
  <c r="D536" i="6"/>
  <c r="E536" i="6"/>
  <c r="D537" i="6"/>
  <c r="E537" i="6"/>
  <c r="D538" i="6"/>
  <c r="E538" i="6"/>
  <c r="D539" i="6"/>
  <c r="E539" i="6"/>
  <c r="D540" i="6"/>
  <c r="E540" i="6"/>
  <c r="D541" i="6"/>
  <c r="E541" i="6"/>
  <c r="D542" i="6"/>
  <c r="E542" i="6"/>
  <c r="D543" i="6"/>
  <c r="E543" i="6"/>
  <c r="D544" i="6"/>
  <c r="E544" i="6"/>
  <c r="D545" i="6"/>
  <c r="E545" i="6"/>
  <c r="D548" i="6"/>
  <c r="E548" i="6"/>
  <c r="D549" i="6"/>
  <c r="E549" i="6"/>
  <c r="D550" i="6"/>
  <c r="E550" i="6"/>
  <c r="D551" i="6"/>
  <c r="E551" i="6"/>
  <c r="D552" i="6"/>
  <c r="E552" i="6"/>
  <c r="D553" i="6"/>
  <c r="E553" i="6"/>
  <c r="D554" i="6"/>
  <c r="E554" i="6"/>
  <c r="D555" i="6"/>
  <c r="E555" i="6"/>
  <c r="D557" i="6"/>
  <c r="E557" i="6"/>
  <c r="D558" i="6"/>
  <c r="E558" i="6"/>
  <c r="D559" i="6"/>
  <c r="E559" i="6"/>
  <c r="D560" i="6"/>
  <c r="E560" i="6"/>
  <c r="D561" i="6"/>
  <c r="E561" i="6"/>
  <c r="D562" i="6"/>
  <c r="E562" i="6"/>
  <c r="D564" i="6"/>
  <c r="E564" i="6"/>
  <c r="D565" i="6"/>
  <c r="E565" i="6"/>
  <c r="D566" i="6"/>
  <c r="E566" i="6"/>
  <c r="D567" i="6"/>
  <c r="E567" i="6"/>
  <c r="D568" i="6"/>
  <c r="E568" i="6"/>
  <c r="D569" i="6"/>
  <c r="E569" i="6"/>
  <c r="D572" i="6"/>
  <c r="E572" i="6"/>
  <c r="D574" i="6"/>
  <c r="E574" i="6"/>
  <c r="D575" i="6"/>
  <c r="E575" i="6"/>
  <c r="D576" i="6"/>
  <c r="E576" i="6"/>
  <c r="D578" i="6"/>
  <c r="E578" i="6"/>
  <c r="D579" i="6"/>
  <c r="E579" i="6"/>
  <c r="D580" i="6"/>
  <c r="E580" i="6"/>
  <c r="D581" i="6"/>
  <c r="E581" i="6"/>
  <c r="D584" i="6"/>
  <c r="E584" i="6"/>
  <c r="D585" i="6"/>
  <c r="E585" i="6"/>
  <c r="D586" i="6"/>
  <c r="E586" i="6"/>
  <c r="D587" i="6"/>
  <c r="E587" i="6"/>
  <c r="D588" i="6"/>
  <c r="E588" i="6"/>
  <c r="D589" i="6"/>
  <c r="E589" i="6"/>
  <c r="D591" i="6"/>
  <c r="E591" i="6"/>
  <c r="D592" i="6"/>
  <c r="E592" i="6"/>
  <c r="D593" i="6"/>
  <c r="E593" i="6"/>
  <c r="D594" i="6"/>
  <c r="E594" i="6"/>
  <c r="D595" i="6"/>
  <c r="E595" i="6"/>
  <c r="D597" i="6"/>
  <c r="E597" i="6"/>
  <c r="D598" i="6"/>
  <c r="E598" i="6"/>
  <c r="D599" i="6"/>
  <c r="E599" i="6"/>
  <c r="D600" i="6"/>
  <c r="E600" i="6"/>
  <c r="D601" i="6"/>
  <c r="E601" i="6"/>
  <c r="D602" i="6"/>
  <c r="E602" i="6"/>
  <c r="D604" i="6"/>
  <c r="E604" i="6"/>
  <c r="D605" i="6"/>
  <c r="E605" i="6"/>
  <c r="D606" i="6"/>
  <c r="E606" i="6"/>
  <c r="D607" i="6"/>
  <c r="E607" i="6"/>
  <c r="D608" i="6"/>
  <c r="E608" i="6"/>
  <c r="D609" i="6"/>
  <c r="E609" i="6"/>
  <c r="D610" i="6"/>
  <c r="E610" i="6"/>
  <c r="D611" i="6"/>
  <c r="E611" i="6"/>
  <c r="D612" i="6"/>
  <c r="E612" i="6"/>
  <c r="D613" i="6"/>
  <c r="E613" i="6"/>
  <c r="D614" i="6"/>
  <c r="E614" i="6"/>
  <c r="D615" i="6"/>
  <c r="E615" i="6"/>
  <c r="D616" i="6"/>
  <c r="E616" i="6"/>
  <c r="D617" i="6"/>
  <c r="E617" i="6"/>
  <c r="D618" i="6"/>
  <c r="E618" i="6"/>
  <c r="D619" i="6"/>
  <c r="E619" i="6"/>
  <c r="D620" i="6"/>
  <c r="E620" i="6"/>
  <c r="D621" i="6"/>
  <c r="E621" i="6"/>
  <c r="D622" i="6"/>
  <c r="E622" i="6"/>
  <c r="D623" i="6"/>
  <c r="E623" i="6"/>
  <c r="D624" i="6"/>
  <c r="E624" i="6"/>
  <c r="D625" i="6"/>
  <c r="E625" i="6"/>
  <c r="D626" i="6"/>
  <c r="E626" i="6"/>
  <c r="D627" i="6"/>
  <c r="E627" i="6"/>
  <c r="D628" i="6"/>
  <c r="E628" i="6"/>
  <c r="D629" i="6"/>
  <c r="E629" i="6"/>
  <c r="D630" i="6"/>
  <c r="E630" i="6"/>
  <c r="D631" i="6"/>
  <c r="E631" i="6"/>
  <c r="D632" i="6"/>
  <c r="E632" i="6"/>
  <c r="D633" i="6"/>
  <c r="E633" i="6"/>
  <c r="D634" i="6"/>
  <c r="E634" i="6"/>
  <c r="D635" i="6"/>
  <c r="E635" i="6"/>
  <c r="D636" i="6"/>
  <c r="E636" i="6"/>
  <c r="D637" i="6"/>
  <c r="E637" i="6"/>
  <c r="D638" i="6"/>
  <c r="E638" i="6"/>
  <c r="D639" i="6"/>
  <c r="E639" i="6"/>
  <c r="D640" i="6"/>
  <c r="E640" i="6"/>
  <c r="D641" i="6"/>
  <c r="E641" i="6"/>
  <c r="D642" i="6"/>
  <c r="E642" i="6"/>
  <c r="D643" i="6"/>
  <c r="E643" i="6"/>
  <c r="D644" i="6"/>
  <c r="E644" i="6"/>
  <c r="D645" i="6"/>
  <c r="E645" i="6"/>
  <c r="D646" i="6"/>
  <c r="E646" i="6"/>
  <c r="D647" i="6"/>
  <c r="E647" i="6"/>
  <c r="D648" i="6"/>
  <c r="E648" i="6"/>
  <c r="D649" i="6"/>
  <c r="E649" i="6"/>
  <c r="D650" i="6"/>
  <c r="E650" i="6"/>
  <c r="D651" i="6"/>
  <c r="E651" i="6"/>
  <c r="D652" i="6"/>
  <c r="E652" i="6"/>
  <c r="D653" i="6"/>
  <c r="E653" i="6"/>
  <c r="D654" i="6"/>
  <c r="E654" i="6"/>
  <c r="D655" i="6"/>
  <c r="E655" i="6"/>
  <c r="D656" i="6"/>
  <c r="E656" i="6"/>
  <c r="D657" i="6"/>
  <c r="E657" i="6"/>
  <c r="D658" i="6"/>
  <c r="E658" i="6"/>
  <c r="D659" i="6"/>
  <c r="E659" i="6"/>
  <c r="D660" i="6"/>
  <c r="E660" i="6"/>
  <c r="D661" i="6"/>
  <c r="E661" i="6"/>
  <c r="D662" i="6"/>
  <c r="E662" i="6"/>
  <c r="D663" i="6"/>
  <c r="E663" i="6"/>
  <c r="D664" i="6"/>
  <c r="E664" i="6"/>
  <c r="D665" i="6"/>
  <c r="E665" i="6"/>
  <c r="D666" i="6"/>
  <c r="E666" i="6"/>
  <c r="D667" i="6"/>
  <c r="E667" i="6"/>
  <c r="D668" i="6"/>
  <c r="E668" i="6"/>
  <c r="D669" i="6"/>
  <c r="E669" i="6"/>
  <c r="D670" i="6"/>
  <c r="E670" i="6"/>
  <c r="D671" i="6"/>
  <c r="E671" i="6"/>
  <c r="D672" i="6"/>
  <c r="E672" i="6"/>
  <c r="D673" i="6"/>
  <c r="E673" i="6"/>
  <c r="D674" i="6"/>
  <c r="E674" i="6"/>
  <c r="D675" i="6"/>
  <c r="E675" i="6"/>
  <c r="D676" i="6"/>
  <c r="E676" i="6"/>
  <c r="D677" i="6"/>
  <c r="E677" i="6"/>
  <c r="D678" i="6"/>
  <c r="E678" i="6"/>
  <c r="D679" i="6"/>
  <c r="E679" i="6"/>
  <c r="D680" i="6"/>
  <c r="E680" i="6"/>
  <c r="D681" i="6"/>
  <c r="E681" i="6"/>
  <c r="D682" i="6"/>
  <c r="E682" i="6"/>
  <c r="D683" i="6"/>
  <c r="E683" i="6"/>
  <c r="D684" i="6"/>
  <c r="E684" i="6"/>
  <c r="D685" i="6"/>
  <c r="E685" i="6"/>
  <c r="D686" i="6"/>
  <c r="E686" i="6"/>
  <c r="D687" i="6"/>
  <c r="E687" i="6"/>
  <c r="D7" i="12" l="1"/>
  <c r="D6" i="12"/>
  <c r="D5" i="12"/>
  <c r="F38" i="5" l="1"/>
  <c r="I38" i="5"/>
  <c r="K38" i="5"/>
  <c r="M38" i="5"/>
  <c r="P38" i="5"/>
  <c r="S38" i="5"/>
  <c r="Z38" i="5"/>
  <c r="AC38" i="5"/>
  <c r="F39" i="5"/>
  <c r="I39" i="5"/>
  <c r="K39" i="5"/>
  <c r="M39" i="5"/>
  <c r="P39" i="5"/>
  <c r="S39" i="5"/>
  <c r="Z39" i="5"/>
  <c r="AC39" i="5"/>
  <c r="F40" i="5"/>
  <c r="I40" i="5"/>
  <c r="K40" i="5"/>
  <c r="M40" i="5"/>
  <c r="P40" i="5"/>
  <c r="S40" i="5"/>
  <c r="Z40" i="5"/>
  <c r="AC40" i="5"/>
  <c r="X75" i="5"/>
  <c r="Y75" i="5"/>
  <c r="Z75" i="5"/>
  <c r="AA75" i="5"/>
  <c r="AB75" i="5"/>
  <c r="AC75" i="5"/>
  <c r="AD75" i="5"/>
  <c r="AE75" i="5"/>
  <c r="AF75" i="5"/>
  <c r="AG75" i="5"/>
  <c r="X76" i="5"/>
  <c r="Y76" i="5"/>
  <c r="Z76" i="5"/>
  <c r="AA76" i="5"/>
  <c r="AB76" i="5"/>
  <c r="AC76" i="5"/>
  <c r="AD76" i="5"/>
  <c r="AE76" i="5"/>
  <c r="AF76" i="5"/>
  <c r="AG76" i="5"/>
  <c r="X77" i="5"/>
  <c r="Y77" i="5"/>
  <c r="Z77" i="5"/>
  <c r="AA77" i="5"/>
  <c r="AB77" i="5"/>
  <c r="AC77" i="5"/>
  <c r="AD77" i="5"/>
  <c r="AE77" i="5"/>
  <c r="AF77" i="5"/>
  <c r="AG77" i="5"/>
  <c r="X78" i="5"/>
  <c r="Y78" i="5"/>
  <c r="Z78" i="5"/>
  <c r="AA78" i="5"/>
  <c r="AB78" i="5"/>
  <c r="AC78" i="5"/>
  <c r="AD78" i="5"/>
  <c r="AE78" i="5"/>
  <c r="AF78" i="5"/>
  <c r="AG78" i="5"/>
  <c r="X79" i="5"/>
  <c r="Y79" i="5"/>
  <c r="Z79" i="5"/>
  <c r="AA79" i="5"/>
  <c r="AB79" i="5"/>
  <c r="AC79" i="5"/>
  <c r="AD79" i="5"/>
  <c r="AE79" i="5"/>
  <c r="AF79" i="5"/>
  <c r="AG79" i="5"/>
  <c r="X80" i="5"/>
  <c r="Y80" i="5"/>
  <c r="Z80" i="5"/>
  <c r="AA80" i="5"/>
  <c r="AB80" i="5"/>
  <c r="AC80" i="5"/>
  <c r="AD80" i="5"/>
  <c r="AE80" i="5"/>
  <c r="AF80" i="5"/>
  <c r="AG80" i="5"/>
  <c r="X81" i="5"/>
  <c r="Y81" i="5"/>
  <c r="Z81" i="5"/>
  <c r="AA81" i="5"/>
  <c r="AB81" i="5"/>
  <c r="AC81" i="5"/>
  <c r="AD81" i="5"/>
  <c r="AE81" i="5"/>
  <c r="AF81" i="5"/>
  <c r="AG81" i="5"/>
  <c r="X82" i="5"/>
  <c r="Y82" i="5"/>
  <c r="Z82" i="5"/>
  <c r="AA82" i="5"/>
  <c r="AB82" i="5"/>
  <c r="AC82" i="5"/>
  <c r="AD82" i="5"/>
  <c r="AE82" i="5"/>
  <c r="AF82" i="5"/>
  <c r="AG82" i="5"/>
  <c r="E84" i="5"/>
  <c r="F84" i="5"/>
  <c r="G84" i="5"/>
  <c r="H84" i="5"/>
  <c r="I84" i="5"/>
  <c r="J84" i="5"/>
  <c r="K84" i="5"/>
  <c r="L84" i="5"/>
  <c r="M84" i="5"/>
  <c r="X84" i="5"/>
  <c r="Y84" i="5"/>
  <c r="Z84" i="5"/>
  <c r="AA84" i="5"/>
  <c r="AB84" i="5"/>
  <c r="AC84" i="5"/>
  <c r="AD84" i="5"/>
  <c r="AE84" i="5"/>
  <c r="AF84" i="5"/>
  <c r="AG84" i="5"/>
  <c r="E85" i="5"/>
  <c r="F85" i="5"/>
  <c r="G85" i="5"/>
  <c r="H85" i="5"/>
  <c r="I85" i="5"/>
  <c r="J85" i="5"/>
  <c r="K85" i="5"/>
  <c r="L85" i="5"/>
  <c r="M85" i="5"/>
  <c r="X85" i="5"/>
  <c r="Y85" i="5"/>
  <c r="Z85" i="5"/>
  <c r="AA85" i="5"/>
  <c r="AB85" i="5"/>
  <c r="AC85" i="5"/>
  <c r="AD85" i="5"/>
  <c r="AE85" i="5"/>
  <c r="AF85" i="5"/>
  <c r="AG85" i="5"/>
  <c r="E86" i="5"/>
  <c r="F86" i="5"/>
  <c r="G86" i="5"/>
  <c r="H86" i="5"/>
  <c r="I86" i="5"/>
  <c r="J86" i="5"/>
  <c r="K86" i="5"/>
  <c r="L86" i="5"/>
  <c r="M86" i="5"/>
  <c r="X86" i="5"/>
  <c r="Y86" i="5"/>
  <c r="Z86" i="5"/>
  <c r="AA86" i="5"/>
  <c r="AB86" i="5"/>
  <c r="AC86" i="5"/>
  <c r="AD86" i="5"/>
  <c r="AE86" i="5"/>
  <c r="AF86" i="5"/>
  <c r="AG86" i="5"/>
  <c r="E87" i="5"/>
  <c r="F87" i="5"/>
  <c r="G87" i="5"/>
  <c r="H87" i="5"/>
  <c r="I87" i="5"/>
  <c r="J87" i="5"/>
  <c r="K87" i="5"/>
  <c r="L87" i="5"/>
  <c r="M87" i="5"/>
  <c r="X87" i="5"/>
  <c r="Y87" i="5"/>
  <c r="Z87" i="5"/>
  <c r="AA87" i="5"/>
  <c r="AB87" i="5"/>
  <c r="AC87" i="5"/>
  <c r="AD87" i="5"/>
  <c r="AE87" i="5"/>
  <c r="AF87" i="5"/>
  <c r="AG87" i="5"/>
  <c r="E88" i="5"/>
  <c r="F88" i="5"/>
  <c r="G88" i="5"/>
  <c r="H88" i="5"/>
  <c r="I88" i="5"/>
  <c r="J88" i="5"/>
  <c r="K88" i="5"/>
  <c r="L88" i="5"/>
  <c r="M88" i="5"/>
  <c r="X88" i="5"/>
  <c r="Y88" i="5"/>
  <c r="Z88" i="5"/>
  <c r="AA88" i="5"/>
  <c r="AB88" i="5"/>
  <c r="AC88" i="5"/>
  <c r="AD88" i="5"/>
  <c r="AE88" i="5"/>
  <c r="AF88" i="5"/>
  <c r="AG88" i="5"/>
  <c r="E89" i="5"/>
  <c r="F89" i="5"/>
  <c r="G89" i="5"/>
  <c r="H89" i="5"/>
  <c r="I89" i="5"/>
  <c r="J89" i="5"/>
  <c r="K89" i="5"/>
  <c r="L89" i="5"/>
  <c r="M89" i="5"/>
  <c r="X89" i="5"/>
  <c r="Y89" i="5"/>
  <c r="Z89" i="5"/>
  <c r="AA89" i="5"/>
  <c r="AB89" i="5"/>
  <c r="AC89" i="5"/>
  <c r="AD89" i="5"/>
  <c r="AE89" i="5"/>
  <c r="AF89" i="5"/>
  <c r="AG89" i="5"/>
  <c r="E90" i="5"/>
  <c r="F90" i="5"/>
  <c r="G90" i="5"/>
  <c r="H90" i="5"/>
  <c r="I90" i="5"/>
  <c r="J90" i="5"/>
  <c r="K90" i="5"/>
  <c r="L90" i="5"/>
  <c r="M90" i="5"/>
  <c r="X90" i="5"/>
  <c r="Y90" i="5"/>
  <c r="Z90" i="5"/>
  <c r="AA90" i="5"/>
  <c r="AB90" i="5"/>
  <c r="AC90" i="5"/>
  <c r="AD90" i="5"/>
  <c r="AE90" i="5"/>
  <c r="AF90" i="5"/>
  <c r="AG90" i="5"/>
  <c r="E91" i="5"/>
  <c r="F91" i="5"/>
  <c r="G91" i="5"/>
  <c r="H91" i="5"/>
  <c r="I91" i="5"/>
  <c r="J91" i="5"/>
  <c r="K91" i="5"/>
  <c r="L91" i="5"/>
  <c r="M91" i="5"/>
  <c r="X91" i="5"/>
  <c r="Y91" i="5"/>
  <c r="Z91" i="5"/>
  <c r="AA91" i="5"/>
  <c r="AB91" i="5"/>
  <c r="AC91" i="5"/>
  <c r="AD91" i="5"/>
  <c r="AE91" i="5"/>
  <c r="AF91" i="5"/>
  <c r="AG91" i="5"/>
  <c r="E92" i="5"/>
  <c r="F92" i="5"/>
  <c r="G92" i="5"/>
  <c r="H92" i="5"/>
  <c r="I92" i="5"/>
  <c r="J92" i="5"/>
  <c r="K92" i="5"/>
  <c r="L92" i="5"/>
  <c r="M92" i="5"/>
  <c r="X92" i="5"/>
  <c r="Y92" i="5"/>
  <c r="Z92" i="5"/>
  <c r="AA92" i="5"/>
  <c r="AB92" i="5"/>
  <c r="AC92" i="5"/>
  <c r="AD92" i="5"/>
  <c r="AE92" i="5"/>
  <c r="AF92" i="5"/>
  <c r="AG92" i="5"/>
  <c r="E93" i="5"/>
  <c r="F93" i="5"/>
  <c r="G93" i="5"/>
  <c r="H93" i="5"/>
  <c r="I93" i="5"/>
  <c r="J93" i="5"/>
  <c r="K93" i="5"/>
  <c r="L93" i="5"/>
  <c r="M93" i="5"/>
  <c r="X93" i="5"/>
  <c r="Y93" i="5"/>
  <c r="Z93" i="5"/>
  <c r="AA93" i="5"/>
  <c r="AB93" i="5"/>
  <c r="AC93" i="5"/>
  <c r="AD93" i="5"/>
  <c r="AE93" i="5"/>
  <c r="AF93" i="5"/>
  <c r="AG93" i="5"/>
  <c r="E94" i="5"/>
  <c r="F94" i="5"/>
  <c r="G94" i="5"/>
  <c r="H94" i="5"/>
  <c r="I94" i="5"/>
  <c r="J94" i="5"/>
  <c r="K94" i="5"/>
  <c r="L94" i="5"/>
  <c r="M94" i="5"/>
  <c r="X94" i="5"/>
  <c r="Y94" i="5"/>
  <c r="Z94" i="5"/>
  <c r="AA94" i="5"/>
  <c r="AB94" i="5"/>
  <c r="AC94" i="5"/>
  <c r="AD94" i="5"/>
  <c r="AE94" i="5"/>
  <c r="AF94" i="5"/>
  <c r="AG94" i="5"/>
  <c r="E95" i="5"/>
  <c r="F95" i="5"/>
  <c r="G95" i="5"/>
  <c r="H95" i="5"/>
  <c r="I95" i="5"/>
  <c r="J95" i="5"/>
  <c r="K95" i="5"/>
  <c r="L95" i="5"/>
  <c r="M95" i="5"/>
  <c r="X95" i="5"/>
  <c r="Y95" i="5"/>
  <c r="Z95" i="5"/>
  <c r="AA95" i="5"/>
  <c r="AB95" i="5"/>
  <c r="AC95" i="5"/>
  <c r="AD95" i="5"/>
  <c r="AE95" i="5"/>
  <c r="AF95" i="5"/>
  <c r="AG95" i="5"/>
  <c r="E96" i="5"/>
  <c r="F96" i="5"/>
  <c r="G96" i="5"/>
  <c r="H96" i="5"/>
  <c r="I96" i="5"/>
  <c r="J96" i="5"/>
  <c r="K96" i="5"/>
  <c r="L96" i="5"/>
  <c r="M96" i="5"/>
  <c r="X96" i="5"/>
  <c r="Y96" i="5"/>
  <c r="Z96" i="5"/>
  <c r="AA96" i="5"/>
  <c r="AB96" i="5"/>
  <c r="AC96" i="5"/>
  <c r="AD96" i="5"/>
  <c r="AE96" i="5"/>
  <c r="AF96" i="5"/>
  <c r="AG96" i="5"/>
  <c r="E97" i="5"/>
  <c r="F97" i="5"/>
  <c r="G97" i="5"/>
  <c r="H97" i="5"/>
  <c r="I97" i="5"/>
  <c r="J97" i="5"/>
  <c r="K97" i="5"/>
  <c r="L97" i="5"/>
  <c r="M97" i="5"/>
  <c r="X97" i="5"/>
  <c r="Y97" i="5"/>
  <c r="Z97" i="5"/>
  <c r="AA97" i="5"/>
  <c r="AB97" i="5"/>
  <c r="AC97" i="5"/>
  <c r="AD97" i="5"/>
  <c r="AE97" i="5"/>
  <c r="AF97" i="5"/>
  <c r="AG97" i="5"/>
  <c r="E98" i="5"/>
  <c r="F98" i="5"/>
  <c r="G98" i="5"/>
  <c r="H98" i="5"/>
  <c r="I98" i="5"/>
  <c r="J98" i="5"/>
  <c r="K98" i="5"/>
  <c r="L98" i="5"/>
  <c r="M98" i="5"/>
  <c r="X98" i="5"/>
  <c r="Y98" i="5"/>
  <c r="Z98" i="5"/>
  <c r="AA98" i="5"/>
  <c r="AB98" i="5"/>
  <c r="AC98" i="5"/>
  <c r="AD98" i="5"/>
  <c r="AE98" i="5"/>
  <c r="AF98" i="5"/>
  <c r="AG98" i="5"/>
  <c r="E99" i="5"/>
  <c r="F99" i="5"/>
  <c r="G99" i="5"/>
  <c r="H99" i="5"/>
  <c r="I99" i="5"/>
  <c r="J99" i="5"/>
  <c r="K99" i="5"/>
  <c r="L99" i="5"/>
  <c r="M99" i="5"/>
  <c r="X99" i="5"/>
  <c r="Y99" i="5"/>
  <c r="Z99" i="5"/>
  <c r="AA99" i="5"/>
  <c r="AB99" i="5"/>
  <c r="AC99" i="5"/>
  <c r="AD99" i="5"/>
  <c r="AE99" i="5"/>
  <c r="AF99" i="5"/>
  <c r="AG99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N115" i="5"/>
  <c r="O115" i="5"/>
  <c r="P115" i="5"/>
  <c r="Q115" i="5"/>
  <c r="R115" i="5"/>
  <c r="S115" i="5"/>
  <c r="T115" i="5"/>
  <c r="U115" i="5"/>
  <c r="V115" i="5"/>
  <c r="W115" i="5"/>
  <c r="N116" i="5"/>
  <c r="O116" i="5"/>
  <c r="P116" i="5"/>
  <c r="Q116" i="5"/>
  <c r="R116" i="5"/>
  <c r="S116" i="5"/>
  <c r="T116" i="5"/>
  <c r="U116" i="5"/>
  <c r="V116" i="5"/>
  <c r="W116" i="5"/>
  <c r="N117" i="5"/>
  <c r="O117" i="5"/>
  <c r="P117" i="5"/>
  <c r="Q117" i="5"/>
  <c r="R117" i="5"/>
  <c r="S117" i="5"/>
  <c r="T117" i="5"/>
  <c r="U117" i="5"/>
  <c r="V117" i="5"/>
  <c r="W117" i="5"/>
  <c r="N118" i="5"/>
  <c r="O118" i="5"/>
  <c r="P118" i="5"/>
  <c r="Q118" i="5"/>
  <c r="R118" i="5"/>
  <c r="S118" i="5"/>
  <c r="T118" i="5"/>
  <c r="U118" i="5"/>
  <c r="V118" i="5"/>
  <c r="W118" i="5"/>
  <c r="N119" i="5"/>
  <c r="O119" i="5"/>
  <c r="P119" i="5"/>
  <c r="Q119" i="5"/>
  <c r="R119" i="5"/>
  <c r="S119" i="5"/>
  <c r="T119" i="5"/>
  <c r="U119" i="5"/>
  <c r="V119" i="5"/>
  <c r="W119" i="5"/>
  <c r="N120" i="5"/>
  <c r="O120" i="5"/>
  <c r="P120" i="5"/>
  <c r="Q120" i="5"/>
  <c r="R120" i="5"/>
  <c r="S120" i="5"/>
  <c r="T120" i="5"/>
  <c r="U120" i="5"/>
  <c r="V120" i="5"/>
  <c r="W120" i="5"/>
  <c r="N121" i="5"/>
  <c r="O121" i="5"/>
  <c r="P121" i="5"/>
  <c r="Q121" i="5"/>
  <c r="R121" i="5"/>
  <c r="S121" i="5"/>
  <c r="T121" i="5"/>
  <c r="U121" i="5"/>
  <c r="V121" i="5"/>
  <c r="W121" i="5"/>
  <c r="N122" i="5"/>
  <c r="O122" i="5"/>
  <c r="P122" i="5"/>
  <c r="Q122" i="5"/>
  <c r="R122" i="5"/>
  <c r="S122" i="5"/>
  <c r="T122" i="5"/>
  <c r="U122" i="5"/>
  <c r="V122" i="5"/>
  <c r="W122" i="5"/>
  <c r="N123" i="5"/>
  <c r="O123" i="5"/>
  <c r="P123" i="5"/>
  <c r="Q123" i="5"/>
  <c r="R123" i="5"/>
  <c r="S123" i="5"/>
  <c r="T123" i="5"/>
  <c r="U123" i="5"/>
  <c r="V123" i="5"/>
  <c r="W123" i="5"/>
  <c r="N124" i="5"/>
  <c r="O124" i="5"/>
  <c r="P124" i="5"/>
  <c r="Q124" i="5"/>
  <c r="R124" i="5"/>
  <c r="S124" i="5"/>
  <c r="T124" i="5"/>
  <c r="U124" i="5"/>
  <c r="V124" i="5"/>
  <c r="W124" i="5"/>
  <c r="N125" i="5"/>
  <c r="O125" i="5"/>
  <c r="P125" i="5"/>
  <c r="Q125" i="5"/>
  <c r="R125" i="5"/>
  <c r="S125" i="5"/>
  <c r="T125" i="5"/>
  <c r="U125" i="5"/>
  <c r="V125" i="5"/>
  <c r="W125" i="5"/>
  <c r="N126" i="5"/>
  <c r="O126" i="5"/>
  <c r="P126" i="5"/>
  <c r="Q126" i="5"/>
  <c r="R126" i="5"/>
  <c r="S126" i="5"/>
  <c r="T126" i="5"/>
  <c r="U126" i="5"/>
  <c r="V126" i="5"/>
  <c r="W126" i="5"/>
  <c r="N127" i="5"/>
  <c r="O127" i="5"/>
  <c r="P127" i="5"/>
  <c r="Q127" i="5"/>
  <c r="R127" i="5"/>
  <c r="S127" i="5"/>
  <c r="T127" i="5"/>
  <c r="U127" i="5"/>
  <c r="V127" i="5"/>
  <c r="W127" i="5"/>
  <c r="G138" i="5"/>
  <c r="H138" i="5"/>
  <c r="I138" i="5"/>
  <c r="L138" i="5"/>
  <c r="M138" i="5"/>
  <c r="Q138" i="5"/>
  <c r="R138" i="5"/>
  <c r="S138" i="5"/>
  <c r="V138" i="5"/>
  <c r="W138" i="5"/>
  <c r="AA138" i="5"/>
  <c r="AB138" i="5"/>
  <c r="AC138" i="5"/>
  <c r="AF138" i="5"/>
  <c r="AG138" i="5"/>
  <c r="G139" i="5"/>
  <c r="H139" i="5"/>
  <c r="I139" i="5"/>
  <c r="L139" i="5"/>
  <c r="M139" i="5"/>
  <c r="Q139" i="5"/>
  <c r="R139" i="5"/>
  <c r="S139" i="5"/>
  <c r="V139" i="5"/>
  <c r="W139" i="5"/>
  <c r="AA139" i="5"/>
  <c r="AB139" i="5"/>
  <c r="AC139" i="5"/>
  <c r="AF139" i="5"/>
  <c r="AG139" i="5"/>
  <c r="G140" i="5"/>
  <c r="H140" i="5"/>
  <c r="I140" i="5"/>
  <c r="L140" i="5"/>
  <c r="M140" i="5"/>
  <c r="Q140" i="5"/>
  <c r="R140" i="5"/>
  <c r="S140" i="5"/>
  <c r="V140" i="5"/>
  <c r="W140" i="5"/>
  <c r="AA140" i="5"/>
  <c r="AB140" i="5"/>
  <c r="AC140" i="5"/>
  <c r="AF140" i="5"/>
  <c r="AG140" i="5"/>
  <c r="G141" i="5"/>
  <c r="H141" i="5"/>
  <c r="I141" i="5"/>
  <c r="L141" i="5"/>
  <c r="M141" i="5"/>
  <c r="Q141" i="5"/>
  <c r="R141" i="5"/>
  <c r="S141" i="5"/>
  <c r="V141" i="5"/>
  <c r="W141" i="5"/>
  <c r="AA141" i="5"/>
  <c r="AB141" i="5"/>
  <c r="AC141" i="5"/>
  <c r="AF141" i="5"/>
  <c r="AG141" i="5"/>
  <c r="G142" i="5"/>
  <c r="H142" i="5"/>
  <c r="I142" i="5"/>
  <c r="L142" i="5"/>
  <c r="M142" i="5"/>
  <c r="Q142" i="5"/>
  <c r="R142" i="5"/>
  <c r="S142" i="5"/>
  <c r="V142" i="5"/>
  <c r="W142" i="5"/>
  <c r="AA142" i="5"/>
  <c r="AB142" i="5"/>
  <c r="AC142" i="5"/>
  <c r="AF142" i="5"/>
  <c r="AG142" i="5"/>
  <c r="E144" i="5"/>
  <c r="F144" i="5"/>
  <c r="H144" i="5"/>
  <c r="I144" i="5"/>
  <c r="K144" i="5"/>
  <c r="M144" i="5"/>
  <c r="O144" i="5"/>
  <c r="P144" i="5"/>
  <c r="R144" i="5"/>
  <c r="S144" i="5"/>
  <c r="U144" i="5"/>
  <c r="W144" i="5"/>
  <c r="Y144" i="5"/>
  <c r="Z144" i="5"/>
  <c r="AB144" i="5"/>
  <c r="AC144" i="5"/>
  <c r="AE144" i="5"/>
  <c r="AG144" i="5"/>
  <c r="E145" i="5"/>
  <c r="F145" i="5"/>
  <c r="H145" i="5"/>
  <c r="I145" i="5"/>
  <c r="K145" i="5"/>
  <c r="M145" i="5"/>
  <c r="O145" i="5"/>
  <c r="P145" i="5"/>
  <c r="R145" i="5"/>
  <c r="S145" i="5"/>
  <c r="U145" i="5"/>
  <c r="W145" i="5"/>
  <c r="Y145" i="5"/>
  <c r="Z145" i="5"/>
  <c r="AB145" i="5"/>
  <c r="AC145" i="5"/>
  <c r="AE145" i="5"/>
  <c r="AG145" i="5"/>
  <c r="E146" i="5"/>
  <c r="F146" i="5"/>
  <c r="H146" i="5"/>
  <c r="I146" i="5"/>
  <c r="K146" i="5"/>
  <c r="M146" i="5"/>
  <c r="O146" i="5"/>
  <c r="P146" i="5"/>
  <c r="R146" i="5"/>
  <c r="S146" i="5"/>
  <c r="U146" i="5"/>
  <c r="W146" i="5"/>
  <c r="Y146" i="5"/>
  <c r="Z146" i="5"/>
  <c r="AB146" i="5"/>
  <c r="AC146" i="5"/>
  <c r="AE146" i="5"/>
  <c r="AG146" i="5"/>
  <c r="E147" i="5"/>
  <c r="F147" i="5"/>
  <c r="H147" i="5"/>
  <c r="I147" i="5"/>
  <c r="K147" i="5"/>
  <c r="M147" i="5"/>
  <c r="O147" i="5"/>
  <c r="P147" i="5"/>
  <c r="R147" i="5"/>
  <c r="S147" i="5"/>
  <c r="U147" i="5"/>
  <c r="W147" i="5"/>
  <c r="Y147" i="5"/>
  <c r="Z147" i="5"/>
  <c r="AB147" i="5"/>
  <c r="AC147" i="5"/>
  <c r="AE147" i="5"/>
  <c r="AG147" i="5"/>
  <c r="E148" i="5"/>
  <c r="F148" i="5"/>
  <c r="H148" i="5"/>
  <c r="I148" i="5"/>
  <c r="K148" i="5"/>
  <c r="M148" i="5"/>
  <c r="O148" i="5"/>
  <c r="P148" i="5"/>
  <c r="R148" i="5"/>
  <c r="S148" i="5"/>
  <c r="U148" i="5"/>
  <c r="W148" i="5"/>
  <c r="Y148" i="5"/>
  <c r="Z148" i="5"/>
  <c r="AB148" i="5"/>
  <c r="AC148" i="5"/>
  <c r="AE148" i="5"/>
  <c r="AG148" i="5"/>
  <c r="E149" i="5"/>
  <c r="F149" i="5"/>
  <c r="H149" i="5"/>
  <c r="I149" i="5"/>
  <c r="K149" i="5"/>
  <c r="M149" i="5"/>
  <c r="O149" i="5"/>
  <c r="P149" i="5"/>
  <c r="R149" i="5"/>
  <c r="S149" i="5"/>
  <c r="U149" i="5"/>
  <c r="W149" i="5"/>
  <c r="Y149" i="5"/>
  <c r="Z149" i="5"/>
  <c r="AB149" i="5"/>
  <c r="AC149" i="5"/>
  <c r="AE149" i="5"/>
  <c r="AG149" i="5"/>
  <c r="E151" i="5"/>
  <c r="F151" i="5"/>
  <c r="H151" i="5"/>
  <c r="I151" i="5"/>
  <c r="K151" i="5"/>
  <c r="M151" i="5"/>
  <c r="O151" i="5"/>
  <c r="P151" i="5"/>
  <c r="R151" i="5"/>
  <c r="S151" i="5"/>
  <c r="U151" i="5"/>
  <c r="W151" i="5"/>
  <c r="Y151" i="5"/>
  <c r="Z151" i="5"/>
  <c r="AB151" i="5"/>
  <c r="AC151" i="5"/>
  <c r="AE151" i="5"/>
  <c r="AG151" i="5"/>
  <c r="E152" i="5"/>
  <c r="F152" i="5"/>
  <c r="H152" i="5"/>
  <c r="I152" i="5"/>
  <c r="K152" i="5"/>
  <c r="M152" i="5"/>
  <c r="O152" i="5"/>
  <c r="P152" i="5"/>
  <c r="R152" i="5"/>
  <c r="S152" i="5"/>
  <c r="U152" i="5"/>
  <c r="W152" i="5"/>
  <c r="Y152" i="5"/>
  <c r="Z152" i="5"/>
  <c r="AB152" i="5"/>
  <c r="AC152" i="5"/>
  <c r="AE152" i="5"/>
  <c r="AG152" i="5"/>
  <c r="E153" i="5"/>
  <c r="F153" i="5"/>
  <c r="H153" i="5"/>
  <c r="I153" i="5"/>
  <c r="K153" i="5"/>
  <c r="M153" i="5"/>
  <c r="O153" i="5"/>
  <c r="P153" i="5"/>
  <c r="R153" i="5"/>
  <c r="S153" i="5"/>
  <c r="U153" i="5"/>
  <c r="W153" i="5"/>
  <c r="Y153" i="5"/>
  <c r="Z153" i="5"/>
  <c r="AB153" i="5"/>
  <c r="AC153" i="5"/>
  <c r="AE153" i="5"/>
  <c r="AG153" i="5"/>
  <c r="E154" i="5"/>
  <c r="F154" i="5"/>
  <c r="H154" i="5"/>
  <c r="I154" i="5"/>
  <c r="K154" i="5"/>
  <c r="M154" i="5"/>
  <c r="O154" i="5"/>
  <c r="P154" i="5"/>
  <c r="R154" i="5"/>
  <c r="S154" i="5"/>
  <c r="U154" i="5"/>
  <c r="W154" i="5"/>
  <c r="Y154" i="5"/>
  <c r="Z154" i="5"/>
  <c r="AB154" i="5"/>
  <c r="AC154" i="5"/>
  <c r="AE154" i="5"/>
  <c r="AG154" i="5"/>
  <c r="E155" i="5"/>
  <c r="F155" i="5"/>
  <c r="H155" i="5"/>
  <c r="I155" i="5"/>
  <c r="K155" i="5"/>
  <c r="M155" i="5"/>
  <c r="O155" i="5"/>
  <c r="P155" i="5"/>
  <c r="R155" i="5"/>
  <c r="S155" i="5"/>
  <c r="U155" i="5"/>
  <c r="W155" i="5"/>
  <c r="Y155" i="5"/>
  <c r="Z155" i="5"/>
  <c r="AB155" i="5"/>
  <c r="AC155" i="5"/>
  <c r="AE155" i="5"/>
  <c r="AG155" i="5"/>
  <c r="E156" i="5"/>
  <c r="F156" i="5"/>
  <c r="H156" i="5"/>
  <c r="I156" i="5"/>
  <c r="K156" i="5"/>
  <c r="M156" i="5"/>
  <c r="O156" i="5"/>
  <c r="P156" i="5"/>
  <c r="R156" i="5"/>
  <c r="S156" i="5"/>
  <c r="U156" i="5"/>
  <c r="W156" i="5"/>
  <c r="Y156" i="5"/>
  <c r="Z156" i="5"/>
  <c r="AB156" i="5"/>
  <c r="AC156" i="5"/>
  <c r="AE156" i="5"/>
  <c r="AG156" i="5"/>
  <c r="E157" i="5"/>
  <c r="F157" i="5"/>
  <c r="H157" i="5"/>
  <c r="I157" i="5"/>
  <c r="K157" i="5"/>
  <c r="M157" i="5"/>
  <c r="O157" i="5"/>
  <c r="P157" i="5"/>
  <c r="R157" i="5"/>
  <c r="S157" i="5"/>
  <c r="U157" i="5"/>
  <c r="W157" i="5"/>
  <c r="Y157" i="5"/>
  <c r="Z157" i="5"/>
  <c r="AB157" i="5"/>
  <c r="AC157" i="5"/>
  <c r="AE157" i="5"/>
  <c r="AG157" i="5"/>
  <c r="E158" i="5"/>
  <c r="F158" i="5"/>
  <c r="H158" i="5"/>
  <c r="I158" i="5"/>
  <c r="K158" i="5"/>
  <c r="M158" i="5"/>
  <c r="O158" i="5"/>
  <c r="P158" i="5"/>
  <c r="R158" i="5"/>
  <c r="S158" i="5"/>
  <c r="U158" i="5"/>
  <c r="W158" i="5"/>
  <c r="Y158" i="5"/>
  <c r="Z158" i="5"/>
  <c r="AB158" i="5"/>
  <c r="AC158" i="5"/>
  <c r="AE158" i="5"/>
  <c r="AG158" i="5"/>
  <c r="E159" i="5"/>
  <c r="F159" i="5"/>
  <c r="H159" i="5"/>
  <c r="I159" i="5"/>
  <c r="K159" i="5"/>
  <c r="M159" i="5"/>
  <c r="O159" i="5"/>
  <c r="P159" i="5"/>
  <c r="R159" i="5"/>
  <c r="S159" i="5"/>
  <c r="U159" i="5"/>
  <c r="W159" i="5"/>
  <c r="Y159" i="5"/>
  <c r="Z159" i="5"/>
  <c r="AB159" i="5"/>
  <c r="AC159" i="5"/>
  <c r="AE159" i="5"/>
  <c r="AG159" i="5"/>
  <c r="E160" i="5"/>
  <c r="F160" i="5"/>
  <c r="H160" i="5"/>
  <c r="I160" i="5"/>
  <c r="K160" i="5"/>
  <c r="M160" i="5"/>
  <c r="O160" i="5"/>
  <c r="P160" i="5"/>
  <c r="R160" i="5"/>
  <c r="S160" i="5"/>
  <c r="U160" i="5"/>
  <c r="W160" i="5"/>
  <c r="Y160" i="5"/>
  <c r="Z160" i="5"/>
  <c r="AB160" i="5"/>
  <c r="AC160" i="5"/>
  <c r="AE160" i="5"/>
  <c r="AG160" i="5"/>
  <c r="E161" i="5"/>
  <c r="F161" i="5"/>
  <c r="H161" i="5"/>
  <c r="I161" i="5"/>
  <c r="K161" i="5"/>
  <c r="M161" i="5"/>
  <c r="O161" i="5"/>
  <c r="P161" i="5"/>
  <c r="R161" i="5"/>
  <c r="S161" i="5"/>
  <c r="U161" i="5"/>
  <c r="W161" i="5"/>
  <c r="Y161" i="5"/>
  <c r="Z161" i="5"/>
  <c r="AB161" i="5"/>
  <c r="AC161" i="5"/>
  <c r="AE161" i="5"/>
  <c r="AG161" i="5"/>
  <c r="E162" i="5"/>
  <c r="F162" i="5"/>
  <c r="H162" i="5"/>
  <c r="I162" i="5"/>
  <c r="K162" i="5"/>
  <c r="M162" i="5"/>
  <c r="O162" i="5"/>
  <c r="P162" i="5"/>
  <c r="R162" i="5"/>
  <c r="S162" i="5"/>
  <c r="U162" i="5"/>
  <c r="W162" i="5"/>
  <c r="Y162" i="5"/>
  <c r="Z162" i="5"/>
  <c r="AB162" i="5"/>
  <c r="AC162" i="5"/>
  <c r="AE162" i="5"/>
  <c r="AG162" i="5"/>
  <c r="E163" i="5"/>
  <c r="F163" i="5"/>
  <c r="H163" i="5"/>
  <c r="I163" i="5"/>
  <c r="K163" i="5"/>
  <c r="M163" i="5"/>
  <c r="O163" i="5"/>
  <c r="P163" i="5"/>
  <c r="R163" i="5"/>
  <c r="S163" i="5"/>
  <c r="U163" i="5"/>
  <c r="W163" i="5"/>
  <c r="Y163" i="5"/>
  <c r="Z163" i="5"/>
  <c r="AB163" i="5"/>
  <c r="AC163" i="5"/>
  <c r="AE163" i="5"/>
  <c r="AG163" i="5"/>
  <c r="E164" i="5"/>
  <c r="F164" i="5"/>
  <c r="H164" i="5"/>
  <c r="I164" i="5"/>
  <c r="K164" i="5"/>
  <c r="M164" i="5"/>
  <c r="O164" i="5"/>
  <c r="P164" i="5"/>
  <c r="R164" i="5"/>
  <c r="S164" i="5"/>
  <c r="U164" i="5"/>
  <c r="W164" i="5"/>
  <c r="Y164" i="5"/>
  <c r="Z164" i="5"/>
  <c r="AB164" i="5"/>
  <c r="AC164" i="5"/>
  <c r="AE164" i="5"/>
  <c r="AG164" i="5"/>
  <c r="E165" i="5"/>
  <c r="F165" i="5"/>
  <c r="H165" i="5"/>
  <c r="I165" i="5"/>
  <c r="K165" i="5"/>
  <c r="M165" i="5"/>
  <c r="O165" i="5"/>
  <c r="P165" i="5"/>
  <c r="R165" i="5"/>
  <c r="S165" i="5"/>
  <c r="U165" i="5"/>
  <c r="W165" i="5"/>
  <c r="Y165" i="5"/>
  <c r="Z165" i="5"/>
  <c r="AB165" i="5"/>
  <c r="AC165" i="5"/>
  <c r="AE165" i="5"/>
  <c r="AG165" i="5"/>
  <c r="E166" i="5"/>
  <c r="F166" i="5"/>
  <c r="H166" i="5"/>
  <c r="I166" i="5"/>
  <c r="K166" i="5"/>
  <c r="M166" i="5"/>
  <c r="O166" i="5"/>
  <c r="P166" i="5"/>
  <c r="R166" i="5"/>
  <c r="S166" i="5"/>
  <c r="U166" i="5"/>
  <c r="W166" i="5"/>
  <c r="Y166" i="5"/>
  <c r="Z166" i="5"/>
  <c r="AB166" i="5"/>
  <c r="AC166" i="5"/>
  <c r="AE166" i="5"/>
  <c r="AG166" i="5"/>
  <c r="E167" i="5"/>
  <c r="F167" i="5"/>
  <c r="H167" i="5"/>
  <c r="I167" i="5"/>
  <c r="K167" i="5"/>
  <c r="M167" i="5"/>
  <c r="O167" i="5"/>
  <c r="P167" i="5"/>
  <c r="R167" i="5"/>
  <c r="S167" i="5"/>
  <c r="U167" i="5"/>
  <c r="W167" i="5"/>
  <c r="Y167" i="5"/>
  <c r="Z167" i="5"/>
  <c r="AB167" i="5"/>
  <c r="AC167" i="5"/>
  <c r="AE167" i="5"/>
  <c r="AG167" i="5"/>
  <c r="E168" i="5"/>
  <c r="F168" i="5"/>
  <c r="H168" i="5"/>
  <c r="I168" i="5"/>
  <c r="K168" i="5"/>
  <c r="M168" i="5"/>
  <c r="O168" i="5"/>
  <c r="P168" i="5"/>
  <c r="R168" i="5"/>
  <c r="S168" i="5"/>
  <c r="U168" i="5"/>
  <c r="W168" i="5"/>
  <c r="Y168" i="5"/>
  <c r="Z168" i="5"/>
  <c r="AB168" i="5"/>
  <c r="AC168" i="5"/>
  <c r="AE168" i="5"/>
  <c r="AG168" i="5"/>
  <c r="E169" i="5"/>
  <c r="F169" i="5"/>
  <c r="H169" i="5"/>
  <c r="I169" i="5"/>
  <c r="K169" i="5"/>
  <c r="M169" i="5"/>
  <c r="O169" i="5"/>
  <c r="P169" i="5"/>
  <c r="R169" i="5"/>
  <c r="S169" i="5"/>
  <c r="U169" i="5"/>
  <c r="W169" i="5"/>
  <c r="Y169" i="5"/>
  <c r="Z169" i="5"/>
  <c r="AB169" i="5"/>
  <c r="AC169" i="5"/>
  <c r="AE169" i="5"/>
  <c r="AG169" i="5"/>
  <c r="E170" i="5"/>
  <c r="F170" i="5"/>
  <c r="H170" i="5"/>
  <c r="I170" i="5"/>
  <c r="K170" i="5"/>
  <c r="M170" i="5"/>
  <c r="O170" i="5"/>
  <c r="P170" i="5"/>
  <c r="R170" i="5"/>
  <c r="S170" i="5"/>
  <c r="U170" i="5"/>
  <c r="W170" i="5"/>
  <c r="Y170" i="5"/>
  <c r="Z170" i="5"/>
  <c r="AB170" i="5"/>
  <c r="AC170" i="5"/>
  <c r="AE170" i="5"/>
  <c r="AG170" i="5"/>
  <c r="E171" i="5"/>
  <c r="F171" i="5"/>
  <c r="H171" i="5"/>
  <c r="I171" i="5"/>
  <c r="K171" i="5"/>
  <c r="M171" i="5"/>
  <c r="O171" i="5"/>
  <c r="P171" i="5"/>
  <c r="R171" i="5"/>
  <c r="S171" i="5"/>
  <c r="U171" i="5"/>
  <c r="W171" i="5"/>
  <c r="Y171" i="5"/>
  <c r="Z171" i="5"/>
  <c r="AB171" i="5"/>
  <c r="AC171" i="5"/>
  <c r="AE171" i="5"/>
  <c r="AG171" i="5"/>
  <c r="E173" i="5"/>
  <c r="F173" i="5"/>
  <c r="H173" i="5"/>
  <c r="I173" i="5"/>
  <c r="K173" i="5"/>
  <c r="M173" i="5"/>
  <c r="O173" i="5"/>
  <c r="P173" i="5"/>
  <c r="R173" i="5"/>
  <c r="S173" i="5"/>
  <c r="U173" i="5"/>
  <c r="W173" i="5"/>
  <c r="Y173" i="5"/>
  <c r="Z173" i="5"/>
  <c r="AB173" i="5"/>
  <c r="AC173" i="5"/>
  <c r="AE173" i="5"/>
  <c r="AG173" i="5"/>
  <c r="E174" i="5"/>
  <c r="F174" i="5"/>
  <c r="H174" i="5"/>
  <c r="I174" i="5"/>
  <c r="K174" i="5"/>
  <c r="M174" i="5"/>
  <c r="O174" i="5"/>
  <c r="P174" i="5"/>
  <c r="R174" i="5"/>
  <c r="S174" i="5"/>
  <c r="U174" i="5"/>
  <c r="W174" i="5"/>
  <c r="Y174" i="5"/>
  <c r="Z174" i="5"/>
  <c r="AB174" i="5"/>
  <c r="AC174" i="5"/>
  <c r="AE174" i="5"/>
  <c r="AG174" i="5"/>
  <c r="E175" i="5"/>
  <c r="F175" i="5"/>
  <c r="H175" i="5"/>
  <c r="I175" i="5"/>
  <c r="K175" i="5"/>
  <c r="M175" i="5"/>
  <c r="O175" i="5"/>
  <c r="P175" i="5"/>
  <c r="R175" i="5"/>
  <c r="S175" i="5"/>
  <c r="U175" i="5"/>
  <c r="W175" i="5"/>
  <c r="Y175" i="5"/>
  <c r="Z175" i="5"/>
  <c r="AB175" i="5"/>
  <c r="AC175" i="5"/>
  <c r="AE175" i="5"/>
  <c r="AG175" i="5"/>
  <c r="E176" i="5"/>
  <c r="F176" i="5"/>
  <c r="G176" i="5"/>
  <c r="H176" i="5"/>
  <c r="I176" i="5"/>
  <c r="K176" i="5"/>
  <c r="M176" i="5"/>
  <c r="N176" i="5"/>
  <c r="O176" i="5"/>
  <c r="P176" i="5"/>
  <c r="Q176" i="5"/>
  <c r="R176" i="5"/>
  <c r="S176" i="5"/>
  <c r="U176" i="5"/>
  <c r="W176" i="5"/>
  <c r="X176" i="5"/>
  <c r="Y176" i="5"/>
  <c r="Z176" i="5"/>
  <c r="AA176" i="5"/>
  <c r="AB176" i="5"/>
  <c r="AC176" i="5"/>
  <c r="AE176" i="5"/>
  <c r="AG176" i="5"/>
  <c r="E177" i="5"/>
  <c r="F177" i="5"/>
  <c r="G177" i="5"/>
  <c r="H177" i="5"/>
  <c r="I177" i="5"/>
  <c r="K177" i="5"/>
  <c r="M177" i="5"/>
  <c r="N177" i="5"/>
  <c r="O177" i="5"/>
  <c r="P177" i="5"/>
  <c r="Q177" i="5"/>
  <c r="R177" i="5"/>
  <c r="S177" i="5"/>
  <c r="U177" i="5"/>
  <c r="W177" i="5"/>
  <c r="X177" i="5"/>
  <c r="Y177" i="5"/>
  <c r="Z177" i="5"/>
  <c r="AA177" i="5"/>
  <c r="AB177" i="5"/>
  <c r="AC177" i="5"/>
  <c r="AE177" i="5"/>
  <c r="AG177" i="5"/>
  <c r="E178" i="5"/>
  <c r="F178" i="5"/>
  <c r="G178" i="5"/>
  <c r="H178" i="5"/>
  <c r="I178" i="5"/>
  <c r="K178" i="5"/>
  <c r="M178" i="5"/>
  <c r="N178" i="5"/>
  <c r="O178" i="5"/>
  <c r="P178" i="5"/>
  <c r="Q178" i="5"/>
  <c r="R178" i="5"/>
  <c r="S178" i="5"/>
  <c r="U178" i="5"/>
  <c r="W178" i="5"/>
  <c r="X178" i="5"/>
  <c r="Y178" i="5"/>
  <c r="Z178" i="5"/>
  <c r="AA178" i="5"/>
  <c r="AB178" i="5"/>
  <c r="AC178" i="5"/>
  <c r="AE178" i="5"/>
  <c r="AG178" i="5"/>
  <c r="E179" i="5"/>
  <c r="F179" i="5"/>
  <c r="G179" i="5"/>
  <c r="H179" i="5"/>
  <c r="I179" i="5"/>
  <c r="K179" i="5"/>
  <c r="M179" i="5"/>
  <c r="N179" i="5"/>
  <c r="O179" i="5"/>
  <c r="P179" i="5"/>
  <c r="Q179" i="5"/>
  <c r="R179" i="5"/>
  <c r="S179" i="5"/>
  <c r="U179" i="5"/>
  <c r="W179" i="5"/>
  <c r="X179" i="5"/>
  <c r="Y179" i="5"/>
  <c r="Z179" i="5"/>
  <c r="AA179" i="5"/>
  <c r="AB179" i="5"/>
  <c r="AC179" i="5"/>
  <c r="AE179" i="5"/>
  <c r="AG179" i="5"/>
  <c r="E180" i="5"/>
  <c r="F180" i="5"/>
  <c r="H180" i="5"/>
  <c r="I180" i="5"/>
  <c r="K180" i="5"/>
  <c r="M180" i="5"/>
  <c r="O180" i="5"/>
  <c r="P180" i="5"/>
  <c r="R180" i="5"/>
  <c r="S180" i="5"/>
  <c r="U180" i="5"/>
  <c r="W180" i="5"/>
  <c r="Y180" i="5"/>
  <c r="Z180" i="5"/>
  <c r="AB180" i="5"/>
  <c r="AC180" i="5"/>
  <c r="AE180" i="5"/>
  <c r="AG180" i="5"/>
  <c r="E181" i="5"/>
  <c r="F181" i="5"/>
  <c r="H181" i="5"/>
  <c r="I181" i="5"/>
  <c r="K181" i="5"/>
  <c r="M181" i="5"/>
  <c r="O181" i="5"/>
  <c r="P181" i="5"/>
  <c r="R181" i="5"/>
  <c r="S181" i="5"/>
  <c r="U181" i="5"/>
  <c r="W181" i="5"/>
  <c r="Y181" i="5"/>
  <c r="Z181" i="5"/>
  <c r="AB181" i="5"/>
  <c r="AC181" i="5"/>
  <c r="AE181" i="5"/>
  <c r="AG181" i="5"/>
  <c r="E182" i="5"/>
  <c r="F182" i="5"/>
  <c r="H182" i="5"/>
  <c r="I182" i="5"/>
  <c r="K182" i="5"/>
  <c r="M182" i="5"/>
  <c r="O182" i="5"/>
  <c r="P182" i="5"/>
  <c r="R182" i="5"/>
  <c r="S182" i="5"/>
  <c r="U182" i="5"/>
  <c r="W182" i="5"/>
  <c r="Y182" i="5"/>
  <c r="Z182" i="5"/>
  <c r="AB182" i="5"/>
  <c r="AC182" i="5"/>
  <c r="AE182" i="5"/>
  <c r="AG182" i="5"/>
  <c r="E183" i="5"/>
  <c r="F183" i="5"/>
  <c r="H183" i="5"/>
  <c r="I183" i="5"/>
  <c r="K183" i="5"/>
  <c r="M183" i="5"/>
  <c r="O183" i="5"/>
  <c r="P183" i="5"/>
  <c r="R183" i="5"/>
  <c r="S183" i="5"/>
  <c r="U183" i="5"/>
  <c r="W183" i="5"/>
  <c r="Y183" i="5"/>
  <c r="Z183" i="5"/>
  <c r="AB183" i="5"/>
  <c r="AC183" i="5"/>
  <c r="AE183" i="5"/>
  <c r="AG183" i="5"/>
  <c r="E184" i="5"/>
  <c r="F184" i="5"/>
  <c r="H184" i="5"/>
  <c r="I184" i="5"/>
  <c r="K184" i="5"/>
  <c r="M184" i="5"/>
  <c r="O184" i="5"/>
  <c r="P184" i="5"/>
  <c r="R184" i="5"/>
  <c r="S184" i="5"/>
  <c r="U184" i="5"/>
  <c r="W184" i="5"/>
  <c r="Y184" i="5"/>
  <c r="Z184" i="5"/>
  <c r="AB184" i="5"/>
  <c r="AC184" i="5"/>
  <c r="AE184" i="5"/>
  <c r="AG184" i="5"/>
  <c r="E185" i="5"/>
  <c r="F185" i="5"/>
  <c r="H185" i="5"/>
  <c r="I185" i="5"/>
  <c r="K185" i="5"/>
  <c r="M185" i="5"/>
  <c r="O185" i="5"/>
  <c r="P185" i="5"/>
  <c r="R185" i="5"/>
  <c r="S185" i="5"/>
  <c r="U185" i="5"/>
  <c r="W185" i="5"/>
  <c r="Y185" i="5"/>
  <c r="Z185" i="5"/>
  <c r="AB185" i="5"/>
  <c r="AC185" i="5"/>
  <c r="AE185" i="5"/>
  <c r="AG185" i="5"/>
  <c r="F187" i="5"/>
  <c r="G187" i="5"/>
  <c r="I187" i="5"/>
  <c r="J187" i="5"/>
  <c r="K187" i="5"/>
  <c r="L187" i="5"/>
  <c r="M187" i="5"/>
  <c r="N187" i="5"/>
  <c r="P187" i="5"/>
  <c r="Q187" i="5"/>
  <c r="S187" i="5"/>
  <c r="T187" i="5"/>
  <c r="U187" i="5"/>
  <c r="V187" i="5"/>
  <c r="W187" i="5"/>
  <c r="X187" i="5"/>
  <c r="Z187" i="5"/>
  <c r="AA187" i="5"/>
  <c r="AC187" i="5"/>
  <c r="AD187" i="5"/>
  <c r="AE187" i="5"/>
  <c r="AF187" i="5"/>
  <c r="AG187" i="5"/>
  <c r="F188" i="5"/>
  <c r="G188" i="5"/>
  <c r="I188" i="5"/>
  <c r="J188" i="5"/>
  <c r="K188" i="5"/>
  <c r="L188" i="5"/>
  <c r="M188" i="5"/>
  <c r="N188" i="5"/>
  <c r="P188" i="5"/>
  <c r="Q188" i="5"/>
  <c r="S188" i="5"/>
  <c r="T188" i="5"/>
  <c r="U188" i="5"/>
  <c r="V188" i="5"/>
  <c r="W188" i="5"/>
  <c r="X188" i="5"/>
  <c r="Z188" i="5"/>
  <c r="AA188" i="5"/>
  <c r="AC188" i="5"/>
  <c r="AD188" i="5"/>
  <c r="AE188" i="5"/>
  <c r="AF188" i="5"/>
  <c r="AG188" i="5"/>
  <c r="F189" i="5"/>
  <c r="G189" i="5"/>
  <c r="I189" i="5"/>
  <c r="J189" i="5"/>
  <c r="K189" i="5"/>
  <c r="L189" i="5"/>
  <c r="M189" i="5"/>
  <c r="N189" i="5"/>
  <c r="P189" i="5"/>
  <c r="Q189" i="5"/>
  <c r="S189" i="5"/>
  <c r="T189" i="5"/>
  <c r="U189" i="5"/>
  <c r="V189" i="5"/>
  <c r="W189" i="5"/>
  <c r="X189" i="5"/>
  <c r="Z189" i="5"/>
  <c r="AA189" i="5"/>
  <c r="AC189" i="5"/>
  <c r="AD189" i="5"/>
  <c r="AE189" i="5"/>
  <c r="AF189" i="5"/>
  <c r="AG189" i="5"/>
  <c r="F190" i="5"/>
  <c r="G190" i="5"/>
  <c r="I190" i="5"/>
  <c r="J190" i="5"/>
  <c r="K190" i="5"/>
  <c r="L190" i="5"/>
  <c r="M190" i="5"/>
  <c r="N190" i="5"/>
  <c r="P190" i="5"/>
  <c r="Q190" i="5"/>
  <c r="S190" i="5"/>
  <c r="T190" i="5"/>
  <c r="U190" i="5"/>
  <c r="V190" i="5"/>
  <c r="W190" i="5"/>
  <c r="X190" i="5"/>
  <c r="Z190" i="5"/>
  <c r="AA190" i="5"/>
  <c r="AC190" i="5"/>
  <c r="AD190" i="5"/>
  <c r="AE190" i="5"/>
  <c r="AF190" i="5"/>
  <c r="AG190" i="5"/>
  <c r="F191" i="5"/>
  <c r="G191" i="5"/>
  <c r="I191" i="5"/>
  <c r="J191" i="5"/>
  <c r="K191" i="5"/>
  <c r="L191" i="5"/>
  <c r="M191" i="5"/>
  <c r="N191" i="5"/>
  <c r="P191" i="5"/>
  <c r="Q191" i="5"/>
  <c r="S191" i="5"/>
  <c r="T191" i="5"/>
  <c r="U191" i="5"/>
  <c r="V191" i="5"/>
  <c r="W191" i="5"/>
  <c r="X191" i="5"/>
  <c r="Z191" i="5"/>
  <c r="AA191" i="5"/>
  <c r="AC191" i="5"/>
  <c r="AD191" i="5"/>
  <c r="AE191" i="5"/>
  <c r="AF191" i="5"/>
  <c r="AG191" i="5"/>
  <c r="F192" i="5"/>
  <c r="G192" i="5"/>
  <c r="I192" i="5"/>
  <c r="J192" i="5"/>
  <c r="K192" i="5"/>
  <c r="L192" i="5"/>
  <c r="M192" i="5"/>
  <c r="N192" i="5"/>
  <c r="P192" i="5"/>
  <c r="Q192" i="5"/>
  <c r="S192" i="5"/>
  <c r="T192" i="5"/>
  <c r="U192" i="5"/>
  <c r="V192" i="5"/>
  <c r="W192" i="5"/>
  <c r="X192" i="5"/>
  <c r="Z192" i="5"/>
  <c r="AA192" i="5"/>
  <c r="AC192" i="5"/>
  <c r="AD192" i="5"/>
  <c r="AE192" i="5"/>
  <c r="AF192" i="5"/>
  <c r="AG192" i="5"/>
  <c r="F193" i="5"/>
  <c r="G193" i="5"/>
  <c r="I193" i="5"/>
  <c r="J193" i="5"/>
  <c r="K193" i="5"/>
  <c r="L193" i="5"/>
  <c r="M193" i="5"/>
  <c r="N193" i="5"/>
  <c r="P193" i="5"/>
  <c r="Q193" i="5"/>
  <c r="S193" i="5"/>
  <c r="T193" i="5"/>
  <c r="U193" i="5"/>
  <c r="V193" i="5"/>
  <c r="W193" i="5"/>
  <c r="X193" i="5"/>
  <c r="Z193" i="5"/>
  <c r="AA193" i="5"/>
  <c r="AC193" i="5"/>
  <c r="AD193" i="5"/>
  <c r="AE193" i="5"/>
  <c r="AF193" i="5"/>
  <c r="AG193" i="5"/>
  <c r="E195" i="5"/>
  <c r="G195" i="5"/>
  <c r="H195" i="5"/>
  <c r="J195" i="5"/>
  <c r="L195" i="5"/>
  <c r="N195" i="5"/>
  <c r="O195" i="5"/>
  <c r="Q195" i="5"/>
  <c r="R195" i="5"/>
  <c r="T195" i="5"/>
  <c r="V195" i="5"/>
  <c r="X195" i="5"/>
  <c r="Y195" i="5"/>
  <c r="AA195" i="5"/>
  <c r="AB195" i="5"/>
  <c r="AD195" i="5"/>
  <c r="AF195" i="5"/>
  <c r="E196" i="5"/>
  <c r="G196" i="5"/>
  <c r="H196" i="5"/>
  <c r="J196" i="5"/>
  <c r="L196" i="5"/>
  <c r="N196" i="5"/>
  <c r="O196" i="5"/>
  <c r="Q196" i="5"/>
  <c r="R196" i="5"/>
  <c r="T196" i="5"/>
  <c r="V196" i="5"/>
  <c r="X196" i="5"/>
  <c r="Y196" i="5"/>
  <c r="AA196" i="5"/>
  <c r="AB196" i="5"/>
  <c r="AD196" i="5"/>
  <c r="AF196" i="5"/>
  <c r="E197" i="5"/>
  <c r="G197" i="5"/>
  <c r="H197" i="5"/>
  <c r="J197" i="5"/>
  <c r="L197" i="5"/>
  <c r="N197" i="5"/>
  <c r="O197" i="5"/>
  <c r="Q197" i="5"/>
  <c r="R197" i="5"/>
  <c r="T197" i="5"/>
  <c r="V197" i="5"/>
  <c r="X197" i="5"/>
  <c r="Y197" i="5"/>
  <c r="AA197" i="5"/>
  <c r="AB197" i="5"/>
  <c r="AD197" i="5"/>
  <c r="AF197" i="5"/>
  <c r="E198" i="5"/>
  <c r="F198" i="5"/>
  <c r="G198" i="5"/>
  <c r="H198" i="5"/>
  <c r="I198" i="5"/>
  <c r="J198" i="5"/>
  <c r="L198" i="5"/>
  <c r="N198" i="5"/>
  <c r="O198" i="5"/>
  <c r="P198" i="5"/>
  <c r="Q198" i="5"/>
  <c r="R198" i="5"/>
  <c r="S198" i="5"/>
  <c r="T198" i="5"/>
  <c r="V198" i="5"/>
  <c r="X198" i="5"/>
  <c r="Y198" i="5"/>
  <c r="Z198" i="5"/>
  <c r="AA198" i="5"/>
  <c r="AB198" i="5"/>
  <c r="AC198" i="5"/>
  <c r="AD198" i="5"/>
  <c r="AF198" i="5"/>
  <c r="E199" i="5"/>
  <c r="G199" i="5"/>
  <c r="H199" i="5"/>
  <c r="J199" i="5"/>
  <c r="K199" i="5"/>
  <c r="L199" i="5"/>
  <c r="M199" i="5"/>
  <c r="N199" i="5"/>
  <c r="O199" i="5"/>
  <c r="Q199" i="5"/>
  <c r="R199" i="5"/>
  <c r="T199" i="5"/>
  <c r="U199" i="5"/>
  <c r="V199" i="5"/>
  <c r="W199" i="5"/>
  <c r="X199" i="5"/>
  <c r="Y199" i="5"/>
  <c r="AA199" i="5"/>
  <c r="AB199" i="5"/>
  <c r="AD199" i="5"/>
  <c r="AE199" i="5"/>
  <c r="AF199" i="5"/>
  <c r="AG199" i="5"/>
  <c r="E200" i="5"/>
  <c r="G200" i="5"/>
  <c r="H200" i="5"/>
  <c r="J200" i="5"/>
  <c r="K200" i="5"/>
  <c r="L200" i="5"/>
  <c r="M200" i="5"/>
  <c r="N200" i="5"/>
  <c r="O200" i="5"/>
  <c r="Q200" i="5"/>
  <c r="R200" i="5"/>
  <c r="T200" i="5"/>
  <c r="U200" i="5"/>
  <c r="V200" i="5"/>
  <c r="W200" i="5"/>
  <c r="X200" i="5"/>
  <c r="Y200" i="5"/>
  <c r="AA200" i="5"/>
  <c r="AB200" i="5"/>
  <c r="AD200" i="5"/>
  <c r="AE200" i="5"/>
  <c r="AF200" i="5"/>
  <c r="AG200" i="5"/>
  <c r="E201" i="5"/>
  <c r="G201" i="5"/>
  <c r="H201" i="5"/>
  <c r="J201" i="5"/>
  <c r="K201" i="5"/>
  <c r="L201" i="5"/>
  <c r="M201" i="5"/>
  <c r="N201" i="5"/>
  <c r="O201" i="5"/>
  <c r="Q201" i="5"/>
  <c r="R201" i="5"/>
  <c r="T201" i="5"/>
  <c r="U201" i="5"/>
  <c r="V201" i="5"/>
  <c r="W201" i="5"/>
  <c r="X201" i="5"/>
  <c r="Y201" i="5"/>
  <c r="AA201" i="5"/>
  <c r="AB201" i="5"/>
  <c r="AD201" i="5"/>
  <c r="AE201" i="5"/>
  <c r="AF201" i="5"/>
  <c r="AG201" i="5"/>
  <c r="E202" i="5"/>
  <c r="G202" i="5"/>
  <c r="H202" i="5"/>
  <c r="J202" i="5"/>
  <c r="K202" i="5"/>
  <c r="L202" i="5"/>
  <c r="M202" i="5"/>
  <c r="N202" i="5"/>
  <c r="O202" i="5"/>
  <c r="Q202" i="5"/>
  <c r="R202" i="5"/>
  <c r="T202" i="5"/>
  <c r="U202" i="5"/>
  <c r="V202" i="5"/>
  <c r="W202" i="5"/>
  <c r="X202" i="5"/>
  <c r="Y202" i="5"/>
  <c r="AA202" i="5"/>
  <c r="AB202" i="5"/>
  <c r="AD202" i="5"/>
  <c r="AE202" i="5"/>
  <c r="AF202" i="5"/>
  <c r="AG202" i="5"/>
  <c r="E203" i="5"/>
  <c r="G203" i="5"/>
  <c r="H203" i="5"/>
  <c r="J203" i="5"/>
  <c r="K203" i="5"/>
  <c r="L203" i="5"/>
  <c r="M203" i="5"/>
  <c r="N203" i="5"/>
  <c r="O203" i="5"/>
  <c r="Q203" i="5"/>
  <c r="R203" i="5"/>
  <c r="T203" i="5"/>
  <c r="U203" i="5"/>
  <c r="V203" i="5"/>
  <c r="W203" i="5"/>
  <c r="X203" i="5"/>
  <c r="Y203" i="5"/>
  <c r="AA203" i="5"/>
  <c r="AB203" i="5"/>
  <c r="AD203" i="5"/>
  <c r="AE203" i="5"/>
  <c r="AF203" i="5"/>
  <c r="AG203" i="5"/>
  <c r="E204" i="5"/>
  <c r="G204" i="5"/>
  <c r="H204" i="5"/>
  <c r="J204" i="5"/>
  <c r="L204" i="5"/>
  <c r="N204" i="5"/>
  <c r="O204" i="5"/>
  <c r="Q204" i="5"/>
  <c r="R204" i="5"/>
  <c r="T204" i="5"/>
  <c r="V204" i="5"/>
  <c r="X204" i="5"/>
  <c r="Y204" i="5"/>
  <c r="AA204" i="5"/>
  <c r="AB204" i="5"/>
  <c r="AD204" i="5"/>
  <c r="AF204" i="5"/>
  <c r="E205" i="5"/>
  <c r="G205" i="5"/>
  <c r="H205" i="5"/>
  <c r="J205" i="5"/>
  <c r="L205" i="5"/>
  <c r="N205" i="5"/>
  <c r="O205" i="5"/>
  <c r="Q205" i="5"/>
  <c r="R205" i="5"/>
  <c r="T205" i="5"/>
  <c r="V205" i="5"/>
  <c r="X205" i="5"/>
  <c r="Y205" i="5"/>
  <c r="AA205" i="5"/>
  <c r="AB205" i="5"/>
  <c r="AD205" i="5"/>
  <c r="AF205" i="5"/>
  <c r="E212" i="5"/>
  <c r="F212" i="5"/>
  <c r="G212" i="5"/>
  <c r="H212" i="5"/>
  <c r="I212" i="5"/>
  <c r="J212" i="5"/>
  <c r="K212" i="5"/>
  <c r="L212" i="5"/>
  <c r="M212" i="5"/>
  <c r="E213" i="5"/>
  <c r="F213" i="5"/>
  <c r="G213" i="5"/>
  <c r="H213" i="5"/>
  <c r="I213" i="5"/>
  <c r="J213" i="5"/>
  <c r="K213" i="5"/>
  <c r="L213" i="5"/>
  <c r="M213" i="5"/>
  <c r="X213" i="5"/>
  <c r="Y213" i="5"/>
  <c r="Z213" i="5"/>
  <c r="AA213" i="5"/>
  <c r="AB213" i="5"/>
  <c r="AC213" i="5"/>
  <c r="AD213" i="5"/>
  <c r="AE213" i="5"/>
  <c r="AF213" i="5"/>
  <c r="AG213" i="5"/>
  <c r="E218" i="5"/>
  <c r="F218" i="5"/>
  <c r="G218" i="5"/>
  <c r="H218" i="5"/>
  <c r="I218" i="5"/>
  <c r="J218" i="5"/>
  <c r="K218" i="5"/>
  <c r="L218" i="5"/>
  <c r="M218" i="5"/>
  <c r="E219" i="5"/>
  <c r="F219" i="5"/>
  <c r="G219" i="5"/>
  <c r="H219" i="5"/>
  <c r="I219" i="5"/>
  <c r="J219" i="5"/>
  <c r="K219" i="5"/>
  <c r="L219" i="5"/>
  <c r="M219" i="5"/>
  <c r="X219" i="5"/>
  <c r="Y219" i="5"/>
  <c r="Z219" i="5"/>
  <c r="AA219" i="5"/>
  <c r="AB219" i="5"/>
  <c r="AC219" i="5"/>
  <c r="AD219" i="5"/>
  <c r="AE219" i="5"/>
  <c r="AF219" i="5"/>
  <c r="AG219" i="5"/>
  <c r="E220" i="5"/>
  <c r="F220" i="5"/>
  <c r="G220" i="5"/>
  <c r="H220" i="5"/>
  <c r="I220" i="5"/>
  <c r="J220" i="5"/>
  <c r="K220" i="5"/>
  <c r="L220" i="5"/>
  <c r="M220" i="5"/>
  <c r="N223" i="5"/>
  <c r="O223" i="5"/>
  <c r="P223" i="5"/>
  <c r="Q223" i="5"/>
  <c r="R223" i="5"/>
  <c r="S223" i="5"/>
  <c r="T223" i="5"/>
  <c r="U223" i="5"/>
  <c r="V223" i="5"/>
  <c r="W223" i="5"/>
  <c r="E224" i="5"/>
  <c r="F224" i="5"/>
  <c r="G224" i="5"/>
  <c r="H224" i="5"/>
  <c r="I224" i="5"/>
  <c r="J224" i="5"/>
  <c r="K224" i="5"/>
  <c r="L224" i="5"/>
  <c r="M224" i="5"/>
  <c r="E225" i="5"/>
  <c r="F225" i="5"/>
  <c r="G225" i="5"/>
  <c r="H225" i="5"/>
  <c r="I225" i="5"/>
  <c r="J225" i="5"/>
  <c r="K225" i="5"/>
  <c r="L225" i="5"/>
  <c r="M225" i="5"/>
  <c r="X225" i="5"/>
  <c r="Y225" i="5"/>
  <c r="Z225" i="5"/>
  <c r="AA225" i="5"/>
  <c r="AB225" i="5"/>
  <c r="AC225" i="5"/>
  <c r="AD225" i="5"/>
  <c r="AE225" i="5"/>
  <c r="AF225" i="5"/>
  <c r="AG225" i="5"/>
  <c r="X226" i="5"/>
  <c r="Y226" i="5"/>
  <c r="Z226" i="5"/>
  <c r="AA226" i="5"/>
  <c r="AB226" i="5"/>
  <c r="AC226" i="5"/>
  <c r="AD226" i="5"/>
  <c r="AE226" i="5"/>
  <c r="AF226" i="5"/>
  <c r="AG226" i="5"/>
  <c r="E228" i="5"/>
  <c r="F228" i="5"/>
  <c r="G228" i="5"/>
  <c r="H228" i="5"/>
  <c r="I228" i="5"/>
  <c r="J228" i="5"/>
  <c r="K228" i="5"/>
  <c r="L228" i="5"/>
  <c r="M228" i="5"/>
  <c r="X228" i="5"/>
  <c r="Y228" i="5"/>
  <c r="Z228" i="5"/>
  <c r="AA228" i="5"/>
  <c r="AB228" i="5"/>
  <c r="AC228" i="5"/>
  <c r="AD228" i="5"/>
  <c r="AE228" i="5"/>
  <c r="AF228" i="5"/>
  <c r="AG228" i="5"/>
  <c r="E230" i="5"/>
  <c r="F230" i="5"/>
  <c r="G230" i="5"/>
  <c r="H230" i="5"/>
  <c r="I230" i="5"/>
  <c r="J230" i="5"/>
  <c r="K230" i="5"/>
  <c r="L230" i="5"/>
  <c r="M230" i="5"/>
  <c r="X230" i="5"/>
  <c r="Y230" i="5"/>
  <c r="Z230" i="5"/>
  <c r="AA230" i="5"/>
  <c r="AB230" i="5"/>
  <c r="AC230" i="5"/>
  <c r="AD230" i="5"/>
  <c r="AE230" i="5"/>
  <c r="AF230" i="5"/>
  <c r="AG230" i="5"/>
  <c r="E231" i="5"/>
  <c r="F231" i="5"/>
  <c r="G231" i="5"/>
  <c r="H231" i="5"/>
  <c r="I231" i="5"/>
  <c r="J231" i="5"/>
  <c r="K231" i="5"/>
  <c r="L231" i="5"/>
  <c r="M231" i="5"/>
  <c r="X231" i="5"/>
  <c r="Y231" i="5"/>
  <c r="Z231" i="5"/>
  <c r="AA231" i="5"/>
  <c r="AB231" i="5"/>
  <c r="AC231" i="5"/>
  <c r="AD231" i="5"/>
  <c r="AE231" i="5"/>
  <c r="AF231" i="5"/>
  <c r="AG231" i="5"/>
  <c r="E232" i="5"/>
  <c r="F232" i="5"/>
  <c r="G232" i="5"/>
  <c r="H232" i="5"/>
  <c r="I232" i="5"/>
  <c r="J232" i="5"/>
  <c r="K232" i="5"/>
  <c r="L232" i="5"/>
  <c r="M232" i="5"/>
  <c r="X232" i="5"/>
  <c r="Y232" i="5"/>
  <c r="Z232" i="5"/>
  <c r="AA232" i="5"/>
  <c r="AB232" i="5"/>
  <c r="AC232" i="5"/>
  <c r="AD232" i="5"/>
  <c r="AE232" i="5"/>
  <c r="AF232" i="5"/>
  <c r="AG232" i="5"/>
  <c r="E233" i="5"/>
  <c r="F233" i="5"/>
  <c r="G233" i="5"/>
  <c r="H233" i="5"/>
  <c r="I233" i="5"/>
  <c r="J233" i="5"/>
  <c r="K233" i="5"/>
  <c r="L233" i="5"/>
  <c r="M233" i="5"/>
  <c r="X233" i="5"/>
  <c r="Y233" i="5"/>
  <c r="Z233" i="5"/>
  <c r="AA233" i="5"/>
  <c r="AB233" i="5"/>
  <c r="AC233" i="5"/>
  <c r="AD233" i="5"/>
  <c r="AE233" i="5"/>
  <c r="AF233" i="5"/>
  <c r="AG233" i="5"/>
  <c r="E234" i="5"/>
  <c r="F234" i="5"/>
  <c r="G234" i="5"/>
  <c r="H234" i="5"/>
  <c r="I234" i="5"/>
  <c r="J234" i="5"/>
  <c r="K234" i="5"/>
  <c r="L234" i="5"/>
  <c r="M234" i="5"/>
  <c r="X234" i="5"/>
  <c r="Y234" i="5"/>
  <c r="Z234" i="5"/>
  <c r="AA234" i="5"/>
  <c r="AB234" i="5"/>
  <c r="AC234" i="5"/>
  <c r="AD234" i="5"/>
  <c r="AE234" i="5"/>
  <c r="AF234" i="5"/>
  <c r="AG234" i="5"/>
  <c r="X235" i="5"/>
  <c r="Y235" i="5"/>
  <c r="Z235" i="5"/>
  <c r="AA235" i="5"/>
  <c r="AB235" i="5"/>
  <c r="AC235" i="5"/>
  <c r="AD235" i="5"/>
  <c r="AE235" i="5"/>
  <c r="AF235" i="5"/>
  <c r="AG235" i="5"/>
  <c r="N236" i="5"/>
  <c r="O236" i="5"/>
  <c r="P236" i="5"/>
  <c r="Q236" i="5"/>
  <c r="R236" i="5"/>
  <c r="S236" i="5"/>
  <c r="T236" i="5"/>
  <c r="U236" i="5"/>
  <c r="V236" i="5"/>
  <c r="W236" i="5"/>
  <c r="X238" i="5"/>
  <c r="Y238" i="5"/>
  <c r="Z238" i="5"/>
  <c r="AA238" i="5"/>
  <c r="AB238" i="5"/>
  <c r="AC238" i="5"/>
  <c r="AD238" i="5"/>
  <c r="AE238" i="5"/>
  <c r="AF238" i="5"/>
  <c r="AG238" i="5"/>
  <c r="E239" i="5"/>
  <c r="F239" i="5"/>
  <c r="G239" i="5"/>
  <c r="H239" i="5"/>
  <c r="I239" i="5"/>
  <c r="J239" i="5"/>
  <c r="K239" i="5"/>
  <c r="L239" i="5"/>
  <c r="M239" i="5"/>
  <c r="E240" i="5"/>
  <c r="F240" i="5"/>
  <c r="G240" i="5"/>
  <c r="H240" i="5"/>
  <c r="I240" i="5"/>
  <c r="J240" i="5"/>
  <c r="K240" i="5"/>
  <c r="L240" i="5"/>
  <c r="M240" i="5"/>
  <c r="X242" i="5"/>
  <c r="Y242" i="5"/>
  <c r="Z242" i="5"/>
  <c r="AA242" i="5"/>
  <c r="AB242" i="5"/>
  <c r="AC242" i="5"/>
  <c r="AD242" i="5"/>
  <c r="AE242" i="5"/>
  <c r="AF242" i="5"/>
  <c r="AG242" i="5"/>
  <c r="E247" i="5"/>
  <c r="F247" i="5"/>
  <c r="G247" i="5"/>
  <c r="H247" i="5"/>
  <c r="I247" i="5"/>
  <c r="J247" i="5"/>
  <c r="K247" i="5"/>
  <c r="L247" i="5"/>
  <c r="M247" i="5"/>
  <c r="E252" i="5"/>
  <c r="F252" i="5"/>
  <c r="G252" i="5"/>
  <c r="H252" i="5"/>
  <c r="I252" i="5"/>
  <c r="J252" i="5"/>
  <c r="K252" i="5"/>
  <c r="L252" i="5"/>
  <c r="M252" i="5"/>
  <c r="E256" i="5"/>
  <c r="F256" i="5"/>
  <c r="G256" i="5"/>
  <c r="H256" i="5"/>
  <c r="I256" i="5"/>
  <c r="J256" i="5"/>
  <c r="K256" i="5"/>
  <c r="L256" i="5"/>
  <c r="M256" i="5"/>
  <c r="E281" i="5"/>
  <c r="F281" i="5"/>
  <c r="G281" i="5"/>
  <c r="H281" i="5"/>
  <c r="I281" i="5"/>
  <c r="J281" i="5"/>
  <c r="K281" i="5"/>
  <c r="L281" i="5"/>
  <c r="M281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1" i="5"/>
  <c r="Y291" i="5"/>
  <c r="Z291" i="5"/>
  <c r="AA291" i="5"/>
  <c r="AB291" i="5"/>
  <c r="AC291" i="5"/>
  <c r="AD291" i="5"/>
  <c r="AE291" i="5"/>
  <c r="AF291" i="5"/>
  <c r="AG291" i="5"/>
  <c r="E295" i="5"/>
  <c r="F295" i="5"/>
  <c r="H295" i="5"/>
  <c r="I295" i="5"/>
  <c r="K295" i="5"/>
  <c r="M295" i="5"/>
  <c r="O295" i="5"/>
  <c r="P295" i="5"/>
  <c r="R295" i="5"/>
  <c r="S295" i="5"/>
  <c r="U295" i="5"/>
  <c r="W295" i="5"/>
  <c r="Y295" i="5"/>
  <c r="Z295" i="5"/>
  <c r="AB295" i="5"/>
  <c r="AC295" i="5"/>
  <c r="AE295" i="5"/>
  <c r="AG295" i="5"/>
  <c r="E298" i="5"/>
  <c r="F298" i="5"/>
  <c r="H298" i="5"/>
  <c r="I298" i="5"/>
  <c r="K298" i="5"/>
  <c r="M298" i="5"/>
  <c r="O298" i="5"/>
  <c r="P298" i="5"/>
  <c r="R298" i="5"/>
  <c r="S298" i="5"/>
  <c r="U298" i="5"/>
  <c r="W298" i="5"/>
  <c r="Y298" i="5"/>
  <c r="Z298" i="5"/>
  <c r="AB298" i="5"/>
  <c r="AC298" i="5"/>
  <c r="AE298" i="5"/>
  <c r="AG298" i="5"/>
  <c r="E301" i="5"/>
  <c r="F301" i="5"/>
  <c r="H301" i="5"/>
  <c r="I301" i="5"/>
  <c r="K301" i="5"/>
  <c r="M301" i="5"/>
  <c r="O301" i="5"/>
  <c r="P301" i="5"/>
  <c r="R301" i="5"/>
  <c r="S301" i="5"/>
  <c r="U301" i="5"/>
  <c r="W301" i="5"/>
  <c r="Y301" i="5"/>
  <c r="Z301" i="5"/>
  <c r="AB301" i="5"/>
  <c r="AC301" i="5"/>
  <c r="AE301" i="5"/>
  <c r="AG301" i="5"/>
  <c r="E302" i="5"/>
  <c r="F302" i="5"/>
  <c r="H302" i="5"/>
  <c r="I302" i="5"/>
  <c r="K302" i="5"/>
  <c r="M302" i="5"/>
  <c r="O302" i="5"/>
  <c r="P302" i="5"/>
  <c r="R302" i="5"/>
  <c r="S302" i="5"/>
  <c r="U302" i="5"/>
  <c r="W302" i="5"/>
  <c r="Y302" i="5"/>
  <c r="Z302" i="5"/>
  <c r="AB302" i="5"/>
  <c r="AC302" i="5"/>
  <c r="AE302" i="5"/>
  <c r="AG302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AA305" i="5"/>
  <c r="AB305" i="5"/>
  <c r="AD305" i="5"/>
  <c r="AF305" i="5"/>
  <c r="E306" i="5"/>
  <c r="G306" i="5"/>
  <c r="H306" i="5"/>
  <c r="J306" i="5"/>
  <c r="L306" i="5"/>
  <c r="N306" i="5"/>
  <c r="O306" i="5"/>
  <c r="Q306" i="5"/>
  <c r="R306" i="5"/>
  <c r="T306" i="5"/>
  <c r="V306" i="5"/>
  <c r="X306" i="5"/>
  <c r="Y306" i="5"/>
  <c r="Z306" i="5"/>
  <c r="AA306" i="5"/>
  <c r="AB306" i="5"/>
  <c r="AC306" i="5"/>
  <c r="AD306" i="5"/>
  <c r="AE306" i="5"/>
  <c r="AF306" i="5"/>
  <c r="AG306" i="5"/>
  <c r="E307" i="5"/>
  <c r="F307" i="5"/>
  <c r="H307" i="5"/>
  <c r="I307" i="5"/>
  <c r="K307" i="5"/>
  <c r="M307" i="5"/>
  <c r="O307" i="5"/>
  <c r="P307" i="5"/>
  <c r="R307" i="5"/>
  <c r="S307" i="5"/>
  <c r="U307" i="5"/>
  <c r="W307" i="5"/>
  <c r="Y307" i="5"/>
  <c r="Z307" i="5"/>
  <c r="AB307" i="5"/>
  <c r="AC307" i="5"/>
  <c r="AE307" i="5"/>
  <c r="AG307" i="5"/>
  <c r="E308" i="5"/>
  <c r="F308" i="5"/>
  <c r="H308" i="5"/>
  <c r="I308" i="5"/>
  <c r="K308" i="5"/>
  <c r="M308" i="5"/>
  <c r="O308" i="5"/>
  <c r="P308" i="5"/>
  <c r="R308" i="5"/>
  <c r="S308" i="5"/>
  <c r="U308" i="5"/>
  <c r="W308" i="5"/>
  <c r="Z308" i="5"/>
  <c r="AC308" i="5"/>
  <c r="AE308" i="5"/>
  <c r="AG308" i="5"/>
  <c r="E309" i="5"/>
  <c r="F309" i="5"/>
  <c r="H309" i="5"/>
  <c r="I309" i="5"/>
  <c r="K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B309" i="5"/>
  <c r="AC309" i="5"/>
  <c r="AE309" i="5"/>
  <c r="AG309" i="5"/>
  <c r="E310" i="5"/>
  <c r="H310" i="5"/>
  <c r="O310" i="5"/>
  <c r="R310" i="5"/>
  <c r="Y310" i="5"/>
  <c r="Z310" i="5"/>
  <c r="AB310" i="5"/>
  <c r="AC310" i="5"/>
  <c r="AE310" i="5"/>
  <c r="AG310" i="5"/>
  <c r="G311" i="5"/>
  <c r="J311" i="5"/>
  <c r="L311" i="5"/>
  <c r="N311" i="5"/>
  <c r="Q311" i="5"/>
  <c r="T311" i="5"/>
  <c r="V311" i="5"/>
  <c r="X311" i="5"/>
  <c r="AA311" i="5"/>
  <c r="AD311" i="5"/>
  <c r="AF311" i="5"/>
  <c r="G312" i="5"/>
  <c r="J312" i="5"/>
  <c r="L312" i="5"/>
  <c r="N312" i="5"/>
  <c r="Q312" i="5"/>
  <c r="T312" i="5"/>
  <c r="V312" i="5"/>
  <c r="X312" i="5"/>
  <c r="AA312" i="5"/>
  <c r="AD312" i="5"/>
  <c r="AF312" i="5"/>
  <c r="E313" i="5"/>
  <c r="F313" i="5"/>
  <c r="H313" i="5"/>
  <c r="I313" i="5"/>
  <c r="K313" i="5"/>
  <c r="M313" i="5"/>
  <c r="O313" i="5"/>
  <c r="P313" i="5"/>
  <c r="R313" i="5"/>
  <c r="S313" i="5"/>
  <c r="U313" i="5"/>
  <c r="W313" i="5"/>
  <c r="Y313" i="5"/>
  <c r="Z313" i="5"/>
  <c r="AB313" i="5"/>
  <c r="AC313" i="5"/>
  <c r="AE313" i="5"/>
  <c r="AG313" i="5"/>
  <c r="E314" i="5"/>
  <c r="F314" i="5"/>
  <c r="H314" i="5"/>
  <c r="I314" i="5"/>
  <c r="K314" i="5"/>
  <c r="M314" i="5"/>
  <c r="O314" i="5"/>
  <c r="P314" i="5"/>
  <c r="R314" i="5"/>
  <c r="S314" i="5"/>
  <c r="U314" i="5"/>
  <c r="W314" i="5"/>
  <c r="Y314" i="5"/>
  <c r="Z314" i="5"/>
  <c r="AB314" i="5"/>
  <c r="AC314" i="5"/>
  <c r="AE314" i="5"/>
  <c r="AG314" i="5"/>
  <c r="E318" i="5"/>
  <c r="F318" i="5"/>
  <c r="H318" i="5"/>
  <c r="I318" i="5"/>
  <c r="K318" i="5"/>
  <c r="M318" i="5"/>
  <c r="O318" i="5"/>
  <c r="P318" i="5"/>
  <c r="R318" i="5"/>
  <c r="S318" i="5"/>
  <c r="U318" i="5"/>
  <c r="W318" i="5"/>
  <c r="Y318" i="5"/>
  <c r="Z318" i="5"/>
  <c r="AB318" i="5"/>
  <c r="AC318" i="5"/>
  <c r="AE318" i="5"/>
  <c r="AG318" i="5"/>
  <c r="E319" i="5"/>
  <c r="G319" i="5"/>
  <c r="H319" i="5"/>
  <c r="J319" i="5"/>
  <c r="L319" i="5"/>
  <c r="N319" i="5"/>
  <c r="O319" i="5"/>
  <c r="Q319" i="5"/>
  <c r="R319" i="5"/>
  <c r="T319" i="5"/>
  <c r="V319" i="5"/>
  <c r="X319" i="5"/>
  <c r="Y319" i="5"/>
  <c r="AA319" i="5"/>
  <c r="AB319" i="5"/>
  <c r="AD319" i="5"/>
  <c r="AF319" i="5"/>
  <c r="E320" i="5"/>
  <c r="H320" i="5"/>
  <c r="N320" i="5"/>
  <c r="O320" i="5"/>
  <c r="Q320" i="5"/>
  <c r="R320" i="5"/>
  <c r="T320" i="5"/>
  <c r="V320" i="5"/>
  <c r="Y320" i="5"/>
  <c r="AB320" i="5"/>
  <c r="F321" i="5"/>
  <c r="I321" i="5"/>
  <c r="K321" i="5"/>
  <c r="M321" i="5"/>
  <c r="P321" i="5"/>
  <c r="S321" i="5"/>
  <c r="U321" i="5"/>
  <c r="W321" i="5"/>
  <c r="X321" i="5"/>
  <c r="Z321" i="5"/>
  <c r="AA321" i="5"/>
  <c r="AC321" i="5"/>
  <c r="AD321" i="5"/>
  <c r="AE321" i="5"/>
  <c r="AF321" i="5"/>
  <c r="AG321" i="5"/>
  <c r="E322" i="5"/>
  <c r="F322" i="5"/>
  <c r="H322" i="5"/>
  <c r="I322" i="5"/>
  <c r="K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E323" i="5"/>
  <c r="G323" i="5"/>
  <c r="H323" i="5"/>
  <c r="J323" i="5"/>
  <c r="L323" i="5"/>
  <c r="N323" i="5"/>
  <c r="O323" i="5"/>
  <c r="Q323" i="5"/>
  <c r="R323" i="5"/>
  <c r="T323" i="5"/>
  <c r="V323" i="5"/>
  <c r="X323" i="5"/>
  <c r="Y323" i="5"/>
  <c r="AA323" i="5"/>
  <c r="AB323" i="5"/>
  <c r="AD323" i="5"/>
  <c r="AF323" i="5"/>
  <c r="E324" i="5"/>
  <c r="H324" i="5"/>
  <c r="N324" i="5"/>
  <c r="O324" i="5"/>
  <c r="Q324" i="5"/>
  <c r="R324" i="5"/>
  <c r="T324" i="5"/>
  <c r="V324" i="5"/>
  <c r="Y324" i="5"/>
  <c r="AB324" i="5"/>
  <c r="F325" i="5"/>
  <c r="I325" i="5"/>
  <c r="K325" i="5"/>
  <c r="M325" i="5"/>
  <c r="P325" i="5"/>
  <c r="S325" i="5"/>
  <c r="U325" i="5"/>
  <c r="W325" i="5"/>
  <c r="X325" i="5"/>
  <c r="Z325" i="5"/>
  <c r="AA325" i="5"/>
  <c r="AC325" i="5"/>
  <c r="AD325" i="5"/>
  <c r="AE325" i="5"/>
  <c r="AF325" i="5"/>
  <c r="AG325" i="5"/>
  <c r="E326" i="5"/>
  <c r="F326" i="5"/>
  <c r="H326" i="5"/>
  <c r="I326" i="5"/>
  <c r="K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B327" i="5"/>
  <c r="AC327" i="5"/>
  <c r="AE327" i="5"/>
  <c r="AG327" i="5"/>
  <c r="E328" i="5"/>
  <c r="G328" i="5"/>
  <c r="H328" i="5"/>
  <c r="J328" i="5"/>
  <c r="L328" i="5"/>
  <c r="N328" i="5"/>
  <c r="O328" i="5"/>
  <c r="Q328" i="5"/>
  <c r="R328" i="5"/>
  <c r="T328" i="5"/>
  <c r="V328" i="5"/>
  <c r="X328" i="5"/>
  <c r="Y328" i="5"/>
  <c r="AA328" i="5"/>
  <c r="AB328" i="5"/>
  <c r="AD328" i="5"/>
  <c r="AF328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Z329" i="5"/>
  <c r="AA329" i="5"/>
  <c r="AC329" i="5"/>
  <c r="AD329" i="5"/>
  <c r="AE329" i="5"/>
  <c r="AF329" i="5"/>
  <c r="AG329" i="5"/>
  <c r="E330" i="5"/>
  <c r="F330" i="5"/>
  <c r="G330" i="5"/>
  <c r="H330" i="5"/>
  <c r="I330" i="5"/>
  <c r="J330" i="5"/>
  <c r="K330" i="5"/>
  <c r="L330" i="5"/>
  <c r="M330" i="5"/>
  <c r="N330" i="5"/>
  <c r="P330" i="5"/>
  <c r="Q330" i="5"/>
  <c r="S330" i="5"/>
  <c r="T330" i="5"/>
  <c r="U330" i="5"/>
  <c r="V330" i="5"/>
  <c r="W330" i="5"/>
  <c r="X330" i="5"/>
  <c r="Z330" i="5"/>
  <c r="AA330" i="5"/>
  <c r="AC330" i="5"/>
  <c r="AD330" i="5"/>
  <c r="AE330" i="5"/>
  <c r="AF330" i="5"/>
  <c r="AG330" i="5"/>
  <c r="F331" i="5"/>
  <c r="G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E332" i="5"/>
  <c r="F332" i="5"/>
  <c r="H332" i="5"/>
  <c r="I332" i="5"/>
  <c r="K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B332" i="5"/>
  <c r="AC332" i="5"/>
  <c r="AE332" i="5"/>
  <c r="AG332" i="5"/>
  <c r="F333" i="5"/>
  <c r="I333" i="5"/>
  <c r="K333" i="5"/>
  <c r="M333" i="5"/>
  <c r="P333" i="5"/>
  <c r="S333" i="5"/>
  <c r="U333" i="5"/>
  <c r="W333" i="5"/>
  <c r="X333" i="5"/>
  <c r="Z333" i="5"/>
  <c r="AA333" i="5"/>
  <c r="AC333" i="5"/>
  <c r="AD333" i="5"/>
  <c r="AE333" i="5"/>
  <c r="AF333" i="5"/>
  <c r="AG333" i="5"/>
  <c r="E334" i="5"/>
  <c r="F334" i="5"/>
  <c r="H334" i="5"/>
  <c r="I334" i="5"/>
  <c r="K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E335" i="5"/>
  <c r="F335" i="5"/>
  <c r="H335" i="5"/>
  <c r="I335" i="5"/>
  <c r="K335" i="5"/>
  <c r="M335" i="5"/>
  <c r="O335" i="5"/>
  <c r="P335" i="5"/>
  <c r="R335" i="5"/>
  <c r="S335" i="5"/>
  <c r="U335" i="5"/>
  <c r="W335" i="5"/>
  <c r="Y335" i="5"/>
  <c r="Z335" i="5"/>
  <c r="AB335" i="5"/>
  <c r="AC335" i="5"/>
  <c r="AE335" i="5"/>
  <c r="AG335" i="5"/>
  <c r="E336" i="5"/>
  <c r="G336" i="5"/>
  <c r="H336" i="5"/>
  <c r="J336" i="5"/>
  <c r="L336" i="5"/>
  <c r="N336" i="5"/>
  <c r="O336" i="5"/>
  <c r="Q336" i="5"/>
  <c r="R336" i="5"/>
  <c r="T336" i="5"/>
  <c r="V336" i="5"/>
  <c r="X336" i="5"/>
  <c r="Y336" i="5"/>
  <c r="AA336" i="5"/>
  <c r="AB336" i="5"/>
  <c r="AD336" i="5"/>
  <c r="AF336" i="5"/>
  <c r="E337" i="5"/>
  <c r="H337" i="5"/>
  <c r="N337" i="5"/>
  <c r="O337" i="5"/>
  <c r="Q337" i="5"/>
  <c r="R337" i="5"/>
  <c r="T337" i="5"/>
  <c r="V337" i="5"/>
  <c r="Y337" i="5"/>
  <c r="AB337" i="5"/>
  <c r="F338" i="5"/>
  <c r="I338" i="5"/>
  <c r="K338" i="5"/>
  <c r="M338" i="5"/>
  <c r="P338" i="5"/>
  <c r="S338" i="5"/>
  <c r="U338" i="5"/>
  <c r="W338" i="5"/>
  <c r="X338" i="5"/>
  <c r="Z338" i="5"/>
  <c r="AA338" i="5"/>
  <c r="AC338" i="5"/>
  <c r="AD338" i="5"/>
  <c r="AE338" i="5"/>
  <c r="AF338" i="5"/>
  <c r="AG338" i="5"/>
  <c r="E339" i="5"/>
  <c r="F339" i="5"/>
  <c r="H339" i="5"/>
  <c r="I339" i="5"/>
  <c r="K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Z341" i="5"/>
  <c r="AC341" i="5"/>
  <c r="AE341" i="5"/>
  <c r="AG341" i="5"/>
  <c r="E343" i="5"/>
  <c r="F343" i="5"/>
  <c r="H343" i="5"/>
  <c r="I343" i="5"/>
  <c r="K343" i="5"/>
  <c r="M343" i="5"/>
  <c r="O343" i="5"/>
  <c r="P343" i="5"/>
  <c r="R343" i="5"/>
  <c r="S343" i="5"/>
  <c r="U343" i="5"/>
  <c r="W343" i="5"/>
  <c r="Y343" i="5"/>
  <c r="Z343" i="5"/>
  <c r="AB343" i="5"/>
  <c r="AC343" i="5"/>
  <c r="AE343" i="5"/>
  <c r="AG343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B347" i="5"/>
  <c r="AC347" i="5"/>
  <c r="AE347" i="5"/>
  <c r="AG347" i="5"/>
  <c r="E348" i="5"/>
  <c r="F348" i="5"/>
  <c r="H348" i="5"/>
  <c r="I348" i="5"/>
  <c r="K348" i="5"/>
  <c r="M348" i="5"/>
  <c r="O348" i="5"/>
  <c r="P348" i="5"/>
  <c r="R348" i="5"/>
  <c r="S348" i="5"/>
  <c r="U348" i="5"/>
  <c r="W348" i="5"/>
  <c r="X348" i="5"/>
  <c r="Y348" i="5"/>
  <c r="Z348" i="5"/>
  <c r="AA348" i="5"/>
  <c r="AB348" i="5"/>
  <c r="AC348" i="5"/>
  <c r="AD348" i="5"/>
  <c r="AE348" i="5"/>
  <c r="AF348" i="5"/>
  <c r="AG348" i="5"/>
  <c r="E349" i="5"/>
  <c r="F349" i="5"/>
  <c r="H349" i="5"/>
  <c r="I349" i="5"/>
  <c r="K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F350" i="5"/>
  <c r="G350" i="5"/>
  <c r="I350" i="5"/>
  <c r="J350" i="5"/>
  <c r="K350" i="5"/>
  <c r="L350" i="5"/>
  <c r="M350" i="5"/>
  <c r="N350" i="5"/>
  <c r="P350" i="5"/>
  <c r="Q350" i="5"/>
  <c r="S350" i="5"/>
  <c r="T350" i="5"/>
  <c r="U350" i="5"/>
  <c r="V350" i="5"/>
  <c r="W350" i="5"/>
  <c r="X350" i="5"/>
  <c r="Z350" i="5"/>
  <c r="AA350" i="5"/>
  <c r="AC350" i="5"/>
  <c r="AD350" i="5"/>
  <c r="AE350" i="5"/>
  <c r="AF350" i="5"/>
  <c r="AG350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B352" i="5"/>
  <c r="AC352" i="5"/>
  <c r="AE352" i="5"/>
  <c r="AG352" i="5"/>
  <c r="F353" i="5"/>
  <c r="I353" i="5"/>
  <c r="K353" i="5"/>
  <c r="M353" i="5"/>
  <c r="P353" i="5"/>
  <c r="S353" i="5"/>
  <c r="U353" i="5"/>
  <c r="W353" i="5"/>
  <c r="X353" i="5"/>
  <c r="Z353" i="5"/>
  <c r="AA353" i="5"/>
  <c r="AC353" i="5"/>
  <c r="AD353" i="5"/>
  <c r="AE353" i="5"/>
  <c r="AF353" i="5"/>
  <c r="AG353" i="5"/>
  <c r="E354" i="5"/>
  <c r="F354" i="5"/>
  <c r="H354" i="5"/>
  <c r="I354" i="5"/>
  <c r="K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E564" i="5"/>
  <c r="F564" i="5"/>
  <c r="H564" i="5"/>
  <c r="I564" i="5"/>
  <c r="K564" i="5"/>
  <c r="M564" i="5"/>
  <c r="O564" i="5"/>
  <c r="P564" i="5"/>
  <c r="R564" i="5"/>
  <c r="S564" i="5"/>
  <c r="U564" i="5"/>
  <c r="W564" i="5"/>
  <c r="Y564" i="5"/>
  <c r="Z564" i="5"/>
  <c r="AB564" i="5"/>
  <c r="AC564" i="5"/>
  <c r="AE564" i="5"/>
  <c r="AG564" i="5"/>
  <c r="E565" i="5"/>
  <c r="F565" i="5"/>
  <c r="H565" i="5"/>
  <c r="I565" i="5"/>
  <c r="K565" i="5"/>
  <c r="M565" i="5"/>
  <c r="O565" i="5"/>
  <c r="P565" i="5"/>
  <c r="R565" i="5"/>
  <c r="S565" i="5"/>
  <c r="U565" i="5"/>
  <c r="W565" i="5"/>
  <c r="Y565" i="5"/>
  <c r="Z565" i="5"/>
  <c r="AB565" i="5"/>
  <c r="AC565" i="5"/>
  <c r="AE565" i="5"/>
  <c r="AG565" i="5"/>
  <c r="E566" i="5"/>
  <c r="F566" i="5"/>
  <c r="H566" i="5"/>
  <c r="I566" i="5"/>
  <c r="K566" i="5"/>
  <c r="M566" i="5"/>
  <c r="O566" i="5"/>
  <c r="P566" i="5"/>
  <c r="R566" i="5"/>
  <c r="S566" i="5"/>
  <c r="U566" i="5"/>
  <c r="W566" i="5"/>
  <c r="Y566" i="5"/>
  <c r="Z566" i="5"/>
  <c r="AB566" i="5"/>
  <c r="AC566" i="5"/>
  <c r="AE566" i="5"/>
  <c r="AG566" i="5"/>
  <c r="E567" i="5"/>
  <c r="F567" i="5"/>
  <c r="H567" i="5"/>
  <c r="I567" i="5"/>
  <c r="K567" i="5"/>
  <c r="M567" i="5"/>
  <c r="O567" i="5"/>
  <c r="P567" i="5"/>
  <c r="R567" i="5"/>
  <c r="S567" i="5"/>
  <c r="U567" i="5"/>
  <c r="W567" i="5"/>
  <c r="Y567" i="5"/>
  <c r="Z567" i="5"/>
  <c r="AB567" i="5"/>
  <c r="AC567" i="5"/>
  <c r="AE567" i="5"/>
  <c r="AG567" i="5"/>
  <c r="E568" i="5"/>
  <c r="G568" i="5"/>
  <c r="H568" i="5"/>
  <c r="J568" i="5"/>
  <c r="L568" i="5"/>
  <c r="N568" i="5"/>
  <c r="O568" i="5"/>
  <c r="Q568" i="5"/>
  <c r="R568" i="5"/>
  <c r="T568" i="5"/>
  <c r="V568" i="5"/>
  <c r="X568" i="5"/>
  <c r="Y568" i="5"/>
  <c r="AA568" i="5"/>
  <c r="AB568" i="5"/>
  <c r="AD568" i="5"/>
  <c r="AF568" i="5"/>
  <c r="E569" i="5"/>
  <c r="G569" i="5"/>
  <c r="H569" i="5"/>
  <c r="J569" i="5"/>
  <c r="L569" i="5"/>
  <c r="N569" i="5"/>
  <c r="O569" i="5"/>
  <c r="Q569" i="5"/>
  <c r="R569" i="5"/>
  <c r="T569" i="5"/>
  <c r="V569" i="5"/>
  <c r="X569" i="5"/>
  <c r="Y569" i="5"/>
  <c r="AA569" i="5"/>
  <c r="AB569" i="5"/>
  <c r="AD569" i="5"/>
  <c r="AF569" i="5"/>
  <c r="F575" i="5"/>
  <c r="I575" i="5"/>
  <c r="K575" i="5"/>
  <c r="M575" i="5"/>
  <c r="P575" i="5"/>
  <c r="S575" i="5"/>
  <c r="U575" i="5"/>
  <c r="W575" i="5"/>
  <c r="Z575" i="5"/>
  <c r="AC575" i="5"/>
  <c r="AE575" i="5"/>
  <c r="AG575" i="5"/>
  <c r="E576" i="5"/>
  <c r="G576" i="5"/>
  <c r="H576" i="5"/>
  <c r="J576" i="5"/>
  <c r="L576" i="5"/>
  <c r="N576" i="5"/>
  <c r="O576" i="5"/>
  <c r="Q576" i="5"/>
  <c r="R576" i="5"/>
  <c r="T576" i="5"/>
  <c r="V576" i="5"/>
  <c r="X576" i="5"/>
  <c r="Y576" i="5"/>
  <c r="AA576" i="5"/>
  <c r="AB576" i="5"/>
  <c r="AD576" i="5"/>
  <c r="AF576" i="5"/>
  <c r="E591" i="5"/>
  <c r="F591" i="5"/>
  <c r="H591" i="5"/>
  <c r="I591" i="5"/>
  <c r="K591" i="5"/>
  <c r="M591" i="5"/>
  <c r="O591" i="5"/>
  <c r="P591" i="5"/>
  <c r="R591" i="5"/>
  <c r="S591" i="5"/>
  <c r="U591" i="5"/>
  <c r="W591" i="5"/>
  <c r="Y591" i="5"/>
  <c r="Z591" i="5"/>
  <c r="AB591" i="5"/>
  <c r="AC591" i="5"/>
  <c r="AE591" i="5"/>
  <c r="AG591" i="5"/>
  <c r="E592" i="5"/>
  <c r="F592" i="5"/>
  <c r="H592" i="5"/>
  <c r="I592" i="5"/>
  <c r="K592" i="5"/>
  <c r="M592" i="5"/>
  <c r="O592" i="5"/>
  <c r="P592" i="5"/>
  <c r="R592" i="5"/>
  <c r="S592" i="5"/>
  <c r="U592" i="5"/>
  <c r="W592" i="5"/>
  <c r="Y592" i="5"/>
  <c r="Z592" i="5"/>
  <c r="AB592" i="5"/>
  <c r="AC592" i="5"/>
  <c r="AE592" i="5"/>
  <c r="AG592" i="5"/>
  <c r="E593" i="5"/>
  <c r="F593" i="5"/>
  <c r="H593" i="5"/>
  <c r="I593" i="5"/>
  <c r="K593" i="5"/>
  <c r="M593" i="5"/>
  <c r="O593" i="5"/>
  <c r="P593" i="5"/>
  <c r="R593" i="5"/>
  <c r="S593" i="5"/>
  <c r="U593" i="5"/>
  <c r="W593" i="5"/>
  <c r="Y593" i="5"/>
  <c r="Z593" i="5"/>
  <c r="AB593" i="5"/>
  <c r="AC593" i="5"/>
  <c r="AE593" i="5"/>
  <c r="AG593" i="5"/>
  <c r="E594" i="5"/>
  <c r="G594" i="5"/>
  <c r="H594" i="5"/>
  <c r="J594" i="5"/>
  <c r="L594" i="5"/>
  <c r="N594" i="5"/>
  <c r="O594" i="5"/>
  <c r="Q594" i="5"/>
  <c r="R594" i="5"/>
  <c r="T594" i="5"/>
  <c r="V594" i="5"/>
  <c r="X594" i="5"/>
  <c r="Y594" i="5"/>
  <c r="AA594" i="5"/>
  <c r="AB594" i="5"/>
  <c r="AD594" i="5"/>
  <c r="AF594" i="5"/>
  <c r="E595" i="5"/>
  <c r="G595" i="5"/>
  <c r="H595" i="5"/>
  <c r="J595" i="5"/>
  <c r="L595" i="5"/>
  <c r="N595" i="5"/>
  <c r="O595" i="5"/>
  <c r="Q595" i="5"/>
  <c r="R595" i="5"/>
  <c r="T595" i="5"/>
  <c r="V595" i="5"/>
  <c r="X595" i="5"/>
  <c r="Y595" i="5"/>
  <c r="AA595" i="5"/>
  <c r="AB595" i="5"/>
  <c r="AD595" i="5"/>
  <c r="AF595" i="5"/>
  <c r="D205" i="5"/>
  <c r="D594" i="5"/>
  <c r="D595" i="5"/>
  <c r="D576" i="5"/>
  <c r="D198" i="5"/>
  <c r="D568" i="5"/>
  <c r="D569" i="5"/>
  <c r="D352" i="5"/>
  <c r="D350" i="5"/>
  <c r="D347" i="5"/>
  <c r="D327" i="5"/>
  <c r="D328" i="5"/>
  <c r="D329" i="5"/>
  <c r="D330" i="5"/>
  <c r="D331" i="5"/>
  <c r="D336" i="5"/>
  <c r="D323" i="5"/>
  <c r="D319" i="5"/>
  <c r="D305" i="5"/>
  <c r="D306" i="5"/>
  <c r="D311" i="5"/>
  <c r="D312" i="5"/>
  <c r="D290" i="5"/>
  <c r="D286" i="5"/>
  <c r="D281" i="5"/>
  <c r="D256" i="5"/>
  <c r="D252" i="5"/>
  <c r="D224" i="5"/>
  <c r="D225" i="5"/>
  <c r="D228" i="5"/>
  <c r="D230" i="5"/>
  <c r="D231" i="5"/>
  <c r="D232" i="5"/>
  <c r="D233" i="5"/>
  <c r="D234" i="5"/>
  <c r="D239" i="5"/>
  <c r="D240" i="5"/>
  <c r="D247" i="5"/>
  <c r="D220" i="5"/>
  <c r="D212" i="5"/>
  <c r="D213" i="5"/>
  <c r="D218" i="5"/>
  <c r="D219" i="5"/>
  <c r="D196" i="5"/>
  <c r="D197" i="5"/>
  <c r="D199" i="5"/>
  <c r="D200" i="5"/>
  <c r="D201" i="5"/>
  <c r="D202" i="5"/>
  <c r="D203" i="5"/>
  <c r="D204" i="5"/>
  <c r="D195" i="5"/>
  <c r="D188" i="5"/>
  <c r="D189" i="5"/>
  <c r="D190" i="5"/>
  <c r="D191" i="5"/>
  <c r="D192" i="5"/>
  <c r="D193" i="5"/>
  <c r="D187" i="5"/>
  <c r="D176" i="5"/>
  <c r="D177" i="5"/>
  <c r="D178" i="5"/>
  <c r="D179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84" i="5"/>
  <c r="AG67" i="4" l="1"/>
  <c r="AG67" i="5" s="1"/>
  <c r="AF67" i="4"/>
  <c r="AF67" i="5" s="1"/>
  <c r="AE67" i="4"/>
  <c r="AE67" i="5" s="1"/>
  <c r="AD67" i="4"/>
  <c r="AD67" i="5" s="1"/>
  <c r="AC67" i="4"/>
  <c r="AC67" i="5" s="1"/>
  <c r="AB67" i="4"/>
  <c r="AB67" i="5" s="1"/>
  <c r="AA67" i="4"/>
  <c r="AA67" i="5" s="1"/>
  <c r="Z67" i="4"/>
  <c r="Z67" i="5" s="1"/>
  <c r="Y67" i="4"/>
  <c r="Y67" i="5" s="1"/>
  <c r="X67" i="4"/>
  <c r="X67" i="5" s="1"/>
  <c r="AG62" i="4"/>
  <c r="AG62" i="5" s="1"/>
  <c r="AF62" i="4"/>
  <c r="AF62" i="5" s="1"/>
  <c r="AE62" i="4"/>
  <c r="AE62" i="5" s="1"/>
  <c r="AD62" i="4"/>
  <c r="AD62" i="5" s="1"/>
  <c r="AC62" i="4"/>
  <c r="AC62" i="5" s="1"/>
  <c r="AB62" i="4"/>
  <c r="AB62" i="5" s="1"/>
  <c r="AA62" i="4"/>
  <c r="AA62" i="5" s="1"/>
  <c r="Z62" i="4"/>
  <c r="Z62" i="5" s="1"/>
  <c r="Y62" i="4"/>
  <c r="Y62" i="5" s="1"/>
  <c r="Y52" i="4"/>
  <c r="Y52" i="5" s="1"/>
  <c r="Z52" i="4"/>
  <c r="Z52" i="5" s="1"/>
  <c r="AA52" i="4"/>
  <c r="AA52" i="5" s="1"/>
  <c r="AB52" i="4"/>
  <c r="AB52" i="5" s="1"/>
  <c r="AC52" i="4"/>
  <c r="AC52" i="5" s="1"/>
  <c r="AD52" i="4"/>
  <c r="AD52" i="5" s="1"/>
  <c r="AE52" i="4"/>
  <c r="AE52" i="5" s="1"/>
  <c r="AF52" i="4"/>
  <c r="AF52" i="5" s="1"/>
  <c r="AG52" i="4"/>
  <c r="AG52" i="5" s="1"/>
  <c r="Y53" i="4"/>
  <c r="Y53" i="5" s="1"/>
  <c r="Z53" i="4"/>
  <c r="Z53" i="5" s="1"/>
  <c r="AA53" i="4"/>
  <c r="AA53" i="5" s="1"/>
  <c r="AB53" i="4"/>
  <c r="AB53" i="5" s="1"/>
  <c r="AC53" i="4"/>
  <c r="AC53" i="5" s="1"/>
  <c r="AD53" i="4"/>
  <c r="AD53" i="5" s="1"/>
  <c r="AE53" i="4"/>
  <c r="AE53" i="5" s="1"/>
  <c r="AF53" i="4"/>
  <c r="AF53" i="5" s="1"/>
  <c r="AG53" i="4"/>
  <c r="AG53" i="5" s="1"/>
  <c r="Y54" i="4"/>
  <c r="Y54" i="5" s="1"/>
  <c r="Z54" i="4"/>
  <c r="Z54" i="5" s="1"/>
  <c r="AA54" i="4"/>
  <c r="AA54" i="5" s="1"/>
  <c r="AB54" i="4"/>
  <c r="AB54" i="5" s="1"/>
  <c r="AC54" i="4"/>
  <c r="AC54" i="5" s="1"/>
  <c r="AD54" i="4"/>
  <c r="AD54" i="5" s="1"/>
  <c r="AE54" i="4"/>
  <c r="AE54" i="5" s="1"/>
  <c r="AF54" i="4"/>
  <c r="AF54" i="5" s="1"/>
  <c r="AG54" i="4"/>
  <c r="AG54" i="5" s="1"/>
  <c r="X54" i="4"/>
  <c r="X54" i="5" s="1"/>
  <c r="X53" i="4"/>
  <c r="X53" i="5" s="1"/>
  <c r="X52" i="4"/>
  <c r="X52" i="5" s="1"/>
  <c r="E52" i="4"/>
  <c r="E52" i="5" s="1"/>
  <c r="F52" i="4"/>
  <c r="F52" i="5" s="1"/>
  <c r="G52" i="4"/>
  <c r="G52" i="5" s="1"/>
  <c r="H52" i="4"/>
  <c r="H52" i="5" s="1"/>
  <c r="I52" i="4"/>
  <c r="I52" i="5" s="1"/>
  <c r="J52" i="4"/>
  <c r="J52" i="5" s="1"/>
  <c r="K52" i="4"/>
  <c r="K52" i="5" s="1"/>
  <c r="L52" i="4"/>
  <c r="L52" i="5" s="1"/>
  <c r="M52" i="4"/>
  <c r="M52" i="5" s="1"/>
  <c r="E53" i="4"/>
  <c r="E53" i="5" s="1"/>
  <c r="F53" i="4"/>
  <c r="F53" i="5" s="1"/>
  <c r="G53" i="4"/>
  <c r="G53" i="5" s="1"/>
  <c r="H53" i="4"/>
  <c r="H53" i="5" s="1"/>
  <c r="I53" i="4"/>
  <c r="I53" i="5" s="1"/>
  <c r="J53" i="4"/>
  <c r="J53" i="5" s="1"/>
  <c r="K53" i="4"/>
  <c r="K53" i="5" s="1"/>
  <c r="L53" i="4"/>
  <c r="L53" i="5" s="1"/>
  <c r="M53" i="4"/>
  <c r="M53" i="5" s="1"/>
  <c r="E54" i="4"/>
  <c r="E54" i="5" s="1"/>
  <c r="F54" i="4"/>
  <c r="F54" i="5" s="1"/>
  <c r="G54" i="4"/>
  <c r="G54" i="5" s="1"/>
  <c r="H54" i="4"/>
  <c r="H54" i="5" s="1"/>
  <c r="I54" i="4"/>
  <c r="I54" i="5" s="1"/>
  <c r="J54" i="4"/>
  <c r="J54" i="5" s="1"/>
  <c r="K54" i="4"/>
  <c r="K54" i="5" s="1"/>
  <c r="L54" i="4"/>
  <c r="L54" i="5" s="1"/>
  <c r="M54" i="4"/>
  <c r="M54" i="5" s="1"/>
  <c r="D54" i="4"/>
  <c r="D54" i="5" s="1"/>
  <c r="D53" i="4"/>
  <c r="D53" i="5" s="1"/>
  <c r="D52" i="4"/>
  <c r="D52" i="5" s="1"/>
  <c r="B5" i="11" l="1"/>
  <c r="H38" i="6" l="1"/>
  <c r="K38" i="6"/>
  <c r="M38" i="6"/>
  <c r="O38" i="6"/>
  <c r="R38" i="6"/>
  <c r="U38" i="6"/>
  <c r="AB38" i="6"/>
  <c r="AE38" i="6"/>
  <c r="H39" i="6"/>
  <c r="K39" i="6"/>
  <c r="M39" i="6"/>
  <c r="O39" i="6"/>
  <c r="R39" i="6"/>
  <c r="U39" i="6"/>
  <c r="AB39" i="6"/>
  <c r="AE39" i="6"/>
  <c r="H40" i="6"/>
  <c r="K40" i="6"/>
  <c r="M40" i="6"/>
  <c r="O40" i="6"/>
  <c r="R40" i="6"/>
  <c r="U40" i="6"/>
  <c r="AB40" i="6"/>
  <c r="AE40" i="6"/>
  <c r="Z75" i="6"/>
  <c r="AA75" i="6"/>
  <c r="AB75" i="6"/>
  <c r="AC75" i="6"/>
  <c r="AD75" i="6"/>
  <c r="AE75" i="6"/>
  <c r="AF75" i="6"/>
  <c r="AG75" i="6"/>
  <c r="AH75" i="6"/>
  <c r="AI75" i="6"/>
  <c r="Z76" i="6"/>
  <c r="AA76" i="6"/>
  <c r="AB76" i="6"/>
  <c r="AC76" i="6"/>
  <c r="AD76" i="6"/>
  <c r="AE76" i="6"/>
  <c r="AF76" i="6"/>
  <c r="AG76" i="6"/>
  <c r="AH76" i="6"/>
  <c r="AI76" i="6"/>
  <c r="Z77" i="6"/>
  <c r="AA77" i="6"/>
  <c r="AB77" i="6"/>
  <c r="AC77" i="6"/>
  <c r="AD77" i="6"/>
  <c r="AE77" i="6"/>
  <c r="AF77" i="6"/>
  <c r="AG77" i="6"/>
  <c r="AH77" i="6"/>
  <c r="AI77" i="6"/>
  <c r="Z78" i="6"/>
  <c r="AA78" i="6"/>
  <c r="AB78" i="6"/>
  <c r="AC78" i="6"/>
  <c r="AD78" i="6"/>
  <c r="AE78" i="6"/>
  <c r="AF78" i="6"/>
  <c r="AG78" i="6"/>
  <c r="AH78" i="6"/>
  <c r="AI78" i="6"/>
  <c r="Z79" i="6"/>
  <c r="AA79" i="6"/>
  <c r="AB79" i="6"/>
  <c r="AC79" i="6"/>
  <c r="AD79" i="6"/>
  <c r="AE79" i="6"/>
  <c r="AF79" i="6"/>
  <c r="AG79" i="6"/>
  <c r="AH79" i="6"/>
  <c r="AI79" i="6"/>
  <c r="Z80" i="6"/>
  <c r="AA80" i="6"/>
  <c r="AB80" i="6"/>
  <c r="AC80" i="6"/>
  <c r="AD80" i="6"/>
  <c r="AE80" i="6"/>
  <c r="AF80" i="6"/>
  <c r="AG80" i="6"/>
  <c r="AH80" i="6"/>
  <c r="AI80" i="6"/>
  <c r="Z81" i="6"/>
  <c r="AA81" i="6"/>
  <c r="AB81" i="6"/>
  <c r="AC81" i="6"/>
  <c r="AD81" i="6"/>
  <c r="AE81" i="6"/>
  <c r="AF81" i="6"/>
  <c r="AG81" i="6"/>
  <c r="AH81" i="6"/>
  <c r="AI81" i="6"/>
  <c r="Z82" i="6"/>
  <c r="AA82" i="6"/>
  <c r="AB82" i="6"/>
  <c r="AC82" i="6"/>
  <c r="AD82" i="6"/>
  <c r="AE82" i="6"/>
  <c r="AF82" i="6"/>
  <c r="AG82" i="6"/>
  <c r="AH82" i="6"/>
  <c r="AI82" i="6"/>
  <c r="F84" i="6"/>
  <c r="G84" i="6"/>
  <c r="H84" i="6"/>
  <c r="I84" i="6"/>
  <c r="J84" i="6"/>
  <c r="K84" i="6"/>
  <c r="L84" i="6"/>
  <c r="M84" i="6"/>
  <c r="N84" i="6"/>
  <c r="O84" i="6"/>
  <c r="Z84" i="6"/>
  <c r="AA84" i="6"/>
  <c r="AB84" i="6"/>
  <c r="AC84" i="6"/>
  <c r="AD84" i="6"/>
  <c r="AE84" i="6"/>
  <c r="AF84" i="6"/>
  <c r="AG84" i="6"/>
  <c r="AH84" i="6"/>
  <c r="AI84" i="6"/>
  <c r="F85" i="6"/>
  <c r="G85" i="6"/>
  <c r="H85" i="6"/>
  <c r="I85" i="6"/>
  <c r="J85" i="6"/>
  <c r="K85" i="6"/>
  <c r="L85" i="6"/>
  <c r="M85" i="6"/>
  <c r="N85" i="6"/>
  <c r="O85" i="6"/>
  <c r="Z85" i="6"/>
  <c r="AA85" i="6"/>
  <c r="AB85" i="6"/>
  <c r="AC85" i="6"/>
  <c r="AD85" i="6"/>
  <c r="AE85" i="6"/>
  <c r="AF85" i="6"/>
  <c r="AG85" i="6"/>
  <c r="AH85" i="6"/>
  <c r="AI85" i="6"/>
  <c r="F86" i="6"/>
  <c r="G86" i="6"/>
  <c r="H86" i="6"/>
  <c r="I86" i="6"/>
  <c r="J86" i="6"/>
  <c r="K86" i="6"/>
  <c r="L86" i="6"/>
  <c r="M86" i="6"/>
  <c r="N86" i="6"/>
  <c r="O86" i="6"/>
  <c r="Z86" i="6"/>
  <c r="AA86" i="6"/>
  <c r="AB86" i="6"/>
  <c r="AC86" i="6"/>
  <c r="AD86" i="6"/>
  <c r="AE86" i="6"/>
  <c r="AF86" i="6"/>
  <c r="AG86" i="6"/>
  <c r="AH86" i="6"/>
  <c r="AI86" i="6"/>
  <c r="F87" i="6"/>
  <c r="G87" i="6"/>
  <c r="H87" i="6"/>
  <c r="I87" i="6"/>
  <c r="J87" i="6"/>
  <c r="K87" i="6"/>
  <c r="L87" i="6"/>
  <c r="M87" i="6"/>
  <c r="N87" i="6"/>
  <c r="O87" i="6"/>
  <c r="Z87" i="6"/>
  <c r="AA87" i="6"/>
  <c r="AB87" i="6"/>
  <c r="AC87" i="6"/>
  <c r="AD87" i="6"/>
  <c r="AE87" i="6"/>
  <c r="AF87" i="6"/>
  <c r="AG87" i="6"/>
  <c r="AH87" i="6"/>
  <c r="AI87" i="6"/>
  <c r="F88" i="6"/>
  <c r="G88" i="6"/>
  <c r="H88" i="6"/>
  <c r="I88" i="6"/>
  <c r="J88" i="6"/>
  <c r="K88" i="6"/>
  <c r="L88" i="6"/>
  <c r="M88" i="6"/>
  <c r="N88" i="6"/>
  <c r="O88" i="6"/>
  <c r="Z88" i="6"/>
  <c r="AA88" i="6"/>
  <c r="AB88" i="6"/>
  <c r="AC88" i="6"/>
  <c r="AD88" i="6"/>
  <c r="AE88" i="6"/>
  <c r="AF88" i="6"/>
  <c r="AG88" i="6"/>
  <c r="AH88" i="6"/>
  <c r="AI88" i="6"/>
  <c r="F89" i="6"/>
  <c r="G89" i="6"/>
  <c r="H89" i="6"/>
  <c r="I89" i="6"/>
  <c r="J89" i="6"/>
  <c r="K89" i="6"/>
  <c r="L89" i="6"/>
  <c r="M89" i="6"/>
  <c r="N89" i="6"/>
  <c r="O89" i="6"/>
  <c r="Z89" i="6"/>
  <c r="AA89" i="6"/>
  <c r="AB89" i="6"/>
  <c r="AC89" i="6"/>
  <c r="AD89" i="6"/>
  <c r="AE89" i="6"/>
  <c r="AF89" i="6"/>
  <c r="AG89" i="6"/>
  <c r="AH89" i="6"/>
  <c r="AI89" i="6"/>
  <c r="F90" i="6"/>
  <c r="G90" i="6"/>
  <c r="H90" i="6"/>
  <c r="I90" i="6"/>
  <c r="J90" i="6"/>
  <c r="K90" i="6"/>
  <c r="L90" i="6"/>
  <c r="M90" i="6"/>
  <c r="N90" i="6"/>
  <c r="O90" i="6"/>
  <c r="Z90" i="6"/>
  <c r="AA90" i="6"/>
  <c r="AB90" i="6"/>
  <c r="AC90" i="6"/>
  <c r="AD90" i="6"/>
  <c r="AE90" i="6"/>
  <c r="AF90" i="6"/>
  <c r="AG90" i="6"/>
  <c r="AH90" i="6"/>
  <c r="AI90" i="6"/>
  <c r="F91" i="6"/>
  <c r="G91" i="6"/>
  <c r="H91" i="6"/>
  <c r="I91" i="6"/>
  <c r="J91" i="6"/>
  <c r="K91" i="6"/>
  <c r="L91" i="6"/>
  <c r="M91" i="6"/>
  <c r="N91" i="6"/>
  <c r="O91" i="6"/>
  <c r="Z91" i="6"/>
  <c r="AA91" i="6"/>
  <c r="AB91" i="6"/>
  <c r="AC91" i="6"/>
  <c r="AD91" i="6"/>
  <c r="AE91" i="6"/>
  <c r="AF91" i="6"/>
  <c r="AG91" i="6"/>
  <c r="AH91" i="6"/>
  <c r="AI91" i="6"/>
  <c r="F92" i="6"/>
  <c r="G92" i="6"/>
  <c r="H92" i="6"/>
  <c r="I92" i="6"/>
  <c r="J92" i="6"/>
  <c r="K92" i="6"/>
  <c r="L92" i="6"/>
  <c r="M92" i="6"/>
  <c r="N92" i="6"/>
  <c r="O92" i="6"/>
  <c r="Z92" i="6"/>
  <c r="AA92" i="6"/>
  <c r="AB92" i="6"/>
  <c r="AC92" i="6"/>
  <c r="AD92" i="6"/>
  <c r="AE92" i="6"/>
  <c r="AF92" i="6"/>
  <c r="AG92" i="6"/>
  <c r="AH92" i="6"/>
  <c r="AI92" i="6"/>
  <c r="F93" i="6"/>
  <c r="G93" i="6"/>
  <c r="H93" i="6"/>
  <c r="I93" i="6"/>
  <c r="J93" i="6"/>
  <c r="K93" i="6"/>
  <c r="L93" i="6"/>
  <c r="M93" i="6"/>
  <c r="N93" i="6"/>
  <c r="O93" i="6"/>
  <c r="Z93" i="6"/>
  <c r="AA93" i="6"/>
  <c r="AB93" i="6"/>
  <c r="AC93" i="6"/>
  <c r="AD93" i="6"/>
  <c r="AE93" i="6"/>
  <c r="AF93" i="6"/>
  <c r="AG93" i="6"/>
  <c r="AH93" i="6"/>
  <c r="AI93" i="6"/>
  <c r="F94" i="6"/>
  <c r="G94" i="6"/>
  <c r="H94" i="6"/>
  <c r="I94" i="6"/>
  <c r="J94" i="6"/>
  <c r="K94" i="6"/>
  <c r="L94" i="6"/>
  <c r="M94" i="6"/>
  <c r="N94" i="6"/>
  <c r="O94" i="6"/>
  <c r="Z94" i="6"/>
  <c r="AA94" i="6"/>
  <c r="AB94" i="6"/>
  <c r="AC94" i="6"/>
  <c r="AD94" i="6"/>
  <c r="AE94" i="6"/>
  <c r="AF94" i="6"/>
  <c r="AG94" i="6"/>
  <c r="AH94" i="6"/>
  <c r="AI94" i="6"/>
  <c r="F95" i="6"/>
  <c r="G95" i="6"/>
  <c r="H95" i="6"/>
  <c r="I95" i="6"/>
  <c r="J95" i="6"/>
  <c r="K95" i="6"/>
  <c r="L95" i="6"/>
  <c r="M95" i="6"/>
  <c r="N95" i="6"/>
  <c r="O95" i="6"/>
  <c r="Z95" i="6"/>
  <c r="AA95" i="6"/>
  <c r="AB95" i="6"/>
  <c r="AC95" i="6"/>
  <c r="AD95" i="6"/>
  <c r="AE95" i="6"/>
  <c r="AF95" i="6"/>
  <c r="AG95" i="6"/>
  <c r="AH95" i="6"/>
  <c r="AI95" i="6"/>
  <c r="F96" i="6"/>
  <c r="G96" i="6"/>
  <c r="H96" i="6"/>
  <c r="I96" i="6"/>
  <c r="J96" i="6"/>
  <c r="K96" i="6"/>
  <c r="L96" i="6"/>
  <c r="M96" i="6"/>
  <c r="N96" i="6"/>
  <c r="O96" i="6"/>
  <c r="Z96" i="6"/>
  <c r="AA96" i="6"/>
  <c r="AB96" i="6"/>
  <c r="AC96" i="6"/>
  <c r="AD96" i="6"/>
  <c r="AE96" i="6"/>
  <c r="AF96" i="6"/>
  <c r="AG96" i="6"/>
  <c r="AH96" i="6"/>
  <c r="AI96" i="6"/>
  <c r="F97" i="6"/>
  <c r="G97" i="6"/>
  <c r="H97" i="6"/>
  <c r="I97" i="6"/>
  <c r="J97" i="6"/>
  <c r="K97" i="6"/>
  <c r="L97" i="6"/>
  <c r="M97" i="6"/>
  <c r="N97" i="6"/>
  <c r="O97" i="6"/>
  <c r="Z97" i="6"/>
  <c r="AA97" i="6"/>
  <c r="AB97" i="6"/>
  <c r="AC97" i="6"/>
  <c r="AD97" i="6"/>
  <c r="AE97" i="6"/>
  <c r="AF97" i="6"/>
  <c r="AG97" i="6"/>
  <c r="AH97" i="6"/>
  <c r="AI97" i="6"/>
  <c r="F98" i="6"/>
  <c r="G98" i="6"/>
  <c r="H98" i="6"/>
  <c r="I98" i="6"/>
  <c r="J98" i="6"/>
  <c r="K98" i="6"/>
  <c r="L98" i="6"/>
  <c r="M98" i="6"/>
  <c r="N98" i="6"/>
  <c r="O98" i="6"/>
  <c r="Z98" i="6"/>
  <c r="AA98" i="6"/>
  <c r="AB98" i="6"/>
  <c r="AC98" i="6"/>
  <c r="AD98" i="6"/>
  <c r="AE98" i="6"/>
  <c r="AF98" i="6"/>
  <c r="AG98" i="6"/>
  <c r="AH98" i="6"/>
  <c r="AI98" i="6"/>
  <c r="F99" i="6"/>
  <c r="G99" i="6"/>
  <c r="H99" i="6"/>
  <c r="I99" i="6"/>
  <c r="J99" i="6"/>
  <c r="K99" i="6"/>
  <c r="L99" i="6"/>
  <c r="M99" i="6"/>
  <c r="N99" i="6"/>
  <c r="O99" i="6"/>
  <c r="Z99" i="6"/>
  <c r="AA99" i="6"/>
  <c r="AB99" i="6"/>
  <c r="AC99" i="6"/>
  <c r="AD99" i="6"/>
  <c r="AE99" i="6"/>
  <c r="AF99" i="6"/>
  <c r="AG99" i="6"/>
  <c r="AH99" i="6"/>
  <c r="AI99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AC101" i="6"/>
  <c r="AD101" i="6"/>
  <c r="AE101" i="6"/>
  <c r="AF101" i="6"/>
  <c r="AG101" i="6"/>
  <c r="AH101" i="6"/>
  <c r="AI101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AI102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AE103" i="6"/>
  <c r="AF103" i="6"/>
  <c r="AG103" i="6"/>
  <c r="AH103" i="6"/>
  <c r="AI103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AB104" i="6"/>
  <c r="AC104" i="6"/>
  <c r="AD104" i="6"/>
  <c r="AE104" i="6"/>
  <c r="AF104" i="6"/>
  <c r="AG104" i="6"/>
  <c r="AH104" i="6"/>
  <c r="AI104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AB105" i="6"/>
  <c r="AC105" i="6"/>
  <c r="AD105" i="6"/>
  <c r="AE105" i="6"/>
  <c r="AF105" i="6"/>
  <c r="AG105" i="6"/>
  <c r="AH105" i="6"/>
  <c r="AI105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AB106" i="6"/>
  <c r="AC106" i="6"/>
  <c r="AD106" i="6"/>
  <c r="AE106" i="6"/>
  <c r="AF106" i="6"/>
  <c r="AG106" i="6"/>
  <c r="AH106" i="6"/>
  <c r="AI106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AB107" i="6"/>
  <c r="AC107" i="6"/>
  <c r="AD107" i="6"/>
  <c r="AE107" i="6"/>
  <c r="AF107" i="6"/>
  <c r="AG107" i="6"/>
  <c r="AH107" i="6"/>
  <c r="AI107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AB108" i="6"/>
  <c r="AC108" i="6"/>
  <c r="AD108" i="6"/>
  <c r="AE108" i="6"/>
  <c r="AF108" i="6"/>
  <c r="AG108" i="6"/>
  <c r="AH108" i="6"/>
  <c r="AI108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AB109" i="6"/>
  <c r="AC109" i="6"/>
  <c r="AD109" i="6"/>
  <c r="AE109" i="6"/>
  <c r="AF109" i="6"/>
  <c r="AG109" i="6"/>
  <c r="AH109" i="6"/>
  <c r="AI109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AB110" i="6"/>
  <c r="AC110" i="6"/>
  <c r="AD110" i="6"/>
  <c r="AE110" i="6"/>
  <c r="AF110" i="6"/>
  <c r="AG110" i="6"/>
  <c r="AH110" i="6"/>
  <c r="AI110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AB111" i="6"/>
  <c r="AC111" i="6"/>
  <c r="AD111" i="6"/>
  <c r="AE111" i="6"/>
  <c r="AF111" i="6"/>
  <c r="AG111" i="6"/>
  <c r="AH111" i="6"/>
  <c r="AI111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AB112" i="6"/>
  <c r="AC112" i="6"/>
  <c r="AD112" i="6"/>
  <c r="AE112" i="6"/>
  <c r="AF112" i="6"/>
  <c r="AG112" i="6"/>
  <c r="AH112" i="6"/>
  <c r="AI112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AC113" i="6"/>
  <c r="AD113" i="6"/>
  <c r="AE113" i="6"/>
  <c r="AF113" i="6"/>
  <c r="AG113" i="6"/>
  <c r="AH113" i="6"/>
  <c r="AI113" i="6"/>
  <c r="P115" i="6"/>
  <c r="Q115" i="6"/>
  <c r="R115" i="6"/>
  <c r="S115" i="6"/>
  <c r="T115" i="6"/>
  <c r="U115" i="6"/>
  <c r="V115" i="6"/>
  <c r="W115" i="6"/>
  <c r="X115" i="6"/>
  <c r="Y115" i="6"/>
  <c r="P116" i="6"/>
  <c r="Q116" i="6"/>
  <c r="R116" i="6"/>
  <c r="S116" i="6"/>
  <c r="T116" i="6"/>
  <c r="U116" i="6"/>
  <c r="V116" i="6"/>
  <c r="W116" i="6"/>
  <c r="X116" i="6"/>
  <c r="Y116" i="6"/>
  <c r="P117" i="6"/>
  <c r="Q117" i="6"/>
  <c r="R117" i="6"/>
  <c r="S117" i="6"/>
  <c r="T117" i="6"/>
  <c r="U117" i="6"/>
  <c r="V117" i="6"/>
  <c r="W117" i="6"/>
  <c r="X117" i="6"/>
  <c r="Y117" i="6"/>
  <c r="P118" i="6"/>
  <c r="Q118" i="6"/>
  <c r="R118" i="6"/>
  <c r="S118" i="6"/>
  <c r="T118" i="6"/>
  <c r="U118" i="6"/>
  <c r="V118" i="6"/>
  <c r="W118" i="6"/>
  <c r="X118" i="6"/>
  <c r="Y118" i="6"/>
  <c r="P119" i="6"/>
  <c r="Q119" i="6"/>
  <c r="R119" i="6"/>
  <c r="S119" i="6"/>
  <c r="T119" i="6"/>
  <c r="U119" i="6"/>
  <c r="V119" i="6"/>
  <c r="W119" i="6"/>
  <c r="X119" i="6"/>
  <c r="Y119" i="6"/>
  <c r="P120" i="6"/>
  <c r="Q120" i="6"/>
  <c r="R120" i="6"/>
  <c r="S120" i="6"/>
  <c r="T120" i="6"/>
  <c r="U120" i="6"/>
  <c r="V120" i="6"/>
  <c r="W120" i="6"/>
  <c r="X120" i="6"/>
  <c r="Y120" i="6"/>
  <c r="P121" i="6"/>
  <c r="Q121" i="6"/>
  <c r="R121" i="6"/>
  <c r="S121" i="6"/>
  <c r="T121" i="6"/>
  <c r="U121" i="6"/>
  <c r="V121" i="6"/>
  <c r="W121" i="6"/>
  <c r="X121" i="6"/>
  <c r="Y121" i="6"/>
  <c r="P122" i="6"/>
  <c r="Q122" i="6"/>
  <c r="R122" i="6"/>
  <c r="S122" i="6"/>
  <c r="T122" i="6"/>
  <c r="U122" i="6"/>
  <c r="V122" i="6"/>
  <c r="W122" i="6"/>
  <c r="X122" i="6"/>
  <c r="Y122" i="6"/>
  <c r="P123" i="6"/>
  <c r="Q123" i="6"/>
  <c r="R123" i="6"/>
  <c r="S123" i="6"/>
  <c r="T123" i="6"/>
  <c r="U123" i="6"/>
  <c r="V123" i="6"/>
  <c r="W123" i="6"/>
  <c r="X123" i="6"/>
  <c r="Y123" i="6"/>
  <c r="P124" i="6"/>
  <c r="Q124" i="6"/>
  <c r="R124" i="6"/>
  <c r="S124" i="6"/>
  <c r="T124" i="6"/>
  <c r="U124" i="6"/>
  <c r="V124" i="6"/>
  <c r="W124" i="6"/>
  <c r="X124" i="6"/>
  <c r="Y124" i="6"/>
  <c r="P125" i="6"/>
  <c r="Q125" i="6"/>
  <c r="R125" i="6"/>
  <c r="S125" i="6"/>
  <c r="T125" i="6"/>
  <c r="U125" i="6"/>
  <c r="V125" i="6"/>
  <c r="W125" i="6"/>
  <c r="X125" i="6"/>
  <c r="Y125" i="6"/>
  <c r="P126" i="6"/>
  <c r="Q126" i="6"/>
  <c r="R126" i="6"/>
  <c r="S126" i="6"/>
  <c r="T126" i="6"/>
  <c r="U126" i="6"/>
  <c r="V126" i="6"/>
  <c r="W126" i="6"/>
  <c r="X126" i="6"/>
  <c r="Y126" i="6"/>
  <c r="P127" i="6"/>
  <c r="Q127" i="6"/>
  <c r="R127" i="6"/>
  <c r="S127" i="6"/>
  <c r="T127" i="6"/>
  <c r="U127" i="6"/>
  <c r="V127" i="6"/>
  <c r="W127" i="6"/>
  <c r="X127" i="6"/>
  <c r="Y127" i="6"/>
  <c r="I138" i="6"/>
  <c r="J138" i="6"/>
  <c r="K138" i="6"/>
  <c r="N138" i="6"/>
  <c r="O138" i="6"/>
  <c r="S138" i="6"/>
  <c r="T138" i="6"/>
  <c r="U138" i="6"/>
  <c r="X138" i="6"/>
  <c r="Y138" i="6"/>
  <c r="AC138" i="6"/>
  <c r="AD138" i="6"/>
  <c r="AE138" i="6"/>
  <c r="AH138" i="6"/>
  <c r="AI138" i="6"/>
  <c r="I139" i="6"/>
  <c r="J139" i="6"/>
  <c r="K139" i="6"/>
  <c r="N139" i="6"/>
  <c r="O139" i="6"/>
  <c r="S139" i="6"/>
  <c r="T139" i="6"/>
  <c r="U139" i="6"/>
  <c r="X139" i="6"/>
  <c r="Y139" i="6"/>
  <c r="AC139" i="6"/>
  <c r="AD139" i="6"/>
  <c r="AE139" i="6"/>
  <c r="AH139" i="6"/>
  <c r="AI139" i="6"/>
  <c r="I140" i="6"/>
  <c r="J140" i="6"/>
  <c r="K140" i="6"/>
  <c r="N140" i="6"/>
  <c r="O140" i="6"/>
  <c r="S140" i="6"/>
  <c r="T140" i="6"/>
  <c r="U140" i="6"/>
  <c r="X140" i="6"/>
  <c r="Y140" i="6"/>
  <c r="AC140" i="6"/>
  <c r="AD140" i="6"/>
  <c r="AE140" i="6"/>
  <c r="AH140" i="6"/>
  <c r="AI140" i="6"/>
  <c r="I141" i="6"/>
  <c r="J141" i="6"/>
  <c r="K141" i="6"/>
  <c r="N141" i="6"/>
  <c r="O141" i="6"/>
  <c r="S141" i="6"/>
  <c r="T141" i="6"/>
  <c r="U141" i="6"/>
  <c r="X141" i="6"/>
  <c r="Y141" i="6"/>
  <c r="AC141" i="6"/>
  <c r="AD141" i="6"/>
  <c r="AE141" i="6"/>
  <c r="AH141" i="6"/>
  <c r="AI141" i="6"/>
  <c r="I142" i="6"/>
  <c r="J142" i="6"/>
  <c r="K142" i="6"/>
  <c r="N142" i="6"/>
  <c r="O142" i="6"/>
  <c r="S142" i="6"/>
  <c r="T142" i="6"/>
  <c r="U142" i="6"/>
  <c r="X142" i="6"/>
  <c r="Y142" i="6"/>
  <c r="AC142" i="6"/>
  <c r="AD142" i="6"/>
  <c r="AE142" i="6"/>
  <c r="AH142" i="6"/>
  <c r="AI142" i="6"/>
  <c r="G144" i="6"/>
  <c r="H144" i="6"/>
  <c r="J144" i="6"/>
  <c r="K144" i="6"/>
  <c r="M144" i="6"/>
  <c r="O144" i="6"/>
  <c r="Q144" i="6"/>
  <c r="R144" i="6"/>
  <c r="T144" i="6"/>
  <c r="U144" i="6"/>
  <c r="W144" i="6"/>
  <c r="Y144" i="6"/>
  <c r="AA144" i="6"/>
  <c r="AB144" i="6"/>
  <c r="AD144" i="6"/>
  <c r="AE144" i="6"/>
  <c r="AG144" i="6"/>
  <c r="AI144" i="6"/>
  <c r="G145" i="6"/>
  <c r="H145" i="6"/>
  <c r="J145" i="6"/>
  <c r="K145" i="6"/>
  <c r="M145" i="6"/>
  <c r="O145" i="6"/>
  <c r="Q145" i="6"/>
  <c r="R145" i="6"/>
  <c r="T145" i="6"/>
  <c r="U145" i="6"/>
  <c r="W145" i="6"/>
  <c r="Y145" i="6"/>
  <c r="AA145" i="6"/>
  <c r="AB145" i="6"/>
  <c r="AD145" i="6"/>
  <c r="AE145" i="6"/>
  <c r="AG145" i="6"/>
  <c r="AI145" i="6"/>
  <c r="G146" i="6"/>
  <c r="H146" i="6"/>
  <c r="J146" i="6"/>
  <c r="K146" i="6"/>
  <c r="M146" i="6"/>
  <c r="O146" i="6"/>
  <c r="Q146" i="6"/>
  <c r="R146" i="6"/>
  <c r="T146" i="6"/>
  <c r="U146" i="6"/>
  <c r="W146" i="6"/>
  <c r="Y146" i="6"/>
  <c r="AA146" i="6"/>
  <c r="AB146" i="6"/>
  <c r="AD146" i="6"/>
  <c r="AE146" i="6"/>
  <c r="AG146" i="6"/>
  <c r="AI146" i="6"/>
  <c r="G147" i="6"/>
  <c r="H147" i="6"/>
  <c r="J147" i="6"/>
  <c r="K147" i="6"/>
  <c r="M147" i="6"/>
  <c r="O147" i="6"/>
  <c r="Q147" i="6"/>
  <c r="R147" i="6"/>
  <c r="T147" i="6"/>
  <c r="U147" i="6"/>
  <c r="W147" i="6"/>
  <c r="Y147" i="6"/>
  <c r="AA147" i="6"/>
  <c r="AB147" i="6"/>
  <c r="AD147" i="6"/>
  <c r="AE147" i="6"/>
  <c r="AG147" i="6"/>
  <c r="AI147" i="6"/>
  <c r="G148" i="6"/>
  <c r="H148" i="6"/>
  <c r="J148" i="6"/>
  <c r="K148" i="6"/>
  <c r="M148" i="6"/>
  <c r="O148" i="6"/>
  <c r="Q148" i="6"/>
  <c r="R148" i="6"/>
  <c r="T148" i="6"/>
  <c r="U148" i="6"/>
  <c r="W148" i="6"/>
  <c r="Y148" i="6"/>
  <c r="AA148" i="6"/>
  <c r="AB148" i="6"/>
  <c r="AD148" i="6"/>
  <c r="AE148" i="6"/>
  <c r="AG148" i="6"/>
  <c r="AI148" i="6"/>
  <c r="G149" i="6"/>
  <c r="H149" i="6"/>
  <c r="J149" i="6"/>
  <c r="K149" i="6"/>
  <c r="M149" i="6"/>
  <c r="O149" i="6"/>
  <c r="Q149" i="6"/>
  <c r="R149" i="6"/>
  <c r="T149" i="6"/>
  <c r="U149" i="6"/>
  <c r="W149" i="6"/>
  <c r="Y149" i="6"/>
  <c r="AA149" i="6"/>
  <c r="AB149" i="6"/>
  <c r="AD149" i="6"/>
  <c r="AE149" i="6"/>
  <c r="AG149" i="6"/>
  <c r="AI149" i="6"/>
  <c r="G151" i="6"/>
  <c r="H151" i="6"/>
  <c r="J151" i="6"/>
  <c r="K151" i="6"/>
  <c r="M151" i="6"/>
  <c r="O151" i="6"/>
  <c r="Q151" i="6"/>
  <c r="R151" i="6"/>
  <c r="T151" i="6"/>
  <c r="U151" i="6"/>
  <c r="W151" i="6"/>
  <c r="Y151" i="6"/>
  <c r="AA151" i="6"/>
  <c r="AB151" i="6"/>
  <c r="AD151" i="6"/>
  <c r="AE151" i="6"/>
  <c r="AG151" i="6"/>
  <c r="AI151" i="6"/>
  <c r="G152" i="6"/>
  <c r="H152" i="6"/>
  <c r="J152" i="6"/>
  <c r="K152" i="6"/>
  <c r="M152" i="6"/>
  <c r="O152" i="6"/>
  <c r="Q152" i="6"/>
  <c r="R152" i="6"/>
  <c r="T152" i="6"/>
  <c r="U152" i="6"/>
  <c r="W152" i="6"/>
  <c r="Y152" i="6"/>
  <c r="AA152" i="6"/>
  <c r="AB152" i="6"/>
  <c r="AD152" i="6"/>
  <c r="AE152" i="6"/>
  <c r="AG152" i="6"/>
  <c r="AI152" i="6"/>
  <c r="G153" i="6"/>
  <c r="H153" i="6"/>
  <c r="J153" i="6"/>
  <c r="K153" i="6"/>
  <c r="M153" i="6"/>
  <c r="O153" i="6"/>
  <c r="Q153" i="6"/>
  <c r="R153" i="6"/>
  <c r="T153" i="6"/>
  <c r="U153" i="6"/>
  <c r="W153" i="6"/>
  <c r="Y153" i="6"/>
  <c r="AA153" i="6"/>
  <c r="AB153" i="6"/>
  <c r="AD153" i="6"/>
  <c r="AE153" i="6"/>
  <c r="AG153" i="6"/>
  <c r="AI153" i="6"/>
  <c r="G154" i="6"/>
  <c r="H154" i="6"/>
  <c r="J154" i="6"/>
  <c r="K154" i="6"/>
  <c r="M154" i="6"/>
  <c r="O154" i="6"/>
  <c r="Q154" i="6"/>
  <c r="R154" i="6"/>
  <c r="T154" i="6"/>
  <c r="U154" i="6"/>
  <c r="W154" i="6"/>
  <c r="Y154" i="6"/>
  <c r="AA154" i="6"/>
  <c r="AB154" i="6"/>
  <c r="AD154" i="6"/>
  <c r="AE154" i="6"/>
  <c r="AG154" i="6"/>
  <c r="AI154" i="6"/>
  <c r="G155" i="6"/>
  <c r="H155" i="6"/>
  <c r="J155" i="6"/>
  <c r="K155" i="6"/>
  <c r="M155" i="6"/>
  <c r="O155" i="6"/>
  <c r="Q155" i="6"/>
  <c r="R155" i="6"/>
  <c r="T155" i="6"/>
  <c r="U155" i="6"/>
  <c r="W155" i="6"/>
  <c r="Y155" i="6"/>
  <c r="AA155" i="6"/>
  <c r="AB155" i="6"/>
  <c r="AD155" i="6"/>
  <c r="AE155" i="6"/>
  <c r="AG155" i="6"/>
  <c r="AI155" i="6"/>
  <c r="G156" i="6"/>
  <c r="H156" i="6"/>
  <c r="J156" i="6"/>
  <c r="K156" i="6"/>
  <c r="M156" i="6"/>
  <c r="O156" i="6"/>
  <c r="Q156" i="6"/>
  <c r="R156" i="6"/>
  <c r="T156" i="6"/>
  <c r="U156" i="6"/>
  <c r="W156" i="6"/>
  <c r="Y156" i="6"/>
  <c r="AA156" i="6"/>
  <c r="AB156" i="6"/>
  <c r="AD156" i="6"/>
  <c r="AE156" i="6"/>
  <c r="AG156" i="6"/>
  <c r="AI156" i="6"/>
  <c r="G157" i="6"/>
  <c r="H157" i="6"/>
  <c r="J157" i="6"/>
  <c r="K157" i="6"/>
  <c r="M157" i="6"/>
  <c r="O157" i="6"/>
  <c r="Q157" i="6"/>
  <c r="R157" i="6"/>
  <c r="T157" i="6"/>
  <c r="U157" i="6"/>
  <c r="W157" i="6"/>
  <c r="Y157" i="6"/>
  <c r="AA157" i="6"/>
  <c r="AB157" i="6"/>
  <c r="AD157" i="6"/>
  <c r="AE157" i="6"/>
  <c r="AG157" i="6"/>
  <c r="AI157" i="6"/>
  <c r="G158" i="6"/>
  <c r="H158" i="6"/>
  <c r="J158" i="6"/>
  <c r="K158" i="6"/>
  <c r="M158" i="6"/>
  <c r="O158" i="6"/>
  <c r="Q158" i="6"/>
  <c r="R158" i="6"/>
  <c r="T158" i="6"/>
  <c r="U158" i="6"/>
  <c r="W158" i="6"/>
  <c r="Y158" i="6"/>
  <c r="AA158" i="6"/>
  <c r="AB158" i="6"/>
  <c r="AD158" i="6"/>
  <c r="AE158" i="6"/>
  <c r="AG158" i="6"/>
  <c r="AI158" i="6"/>
  <c r="G159" i="6"/>
  <c r="H159" i="6"/>
  <c r="J159" i="6"/>
  <c r="K159" i="6"/>
  <c r="M159" i="6"/>
  <c r="O159" i="6"/>
  <c r="Q159" i="6"/>
  <c r="R159" i="6"/>
  <c r="T159" i="6"/>
  <c r="U159" i="6"/>
  <c r="W159" i="6"/>
  <c r="Y159" i="6"/>
  <c r="AA159" i="6"/>
  <c r="AB159" i="6"/>
  <c r="AD159" i="6"/>
  <c r="AE159" i="6"/>
  <c r="AG159" i="6"/>
  <c r="AI159" i="6"/>
  <c r="G160" i="6"/>
  <c r="H160" i="6"/>
  <c r="J160" i="6"/>
  <c r="K160" i="6"/>
  <c r="M160" i="6"/>
  <c r="O160" i="6"/>
  <c r="Q160" i="6"/>
  <c r="R160" i="6"/>
  <c r="T160" i="6"/>
  <c r="U160" i="6"/>
  <c r="W160" i="6"/>
  <c r="Y160" i="6"/>
  <c r="AA160" i="6"/>
  <c r="AB160" i="6"/>
  <c r="AD160" i="6"/>
  <c r="AE160" i="6"/>
  <c r="AG160" i="6"/>
  <c r="AI160" i="6"/>
  <c r="G161" i="6"/>
  <c r="H161" i="6"/>
  <c r="J161" i="6"/>
  <c r="K161" i="6"/>
  <c r="M161" i="6"/>
  <c r="O161" i="6"/>
  <c r="Q161" i="6"/>
  <c r="R161" i="6"/>
  <c r="T161" i="6"/>
  <c r="U161" i="6"/>
  <c r="W161" i="6"/>
  <c r="Y161" i="6"/>
  <c r="AA161" i="6"/>
  <c r="AB161" i="6"/>
  <c r="AD161" i="6"/>
  <c r="AE161" i="6"/>
  <c r="AG161" i="6"/>
  <c r="AI161" i="6"/>
  <c r="G162" i="6"/>
  <c r="H162" i="6"/>
  <c r="J162" i="6"/>
  <c r="K162" i="6"/>
  <c r="M162" i="6"/>
  <c r="O162" i="6"/>
  <c r="Q162" i="6"/>
  <c r="R162" i="6"/>
  <c r="T162" i="6"/>
  <c r="U162" i="6"/>
  <c r="W162" i="6"/>
  <c r="Y162" i="6"/>
  <c r="AA162" i="6"/>
  <c r="AB162" i="6"/>
  <c r="AD162" i="6"/>
  <c r="AE162" i="6"/>
  <c r="AG162" i="6"/>
  <c r="AI162" i="6"/>
  <c r="G163" i="6"/>
  <c r="H163" i="6"/>
  <c r="J163" i="6"/>
  <c r="K163" i="6"/>
  <c r="M163" i="6"/>
  <c r="O163" i="6"/>
  <c r="Q163" i="6"/>
  <c r="R163" i="6"/>
  <c r="T163" i="6"/>
  <c r="U163" i="6"/>
  <c r="W163" i="6"/>
  <c r="Y163" i="6"/>
  <c r="AA163" i="6"/>
  <c r="AB163" i="6"/>
  <c r="AD163" i="6"/>
  <c r="AE163" i="6"/>
  <c r="AG163" i="6"/>
  <c r="AI163" i="6"/>
  <c r="G164" i="6"/>
  <c r="H164" i="6"/>
  <c r="J164" i="6"/>
  <c r="K164" i="6"/>
  <c r="M164" i="6"/>
  <c r="O164" i="6"/>
  <c r="Q164" i="6"/>
  <c r="R164" i="6"/>
  <c r="T164" i="6"/>
  <c r="U164" i="6"/>
  <c r="W164" i="6"/>
  <c r="Y164" i="6"/>
  <c r="AA164" i="6"/>
  <c r="AB164" i="6"/>
  <c r="AD164" i="6"/>
  <c r="AE164" i="6"/>
  <c r="AG164" i="6"/>
  <c r="AI164" i="6"/>
  <c r="G165" i="6"/>
  <c r="H165" i="6"/>
  <c r="J165" i="6"/>
  <c r="K165" i="6"/>
  <c r="M165" i="6"/>
  <c r="O165" i="6"/>
  <c r="Q165" i="6"/>
  <c r="R165" i="6"/>
  <c r="T165" i="6"/>
  <c r="U165" i="6"/>
  <c r="W165" i="6"/>
  <c r="Y165" i="6"/>
  <c r="AA165" i="6"/>
  <c r="AB165" i="6"/>
  <c r="AD165" i="6"/>
  <c r="AE165" i="6"/>
  <c r="AG165" i="6"/>
  <c r="AI165" i="6"/>
  <c r="G166" i="6"/>
  <c r="H166" i="6"/>
  <c r="J166" i="6"/>
  <c r="K166" i="6"/>
  <c r="M166" i="6"/>
  <c r="O166" i="6"/>
  <c r="Q166" i="6"/>
  <c r="R166" i="6"/>
  <c r="T166" i="6"/>
  <c r="U166" i="6"/>
  <c r="W166" i="6"/>
  <c r="Y166" i="6"/>
  <c r="AA166" i="6"/>
  <c r="AB166" i="6"/>
  <c r="AD166" i="6"/>
  <c r="AE166" i="6"/>
  <c r="AG166" i="6"/>
  <c r="AI166" i="6"/>
  <c r="G167" i="6"/>
  <c r="H167" i="6"/>
  <c r="J167" i="6"/>
  <c r="K167" i="6"/>
  <c r="M167" i="6"/>
  <c r="O167" i="6"/>
  <c r="Q167" i="6"/>
  <c r="R167" i="6"/>
  <c r="T167" i="6"/>
  <c r="U167" i="6"/>
  <c r="W167" i="6"/>
  <c r="Y167" i="6"/>
  <c r="AA167" i="6"/>
  <c r="AB167" i="6"/>
  <c r="AD167" i="6"/>
  <c r="AE167" i="6"/>
  <c r="AG167" i="6"/>
  <c r="AI167" i="6"/>
  <c r="G168" i="6"/>
  <c r="H168" i="6"/>
  <c r="J168" i="6"/>
  <c r="K168" i="6"/>
  <c r="M168" i="6"/>
  <c r="O168" i="6"/>
  <c r="Q168" i="6"/>
  <c r="R168" i="6"/>
  <c r="T168" i="6"/>
  <c r="U168" i="6"/>
  <c r="W168" i="6"/>
  <c r="Y168" i="6"/>
  <c r="AA168" i="6"/>
  <c r="AB168" i="6"/>
  <c r="AD168" i="6"/>
  <c r="AE168" i="6"/>
  <c r="AG168" i="6"/>
  <c r="AI168" i="6"/>
  <c r="G169" i="6"/>
  <c r="H169" i="6"/>
  <c r="J169" i="6"/>
  <c r="K169" i="6"/>
  <c r="M169" i="6"/>
  <c r="O169" i="6"/>
  <c r="Q169" i="6"/>
  <c r="R169" i="6"/>
  <c r="T169" i="6"/>
  <c r="U169" i="6"/>
  <c r="W169" i="6"/>
  <c r="Y169" i="6"/>
  <c r="AA169" i="6"/>
  <c r="AB169" i="6"/>
  <c r="AD169" i="6"/>
  <c r="AE169" i="6"/>
  <c r="AG169" i="6"/>
  <c r="AI169" i="6"/>
  <c r="G170" i="6"/>
  <c r="H170" i="6"/>
  <c r="J170" i="6"/>
  <c r="K170" i="6"/>
  <c r="M170" i="6"/>
  <c r="O170" i="6"/>
  <c r="Q170" i="6"/>
  <c r="R170" i="6"/>
  <c r="T170" i="6"/>
  <c r="U170" i="6"/>
  <c r="W170" i="6"/>
  <c r="Y170" i="6"/>
  <c r="AA170" i="6"/>
  <c r="AB170" i="6"/>
  <c r="AD170" i="6"/>
  <c r="AE170" i="6"/>
  <c r="AG170" i="6"/>
  <c r="AI170" i="6"/>
  <c r="G171" i="6"/>
  <c r="H171" i="6"/>
  <c r="J171" i="6"/>
  <c r="K171" i="6"/>
  <c r="M171" i="6"/>
  <c r="O171" i="6"/>
  <c r="Q171" i="6"/>
  <c r="R171" i="6"/>
  <c r="T171" i="6"/>
  <c r="U171" i="6"/>
  <c r="W171" i="6"/>
  <c r="Y171" i="6"/>
  <c r="AA171" i="6"/>
  <c r="AB171" i="6"/>
  <c r="AD171" i="6"/>
  <c r="AE171" i="6"/>
  <c r="AG171" i="6"/>
  <c r="AI171" i="6"/>
  <c r="G173" i="6"/>
  <c r="H173" i="6"/>
  <c r="J173" i="6"/>
  <c r="K173" i="6"/>
  <c r="M173" i="6"/>
  <c r="O173" i="6"/>
  <c r="Q173" i="6"/>
  <c r="R173" i="6"/>
  <c r="T173" i="6"/>
  <c r="U173" i="6"/>
  <c r="W173" i="6"/>
  <c r="Y173" i="6"/>
  <c r="AA173" i="6"/>
  <c r="AB173" i="6"/>
  <c r="AD173" i="6"/>
  <c r="AE173" i="6"/>
  <c r="AG173" i="6"/>
  <c r="AI173" i="6"/>
  <c r="G174" i="6"/>
  <c r="H174" i="6"/>
  <c r="J174" i="6"/>
  <c r="K174" i="6"/>
  <c r="M174" i="6"/>
  <c r="O174" i="6"/>
  <c r="Q174" i="6"/>
  <c r="R174" i="6"/>
  <c r="T174" i="6"/>
  <c r="U174" i="6"/>
  <c r="W174" i="6"/>
  <c r="Y174" i="6"/>
  <c r="AA174" i="6"/>
  <c r="AB174" i="6"/>
  <c r="AD174" i="6"/>
  <c r="AE174" i="6"/>
  <c r="AG174" i="6"/>
  <c r="AI174" i="6"/>
  <c r="G175" i="6"/>
  <c r="H175" i="6"/>
  <c r="J175" i="6"/>
  <c r="K175" i="6"/>
  <c r="M175" i="6"/>
  <c r="O175" i="6"/>
  <c r="Q175" i="6"/>
  <c r="R175" i="6"/>
  <c r="T175" i="6"/>
  <c r="U175" i="6"/>
  <c r="W175" i="6"/>
  <c r="Y175" i="6"/>
  <c r="AA175" i="6"/>
  <c r="AB175" i="6"/>
  <c r="AD175" i="6"/>
  <c r="AE175" i="6"/>
  <c r="AG175" i="6"/>
  <c r="AI175" i="6"/>
  <c r="F176" i="6"/>
  <c r="G176" i="6"/>
  <c r="H176" i="6"/>
  <c r="I176" i="6"/>
  <c r="J176" i="6"/>
  <c r="K176" i="6"/>
  <c r="M176" i="6"/>
  <c r="O176" i="6"/>
  <c r="P176" i="6"/>
  <c r="Q176" i="6"/>
  <c r="R176" i="6"/>
  <c r="S176" i="6"/>
  <c r="T176" i="6"/>
  <c r="U176" i="6"/>
  <c r="W176" i="6"/>
  <c r="Y176" i="6"/>
  <c r="Z176" i="6"/>
  <c r="AA176" i="6"/>
  <c r="AB176" i="6"/>
  <c r="AC176" i="6"/>
  <c r="AD176" i="6"/>
  <c r="AE176" i="6"/>
  <c r="AG176" i="6"/>
  <c r="AI176" i="6"/>
  <c r="F177" i="6"/>
  <c r="G177" i="6"/>
  <c r="H177" i="6"/>
  <c r="I177" i="6"/>
  <c r="J177" i="6"/>
  <c r="K177" i="6"/>
  <c r="M177" i="6"/>
  <c r="O177" i="6"/>
  <c r="P177" i="6"/>
  <c r="Q177" i="6"/>
  <c r="R177" i="6"/>
  <c r="S177" i="6"/>
  <c r="T177" i="6"/>
  <c r="U177" i="6"/>
  <c r="W177" i="6"/>
  <c r="Y177" i="6"/>
  <c r="Z177" i="6"/>
  <c r="AA177" i="6"/>
  <c r="AB177" i="6"/>
  <c r="AC177" i="6"/>
  <c r="AD177" i="6"/>
  <c r="AE177" i="6"/>
  <c r="AG177" i="6"/>
  <c r="AI177" i="6"/>
  <c r="F178" i="6"/>
  <c r="G178" i="6"/>
  <c r="H178" i="6"/>
  <c r="I178" i="6"/>
  <c r="J178" i="6"/>
  <c r="K178" i="6"/>
  <c r="M178" i="6"/>
  <c r="O178" i="6"/>
  <c r="P178" i="6"/>
  <c r="Q178" i="6"/>
  <c r="R178" i="6"/>
  <c r="S178" i="6"/>
  <c r="T178" i="6"/>
  <c r="U178" i="6"/>
  <c r="W178" i="6"/>
  <c r="Y178" i="6"/>
  <c r="Z178" i="6"/>
  <c r="AA178" i="6"/>
  <c r="AB178" i="6"/>
  <c r="AC178" i="6"/>
  <c r="AD178" i="6"/>
  <c r="AE178" i="6"/>
  <c r="AG178" i="6"/>
  <c r="AI178" i="6"/>
  <c r="F179" i="6"/>
  <c r="G179" i="6"/>
  <c r="H179" i="6"/>
  <c r="I179" i="6"/>
  <c r="J179" i="6"/>
  <c r="K179" i="6"/>
  <c r="M179" i="6"/>
  <c r="O179" i="6"/>
  <c r="P179" i="6"/>
  <c r="Q179" i="6"/>
  <c r="R179" i="6"/>
  <c r="S179" i="6"/>
  <c r="T179" i="6"/>
  <c r="U179" i="6"/>
  <c r="W179" i="6"/>
  <c r="Y179" i="6"/>
  <c r="Z179" i="6"/>
  <c r="AA179" i="6"/>
  <c r="AB179" i="6"/>
  <c r="AC179" i="6"/>
  <c r="AD179" i="6"/>
  <c r="AE179" i="6"/>
  <c r="AG179" i="6"/>
  <c r="AI179" i="6"/>
  <c r="G180" i="6"/>
  <c r="H180" i="6"/>
  <c r="J180" i="6"/>
  <c r="K180" i="6"/>
  <c r="M180" i="6"/>
  <c r="O180" i="6"/>
  <c r="Q180" i="6"/>
  <c r="R180" i="6"/>
  <c r="T180" i="6"/>
  <c r="U180" i="6"/>
  <c r="W180" i="6"/>
  <c r="Y180" i="6"/>
  <c r="AA180" i="6"/>
  <c r="AB180" i="6"/>
  <c r="AD180" i="6"/>
  <c r="AE180" i="6"/>
  <c r="AG180" i="6"/>
  <c r="AI180" i="6"/>
  <c r="G181" i="6"/>
  <c r="H181" i="6"/>
  <c r="J181" i="6"/>
  <c r="K181" i="6"/>
  <c r="M181" i="6"/>
  <c r="O181" i="6"/>
  <c r="Q181" i="6"/>
  <c r="R181" i="6"/>
  <c r="T181" i="6"/>
  <c r="U181" i="6"/>
  <c r="W181" i="6"/>
  <c r="Y181" i="6"/>
  <c r="AA181" i="6"/>
  <c r="AB181" i="6"/>
  <c r="AD181" i="6"/>
  <c r="AE181" i="6"/>
  <c r="AG181" i="6"/>
  <c r="AI181" i="6"/>
  <c r="G182" i="6"/>
  <c r="H182" i="6"/>
  <c r="J182" i="6"/>
  <c r="K182" i="6"/>
  <c r="M182" i="6"/>
  <c r="O182" i="6"/>
  <c r="Q182" i="6"/>
  <c r="R182" i="6"/>
  <c r="T182" i="6"/>
  <c r="U182" i="6"/>
  <c r="W182" i="6"/>
  <c r="Y182" i="6"/>
  <c r="AA182" i="6"/>
  <c r="AB182" i="6"/>
  <c r="AD182" i="6"/>
  <c r="AE182" i="6"/>
  <c r="AG182" i="6"/>
  <c r="AI182" i="6"/>
  <c r="G183" i="6"/>
  <c r="H183" i="6"/>
  <c r="J183" i="6"/>
  <c r="K183" i="6"/>
  <c r="M183" i="6"/>
  <c r="O183" i="6"/>
  <c r="Q183" i="6"/>
  <c r="R183" i="6"/>
  <c r="T183" i="6"/>
  <c r="U183" i="6"/>
  <c r="W183" i="6"/>
  <c r="Y183" i="6"/>
  <c r="AA183" i="6"/>
  <c r="AB183" i="6"/>
  <c r="AD183" i="6"/>
  <c r="AE183" i="6"/>
  <c r="AG183" i="6"/>
  <c r="AI183" i="6"/>
  <c r="G184" i="6"/>
  <c r="H184" i="6"/>
  <c r="J184" i="6"/>
  <c r="K184" i="6"/>
  <c r="M184" i="6"/>
  <c r="O184" i="6"/>
  <c r="Q184" i="6"/>
  <c r="R184" i="6"/>
  <c r="T184" i="6"/>
  <c r="U184" i="6"/>
  <c r="W184" i="6"/>
  <c r="Y184" i="6"/>
  <c r="AA184" i="6"/>
  <c r="AB184" i="6"/>
  <c r="AD184" i="6"/>
  <c r="AE184" i="6"/>
  <c r="AG184" i="6"/>
  <c r="AI184" i="6"/>
  <c r="G185" i="6"/>
  <c r="H185" i="6"/>
  <c r="J185" i="6"/>
  <c r="K185" i="6"/>
  <c r="M185" i="6"/>
  <c r="O185" i="6"/>
  <c r="Q185" i="6"/>
  <c r="R185" i="6"/>
  <c r="T185" i="6"/>
  <c r="U185" i="6"/>
  <c r="W185" i="6"/>
  <c r="Y185" i="6"/>
  <c r="AA185" i="6"/>
  <c r="AB185" i="6"/>
  <c r="AD185" i="6"/>
  <c r="AE185" i="6"/>
  <c r="AG185" i="6"/>
  <c r="AI185" i="6"/>
  <c r="F187" i="6"/>
  <c r="H187" i="6"/>
  <c r="I187" i="6"/>
  <c r="K187" i="6"/>
  <c r="L187" i="6"/>
  <c r="M187" i="6"/>
  <c r="N187" i="6"/>
  <c r="O187" i="6"/>
  <c r="P187" i="6"/>
  <c r="R187" i="6"/>
  <c r="S187" i="6"/>
  <c r="U187" i="6"/>
  <c r="V187" i="6"/>
  <c r="W187" i="6"/>
  <c r="X187" i="6"/>
  <c r="Y187" i="6"/>
  <c r="Z187" i="6"/>
  <c r="AB187" i="6"/>
  <c r="AC187" i="6"/>
  <c r="AE187" i="6"/>
  <c r="AF187" i="6"/>
  <c r="AG187" i="6"/>
  <c r="AH187" i="6"/>
  <c r="AI187" i="6"/>
  <c r="F188" i="6"/>
  <c r="H188" i="6"/>
  <c r="I188" i="6"/>
  <c r="K188" i="6"/>
  <c r="L188" i="6"/>
  <c r="M188" i="6"/>
  <c r="N188" i="6"/>
  <c r="O188" i="6"/>
  <c r="P188" i="6"/>
  <c r="R188" i="6"/>
  <c r="S188" i="6"/>
  <c r="U188" i="6"/>
  <c r="V188" i="6"/>
  <c r="W188" i="6"/>
  <c r="X188" i="6"/>
  <c r="Y188" i="6"/>
  <c r="Z188" i="6"/>
  <c r="AB188" i="6"/>
  <c r="AC188" i="6"/>
  <c r="AE188" i="6"/>
  <c r="AF188" i="6"/>
  <c r="AG188" i="6"/>
  <c r="AH188" i="6"/>
  <c r="AI188" i="6"/>
  <c r="F189" i="6"/>
  <c r="H189" i="6"/>
  <c r="I189" i="6"/>
  <c r="K189" i="6"/>
  <c r="L189" i="6"/>
  <c r="M189" i="6"/>
  <c r="N189" i="6"/>
  <c r="O189" i="6"/>
  <c r="P189" i="6"/>
  <c r="R189" i="6"/>
  <c r="S189" i="6"/>
  <c r="U189" i="6"/>
  <c r="V189" i="6"/>
  <c r="W189" i="6"/>
  <c r="X189" i="6"/>
  <c r="Y189" i="6"/>
  <c r="Z189" i="6"/>
  <c r="AB189" i="6"/>
  <c r="AC189" i="6"/>
  <c r="AE189" i="6"/>
  <c r="AF189" i="6"/>
  <c r="AG189" i="6"/>
  <c r="AH189" i="6"/>
  <c r="AI189" i="6"/>
  <c r="F190" i="6"/>
  <c r="H190" i="6"/>
  <c r="I190" i="6"/>
  <c r="K190" i="6"/>
  <c r="L190" i="6"/>
  <c r="M190" i="6"/>
  <c r="N190" i="6"/>
  <c r="O190" i="6"/>
  <c r="P190" i="6"/>
  <c r="R190" i="6"/>
  <c r="S190" i="6"/>
  <c r="U190" i="6"/>
  <c r="V190" i="6"/>
  <c r="W190" i="6"/>
  <c r="X190" i="6"/>
  <c r="Y190" i="6"/>
  <c r="Z190" i="6"/>
  <c r="AB190" i="6"/>
  <c r="AC190" i="6"/>
  <c r="AE190" i="6"/>
  <c r="AF190" i="6"/>
  <c r="AG190" i="6"/>
  <c r="AH190" i="6"/>
  <c r="AI190" i="6"/>
  <c r="F191" i="6"/>
  <c r="H191" i="6"/>
  <c r="I191" i="6"/>
  <c r="K191" i="6"/>
  <c r="L191" i="6"/>
  <c r="M191" i="6"/>
  <c r="N191" i="6"/>
  <c r="O191" i="6"/>
  <c r="P191" i="6"/>
  <c r="R191" i="6"/>
  <c r="S191" i="6"/>
  <c r="U191" i="6"/>
  <c r="V191" i="6"/>
  <c r="W191" i="6"/>
  <c r="X191" i="6"/>
  <c r="Y191" i="6"/>
  <c r="Z191" i="6"/>
  <c r="AB191" i="6"/>
  <c r="AC191" i="6"/>
  <c r="AE191" i="6"/>
  <c r="AF191" i="6"/>
  <c r="AG191" i="6"/>
  <c r="AH191" i="6"/>
  <c r="AI191" i="6"/>
  <c r="F192" i="6"/>
  <c r="H192" i="6"/>
  <c r="I192" i="6"/>
  <c r="K192" i="6"/>
  <c r="L192" i="6"/>
  <c r="M192" i="6"/>
  <c r="N192" i="6"/>
  <c r="O192" i="6"/>
  <c r="P192" i="6"/>
  <c r="R192" i="6"/>
  <c r="S192" i="6"/>
  <c r="U192" i="6"/>
  <c r="V192" i="6"/>
  <c r="W192" i="6"/>
  <c r="X192" i="6"/>
  <c r="Y192" i="6"/>
  <c r="Z192" i="6"/>
  <c r="AB192" i="6"/>
  <c r="AC192" i="6"/>
  <c r="AE192" i="6"/>
  <c r="AF192" i="6"/>
  <c r="AG192" i="6"/>
  <c r="AH192" i="6"/>
  <c r="AI192" i="6"/>
  <c r="F193" i="6"/>
  <c r="H193" i="6"/>
  <c r="I193" i="6"/>
  <c r="K193" i="6"/>
  <c r="L193" i="6"/>
  <c r="M193" i="6"/>
  <c r="N193" i="6"/>
  <c r="O193" i="6"/>
  <c r="P193" i="6"/>
  <c r="R193" i="6"/>
  <c r="S193" i="6"/>
  <c r="U193" i="6"/>
  <c r="V193" i="6"/>
  <c r="W193" i="6"/>
  <c r="X193" i="6"/>
  <c r="Y193" i="6"/>
  <c r="Z193" i="6"/>
  <c r="AB193" i="6"/>
  <c r="AC193" i="6"/>
  <c r="AE193" i="6"/>
  <c r="AF193" i="6"/>
  <c r="AG193" i="6"/>
  <c r="AH193" i="6"/>
  <c r="AI193" i="6"/>
  <c r="F195" i="6"/>
  <c r="G195" i="6"/>
  <c r="I195" i="6"/>
  <c r="J195" i="6"/>
  <c r="L195" i="6"/>
  <c r="N195" i="6"/>
  <c r="P195" i="6"/>
  <c r="Q195" i="6"/>
  <c r="S195" i="6"/>
  <c r="T195" i="6"/>
  <c r="V195" i="6"/>
  <c r="X195" i="6"/>
  <c r="Z195" i="6"/>
  <c r="AA195" i="6"/>
  <c r="AC195" i="6"/>
  <c r="AD195" i="6"/>
  <c r="AF195" i="6"/>
  <c r="AH195" i="6"/>
  <c r="F196" i="6"/>
  <c r="G196" i="6"/>
  <c r="I196" i="6"/>
  <c r="J196" i="6"/>
  <c r="L196" i="6"/>
  <c r="N196" i="6"/>
  <c r="P196" i="6"/>
  <c r="Q196" i="6"/>
  <c r="S196" i="6"/>
  <c r="T196" i="6"/>
  <c r="V196" i="6"/>
  <c r="X196" i="6"/>
  <c r="Z196" i="6"/>
  <c r="AA196" i="6"/>
  <c r="AC196" i="6"/>
  <c r="AD196" i="6"/>
  <c r="AF196" i="6"/>
  <c r="AH196" i="6"/>
  <c r="F197" i="6"/>
  <c r="G197" i="6"/>
  <c r="I197" i="6"/>
  <c r="J197" i="6"/>
  <c r="L197" i="6"/>
  <c r="N197" i="6"/>
  <c r="P197" i="6"/>
  <c r="Q197" i="6"/>
  <c r="S197" i="6"/>
  <c r="T197" i="6"/>
  <c r="V197" i="6"/>
  <c r="X197" i="6"/>
  <c r="Z197" i="6"/>
  <c r="AA197" i="6"/>
  <c r="AC197" i="6"/>
  <c r="AD197" i="6"/>
  <c r="AF197" i="6"/>
  <c r="AH197" i="6"/>
  <c r="F198" i="6"/>
  <c r="G198" i="6"/>
  <c r="H198" i="6"/>
  <c r="I198" i="6"/>
  <c r="J198" i="6"/>
  <c r="K198" i="6"/>
  <c r="L198" i="6"/>
  <c r="N198" i="6"/>
  <c r="P198" i="6"/>
  <c r="Q198" i="6"/>
  <c r="R198" i="6"/>
  <c r="S198" i="6"/>
  <c r="T198" i="6"/>
  <c r="U198" i="6"/>
  <c r="V198" i="6"/>
  <c r="X198" i="6"/>
  <c r="Z198" i="6"/>
  <c r="AA198" i="6"/>
  <c r="AB198" i="6"/>
  <c r="AC198" i="6"/>
  <c r="AD198" i="6"/>
  <c r="AE198" i="6"/>
  <c r="AF198" i="6"/>
  <c r="AH198" i="6"/>
  <c r="F199" i="6"/>
  <c r="G199" i="6"/>
  <c r="I199" i="6"/>
  <c r="J199" i="6"/>
  <c r="L199" i="6"/>
  <c r="M199" i="6"/>
  <c r="N199" i="6"/>
  <c r="O199" i="6"/>
  <c r="P199" i="6"/>
  <c r="Q199" i="6"/>
  <c r="S199" i="6"/>
  <c r="T199" i="6"/>
  <c r="V199" i="6"/>
  <c r="W199" i="6"/>
  <c r="X199" i="6"/>
  <c r="Y199" i="6"/>
  <c r="Z199" i="6"/>
  <c r="AA199" i="6"/>
  <c r="AC199" i="6"/>
  <c r="AD199" i="6"/>
  <c r="AF199" i="6"/>
  <c r="AG199" i="6"/>
  <c r="AH199" i="6"/>
  <c r="AI199" i="6"/>
  <c r="F200" i="6"/>
  <c r="G200" i="6"/>
  <c r="I200" i="6"/>
  <c r="J200" i="6"/>
  <c r="L200" i="6"/>
  <c r="M200" i="6"/>
  <c r="N200" i="6"/>
  <c r="O200" i="6"/>
  <c r="P200" i="6"/>
  <c r="Q200" i="6"/>
  <c r="S200" i="6"/>
  <c r="T200" i="6"/>
  <c r="V200" i="6"/>
  <c r="W200" i="6"/>
  <c r="X200" i="6"/>
  <c r="Y200" i="6"/>
  <c r="Z200" i="6"/>
  <c r="AA200" i="6"/>
  <c r="AC200" i="6"/>
  <c r="AD200" i="6"/>
  <c r="AF200" i="6"/>
  <c r="AG200" i="6"/>
  <c r="AH200" i="6"/>
  <c r="AI200" i="6"/>
  <c r="F201" i="6"/>
  <c r="G201" i="6"/>
  <c r="I201" i="6"/>
  <c r="J201" i="6"/>
  <c r="L201" i="6"/>
  <c r="M201" i="6"/>
  <c r="N201" i="6"/>
  <c r="O201" i="6"/>
  <c r="P201" i="6"/>
  <c r="Q201" i="6"/>
  <c r="S201" i="6"/>
  <c r="T201" i="6"/>
  <c r="V201" i="6"/>
  <c r="W201" i="6"/>
  <c r="X201" i="6"/>
  <c r="Y201" i="6"/>
  <c r="Z201" i="6"/>
  <c r="AA201" i="6"/>
  <c r="AC201" i="6"/>
  <c r="AD201" i="6"/>
  <c r="AF201" i="6"/>
  <c r="AG201" i="6"/>
  <c r="AH201" i="6"/>
  <c r="AI201" i="6"/>
  <c r="F202" i="6"/>
  <c r="G202" i="6"/>
  <c r="I202" i="6"/>
  <c r="J202" i="6"/>
  <c r="L202" i="6"/>
  <c r="M202" i="6"/>
  <c r="N202" i="6"/>
  <c r="O202" i="6"/>
  <c r="P202" i="6"/>
  <c r="Q202" i="6"/>
  <c r="S202" i="6"/>
  <c r="T202" i="6"/>
  <c r="V202" i="6"/>
  <c r="W202" i="6"/>
  <c r="X202" i="6"/>
  <c r="Y202" i="6"/>
  <c r="Z202" i="6"/>
  <c r="AA202" i="6"/>
  <c r="AC202" i="6"/>
  <c r="AD202" i="6"/>
  <c r="AF202" i="6"/>
  <c r="AG202" i="6"/>
  <c r="AH202" i="6"/>
  <c r="AI202" i="6"/>
  <c r="F203" i="6"/>
  <c r="G203" i="6"/>
  <c r="I203" i="6"/>
  <c r="J203" i="6"/>
  <c r="L203" i="6"/>
  <c r="M203" i="6"/>
  <c r="N203" i="6"/>
  <c r="O203" i="6"/>
  <c r="P203" i="6"/>
  <c r="Q203" i="6"/>
  <c r="S203" i="6"/>
  <c r="T203" i="6"/>
  <c r="V203" i="6"/>
  <c r="W203" i="6"/>
  <c r="X203" i="6"/>
  <c r="Y203" i="6"/>
  <c r="Z203" i="6"/>
  <c r="AA203" i="6"/>
  <c r="AC203" i="6"/>
  <c r="AD203" i="6"/>
  <c r="AF203" i="6"/>
  <c r="AG203" i="6"/>
  <c r="AH203" i="6"/>
  <c r="AI203" i="6"/>
  <c r="F204" i="6"/>
  <c r="G204" i="6"/>
  <c r="I204" i="6"/>
  <c r="J204" i="6"/>
  <c r="L204" i="6"/>
  <c r="N204" i="6"/>
  <c r="P204" i="6"/>
  <c r="Q204" i="6"/>
  <c r="S204" i="6"/>
  <c r="T204" i="6"/>
  <c r="V204" i="6"/>
  <c r="X204" i="6"/>
  <c r="Z204" i="6"/>
  <c r="AA204" i="6"/>
  <c r="AC204" i="6"/>
  <c r="AD204" i="6"/>
  <c r="AF204" i="6"/>
  <c r="AH204" i="6"/>
  <c r="F205" i="6"/>
  <c r="G205" i="6"/>
  <c r="I205" i="6"/>
  <c r="J205" i="6"/>
  <c r="L205" i="6"/>
  <c r="N205" i="6"/>
  <c r="P205" i="6"/>
  <c r="Q205" i="6"/>
  <c r="S205" i="6"/>
  <c r="T205" i="6"/>
  <c r="V205" i="6"/>
  <c r="X205" i="6"/>
  <c r="Z205" i="6"/>
  <c r="AA205" i="6"/>
  <c r="AC205" i="6"/>
  <c r="AD205" i="6"/>
  <c r="AF205" i="6"/>
  <c r="AH205" i="6"/>
  <c r="F212" i="6"/>
  <c r="G212" i="6"/>
  <c r="H212" i="6"/>
  <c r="I212" i="6"/>
  <c r="J212" i="6"/>
  <c r="K212" i="6"/>
  <c r="L212" i="6"/>
  <c r="M212" i="6"/>
  <c r="N212" i="6"/>
  <c r="O212" i="6"/>
  <c r="F213" i="6"/>
  <c r="G213" i="6"/>
  <c r="H213" i="6"/>
  <c r="I213" i="6"/>
  <c r="J213" i="6"/>
  <c r="K213" i="6"/>
  <c r="L213" i="6"/>
  <c r="M213" i="6"/>
  <c r="N213" i="6"/>
  <c r="O213" i="6"/>
  <c r="Z213" i="6"/>
  <c r="AA213" i="6"/>
  <c r="AB213" i="6"/>
  <c r="AC213" i="6"/>
  <c r="AD213" i="6"/>
  <c r="AE213" i="6"/>
  <c r="AF213" i="6"/>
  <c r="AG213" i="6"/>
  <c r="AH213" i="6"/>
  <c r="AI213" i="6"/>
  <c r="F218" i="6"/>
  <c r="G218" i="6"/>
  <c r="H218" i="6"/>
  <c r="I218" i="6"/>
  <c r="J218" i="6"/>
  <c r="K218" i="6"/>
  <c r="L218" i="6"/>
  <c r="M218" i="6"/>
  <c r="N218" i="6"/>
  <c r="O218" i="6"/>
  <c r="F219" i="6"/>
  <c r="G219" i="6"/>
  <c r="H219" i="6"/>
  <c r="I219" i="6"/>
  <c r="J219" i="6"/>
  <c r="K219" i="6"/>
  <c r="L219" i="6"/>
  <c r="M219" i="6"/>
  <c r="N219" i="6"/>
  <c r="O219" i="6"/>
  <c r="Z219" i="6"/>
  <c r="AA219" i="6"/>
  <c r="AB219" i="6"/>
  <c r="AC219" i="6"/>
  <c r="AD219" i="6"/>
  <c r="AE219" i="6"/>
  <c r="AF219" i="6"/>
  <c r="AG219" i="6"/>
  <c r="AH219" i="6"/>
  <c r="AI219" i="6"/>
  <c r="F220" i="6"/>
  <c r="G220" i="6"/>
  <c r="H220" i="6"/>
  <c r="I220" i="6"/>
  <c r="J220" i="6"/>
  <c r="K220" i="6"/>
  <c r="L220" i="6"/>
  <c r="M220" i="6"/>
  <c r="N220" i="6"/>
  <c r="O220" i="6"/>
  <c r="P223" i="6"/>
  <c r="Q223" i="6"/>
  <c r="R223" i="6"/>
  <c r="S223" i="6"/>
  <c r="T223" i="6"/>
  <c r="U223" i="6"/>
  <c r="V223" i="6"/>
  <c r="W223" i="6"/>
  <c r="X223" i="6"/>
  <c r="Y223" i="6"/>
  <c r="F224" i="6"/>
  <c r="G224" i="6"/>
  <c r="H224" i="6"/>
  <c r="I224" i="6"/>
  <c r="J224" i="6"/>
  <c r="K224" i="6"/>
  <c r="L224" i="6"/>
  <c r="M224" i="6"/>
  <c r="N224" i="6"/>
  <c r="O224" i="6"/>
  <c r="F225" i="6"/>
  <c r="G225" i="6"/>
  <c r="H225" i="6"/>
  <c r="I225" i="6"/>
  <c r="J225" i="6"/>
  <c r="K225" i="6"/>
  <c r="L225" i="6"/>
  <c r="M225" i="6"/>
  <c r="N225" i="6"/>
  <c r="O225" i="6"/>
  <c r="Z225" i="6"/>
  <c r="AA225" i="6"/>
  <c r="AB225" i="6"/>
  <c r="AC225" i="6"/>
  <c r="AD225" i="6"/>
  <c r="AE225" i="6"/>
  <c r="AF225" i="6"/>
  <c r="AG225" i="6"/>
  <c r="AH225" i="6"/>
  <c r="AI225" i="6"/>
  <c r="Z226" i="6"/>
  <c r="AA226" i="6"/>
  <c r="AB226" i="6"/>
  <c r="AC226" i="6"/>
  <c r="AD226" i="6"/>
  <c r="AE226" i="6"/>
  <c r="AF226" i="6"/>
  <c r="AG226" i="6"/>
  <c r="AH226" i="6"/>
  <c r="AI226" i="6"/>
  <c r="F228" i="6"/>
  <c r="G228" i="6"/>
  <c r="H228" i="6"/>
  <c r="I228" i="6"/>
  <c r="J228" i="6"/>
  <c r="K228" i="6"/>
  <c r="L228" i="6"/>
  <c r="M228" i="6"/>
  <c r="N228" i="6"/>
  <c r="O228" i="6"/>
  <c r="Z228" i="6"/>
  <c r="AA228" i="6"/>
  <c r="AB228" i="6"/>
  <c r="AC228" i="6"/>
  <c r="AD228" i="6"/>
  <c r="AE228" i="6"/>
  <c r="AF228" i="6"/>
  <c r="AG228" i="6"/>
  <c r="AH228" i="6"/>
  <c r="AI228" i="6"/>
  <c r="F230" i="6"/>
  <c r="G230" i="6"/>
  <c r="H230" i="6"/>
  <c r="I230" i="6"/>
  <c r="J230" i="6"/>
  <c r="K230" i="6"/>
  <c r="L230" i="6"/>
  <c r="M230" i="6"/>
  <c r="N230" i="6"/>
  <c r="O230" i="6"/>
  <c r="Z230" i="6"/>
  <c r="AA230" i="6"/>
  <c r="AB230" i="6"/>
  <c r="AC230" i="6"/>
  <c r="AD230" i="6"/>
  <c r="AE230" i="6"/>
  <c r="AF230" i="6"/>
  <c r="AG230" i="6"/>
  <c r="AH230" i="6"/>
  <c r="AI230" i="6"/>
  <c r="F231" i="6"/>
  <c r="G231" i="6"/>
  <c r="H231" i="6"/>
  <c r="I231" i="6"/>
  <c r="J231" i="6"/>
  <c r="K231" i="6"/>
  <c r="L231" i="6"/>
  <c r="M231" i="6"/>
  <c r="N231" i="6"/>
  <c r="O231" i="6"/>
  <c r="Z231" i="6"/>
  <c r="AA231" i="6"/>
  <c r="AB231" i="6"/>
  <c r="AC231" i="6"/>
  <c r="AD231" i="6"/>
  <c r="AE231" i="6"/>
  <c r="AF231" i="6"/>
  <c r="AG231" i="6"/>
  <c r="AH231" i="6"/>
  <c r="AI231" i="6"/>
  <c r="F232" i="6"/>
  <c r="G232" i="6"/>
  <c r="H232" i="6"/>
  <c r="I232" i="6"/>
  <c r="J232" i="6"/>
  <c r="K232" i="6"/>
  <c r="L232" i="6"/>
  <c r="M232" i="6"/>
  <c r="N232" i="6"/>
  <c r="O232" i="6"/>
  <c r="Z232" i="6"/>
  <c r="AA232" i="6"/>
  <c r="AB232" i="6"/>
  <c r="AC232" i="6"/>
  <c r="AD232" i="6"/>
  <c r="AE232" i="6"/>
  <c r="AF232" i="6"/>
  <c r="AG232" i="6"/>
  <c r="AH232" i="6"/>
  <c r="AI232" i="6"/>
  <c r="F233" i="6"/>
  <c r="G233" i="6"/>
  <c r="H233" i="6"/>
  <c r="I233" i="6"/>
  <c r="J233" i="6"/>
  <c r="K233" i="6"/>
  <c r="L233" i="6"/>
  <c r="M233" i="6"/>
  <c r="N233" i="6"/>
  <c r="O233" i="6"/>
  <c r="Z233" i="6"/>
  <c r="AA233" i="6"/>
  <c r="AB233" i="6"/>
  <c r="AC233" i="6"/>
  <c r="AD233" i="6"/>
  <c r="AE233" i="6"/>
  <c r="AF233" i="6"/>
  <c r="AG233" i="6"/>
  <c r="AH233" i="6"/>
  <c r="AI233" i="6"/>
  <c r="F234" i="6"/>
  <c r="G234" i="6"/>
  <c r="H234" i="6"/>
  <c r="I234" i="6"/>
  <c r="J234" i="6"/>
  <c r="K234" i="6"/>
  <c r="L234" i="6"/>
  <c r="M234" i="6"/>
  <c r="N234" i="6"/>
  <c r="O234" i="6"/>
  <c r="Z234" i="6"/>
  <c r="AA234" i="6"/>
  <c r="AB234" i="6"/>
  <c r="AC234" i="6"/>
  <c r="AD234" i="6"/>
  <c r="AE234" i="6"/>
  <c r="AF234" i="6"/>
  <c r="AG234" i="6"/>
  <c r="AH234" i="6"/>
  <c r="AI234" i="6"/>
  <c r="Z235" i="6"/>
  <c r="AA235" i="6"/>
  <c r="AB235" i="6"/>
  <c r="AC235" i="6"/>
  <c r="AD235" i="6"/>
  <c r="AE235" i="6"/>
  <c r="AF235" i="6"/>
  <c r="AG235" i="6"/>
  <c r="AH235" i="6"/>
  <c r="AI235" i="6"/>
  <c r="P236" i="6"/>
  <c r="Q236" i="6"/>
  <c r="R236" i="6"/>
  <c r="S236" i="6"/>
  <c r="T236" i="6"/>
  <c r="U236" i="6"/>
  <c r="V236" i="6"/>
  <c r="W236" i="6"/>
  <c r="X236" i="6"/>
  <c r="Y236" i="6"/>
  <c r="Z238" i="6"/>
  <c r="AA238" i="6"/>
  <c r="AB238" i="6"/>
  <c r="AC238" i="6"/>
  <c r="AD238" i="6"/>
  <c r="AE238" i="6"/>
  <c r="AF238" i="6"/>
  <c r="AG238" i="6"/>
  <c r="AH238" i="6"/>
  <c r="AI238" i="6"/>
  <c r="F239" i="6"/>
  <c r="G239" i="6"/>
  <c r="H239" i="6"/>
  <c r="I239" i="6"/>
  <c r="J239" i="6"/>
  <c r="K239" i="6"/>
  <c r="L239" i="6"/>
  <c r="M239" i="6"/>
  <c r="N239" i="6"/>
  <c r="O239" i="6"/>
  <c r="F240" i="6"/>
  <c r="G240" i="6"/>
  <c r="H240" i="6"/>
  <c r="I240" i="6"/>
  <c r="J240" i="6"/>
  <c r="K240" i="6"/>
  <c r="L240" i="6"/>
  <c r="M240" i="6"/>
  <c r="N240" i="6"/>
  <c r="O240" i="6"/>
  <c r="Z242" i="6"/>
  <c r="AA242" i="6"/>
  <c r="AB242" i="6"/>
  <c r="AC242" i="6"/>
  <c r="AD242" i="6"/>
  <c r="AE242" i="6"/>
  <c r="AF242" i="6"/>
  <c r="AG242" i="6"/>
  <c r="AH242" i="6"/>
  <c r="AI242" i="6"/>
  <c r="F247" i="6"/>
  <c r="G247" i="6"/>
  <c r="H247" i="6"/>
  <c r="I247" i="6"/>
  <c r="J247" i="6"/>
  <c r="K247" i="6"/>
  <c r="L247" i="6"/>
  <c r="M247" i="6"/>
  <c r="N247" i="6"/>
  <c r="O247" i="6"/>
  <c r="F252" i="6"/>
  <c r="G252" i="6"/>
  <c r="H252" i="6"/>
  <c r="I252" i="6"/>
  <c r="J252" i="6"/>
  <c r="K252" i="6"/>
  <c r="L252" i="6"/>
  <c r="M252" i="6"/>
  <c r="N252" i="6"/>
  <c r="O252" i="6"/>
  <c r="F256" i="6"/>
  <c r="G256" i="6"/>
  <c r="H256" i="6"/>
  <c r="I256" i="6"/>
  <c r="J256" i="6"/>
  <c r="K256" i="6"/>
  <c r="L256" i="6"/>
  <c r="M256" i="6"/>
  <c r="N256" i="6"/>
  <c r="O256" i="6"/>
  <c r="F281" i="6"/>
  <c r="G281" i="6"/>
  <c r="H281" i="6"/>
  <c r="I281" i="6"/>
  <c r="J281" i="6"/>
  <c r="K281" i="6"/>
  <c r="L281" i="6"/>
  <c r="M281" i="6"/>
  <c r="N281" i="6"/>
  <c r="O281" i="6"/>
  <c r="P284" i="6"/>
  <c r="Q284" i="6"/>
  <c r="R284" i="6"/>
  <c r="S284" i="6"/>
  <c r="T284" i="6"/>
  <c r="U284" i="6"/>
  <c r="V284" i="6"/>
  <c r="W284" i="6"/>
  <c r="X284" i="6"/>
  <c r="Y284" i="6"/>
  <c r="Z284" i="6"/>
  <c r="AA284" i="6"/>
  <c r="AB284" i="6"/>
  <c r="AC284" i="6"/>
  <c r="AD284" i="6"/>
  <c r="AE284" i="6"/>
  <c r="AF284" i="6"/>
  <c r="AG284" i="6"/>
  <c r="AH284" i="6"/>
  <c r="AI284" i="6"/>
  <c r="F286" i="6"/>
  <c r="G286" i="6"/>
  <c r="H286" i="6"/>
  <c r="I286" i="6"/>
  <c r="J286" i="6"/>
  <c r="K286" i="6"/>
  <c r="L286" i="6"/>
  <c r="M286" i="6"/>
  <c r="N286" i="6"/>
  <c r="O286" i="6"/>
  <c r="P286" i="6"/>
  <c r="Q286" i="6"/>
  <c r="R286" i="6"/>
  <c r="S286" i="6"/>
  <c r="T286" i="6"/>
  <c r="U286" i="6"/>
  <c r="V286" i="6"/>
  <c r="W286" i="6"/>
  <c r="X286" i="6"/>
  <c r="Y286" i="6"/>
  <c r="F290" i="6"/>
  <c r="G290" i="6"/>
  <c r="H290" i="6"/>
  <c r="I290" i="6"/>
  <c r="J290" i="6"/>
  <c r="K290" i="6"/>
  <c r="L290" i="6"/>
  <c r="M290" i="6"/>
  <c r="N290" i="6"/>
  <c r="O290" i="6"/>
  <c r="P290" i="6"/>
  <c r="Q290" i="6"/>
  <c r="R290" i="6"/>
  <c r="S290" i="6"/>
  <c r="T290" i="6"/>
  <c r="U290" i="6"/>
  <c r="V290" i="6"/>
  <c r="W290" i="6"/>
  <c r="X290" i="6"/>
  <c r="Y290" i="6"/>
  <c r="Z291" i="6"/>
  <c r="AA291" i="6"/>
  <c r="AB291" i="6"/>
  <c r="AC291" i="6"/>
  <c r="AD291" i="6"/>
  <c r="AE291" i="6"/>
  <c r="AF291" i="6"/>
  <c r="AG291" i="6"/>
  <c r="AH291" i="6"/>
  <c r="AI291" i="6"/>
  <c r="G295" i="6"/>
  <c r="H295" i="6"/>
  <c r="J295" i="6"/>
  <c r="K295" i="6"/>
  <c r="M295" i="6"/>
  <c r="O295" i="6"/>
  <c r="Q295" i="6"/>
  <c r="R295" i="6"/>
  <c r="T295" i="6"/>
  <c r="U295" i="6"/>
  <c r="W295" i="6"/>
  <c r="Y295" i="6"/>
  <c r="AA295" i="6"/>
  <c r="AB295" i="6"/>
  <c r="AD295" i="6"/>
  <c r="AE295" i="6"/>
  <c r="AG295" i="6"/>
  <c r="AI295" i="6"/>
  <c r="G298" i="6"/>
  <c r="H298" i="6"/>
  <c r="J298" i="6"/>
  <c r="K298" i="6"/>
  <c r="M298" i="6"/>
  <c r="O298" i="6"/>
  <c r="Q298" i="6"/>
  <c r="R298" i="6"/>
  <c r="T298" i="6"/>
  <c r="U298" i="6"/>
  <c r="W298" i="6"/>
  <c r="Y298" i="6"/>
  <c r="AA298" i="6"/>
  <c r="AB298" i="6"/>
  <c r="AD298" i="6"/>
  <c r="AE298" i="6"/>
  <c r="AG298" i="6"/>
  <c r="AI298" i="6"/>
  <c r="G301" i="6"/>
  <c r="H301" i="6"/>
  <c r="J301" i="6"/>
  <c r="K301" i="6"/>
  <c r="M301" i="6"/>
  <c r="O301" i="6"/>
  <c r="Q301" i="6"/>
  <c r="R301" i="6"/>
  <c r="T301" i="6"/>
  <c r="U301" i="6"/>
  <c r="W301" i="6"/>
  <c r="Y301" i="6"/>
  <c r="AA301" i="6"/>
  <c r="AB301" i="6"/>
  <c r="AD301" i="6"/>
  <c r="AE301" i="6"/>
  <c r="AG301" i="6"/>
  <c r="AI301" i="6"/>
  <c r="G302" i="6"/>
  <c r="H302" i="6"/>
  <c r="J302" i="6"/>
  <c r="K302" i="6"/>
  <c r="M302" i="6"/>
  <c r="O302" i="6"/>
  <c r="Q302" i="6"/>
  <c r="R302" i="6"/>
  <c r="T302" i="6"/>
  <c r="U302" i="6"/>
  <c r="W302" i="6"/>
  <c r="Y302" i="6"/>
  <c r="AA302" i="6"/>
  <c r="AB302" i="6"/>
  <c r="AD302" i="6"/>
  <c r="AE302" i="6"/>
  <c r="AG302" i="6"/>
  <c r="AI302" i="6"/>
  <c r="F305" i="6"/>
  <c r="G305" i="6"/>
  <c r="H305" i="6"/>
  <c r="I305" i="6"/>
  <c r="J305" i="6"/>
  <c r="K305" i="6"/>
  <c r="L305" i="6"/>
  <c r="M305" i="6"/>
  <c r="N305" i="6"/>
  <c r="O305" i="6"/>
  <c r="P305" i="6"/>
  <c r="Q305" i="6"/>
  <c r="R305" i="6"/>
  <c r="S305" i="6"/>
  <c r="T305" i="6"/>
  <c r="U305" i="6"/>
  <c r="V305" i="6"/>
  <c r="W305" i="6"/>
  <c r="X305" i="6"/>
  <c r="Y305" i="6"/>
  <c r="Z305" i="6"/>
  <c r="AA305" i="6"/>
  <c r="AC305" i="6"/>
  <c r="AD305" i="6"/>
  <c r="AF305" i="6"/>
  <c r="AH305" i="6"/>
  <c r="F306" i="6"/>
  <c r="G306" i="6"/>
  <c r="I306" i="6"/>
  <c r="J306" i="6"/>
  <c r="L306" i="6"/>
  <c r="N306" i="6"/>
  <c r="P306" i="6"/>
  <c r="Q306" i="6"/>
  <c r="S306" i="6"/>
  <c r="T306" i="6"/>
  <c r="V306" i="6"/>
  <c r="X306" i="6"/>
  <c r="Z306" i="6"/>
  <c r="AA306" i="6"/>
  <c r="AB306" i="6"/>
  <c r="AC306" i="6"/>
  <c r="AD306" i="6"/>
  <c r="AE306" i="6"/>
  <c r="AF306" i="6"/>
  <c r="AG306" i="6"/>
  <c r="AH306" i="6"/>
  <c r="AI306" i="6"/>
  <c r="G307" i="6"/>
  <c r="H307" i="6"/>
  <c r="J307" i="6"/>
  <c r="K307" i="6"/>
  <c r="M307" i="6"/>
  <c r="O307" i="6"/>
  <c r="Q307" i="6"/>
  <c r="R307" i="6"/>
  <c r="T307" i="6"/>
  <c r="U307" i="6"/>
  <c r="W307" i="6"/>
  <c r="Y307" i="6"/>
  <c r="AA307" i="6"/>
  <c r="AB307" i="6"/>
  <c r="AD307" i="6"/>
  <c r="AE307" i="6"/>
  <c r="AG307" i="6"/>
  <c r="AI307" i="6"/>
  <c r="G308" i="6"/>
  <c r="H308" i="6"/>
  <c r="J308" i="6"/>
  <c r="K308" i="6"/>
  <c r="M308" i="6"/>
  <c r="O308" i="6"/>
  <c r="Q308" i="6"/>
  <c r="R308" i="6"/>
  <c r="T308" i="6"/>
  <c r="U308" i="6"/>
  <c r="W308" i="6"/>
  <c r="Y308" i="6"/>
  <c r="AB308" i="6"/>
  <c r="AE308" i="6"/>
  <c r="AG308" i="6"/>
  <c r="AI308" i="6"/>
  <c r="G309" i="6"/>
  <c r="H309" i="6"/>
  <c r="J309" i="6"/>
  <c r="K309" i="6"/>
  <c r="M309" i="6"/>
  <c r="O309" i="6"/>
  <c r="P309" i="6"/>
  <c r="Q309" i="6"/>
  <c r="R309" i="6"/>
  <c r="S309" i="6"/>
  <c r="T309" i="6"/>
  <c r="U309" i="6"/>
  <c r="V309" i="6"/>
  <c r="W309" i="6"/>
  <c r="X309" i="6"/>
  <c r="Y309" i="6"/>
  <c r="AA309" i="6"/>
  <c r="AB309" i="6"/>
  <c r="AD309" i="6"/>
  <c r="AE309" i="6"/>
  <c r="AG309" i="6"/>
  <c r="AI309" i="6"/>
  <c r="G310" i="6"/>
  <c r="J310" i="6"/>
  <c r="Q310" i="6"/>
  <c r="T310" i="6"/>
  <c r="AA310" i="6"/>
  <c r="AB310" i="6"/>
  <c r="AD310" i="6"/>
  <c r="AE310" i="6"/>
  <c r="AG310" i="6"/>
  <c r="AI310" i="6"/>
  <c r="F311" i="6"/>
  <c r="I311" i="6"/>
  <c r="L311" i="6"/>
  <c r="N311" i="6"/>
  <c r="P311" i="6"/>
  <c r="S311" i="6"/>
  <c r="V311" i="6"/>
  <c r="X311" i="6"/>
  <c r="Z311" i="6"/>
  <c r="AC311" i="6"/>
  <c r="AF311" i="6"/>
  <c r="AH311" i="6"/>
  <c r="F312" i="6"/>
  <c r="I312" i="6"/>
  <c r="L312" i="6"/>
  <c r="N312" i="6"/>
  <c r="P312" i="6"/>
  <c r="S312" i="6"/>
  <c r="V312" i="6"/>
  <c r="X312" i="6"/>
  <c r="Z312" i="6"/>
  <c r="AC312" i="6"/>
  <c r="AF312" i="6"/>
  <c r="AH312" i="6"/>
  <c r="G313" i="6"/>
  <c r="H313" i="6"/>
  <c r="J313" i="6"/>
  <c r="K313" i="6"/>
  <c r="M313" i="6"/>
  <c r="O313" i="6"/>
  <c r="Q313" i="6"/>
  <c r="R313" i="6"/>
  <c r="T313" i="6"/>
  <c r="U313" i="6"/>
  <c r="W313" i="6"/>
  <c r="Y313" i="6"/>
  <c r="AA313" i="6"/>
  <c r="AB313" i="6"/>
  <c r="AD313" i="6"/>
  <c r="AE313" i="6"/>
  <c r="AG313" i="6"/>
  <c r="AI313" i="6"/>
  <c r="G314" i="6"/>
  <c r="H314" i="6"/>
  <c r="J314" i="6"/>
  <c r="K314" i="6"/>
  <c r="M314" i="6"/>
  <c r="O314" i="6"/>
  <c r="Q314" i="6"/>
  <c r="R314" i="6"/>
  <c r="T314" i="6"/>
  <c r="U314" i="6"/>
  <c r="W314" i="6"/>
  <c r="Y314" i="6"/>
  <c r="AA314" i="6"/>
  <c r="AB314" i="6"/>
  <c r="AD314" i="6"/>
  <c r="AE314" i="6"/>
  <c r="AG314" i="6"/>
  <c r="AI314" i="6"/>
  <c r="G318" i="6"/>
  <c r="H318" i="6"/>
  <c r="J318" i="6"/>
  <c r="K318" i="6"/>
  <c r="M318" i="6"/>
  <c r="O318" i="6"/>
  <c r="Q318" i="6"/>
  <c r="R318" i="6"/>
  <c r="T318" i="6"/>
  <c r="U318" i="6"/>
  <c r="W318" i="6"/>
  <c r="Y318" i="6"/>
  <c r="AA318" i="6"/>
  <c r="AB318" i="6"/>
  <c r="AD318" i="6"/>
  <c r="AE318" i="6"/>
  <c r="AG318" i="6"/>
  <c r="AI318" i="6"/>
  <c r="F319" i="6"/>
  <c r="G319" i="6"/>
  <c r="I319" i="6"/>
  <c r="J319" i="6"/>
  <c r="L319" i="6"/>
  <c r="N319" i="6"/>
  <c r="P319" i="6"/>
  <c r="Q319" i="6"/>
  <c r="S319" i="6"/>
  <c r="T319" i="6"/>
  <c r="V319" i="6"/>
  <c r="X319" i="6"/>
  <c r="Z319" i="6"/>
  <c r="AA319" i="6"/>
  <c r="AC319" i="6"/>
  <c r="AD319" i="6"/>
  <c r="AF319" i="6"/>
  <c r="AH319" i="6"/>
  <c r="G320" i="6"/>
  <c r="J320" i="6"/>
  <c r="P320" i="6"/>
  <c r="Q320" i="6"/>
  <c r="S320" i="6"/>
  <c r="T320" i="6"/>
  <c r="V320" i="6"/>
  <c r="X320" i="6"/>
  <c r="AA320" i="6"/>
  <c r="AD320" i="6"/>
  <c r="H321" i="6"/>
  <c r="K321" i="6"/>
  <c r="M321" i="6"/>
  <c r="O321" i="6"/>
  <c r="R321" i="6"/>
  <c r="U321" i="6"/>
  <c r="W321" i="6"/>
  <c r="Y321" i="6"/>
  <c r="Z321" i="6"/>
  <c r="AB321" i="6"/>
  <c r="AC321" i="6"/>
  <c r="AE321" i="6"/>
  <c r="AF321" i="6"/>
  <c r="AG321" i="6"/>
  <c r="AH321" i="6"/>
  <c r="AI321" i="6"/>
  <c r="G322" i="6"/>
  <c r="H322" i="6"/>
  <c r="J322" i="6"/>
  <c r="K322" i="6"/>
  <c r="M322" i="6"/>
  <c r="O322" i="6"/>
  <c r="P322" i="6"/>
  <c r="Q322" i="6"/>
  <c r="R322" i="6"/>
  <c r="S322" i="6"/>
  <c r="T322" i="6"/>
  <c r="U322" i="6"/>
  <c r="V322" i="6"/>
  <c r="W322" i="6"/>
  <c r="X322" i="6"/>
  <c r="Y322" i="6"/>
  <c r="Z322" i="6"/>
  <c r="AA322" i="6"/>
  <c r="AB322" i="6"/>
  <c r="AC322" i="6"/>
  <c r="AD322" i="6"/>
  <c r="AE322" i="6"/>
  <c r="AF322" i="6"/>
  <c r="AG322" i="6"/>
  <c r="AH322" i="6"/>
  <c r="AI322" i="6"/>
  <c r="F323" i="6"/>
  <c r="G323" i="6"/>
  <c r="I323" i="6"/>
  <c r="J323" i="6"/>
  <c r="L323" i="6"/>
  <c r="N323" i="6"/>
  <c r="P323" i="6"/>
  <c r="Q323" i="6"/>
  <c r="S323" i="6"/>
  <c r="T323" i="6"/>
  <c r="V323" i="6"/>
  <c r="X323" i="6"/>
  <c r="Z323" i="6"/>
  <c r="AA323" i="6"/>
  <c r="AC323" i="6"/>
  <c r="AD323" i="6"/>
  <c r="AF323" i="6"/>
  <c r="AH323" i="6"/>
  <c r="G324" i="6"/>
  <c r="J324" i="6"/>
  <c r="P324" i="6"/>
  <c r="Q324" i="6"/>
  <c r="S324" i="6"/>
  <c r="T324" i="6"/>
  <c r="V324" i="6"/>
  <c r="X324" i="6"/>
  <c r="AA324" i="6"/>
  <c r="AD324" i="6"/>
  <c r="H325" i="6"/>
  <c r="K325" i="6"/>
  <c r="M325" i="6"/>
  <c r="O325" i="6"/>
  <c r="R325" i="6"/>
  <c r="U325" i="6"/>
  <c r="W325" i="6"/>
  <c r="Y325" i="6"/>
  <c r="Z325" i="6"/>
  <c r="AB325" i="6"/>
  <c r="AC325" i="6"/>
  <c r="AE325" i="6"/>
  <c r="AF325" i="6"/>
  <c r="AG325" i="6"/>
  <c r="AH325" i="6"/>
  <c r="AI325" i="6"/>
  <c r="G326" i="6"/>
  <c r="H326" i="6"/>
  <c r="J326" i="6"/>
  <c r="K326" i="6"/>
  <c r="M326" i="6"/>
  <c r="O326" i="6"/>
  <c r="P326" i="6"/>
  <c r="Q326" i="6"/>
  <c r="R326" i="6"/>
  <c r="S326" i="6"/>
  <c r="T326" i="6"/>
  <c r="U326" i="6"/>
  <c r="V326" i="6"/>
  <c r="W326" i="6"/>
  <c r="X326" i="6"/>
  <c r="Y326" i="6"/>
  <c r="Z326" i="6"/>
  <c r="AA326" i="6"/>
  <c r="AB326" i="6"/>
  <c r="AC326" i="6"/>
  <c r="AD326" i="6"/>
  <c r="AE326" i="6"/>
  <c r="AF326" i="6"/>
  <c r="AG326" i="6"/>
  <c r="AH326" i="6"/>
  <c r="AI326" i="6"/>
  <c r="F327" i="6"/>
  <c r="G327" i="6"/>
  <c r="H327" i="6"/>
  <c r="I327" i="6"/>
  <c r="J327" i="6"/>
  <c r="K327" i="6"/>
  <c r="L327" i="6"/>
  <c r="M327" i="6"/>
  <c r="N327" i="6"/>
  <c r="O327" i="6"/>
  <c r="P327" i="6"/>
  <c r="Q327" i="6"/>
  <c r="R327" i="6"/>
  <c r="S327" i="6"/>
  <c r="T327" i="6"/>
  <c r="U327" i="6"/>
  <c r="V327" i="6"/>
  <c r="W327" i="6"/>
  <c r="X327" i="6"/>
  <c r="Y327" i="6"/>
  <c r="AA327" i="6"/>
  <c r="AB327" i="6"/>
  <c r="AD327" i="6"/>
  <c r="AE327" i="6"/>
  <c r="AG327" i="6"/>
  <c r="AI327" i="6"/>
  <c r="F328" i="6"/>
  <c r="G328" i="6"/>
  <c r="I328" i="6"/>
  <c r="J328" i="6"/>
  <c r="L328" i="6"/>
  <c r="N328" i="6"/>
  <c r="P328" i="6"/>
  <c r="Q328" i="6"/>
  <c r="S328" i="6"/>
  <c r="T328" i="6"/>
  <c r="V328" i="6"/>
  <c r="X328" i="6"/>
  <c r="Z328" i="6"/>
  <c r="AA328" i="6"/>
  <c r="AC328" i="6"/>
  <c r="AD328" i="6"/>
  <c r="AF328" i="6"/>
  <c r="AH328" i="6"/>
  <c r="F329" i="6"/>
  <c r="G329" i="6"/>
  <c r="H329" i="6"/>
  <c r="I329" i="6"/>
  <c r="J329" i="6"/>
  <c r="K329" i="6"/>
  <c r="L329" i="6"/>
  <c r="M329" i="6"/>
  <c r="N329" i="6"/>
  <c r="O329" i="6"/>
  <c r="P329" i="6"/>
  <c r="Q329" i="6"/>
  <c r="R329" i="6"/>
  <c r="S329" i="6"/>
  <c r="T329" i="6"/>
  <c r="U329" i="6"/>
  <c r="V329" i="6"/>
  <c r="W329" i="6"/>
  <c r="X329" i="6"/>
  <c r="Y329" i="6"/>
  <c r="Z329" i="6"/>
  <c r="AB329" i="6"/>
  <c r="AC329" i="6"/>
  <c r="AE329" i="6"/>
  <c r="AF329" i="6"/>
  <c r="AG329" i="6"/>
  <c r="AH329" i="6"/>
  <c r="AI329" i="6"/>
  <c r="F330" i="6"/>
  <c r="G330" i="6"/>
  <c r="H330" i="6"/>
  <c r="I330" i="6"/>
  <c r="J330" i="6"/>
  <c r="K330" i="6"/>
  <c r="L330" i="6"/>
  <c r="M330" i="6"/>
  <c r="N330" i="6"/>
  <c r="O330" i="6"/>
  <c r="P330" i="6"/>
  <c r="R330" i="6"/>
  <c r="S330" i="6"/>
  <c r="U330" i="6"/>
  <c r="V330" i="6"/>
  <c r="W330" i="6"/>
  <c r="X330" i="6"/>
  <c r="Y330" i="6"/>
  <c r="Z330" i="6"/>
  <c r="AB330" i="6"/>
  <c r="AC330" i="6"/>
  <c r="AE330" i="6"/>
  <c r="AF330" i="6"/>
  <c r="AG330" i="6"/>
  <c r="AH330" i="6"/>
  <c r="AI330" i="6"/>
  <c r="F331" i="6"/>
  <c r="H331" i="6"/>
  <c r="I331" i="6"/>
  <c r="K331" i="6"/>
  <c r="L331" i="6"/>
  <c r="M331" i="6"/>
  <c r="N331" i="6"/>
  <c r="O331" i="6"/>
  <c r="P331" i="6"/>
  <c r="Q331" i="6"/>
  <c r="R331" i="6"/>
  <c r="S331" i="6"/>
  <c r="T331" i="6"/>
  <c r="U331" i="6"/>
  <c r="V331" i="6"/>
  <c r="W331" i="6"/>
  <c r="X331" i="6"/>
  <c r="Y331" i="6"/>
  <c r="Z331" i="6"/>
  <c r="AA331" i="6"/>
  <c r="AB331" i="6"/>
  <c r="AC331" i="6"/>
  <c r="AD331" i="6"/>
  <c r="AE331" i="6"/>
  <c r="AF331" i="6"/>
  <c r="AG331" i="6"/>
  <c r="AH331" i="6"/>
  <c r="AI331" i="6"/>
  <c r="G332" i="6"/>
  <c r="H332" i="6"/>
  <c r="J332" i="6"/>
  <c r="K332" i="6"/>
  <c r="M332" i="6"/>
  <c r="O332" i="6"/>
  <c r="P332" i="6"/>
  <c r="Q332" i="6"/>
  <c r="R332" i="6"/>
  <c r="S332" i="6"/>
  <c r="T332" i="6"/>
  <c r="U332" i="6"/>
  <c r="V332" i="6"/>
  <c r="W332" i="6"/>
  <c r="X332" i="6"/>
  <c r="Y332" i="6"/>
  <c r="AA332" i="6"/>
  <c r="AB332" i="6"/>
  <c r="AD332" i="6"/>
  <c r="AE332" i="6"/>
  <c r="AG332" i="6"/>
  <c r="AI332" i="6"/>
  <c r="H333" i="6"/>
  <c r="K333" i="6"/>
  <c r="M333" i="6"/>
  <c r="O333" i="6"/>
  <c r="R333" i="6"/>
  <c r="U333" i="6"/>
  <c r="W333" i="6"/>
  <c r="Y333" i="6"/>
  <c r="Z333" i="6"/>
  <c r="AB333" i="6"/>
  <c r="AC333" i="6"/>
  <c r="AE333" i="6"/>
  <c r="AF333" i="6"/>
  <c r="AG333" i="6"/>
  <c r="AH333" i="6"/>
  <c r="AI333" i="6"/>
  <c r="G334" i="6"/>
  <c r="H334" i="6"/>
  <c r="J334" i="6"/>
  <c r="K334" i="6"/>
  <c r="M334" i="6"/>
  <c r="O334" i="6"/>
  <c r="P334" i="6"/>
  <c r="Q334" i="6"/>
  <c r="R334" i="6"/>
  <c r="S334" i="6"/>
  <c r="T334" i="6"/>
  <c r="U334" i="6"/>
  <c r="V334" i="6"/>
  <c r="W334" i="6"/>
  <c r="X334" i="6"/>
  <c r="Y334" i="6"/>
  <c r="Z334" i="6"/>
  <c r="AA334" i="6"/>
  <c r="AB334" i="6"/>
  <c r="AC334" i="6"/>
  <c r="AD334" i="6"/>
  <c r="AE334" i="6"/>
  <c r="AF334" i="6"/>
  <c r="AG334" i="6"/>
  <c r="AH334" i="6"/>
  <c r="AI334" i="6"/>
  <c r="G335" i="6"/>
  <c r="H335" i="6"/>
  <c r="J335" i="6"/>
  <c r="K335" i="6"/>
  <c r="M335" i="6"/>
  <c r="O335" i="6"/>
  <c r="Q335" i="6"/>
  <c r="R335" i="6"/>
  <c r="T335" i="6"/>
  <c r="U335" i="6"/>
  <c r="W335" i="6"/>
  <c r="Y335" i="6"/>
  <c r="AA335" i="6"/>
  <c r="AB335" i="6"/>
  <c r="AD335" i="6"/>
  <c r="AE335" i="6"/>
  <c r="AG335" i="6"/>
  <c r="AI335" i="6"/>
  <c r="F336" i="6"/>
  <c r="G336" i="6"/>
  <c r="I336" i="6"/>
  <c r="J336" i="6"/>
  <c r="L336" i="6"/>
  <c r="N336" i="6"/>
  <c r="P336" i="6"/>
  <c r="Q336" i="6"/>
  <c r="S336" i="6"/>
  <c r="T336" i="6"/>
  <c r="V336" i="6"/>
  <c r="X336" i="6"/>
  <c r="Z336" i="6"/>
  <c r="AA336" i="6"/>
  <c r="AC336" i="6"/>
  <c r="AD336" i="6"/>
  <c r="AF336" i="6"/>
  <c r="AH336" i="6"/>
  <c r="G337" i="6"/>
  <c r="J337" i="6"/>
  <c r="P337" i="6"/>
  <c r="Q337" i="6"/>
  <c r="S337" i="6"/>
  <c r="T337" i="6"/>
  <c r="V337" i="6"/>
  <c r="X337" i="6"/>
  <c r="AA337" i="6"/>
  <c r="AD337" i="6"/>
  <c r="H338" i="6"/>
  <c r="K338" i="6"/>
  <c r="M338" i="6"/>
  <c r="O338" i="6"/>
  <c r="R338" i="6"/>
  <c r="U338" i="6"/>
  <c r="W338" i="6"/>
  <c r="Y338" i="6"/>
  <c r="Z338" i="6"/>
  <c r="AB338" i="6"/>
  <c r="AC338" i="6"/>
  <c r="AE338" i="6"/>
  <c r="AF338" i="6"/>
  <c r="AG338" i="6"/>
  <c r="AH338" i="6"/>
  <c r="AI338" i="6"/>
  <c r="G339" i="6"/>
  <c r="H339" i="6"/>
  <c r="J339" i="6"/>
  <c r="K339" i="6"/>
  <c r="M339" i="6"/>
  <c r="O339" i="6"/>
  <c r="P339" i="6"/>
  <c r="Q339" i="6"/>
  <c r="R339" i="6"/>
  <c r="S339" i="6"/>
  <c r="T339" i="6"/>
  <c r="U339" i="6"/>
  <c r="V339" i="6"/>
  <c r="W339" i="6"/>
  <c r="X339" i="6"/>
  <c r="Y339" i="6"/>
  <c r="Z339" i="6"/>
  <c r="AA339" i="6"/>
  <c r="AB339" i="6"/>
  <c r="AC339" i="6"/>
  <c r="AD339" i="6"/>
  <c r="AE339" i="6"/>
  <c r="AF339" i="6"/>
  <c r="AG339" i="6"/>
  <c r="AH339" i="6"/>
  <c r="AI339" i="6"/>
  <c r="AB341" i="6"/>
  <c r="AE341" i="6"/>
  <c r="AG341" i="6"/>
  <c r="AI341" i="6"/>
  <c r="G343" i="6"/>
  <c r="H343" i="6"/>
  <c r="J343" i="6"/>
  <c r="K343" i="6"/>
  <c r="M343" i="6"/>
  <c r="O343" i="6"/>
  <c r="Q343" i="6"/>
  <c r="R343" i="6"/>
  <c r="T343" i="6"/>
  <c r="U343" i="6"/>
  <c r="W343" i="6"/>
  <c r="Y343" i="6"/>
  <c r="AA343" i="6"/>
  <c r="AB343" i="6"/>
  <c r="AD343" i="6"/>
  <c r="AE343" i="6"/>
  <c r="AG343" i="6"/>
  <c r="AI343" i="6"/>
  <c r="F347" i="6"/>
  <c r="G347" i="6"/>
  <c r="H347" i="6"/>
  <c r="I347" i="6"/>
  <c r="J347" i="6"/>
  <c r="K347" i="6"/>
  <c r="L347" i="6"/>
  <c r="M347" i="6"/>
  <c r="N347" i="6"/>
  <c r="O347" i="6"/>
  <c r="P347" i="6"/>
  <c r="Q347" i="6"/>
  <c r="R347" i="6"/>
  <c r="S347" i="6"/>
  <c r="T347" i="6"/>
  <c r="U347" i="6"/>
  <c r="V347" i="6"/>
  <c r="W347" i="6"/>
  <c r="X347" i="6"/>
  <c r="Y347" i="6"/>
  <c r="AA347" i="6"/>
  <c r="AB347" i="6"/>
  <c r="AD347" i="6"/>
  <c r="AE347" i="6"/>
  <c r="AG347" i="6"/>
  <c r="AI347" i="6"/>
  <c r="G348" i="6"/>
  <c r="H348" i="6"/>
  <c r="J348" i="6"/>
  <c r="K348" i="6"/>
  <c r="M348" i="6"/>
  <c r="O348" i="6"/>
  <c r="Q348" i="6"/>
  <c r="R348" i="6"/>
  <c r="T348" i="6"/>
  <c r="U348" i="6"/>
  <c r="W348" i="6"/>
  <c r="Y348" i="6"/>
  <c r="Z348" i="6"/>
  <c r="AA348" i="6"/>
  <c r="AB348" i="6"/>
  <c r="AC348" i="6"/>
  <c r="AD348" i="6"/>
  <c r="AE348" i="6"/>
  <c r="AF348" i="6"/>
  <c r="AG348" i="6"/>
  <c r="AH348" i="6"/>
  <c r="AI348" i="6"/>
  <c r="G349" i="6"/>
  <c r="H349" i="6"/>
  <c r="J349" i="6"/>
  <c r="K349" i="6"/>
  <c r="M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AF349" i="6"/>
  <c r="AG349" i="6"/>
  <c r="AH349" i="6"/>
  <c r="AI349" i="6"/>
  <c r="F350" i="6"/>
  <c r="H350" i="6"/>
  <c r="I350" i="6"/>
  <c r="K350" i="6"/>
  <c r="L350" i="6"/>
  <c r="M350" i="6"/>
  <c r="N350" i="6"/>
  <c r="O350" i="6"/>
  <c r="P350" i="6"/>
  <c r="R350" i="6"/>
  <c r="S350" i="6"/>
  <c r="U350" i="6"/>
  <c r="V350" i="6"/>
  <c r="W350" i="6"/>
  <c r="X350" i="6"/>
  <c r="Y350" i="6"/>
  <c r="Z350" i="6"/>
  <c r="AB350" i="6"/>
  <c r="AC350" i="6"/>
  <c r="AE350" i="6"/>
  <c r="AF350" i="6"/>
  <c r="AG350" i="6"/>
  <c r="AH350" i="6"/>
  <c r="AI350" i="6"/>
  <c r="F352" i="6"/>
  <c r="G352" i="6"/>
  <c r="H352" i="6"/>
  <c r="I352" i="6"/>
  <c r="J352" i="6"/>
  <c r="K352" i="6"/>
  <c r="L352" i="6"/>
  <c r="M352" i="6"/>
  <c r="N352" i="6"/>
  <c r="O352" i="6"/>
  <c r="P352" i="6"/>
  <c r="Q352" i="6"/>
  <c r="R352" i="6"/>
  <c r="S352" i="6"/>
  <c r="T352" i="6"/>
  <c r="U352" i="6"/>
  <c r="V352" i="6"/>
  <c r="W352" i="6"/>
  <c r="X352" i="6"/>
  <c r="Y352" i="6"/>
  <c r="AA352" i="6"/>
  <c r="AB352" i="6"/>
  <c r="AD352" i="6"/>
  <c r="AE352" i="6"/>
  <c r="AG352" i="6"/>
  <c r="AI352" i="6"/>
  <c r="H353" i="6"/>
  <c r="K353" i="6"/>
  <c r="M353" i="6"/>
  <c r="O353" i="6"/>
  <c r="R353" i="6"/>
  <c r="U353" i="6"/>
  <c r="W353" i="6"/>
  <c r="Y353" i="6"/>
  <c r="Z353" i="6"/>
  <c r="AB353" i="6"/>
  <c r="AC353" i="6"/>
  <c r="AE353" i="6"/>
  <c r="AF353" i="6"/>
  <c r="AG353" i="6"/>
  <c r="AH353" i="6"/>
  <c r="AI353" i="6"/>
  <c r="G354" i="6"/>
  <c r="H354" i="6"/>
  <c r="J354" i="6"/>
  <c r="K354" i="6"/>
  <c r="M354" i="6"/>
  <c r="O354" i="6"/>
  <c r="P354" i="6"/>
  <c r="Q354" i="6"/>
  <c r="R354" i="6"/>
  <c r="S354" i="6"/>
  <c r="T354" i="6"/>
  <c r="U354" i="6"/>
  <c r="V354" i="6"/>
  <c r="W354" i="6"/>
  <c r="X354" i="6"/>
  <c r="Y354" i="6"/>
  <c r="Z354" i="6"/>
  <c r="AA354" i="6"/>
  <c r="AB354" i="6"/>
  <c r="AC354" i="6"/>
  <c r="AD354" i="6"/>
  <c r="AE354" i="6"/>
  <c r="AF354" i="6"/>
  <c r="AG354" i="6"/>
  <c r="AH354" i="6"/>
  <c r="AI354" i="6"/>
  <c r="G564" i="6"/>
  <c r="H564" i="6"/>
  <c r="J564" i="6"/>
  <c r="K564" i="6"/>
  <c r="M564" i="6"/>
  <c r="O564" i="6"/>
  <c r="Q564" i="6"/>
  <c r="R564" i="6"/>
  <c r="T564" i="6"/>
  <c r="U564" i="6"/>
  <c r="W564" i="6"/>
  <c r="Y564" i="6"/>
  <c r="AA564" i="6"/>
  <c r="AB564" i="6"/>
  <c r="AD564" i="6"/>
  <c r="AE564" i="6"/>
  <c r="AG564" i="6"/>
  <c r="AI564" i="6"/>
  <c r="G565" i="6"/>
  <c r="H565" i="6"/>
  <c r="J565" i="6"/>
  <c r="K565" i="6"/>
  <c r="M565" i="6"/>
  <c r="O565" i="6"/>
  <c r="Q565" i="6"/>
  <c r="R565" i="6"/>
  <c r="T565" i="6"/>
  <c r="U565" i="6"/>
  <c r="W565" i="6"/>
  <c r="Y565" i="6"/>
  <c r="AA565" i="6"/>
  <c r="AB565" i="6"/>
  <c r="AD565" i="6"/>
  <c r="AE565" i="6"/>
  <c r="AG565" i="6"/>
  <c r="AI565" i="6"/>
  <c r="G566" i="6"/>
  <c r="H566" i="6"/>
  <c r="J566" i="6"/>
  <c r="K566" i="6"/>
  <c r="M566" i="6"/>
  <c r="O566" i="6"/>
  <c r="Q566" i="6"/>
  <c r="R566" i="6"/>
  <c r="T566" i="6"/>
  <c r="U566" i="6"/>
  <c r="W566" i="6"/>
  <c r="Y566" i="6"/>
  <c r="AA566" i="6"/>
  <c r="AB566" i="6"/>
  <c r="AD566" i="6"/>
  <c r="AE566" i="6"/>
  <c r="AG566" i="6"/>
  <c r="AI566" i="6"/>
  <c r="G567" i="6"/>
  <c r="H567" i="6"/>
  <c r="J567" i="6"/>
  <c r="K567" i="6"/>
  <c r="M567" i="6"/>
  <c r="O567" i="6"/>
  <c r="Q567" i="6"/>
  <c r="R567" i="6"/>
  <c r="T567" i="6"/>
  <c r="U567" i="6"/>
  <c r="W567" i="6"/>
  <c r="Y567" i="6"/>
  <c r="AA567" i="6"/>
  <c r="AB567" i="6"/>
  <c r="AD567" i="6"/>
  <c r="AE567" i="6"/>
  <c r="AG567" i="6"/>
  <c r="AI567" i="6"/>
  <c r="F568" i="6"/>
  <c r="G568" i="6"/>
  <c r="I568" i="6"/>
  <c r="J568" i="6"/>
  <c r="L568" i="6"/>
  <c r="N568" i="6"/>
  <c r="P568" i="6"/>
  <c r="Q568" i="6"/>
  <c r="S568" i="6"/>
  <c r="T568" i="6"/>
  <c r="V568" i="6"/>
  <c r="X568" i="6"/>
  <c r="Z568" i="6"/>
  <c r="AA568" i="6"/>
  <c r="AC568" i="6"/>
  <c r="AD568" i="6"/>
  <c r="AF568" i="6"/>
  <c r="AH568" i="6"/>
  <c r="F569" i="6"/>
  <c r="G569" i="6"/>
  <c r="I569" i="6"/>
  <c r="J569" i="6"/>
  <c r="L569" i="6"/>
  <c r="N569" i="6"/>
  <c r="P569" i="6"/>
  <c r="Q569" i="6"/>
  <c r="S569" i="6"/>
  <c r="T569" i="6"/>
  <c r="V569" i="6"/>
  <c r="X569" i="6"/>
  <c r="Z569" i="6"/>
  <c r="AA569" i="6"/>
  <c r="AC569" i="6"/>
  <c r="AD569" i="6"/>
  <c r="AF569" i="6"/>
  <c r="AH569" i="6"/>
  <c r="H575" i="6"/>
  <c r="K575" i="6"/>
  <c r="M575" i="6"/>
  <c r="O575" i="6"/>
  <c r="R575" i="6"/>
  <c r="U575" i="6"/>
  <c r="W575" i="6"/>
  <c r="Y575" i="6"/>
  <c r="AB575" i="6"/>
  <c r="AE575" i="6"/>
  <c r="AG575" i="6"/>
  <c r="AI575" i="6"/>
  <c r="F576" i="6"/>
  <c r="G576" i="6"/>
  <c r="I576" i="6"/>
  <c r="J576" i="6"/>
  <c r="L576" i="6"/>
  <c r="N576" i="6"/>
  <c r="P576" i="6"/>
  <c r="Q576" i="6"/>
  <c r="S576" i="6"/>
  <c r="T576" i="6"/>
  <c r="V576" i="6"/>
  <c r="X576" i="6"/>
  <c r="Z576" i="6"/>
  <c r="AA576" i="6"/>
  <c r="AC576" i="6"/>
  <c r="AD576" i="6"/>
  <c r="AF576" i="6"/>
  <c r="AH576" i="6"/>
  <c r="G591" i="6"/>
  <c r="H591" i="6"/>
  <c r="J591" i="6"/>
  <c r="K591" i="6"/>
  <c r="M591" i="6"/>
  <c r="O591" i="6"/>
  <c r="Q591" i="6"/>
  <c r="R591" i="6"/>
  <c r="T591" i="6"/>
  <c r="U591" i="6"/>
  <c r="W591" i="6"/>
  <c r="Y591" i="6"/>
  <c r="AA591" i="6"/>
  <c r="AB591" i="6"/>
  <c r="AD591" i="6"/>
  <c r="AE591" i="6"/>
  <c r="AG591" i="6"/>
  <c r="AI591" i="6"/>
  <c r="G592" i="6"/>
  <c r="H592" i="6"/>
  <c r="J592" i="6"/>
  <c r="K592" i="6"/>
  <c r="M592" i="6"/>
  <c r="O592" i="6"/>
  <c r="Q592" i="6"/>
  <c r="R592" i="6"/>
  <c r="T592" i="6"/>
  <c r="U592" i="6"/>
  <c r="W592" i="6"/>
  <c r="Y592" i="6"/>
  <c r="AA592" i="6"/>
  <c r="AB592" i="6"/>
  <c r="AD592" i="6"/>
  <c r="AE592" i="6"/>
  <c r="AG592" i="6"/>
  <c r="AI592" i="6"/>
  <c r="G593" i="6"/>
  <c r="H593" i="6"/>
  <c r="J593" i="6"/>
  <c r="K593" i="6"/>
  <c r="M593" i="6"/>
  <c r="O593" i="6"/>
  <c r="Q593" i="6"/>
  <c r="R593" i="6"/>
  <c r="T593" i="6"/>
  <c r="U593" i="6"/>
  <c r="W593" i="6"/>
  <c r="Y593" i="6"/>
  <c r="AA593" i="6"/>
  <c r="AB593" i="6"/>
  <c r="AD593" i="6"/>
  <c r="AE593" i="6"/>
  <c r="AG593" i="6"/>
  <c r="AI593" i="6"/>
  <c r="F594" i="6"/>
  <c r="G594" i="6"/>
  <c r="I594" i="6"/>
  <c r="J594" i="6"/>
  <c r="L594" i="6"/>
  <c r="N594" i="6"/>
  <c r="P594" i="6"/>
  <c r="Q594" i="6"/>
  <c r="S594" i="6"/>
  <c r="T594" i="6"/>
  <c r="V594" i="6"/>
  <c r="X594" i="6"/>
  <c r="Z594" i="6"/>
  <c r="AA594" i="6"/>
  <c r="AC594" i="6"/>
  <c r="AD594" i="6"/>
  <c r="AF594" i="6"/>
  <c r="AH594" i="6"/>
  <c r="F595" i="6"/>
  <c r="G595" i="6"/>
  <c r="I595" i="6"/>
  <c r="J595" i="6"/>
  <c r="L595" i="6"/>
  <c r="N595" i="6"/>
  <c r="P595" i="6"/>
  <c r="Q595" i="6"/>
  <c r="S595" i="6"/>
  <c r="T595" i="6"/>
  <c r="V595" i="6"/>
  <c r="X595" i="6"/>
  <c r="Z595" i="6"/>
  <c r="AA595" i="6"/>
  <c r="AC595" i="6"/>
  <c r="AD595" i="6"/>
  <c r="AF595" i="6"/>
  <c r="AH595" i="6"/>
  <c r="B5" i="5"/>
  <c r="B5" i="4"/>
  <c r="AG687" i="4"/>
  <c r="AG687" i="5" s="1"/>
  <c r="AI687" i="6" s="1"/>
  <c r="AF687" i="4"/>
  <c r="AE687" i="4"/>
  <c r="AD687" i="4"/>
  <c r="AC687" i="4"/>
  <c r="AC687" i="5" s="1"/>
  <c r="AE687" i="6" s="1"/>
  <c r="AB687" i="4"/>
  <c r="AA687" i="4"/>
  <c r="Z687" i="4"/>
  <c r="Y687" i="4"/>
  <c r="Y687" i="5" s="1"/>
  <c r="AA687" i="6" s="1"/>
  <c r="X687" i="4"/>
  <c r="W687" i="4"/>
  <c r="V687" i="4"/>
  <c r="U687" i="4"/>
  <c r="U687" i="5" s="1"/>
  <c r="W687" i="6" s="1"/>
  <c r="T687" i="4"/>
  <c r="S687" i="4"/>
  <c r="R687" i="4"/>
  <c r="Q687" i="4"/>
  <c r="Q687" i="5" s="1"/>
  <c r="S687" i="6" s="1"/>
  <c r="P687" i="4"/>
  <c r="O687" i="4"/>
  <c r="N687" i="4"/>
  <c r="M687" i="4"/>
  <c r="M687" i="5" s="1"/>
  <c r="O687" i="6" s="1"/>
  <c r="L687" i="4"/>
  <c r="K687" i="4"/>
  <c r="J687" i="4"/>
  <c r="I687" i="4"/>
  <c r="I687" i="5" s="1"/>
  <c r="K687" i="6" s="1"/>
  <c r="H687" i="4"/>
  <c r="G687" i="4"/>
  <c r="F687" i="4"/>
  <c r="E687" i="4"/>
  <c r="E687" i="5" s="1"/>
  <c r="G687" i="6" s="1"/>
  <c r="D687" i="4"/>
  <c r="AG686" i="4"/>
  <c r="AF686" i="4"/>
  <c r="AE686" i="4"/>
  <c r="AE686" i="5" s="1"/>
  <c r="AG686" i="6" s="1"/>
  <c r="AD686" i="4"/>
  <c r="AC686" i="4"/>
  <c r="AB686" i="4"/>
  <c r="AA686" i="4"/>
  <c r="AA686" i="5" s="1"/>
  <c r="AC686" i="6" s="1"/>
  <c r="Z686" i="4"/>
  <c r="Y686" i="4"/>
  <c r="X686" i="4"/>
  <c r="W686" i="4"/>
  <c r="W686" i="5" s="1"/>
  <c r="Y686" i="6" s="1"/>
  <c r="V686" i="4"/>
  <c r="U686" i="4"/>
  <c r="T686" i="4"/>
  <c r="S686" i="4"/>
  <c r="S686" i="5" s="1"/>
  <c r="U686" i="6" s="1"/>
  <c r="R686" i="4"/>
  <c r="Q686" i="4"/>
  <c r="P686" i="4"/>
  <c r="O686" i="4"/>
  <c r="O686" i="5" s="1"/>
  <c r="Q686" i="6" s="1"/>
  <c r="N686" i="4"/>
  <c r="M686" i="4"/>
  <c r="L686" i="4"/>
  <c r="K686" i="4"/>
  <c r="K686" i="5" s="1"/>
  <c r="M686" i="6" s="1"/>
  <c r="J686" i="4"/>
  <c r="I686" i="4"/>
  <c r="H686" i="4"/>
  <c r="G686" i="4"/>
  <c r="G686" i="5" s="1"/>
  <c r="I686" i="6" s="1"/>
  <c r="F686" i="4"/>
  <c r="E686" i="4"/>
  <c r="D686" i="4"/>
  <c r="AG685" i="4"/>
  <c r="AG685" i="5" s="1"/>
  <c r="AI685" i="6" s="1"/>
  <c r="AF685" i="4"/>
  <c r="AE685" i="4"/>
  <c r="AD685" i="4"/>
  <c r="AC685" i="4"/>
  <c r="AC685" i="5" s="1"/>
  <c r="AE685" i="6" s="1"/>
  <c r="AB685" i="4"/>
  <c r="AA685" i="4"/>
  <c r="Z685" i="4"/>
  <c r="Y685" i="4"/>
  <c r="Y685" i="5" s="1"/>
  <c r="AA685" i="6" s="1"/>
  <c r="X685" i="4"/>
  <c r="W685" i="4"/>
  <c r="V685" i="4"/>
  <c r="U685" i="4"/>
  <c r="U685" i="5" s="1"/>
  <c r="W685" i="6" s="1"/>
  <c r="T685" i="4"/>
  <c r="S685" i="4"/>
  <c r="R685" i="4"/>
  <c r="Q685" i="4"/>
  <c r="Q685" i="5" s="1"/>
  <c r="S685" i="6" s="1"/>
  <c r="P685" i="4"/>
  <c r="O685" i="4"/>
  <c r="N685" i="4"/>
  <c r="M685" i="4"/>
  <c r="M685" i="5" s="1"/>
  <c r="O685" i="6" s="1"/>
  <c r="L685" i="4"/>
  <c r="K685" i="4"/>
  <c r="J685" i="4"/>
  <c r="I685" i="4"/>
  <c r="I685" i="5" s="1"/>
  <c r="K685" i="6" s="1"/>
  <c r="H685" i="4"/>
  <c r="G685" i="4"/>
  <c r="F685" i="4"/>
  <c r="E685" i="4"/>
  <c r="E685" i="5" s="1"/>
  <c r="G685" i="6" s="1"/>
  <c r="D685" i="4"/>
  <c r="AG684" i="4"/>
  <c r="AF684" i="4"/>
  <c r="AE684" i="4"/>
  <c r="AE684" i="5" s="1"/>
  <c r="AG684" i="6" s="1"/>
  <c r="AD684" i="4"/>
  <c r="AC684" i="4"/>
  <c r="AB684" i="4"/>
  <c r="AA684" i="4"/>
  <c r="AA684" i="5" s="1"/>
  <c r="AC684" i="6" s="1"/>
  <c r="Z684" i="4"/>
  <c r="Y684" i="4"/>
  <c r="X684" i="4"/>
  <c r="W684" i="4"/>
  <c r="W684" i="5" s="1"/>
  <c r="Y684" i="6" s="1"/>
  <c r="V684" i="4"/>
  <c r="U684" i="4"/>
  <c r="T684" i="4"/>
  <c r="S684" i="4"/>
  <c r="S684" i="5" s="1"/>
  <c r="U684" i="6" s="1"/>
  <c r="R684" i="4"/>
  <c r="Q684" i="4"/>
  <c r="P684" i="4"/>
  <c r="O684" i="4"/>
  <c r="O684" i="5" s="1"/>
  <c r="Q684" i="6" s="1"/>
  <c r="N684" i="4"/>
  <c r="M684" i="4"/>
  <c r="L684" i="4"/>
  <c r="K684" i="4"/>
  <c r="K684" i="5" s="1"/>
  <c r="M684" i="6" s="1"/>
  <c r="J684" i="4"/>
  <c r="I684" i="4"/>
  <c r="H684" i="4"/>
  <c r="G684" i="4"/>
  <c r="G684" i="5" s="1"/>
  <c r="I684" i="6" s="1"/>
  <c r="F684" i="4"/>
  <c r="E684" i="4"/>
  <c r="D684" i="4"/>
  <c r="AG683" i="4"/>
  <c r="AG683" i="5" s="1"/>
  <c r="AI683" i="6" s="1"/>
  <c r="AF683" i="4"/>
  <c r="AE683" i="4"/>
  <c r="AD683" i="4"/>
  <c r="AC683" i="4"/>
  <c r="AC683" i="5" s="1"/>
  <c r="AE683" i="6" s="1"/>
  <c r="AB683" i="4"/>
  <c r="AA683" i="4"/>
  <c r="Z683" i="4"/>
  <c r="Y683" i="4"/>
  <c r="Y683" i="5" s="1"/>
  <c r="AA683" i="6" s="1"/>
  <c r="X683" i="4"/>
  <c r="W683" i="4"/>
  <c r="V683" i="4"/>
  <c r="U683" i="4"/>
  <c r="U683" i="5" s="1"/>
  <c r="W683" i="6" s="1"/>
  <c r="T683" i="4"/>
  <c r="S683" i="4"/>
  <c r="R683" i="4"/>
  <c r="Q683" i="4"/>
  <c r="Q683" i="5" s="1"/>
  <c r="S683" i="6" s="1"/>
  <c r="P683" i="4"/>
  <c r="O683" i="4"/>
  <c r="N683" i="4"/>
  <c r="M683" i="4"/>
  <c r="M683" i="5" s="1"/>
  <c r="O683" i="6" s="1"/>
  <c r="L683" i="4"/>
  <c r="K683" i="4"/>
  <c r="J683" i="4"/>
  <c r="I683" i="4"/>
  <c r="I683" i="5" s="1"/>
  <c r="K683" i="6" s="1"/>
  <c r="H683" i="4"/>
  <c r="G683" i="4"/>
  <c r="F683" i="4"/>
  <c r="E683" i="4"/>
  <c r="E683" i="5" s="1"/>
  <c r="G683" i="6" s="1"/>
  <c r="D683" i="4"/>
  <c r="AG682" i="4"/>
  <c r="AF682" i="4"/>
  <c r="AE682" i="4"/>
  <c r="AE682" i="5" s="1"/>
  <c r="AG682" i="6" s="1"/>
  <c r="AD682" i="4"/>
  <c r="AC682" i="4"/>
  <c r="AB682" i="4"/>
  <c r="AA682" i="4"/>
  <c r="AA682" i="5" s="1"/>
  <c r="AC682" i="6" s="1"/>
  <c r="Z682" i="4"/>
  <c r="Y682" i="4"/>
  <c r="X682" i="4"/>
  <c r="W682" i="4"/>
  <c r="W682" i="5" s="1"/>
  <c r="Y682" i="6" s="1"/>
  <c r="V682" i="4"/>
  <c r="U682" i="4"/>
  <c r="T682" i="4"/>
  <c r="S682" i="4"/>
  <c r="S682" i="5" s="1"/>
  <c r="U682" i="6" s="1"/>
  <c r="R682" i="4"/>
  <c r="Q682" i="4"/>
  <c r="P682" i="4"/>
  <c r="O682" i="4"/>
  <c r="O682" i="5" s="1"/>
  <c r="Q682" i="6" s="1"/>
  <c r="N682" i="4"/>
  <c r="M682" i="4"/>
  <c r="L682" i="4"/>
  <c r="K682" i="4"/>
  <c r="K682" i="5" s="1"/>
  <c r="M682" i="6" s="1"/>
  <c r="J682" i="4"/>
  <c r="I682" i="4"/>
  <c r="H682" i="4"/>
  <c r="G682" i="4"/>
  <c r="G682" i="5" s="1"/>
  <c r="I682" i="6" s="1"/>
  <c r="F682" i="4"/>
  <c r="E682" i="4"/>
  <c r="D682" i="4"/>
  <c r="AG681" i="4"/>
  <c r="AG681" i="5" s="1"/>
  <c r="AI681" i="6" s="1"/>
  <c r="AF681" i="4"/>
  <c r="AE681" i="4"/>
  <c r="AD681" i="4"/>
  <c r="AC681" i="4"/>
  <c r="AC681" i="5" s="1"/>
  <c r="AE681" i="6" s="1"/>
  <c r="AB681" i="4"/>
  <c r="AA681" i="4"/>
  <c r="Z681" i="4"/>
  <c r="Y681" i="4"/>
  <c r="Y681" i="5" s="1"/>
  <c r="AA681" i="6" s="1"/>
  <c r="X681" i="4"/>
  <c r="W681" i="4"/>
  <c r="V681" i="4"/>
  <c r="U681" i="4"/>
  <c r="U681" i="5" s="1"/>
  <c r="W681" i="6" s="1"/>
  <c r="T681" i="4"/>
  <c r="S681" i="4"/>
  <c r="R681" i="4"/>
  <c r="Q681" i="4"/>
  <c r="Q681" i="5" s="1"/>
  <c r="S681" i="6" s="1"/>
  <c r="P681" i="4"/>
  <c r="O681" i="4"/>
  <c r="N681" i="4"/>
  <c r="M681" i="4"/>
  <c r="M681" i="5" s="1"/>
  <c r="O681" i="6" s="1"/>
  <c r="L681" i="4"/>
  <c r="K681" i="4"/>
  <c r="J681" i="4"/>
  <c r="I681" i="4"/>
  <c r="I681" i="5" s="1"/>
  <c r="K681" i="6" s="1"/>
  <c r="H681" i="4"/>
  <c r="G681" i="4"/>
  <c r="F681" i="4"/>
  <c r="E681" i="4"/>
  <c r="E681" i="5" s="1"/>
  <c r="G681" i="6" s="1"/>
  <c r="D681" i="4"/>
  <c r="AG680" i="4"/>
  <c r="AF680" i="4"/>
  <c r="AE680" i="4"/>
  <c r="AE680" i="5" s="1"/>
  <c r="AG680" i="6" s="1"/>
  <c r="AD680" i="4"/>
  <c r="AC680" i="4"/>
  <c r="AB680" i="4"/>
  <c r="AA680" i="4"/>
  <c r="AA680" i="5" s="1"/>
  <c r="AC680" i="6" s="1"/>
  <c r="Z680" i="4"/>
  <c r="Y680" i="4"/>
  <c r="X680" i="4"/>
  <c r="W680" i="4"/>
  <c r="W680" i="5" s="1"/>
  <c r="Y680" i="6" s="1"/>
  <c r="V680" i="4"/>
  <c r="U680" i="4"/>
  <c r="T680" i="4"/>
  <c r="S680" i="4"/>
  <c r="S680" i="5" s="1"/>
  <c r="U680" i="6" s="1"/>
  <c r="R680" i="4"/>
  <c r="Q680" i="4"/>
  <c r="P680" i="4"/>
  <c r="O680" i="4"/>
  <c r="O680" i="5" s="1"/>
  <c r="Q680" i="6" s="1"/>
  <c r="N680" i="4"/>
  <c r="M680" i="4"/>
  <c r="L680" i="4"/>
  <c r="K680" i="4"/>
  <c r="K680" i="5" s="1"/>
  <c r="M680" i="6" s="1"/>
  <c r="J680" i="4"/>
  <c r="I680" i="4"/>
  <c r="H680" i="4"/>
  <c r="G680" i="4"/>
  <c r="G680" i="5" s="1"/>
  <c r="I680" i="6" s="1"/>
  <c r="F680" i="4"/>
  <c r="E680" i="4"/>
  <c r="D680" i="4"/>
  <c r="AG679" i="4"/>
  <c r="AG679" i="5" s="1"/>
  <c r="AI679" i="6" s="1"/>
  <c r="AF679" i="4"/>
  <c r="AE679" i="4"/>
  <c r="AD679" i="4"/>
  <c r="AC679" i="4"/>
  <c r="AC679" i="5" s="1"/>
  <c r="AE679" i="6" s="1"/>
  <c r="AB679" i="4"/>
  <c r="AA679" i="4"/>
  <c r="Z679" i="4"/>
  <c r="Y679" i="4"/>
  <c r="Y679" i="5" s="1"/>
  <c r="AA679" i="6" s="1"/>
  <c r="X679" i="4"/>
  <c r="W679" i="4"/>
  <c r="V679" i="4"/>
  <c r="U679" i="4"/>
  <c r="U679" i="5" s="1"/>
  <c r="W679" i="6" s="1"/>
  <c r="T679" i="4"/>
  <c r="S679" i="4"/>
  <c r="R679" i="4"/>
  <c r="Q679" i="4"/>
  <c r="Q679" i="5" s="1"/>
  <c r="S679" i="6" s="1"/>
  <c r="P679" i="4"/>
  <c r="O679" i="4"/>
  <c r="N679" i="4"/>
  <c r="M679" i="4"/>
  <c r="M679" i="5" s="1"/>
  <c r="O679" i="6" s="1"/>
  <c r="L679" i="4"/>
  <c r="K679" i="4"/>
  <c r="J679" i="4"/>
  <c r="I679" i="4"/>
  <c r="I679" i="5" s="1"/>
  <c r="K679" i="6" s="1"/>
  <c r="H679" i="4"/>
  <c r="G679" i="4"/>
  <c r="F679" i="4"/>
  <c r="E679" i="4"/>
  <c r="E679" i="5" s="1"/>
  <c r="G679" i="6" s="1"/>
  <c r="D679" i="4"/>
  <c r="AG678" i="4"/>
  <c r="AF678" i="4"/>
  <c r="AE678" i="4"/>
  <c r="AE678" i="5" s="1"/>
  <c r="AG678" i="6" s="1"/>
  <c r="AD678" i="4"/>
  <c r="AC678" i="4"/>
  <c r="AB678" i="4"/>
  <c r="AA678" i="4"/>
  <c r="AA678" i="5" s="1"/>
  <c r="AC678" i="6" s="1"/>
  <c r="Z678" i="4"/>
  <c r="Y678" i="4"/>
  <c r="X678" i="4"/>
  <c r="W678" i="4"/>
  <c r="W678" i="5" s="1"/>
  <c r="Y678" i="6" s="1"/>
  <c r="V678" i="4"/>
  <c r="U678" i="4"/>
  <c r="T678" i="4"/>
  <c r="S678" i="4"/>
  <c r="S678" i="5" s="1"/>
  <c r="U678" i="6" s="1"/>
  <c r="R678" i="4"/>
  <c r="Q678" i="4"/>
  <c r="P678" i="4"/>
  <c r="O678" i="4"/>
  <c r="O678" i="5" s="1"/>
  <c r="Q678" i="6" s="1"/>
  <c r="N678" i="4"/>
  <c r="M678" i="4"/>
  <c r="L678" i="4"/>
  <c r="K678" i="4"/>
  <c r="K678" i="5" s="1"/>
  <c r="M678" i="6" s="1"/>
  <c r="J678" i="4"/>
  <c r="I678" i="4"/>
  <c r="H678" i="4"/>
  <c r="G678" i="4"/>
  <c r="G678" i="5" s="1"/>
  <c r="I678" i="6" s="1"/>
  <c r="F678" i="4"/>
  <c r="E678" i="4"/>
  <c r="D678" i="4"/>
  <c r="AG677" i="4"/>
  <c r="AG677" i="5" s="1"/>
  <c r="AI677" i="6" s="1"/>
  <c r="AF677" i="4"/>
  <c r="AE677" i="4"/>
  <c r="AD677" i="4"/>
  <c r="AC677" i="4"/>
  <c r="AC677" i="5" s="1"/>
  <c r="AE677" i="6" s="1"/>
  <c r="AB677" i="4"/>
  <c r="AA677" i="4"/>
  <c r="Z677" i="4"/>
  <c r="Y677" i="4"/>
  <c r="Y677" i="5" s="1"/>
  <c r="AA677" i="6" s="1"/>
  <c r="X677" i="4"/>
  <c r="W677" i="4"/>
  <c r="V677" i="4"/>
  <c r="U677" i="4"/>
  <c r="U677" i="5" s="1"/>
  <c r="W677" i="6" s="1"/>
  <c r="T677" i="4"/>
  <c r="S677" i="4"/>
  <c r="R677" i="4"/>
  <c r="Q677" i="4"/>
  <c r="Q677" i="5" s="1"/>
  <c r="S677" i="6" s="1"/>
  <c r="P677" i="4"/>
  <c r="O677" i="4"/>
  <c r="N677" i="4"/>
  <c r="M677" i="4"/>
  <c r="M677" i="5" s="1"/>
  <c r="O677" i="6" s="1"/>
  <c r="L677" i="4"/>
  <c r="K677" i="4"/>
  <c r="J677" i="4"/>
  <c r="I677" i="4"/>
  <c r="I677" i="5" s="1"/>
  <c r="K677" i="6" s="1"/>
  <c r="H677" i="4"/>
  <c r="G677" i="4"/>
  <c r="F677" i="4"/>
  <c r="E677" i="4"/>
  <c r="E677" i="5" s="1"/>
  <c r="G677" i="6" s="1"/>
  <c r="D677" i="4"/>
  <c r="AG676" i="4"/>
  <c r="AF676" i="4"/>
  <c r="AE676" i="4"/>
  <c r="AE676" i="5" s="1"/>
  <c r="AG676" i="6" s="1"/>
  <c r="AD676" i="4"/>
  <c r="AC676" i="4"/>
  <c r="AB676" i="4"/>
  <c r="AA676" i="4"/>
  <c r="AA676" i="5" s="1"/>
  <c r="AC676" i="6" s="1"/>
  <c r="Z676" i="4"/>
  <c r="Y676" i="4"/>
  <c r="X676" i="4"/>
  <c r="W676" i="4"/>
  <c r="W676" i="5" s="1"/>
  <c r="Y676" i="6" s="1"/>
  <c r="V676" i="4"/>
  <c r="U676" i="4"/>
  <c r="T676" i="4"/>
  <c r="S676" i="4"/>
  <c r="S676" i="5" s="1"/>
  <c r="U676" i="6" s="1"/>
  <c r="R676" i="4"/>
  <c r="Q676" i="4"/>
  <c r="P676" i="4"/>
  <c r="O676" i="4"/>
  <c r="O676" i="5" s="1"/>
  <c r="Q676" i="6" s="1"/>
  <c r="N676" i="4"/>
  <c r="M676" i="4"/>
  <c r="L676" i="4"/>
  <c r="K676" i="4"/>
  <c r="K676" i="5" s="1"/>
  <c r="M676" i="6" s="1"/>
  <c r="J676" i="4"/>
  <c r="I676" i="4"/>
  <c r="H676" i="4"/>
  <c r="G676" i="4"/>
  <c r="G676" i="5" s="1"/>
  <c r="I676" i="6" s="1"/>
  <c r="F676" i="4"/>
  <c r="E676" i="4"/>
  <c r="D676" i="4"/>
  <c r="AG675" i="4"/>
  <c r="AG675" i="5" s="1"/>
  <c r="AI675" i="6" s="1"/>
  <c r="AF675" i="4"/>
  <c r="AE675" i="4"/>
  <c r="AD675" i="4"/>
  <c r="AC675" i="4"/>
  <c r="AC675" i="5" s="1"/>
  <c r="AE675" i="6" s="1"/>
  <c r="AB675" i="4"/>
  <c r="AA675" i="4"/>
  <c r="Z675" i="4"/>
  <c r="Y675" i="4"/>
  <c r="Y675" i="5" s="1"/>
  <c r="AA675" i="6" s="1"/>
  <c r="X675" i="4"/>
  <c r="W675" i="4"/>
  <c r="V675" i="4"/>
  <c r="U675" i="4"/>
  <c r="U675" i="5" s="1"/>
  <c r="W675" i="6" s="1"/>
  <c r="T675" i="4"/>
  <c r="S675" i="4"/>
  <c r="R675" i="4"/>
  <c r="Q675" i="4"/>
  <c r="Q675" i="5" s="1"/>
  <c r="S675" i="6" s="1"/>
  <c r="P675" i="4"/>
  <c r="O675" i="4"/>
  <c r="N675" i="4"/>
  <c r="M675" i="4"/>
  <c r="M675" i="5" s="1"/>
  <c r="O675" i="6" s="1"/>
  <c r="L675" i="4"/>
  <c r="K675" i="4"/>
  <c r="J675" i="4"/>
  <c r="I675" i="4"/>
  <c r="I675" i="5" s="1"/>
  <c r="K675" i="6" s="1"/>
  <c r="H675" i="4"/>
  <c r="G675" i="4"/>
  <c r="F675" i="4"/>
  <c r="E675" i="4"/>
  <c r="E675" i="5" s="1"/>
  <c r="G675" i="6" s="1"/>
  <c r="D675" i="4"/>
  <c r="AG674" i="4"/>
  <c r="AF674" i="4"/>
  <c r="AE674" i="4"/>
  <c r="AE674" i="5" s="1"/>
  <c r="AG674" i="6" s="1"/>
  <c r="AD674" i="4"/>
  <c r="AC674" i="4"/>
  <c r="AB674" i="4"/>
  <c r="AA674" i="4"/>
  <c r="AA674" i="5" s="1"/>
  <c r="AC674" i="6" s="1"/>
  <c r="Z674" i="4"/>
  <c r="Y674" i="4"/>
  <c r="X674" i="4"/>
  <c r="W674" i="4"/>
  <c r="W674" i="5" s="1"/>
  <c r="Y674" i="6" s="1"/>
  <c r="V674" i="4"/>
  <c r="U674" i="4"/>
  <c r="T674" i="4"/>
  <c r="S674" i="4"/>
  <c r="S674" i="5" s="1"/>
  <c r="U674" i="6" s="1"/>
  <c r="R674" i="4"/>
  <c r="Q674" i="4"/>
  <c r="P674" i="4"/>
  <c r="O674" i="4"/>
  <c r="O674" i="5" s="1"/>
  <c r="Q674" i="6" s="1"/>
  <c r="N674" i="4"/>
  <c r="M674" i="4"/>
  <c r="L674" i="4"/>
  <c r="K674" i="4"/>
  <c r="K674" i="5" s="1"/>
  <c r="M674" i="6" s="1"/>
  <c r="J674" i="4"/>
  <c r="I674" i="4"/>
  <c r="H674" i="4"/>
  <c r="G674" i="4"/>
  <c r="G674" i="5" s="1"/>
  <c r="I674" i="6" s="1"/>
  <c r="F674" i="4"/>
  <c r="E674" i="4"/>
  <c r="D674" i="4"/>
  <c r="AG673" i="4"/>
  <c r="AG673" i="5" s="1"/>
  <c r="AI673" i="6" s="1"/>
  <c r="AF673" i="4"/>
  <c r="AE673" i="4"/>
  <c r="AD673" i="4"/>
  <c r="AC673" i="4"/>
  <c r="AC673" i="5" s="1"/>
  <c r="AE673" i="6" s="1"/>
  <c r="AB673" i="4"/>
  <c r="AA673" i="4"/>
  <c r="Z673" i="4"/>
  <c r="Y673" i="4"/>
  <c r="Y673" i="5" s="1"/>
  <c r="AA673" i="6" s="1"/>
  <c r="X673" i="4"/>
  <c r="W673" i="4"/>
  <c r="V673" i="4"/>
  <c r="U673" i="4"/>
  <c r="U673" i="5" s="1"/>
  <c r="W673" i="6" s="1"/>
  <c r="T673" i="4"/>
  <c r="S673" i="4"/>
  <c r="R673" i="4"/>
  <c r="Q673" i="4"/>
  <c r="Q673" i="5" s="1"/>
  <c r="S673" i="6" s="1"/>
  <c r="P673" i="4"/>
  <c r="O673" i="4"/>
  <c r="N673" i="4"/>
  <c r="M673" i="4"/>
  <c r="M673" i="5" s="1"/>
  <c r="O673" i="6" s="1"/>
  <c r="L673" i="4"/>
  <c r="K673" i="4"/>
  <c r="J673" i="4"/>
  <c r="I673" i="4"/>
  <c r="I673" i="5" s="1"/>
  <c r="K673" i="6" s="1"/>
  <c r="H673" i="4"/>
  <c r="G673" i="4"/>
  <c r="F673" i="4"/>
  <c r="E673" i="4"/>
  <c r="E673" i="5" s="1"/>
  <c r="G673" i="6" s="1"/>
  <c r="D673" i="4"/>
  <c r="AG672" i="4"/>
  <c r="AF672" i="4"/>
  <c r="AE672" i="4"/>
  <c r="AE672" i="5" s="1"/>
  <c r="AG672" i="6" s="1"/>
  <c r="AD672" i="4"/>
  <c r="AC672" i="4"/>
  <c r="AB672" i="4"/>
  <c r="AA672" i="4"/>
  <c r="AA672" i="5" s="1"/>
  <c r="AC672" i="6" s="1"/>
  <c r="Z672" i="4"/>
  <c r="Y672" i="4"/>
  <c r="X672" i="4"/>
  <c r="W672" i="4"/>
  <c r="W672" i="5" s="1"/>
  <c r="Y672" i="6" s="1"/>
  <c r="V672" i="4"/>
  <c r="U672" i="4"/>
  <c r="T672" i="4"/>
  <c r="S672" i="4"/>
  <c r="S672" i="5" s="1"/>
  <c r="U672" i="6" s="1"/>
  <c r="R672" i="4"/>
  <c r="Q672" i="4"/>
  <c r="P672" i="4"/>
  <c r="O672" i="4"/>
  <c r="O672" i="5" s="1"/>
  <c r="Q672" i="6" s="1"/>
  <c r="N672" i="4"/>
  <c r="M672" i="4"/>
  <c r="L672" i="4"/>
  <c r="K672" i="4"/>
  <c r="K672" i="5" s="1"/>
  <c r="M672" i="6" s="1"/>
  <c r="J672" i="4"/>
  <c r="I672" i="4"/>
  <c r="H672" i="4"/>
  <c r="G672" i="4"/>
  <c r="G672" i="5" s="1"/>
  <c r="I672" i="6" s="1"/>
  <c r="F672" i="4"/>
  <c r="E672" i="4"/>
  <c r="D672" i="4"/>
  <c r="AG671" i="4"/>
  <c r="AG671" i="5" s="1"/>
  <c r="AI671" i="6" s="1"/>
  <c r="AF671" i="4"/>
  <c r="AE671" i="4"/>
  <c r="AD671" i="4"/>
  <c r="AC671" i="4"/>
  <c r="AC671" i="5" s="1"/>
  <c r="AE671" i="6" s="1"/>
  <c r="AB671" i="4"/>
  <c r="AA671" i="4"/>
  <c r="Z671" i="4"/>
  <c r="Y671" i="4"/>
  <c r="Y671" i="5" s="1"/>
  <c r="AA671" i="6" s="1"/>
  <c r="X671" i="4"/>
  <c r="W671" i="4"/>
  <c r="V671" i="4"/>
  <c r="U671" i="4"/>
  <c r="U671" i="5" s="1"/>
  <c r="W671" i="6" s="1"/>
  <c r="T671" i="4"/>
  <c r="S671" i="4"/>
  <c r="R671" i="4"/>
  <c r="Q671" i="4"/>
  <c r="Q671" i="5" s="1"/>
  <c r="S671" i="6" s="1"/>
  <c r="P671" i="4"/>
  <c r="O671" i="4"/>
  <c r="N671" i="4"/>
  <c r="M671" i="4"/>
  <c r="M671" i="5" s="1"/>
  <c r="O671" i="6" s="1"/>
  <c r="L671" i="4"/>
  <c r="K671" i="4"/>
  <c r="J671" i="4"/>
  <c r="I671" i="4"/>
  <c r="I671" i="5" s="1"/>
  <c r="K671" i="6" s="1"/>
  <c r="H671" i="4"/>
  <c r="G671" i="4"/>
  <c r="F671" i="4"/>
  <c r="E671" i="4"/>
  <c r="E671" i="5" s="1"/>
  <c r="G671" i="6" s="1"/>
  <c r="D671" i="4"/>
  <c r="AG670" i="4"/>
  <c r="AF670" i="4"/>
  <c r="AE670" i="4"/>
  <c r="AE670" i="5" s="1"/>
  <c r="AG670" i="6" s="1"/>
  <c r="AD670" i="4"/>
  <c r="AC670" i="4"/>
  <c r="AB670" i="4"/>
  <c r="AA670" i="4"/>
  <c r="AA670" i="5" s="1"/>
  <c r="AC670" i="6" s="1"/>
  <c r="Z670" i="4"/>
  <c r="Y670" i="4"/>
  <c r="X670" i="4"/>
  <c r="W670" i="4"/>
  <c r="W670" i="5" s="1"/>
  <c r="Y670" i="6" s="1"/>
  <c r="V670" i="4"/>
  <c r="U670" i="4"/>
  <c r="T670" i="4"/>
  <c r="S670" i="4"/>
  <c r="S670" i="5" s="1"/>
  <c r="U670" i="6" s="1"/>
  <c r="R670" i="4"/>
  <c r="Q670" i="4"/>
  <c r="P670" i="4"/>
  <c r="O670" i="4"/>
  <c r="O670" i="5" s="1"/>
  <c r="Q670" i="6" s="1"/>
  <c r="N670" i="4"/>
  <c r="M670" i="4"/>
  <c r="L670" i="4"/>
  <c r="K670" i="4"/>
  <c r="K670" i="5" s="1"/>
  <c r="M670" i="6" s="1"/>
  <c r="J670" i="4"/>
  <c r="I670" i="4"/>
  <c r="H670" i="4"/>
  <c r="G670" i="4"/>
  <c r="G670" i="5" s="1"/>
  <c r="I670" i="6" s="1"/>
  <c r="F670" i="4"/>
  <c r="E670" i="4"/>
  <c r="D670" i="4"/>
  <c r="AG669" i="4"/>
  <c r="AG669" i="5" s="1"/>
  <c r="AI669" i="6" s="1"/>
  <c r="AF669" i="4"/>
  <c r="AE669" i="4"/>
  <c r="AD669" i="4"/>
  <c r="AC669" i="4"/>
  <c r="AC669" i="5" s="1"/>
  <c r="AE669" i="6" s="1"/>
  <c r="AB669" i="4"/>
  <c r="AA669" i="4"/>
  <c r="Z669" i="4"/>
  <c r="Y669" i="4"/>
  <c r="Y669" i="5" s="1"/>
  <c r="AA669" i="6" s="1"/>
  <c r="X669" i="4"/>
  <c r="W669" i="4"/>
  <c r="V669" i="4"/>
  <c r="U669" i="4"/>
  <c r="U669" i="5" s="1"/>
  <c r="W669" i="6" s="1"/>
  <c r="T669" i="4"/>
  <c r="S669" i="4"/>
  <c r="R669" i="4"/>
  <c r="Q669" i="4"/>
  <c r="Q669" i="5" s="1"/>
  <c r="S669" i="6" s="1"/>
  <c r="P669" i="4"/>
  <c r="O669" i="4"/>
  <c r="N669" i="4"/>
  <c r="M669" i="4"/>
  <c r="M669" i="5" s="1"/>
  <c r="O669" i="6" s="1"/>
  <c r="L669" i="4"/>
  <c r="K669" i="4"/>
  <c r="J669" i="4"/>
  <c r="I669" i="4"/>
  <c r="I669" i="5" s="1"/>
  <c r="K669" i="6" s="1"/>
  <c r="H669" i="4"/>
  <c r="G669" i="4"/>
  <c r="F669" i="4"/>
  <c r="E669" i="4"/>
  <c r="E669" i="5" s="1"/>
  <c r="G669" i="6" s="1"/>
  <c r="D669" i="4"/>
  <c r="AG668" i="4"/>
  <c r="AF668" i="4"/>
  <c r="AE668" i="4"/>
  <c r="AE668" i="5" s="1"/>
  <c r="AG668" i="6" s="1"/>
  <c r="AD668" i="4"/>
  <c r="AC668" i="4"/>
  <c r="AB668" i="4"/>
  <c r="AA668" i="4"/>
  <c r="AA668" i="5" s="1"/>
  <c r="AC668" i="6" s="1"/>
  <c r="Z668" i="4"/>
  <c r="Y668" i="4"/>
  <c r="X668" i="4"/>
  <c r="W668" i="4"/>
  <c r="W668" i="5" s="1"/>
  <c r="Y668" i="6" s="1"/>
  <c r="V668" i="4"/>
  <c r="U668" i="4"/>
  <c r="T668" i="4"/>
  <c r="S668" i="4"/>
  <c r="S668" i="5" s="1"/>
  <c r="U668" i="6" s="1"/>
  <c r="R668" i="4"/>
  <c r="Q668" i="4"/>
  <c r="P668" i="4"/>
  <c r="O668" i="4"/>
  <c r="O668" i="5" s="1"/>
  <c r="Q668" i="6" s="1"/>
  <c r="N668" i="4"/>
  <c r="M668" i="4"/>
  <c r="L668" i="4"/>
  <c r="K668" i="4"/>
  <c r="K668" i="5" s="1"/>
  <c r="M668" i="6" s="1"/>
  <c r="J668" i="4"/>
  <c r="I668" i="4"/>
  <c r="H668" i="4"/>
  <c r="G668" i="4"/>
  <c r="G668" i="5" s="1"/>
  <c r="I668" i="6" s="1"/>
  <c r="F668" i="4"/>
  <c r="E668" i="4"/>
  <c r="D668" i="4"/>
  <c r="AG667" i="4"/>
  <c r="AG667" i="5" s="1"/>
  <c r="AI667" i="6" s="1"/>
  <c r="AF667" i="4"/>
  <c r="AE667" i="4"/>
  <c r="AD667" i="4"/>
  <c r="AC667" i="4"/>
  <c r="AC667" i="5" s="1"/>
  <c r="AE667" i="6" s="1"/>
  <c r="AB667" i="4"/>
  <c r="AA667" i="4"/>
  <c r="Z667" i="4"/>
  <c r="Y667" i="4"/>
  <c r="Y667" i="5" s="1"/>
  <c r="AA667" i="6" s="1"/>
  <c r="X667" i="4"/>
  <c r="W667" i="4"/>
  <c r="V667" i="4"/>
  <c r="U667" i="4"/>
  <c r="U667" i="5" s="1"/>
  <c r="W667" i="6" s="1"/>
  <c r="T667" i="4"/>
  <c r="S667" i="4"/>
  <c r="R667" i="4"/>
  <c r="Q667" i="4"/>
  <c r="Q667" i="5" s="1"/>
  <c r="S667" i="6" s="1"/>
  <c r="P667" i="4"/>
  <c r="O667" i="4"/>
  <c r="N667" i="4"/>
  <c r="M667" i="4"/>
  <c r="M667" i="5" s="1"/>
  <c r="O667" i="6" s="1"/>
  <c r="L667" i="4"/>
  <c r="K667" i="4"/>
  <c r="J667" i="4"/>
  <c r="I667" i="4"/>
  <c r="I667" i="5" s="1"/>
  <c r="K667" i="6" s="1"/>
  <c r="H667" i="4"/>
  <c r="G667" i="4"/>
  <c r="F667" i="4"/>
  <c r="E667" i="4"/>
  <c r="E667" i="5" s="1"/>
  <c r="G667" i="6" s="1"/>
  <c r="D667" i="4"/>
  <c r="AG666" i="4"/>
  <c r="AF666" i="4"/>
  <c r="AE666" i="4"/>
  <c r="AE666" i="5" s="1"/>
  <c r="AG666" i="6" s="1"/>
  <c r="AD666" i="4"/>
  <c r="AC666" i="4"/>
  <c r="AB666" i="4"/>
  <c r="AA666" i="4"/>
  <c r="AA666" i="5" s="1"/>
  <c r="AC666" i="6" s="1"/>
  <c r="Z666" i="4"/>
  <c r="Y666" i="4"/>
  <c r="X666" i="4"/>
  <c r="W666" i="4"/>
  <c r="W666" i="5" s="1"/>
  <c r="Y666" i="6" s="1"/>
  <c r="V666" i="4"/>
  <c r="U666" i="4"/>
  <c r="T666" i="4"/>
  <c r="S666" i="4"/>
  <c r="S666" i="5" s="1"/>
  <c r="U666" i="6" s="1"/>
  <c r="R666" i="4"/>
  <c r="Q666" i="4"/>
  <c r="P666" i="4"/>
  <c r="O666" i="4"/>
  <c r="O666" i="5" s="1"/>
  <c r="Q666" i="6" s="1"/>
  <c r="N666" i="4"/>
  <c r="M666" i="4"/>
  <c r="L666" i="4"/>
  <c r="K666" i="4"/>
  <c r="K666" i="5" s="1"/>
  <c r="M666" i="6" s="1"/>
  <c r="J666" i="4"/>
  <c r="I666" i="4"/>
  <c r="H666" i="4"/>
  <c r="G666" i="4"/>
  <c r="G666" i="5" s="1"/>
  <c r="I666" i="6" s="1"/>
  <c r="F666" i="4"/>
  <c r="E666" i="4"/>
  <c r="D666" i="4"/>
  <c r="AG665" i="4"/>
  <c r="AG665" i="5" s="1"/>
  <c r="AI665" i="6" s="1"/>
  <c r="AF665" i="4"/>
  <c r="AE665" i="4"/>
  <c r="AD665" i="4"/>
  <c r="AC665" i="4"/>
  <c r="AC665" i="5" s="1"/>
  <c r="AE665" i="6" s="1"/>
  <c r="AB665" i="4"/>
  <c r="AA665" i="4"/>
  <c r="Z665" i="4"/>
  <c r="Y665" i="4"/>
  <c r="Y665" i="5" s="1"/>
  <c r="AA665" i="6" s="1"/>
  <c r="X665" i="4"/>
  <c r="W665" i="4"/>
  <c r="V665" i="4"/>
  <c r="U665" i="4"/>
  <c r="U665" i="5" s="1"/>
  <c r="W665" i="6" s="1"/>
  <c r="T665" i="4"/>
  <c r="S665" i="4"/>
  <c r="R665" i="4"/>
  <c r="Q665" i="4"/>
  <c r="Q665" i="5" s="1"/>
  <c r="S665" i="6" s="1"/>
  <c r="P665" i="4"/>
  <c r="O665" i="4"/>
  <c r="N665" i="4"/>
  <c r="M665" i="4"/>
  <c r="M665" i="5" s="1"/>
  <c r="O665" i="6" s="1"/>
  <c r="L665" i="4"/>
  <c r="K665" i="4"/>
  <c r="J665" i="4"/>
  <c r="I665" i="4"/>
  <c r="I665" i="5" s="1"/>
  <c r="K665" i="6" s="1"/>
  <c r="H665" i="4"/>
  <c r="G665" i="4"/>
  <c r="F665" i="4"/>
  <c r="E665" i="4"/>
  <c r="E665" i="5" s="1"/>
  <c r="G665" i="6" s="1"/>
  <c r="D665" i="4"/>
  <c r="AG664" i="4"/>
  <c r="AF664" i="4"/>
  <c r="AE664" i="4"/>
  <c r="AE664" i="5" s="1"/>
  <c r="AG664" i="6" s="1"/>
  <c r="AD664" i="4"/>
  <c r="AC664" i="4"/>
  <c r="AB664" i="4"/>
  <c r="AA664" i="4"/>
  <c r="AA664" i="5" s="1"/>
  <c r="AC664" i="6" s="1"/>
  <c r="Z664" i="4"/>
  <c r="Y664" i="4"/>
  <c r="X664" i="4"/>
  <c r="W664" i="4"/>
  <c r="W664" i="5" s="1"/>
  <c r="Y664" i="6" s="1"/>
  <c r="V664" i="4"/>
  <c r="U664" i="4"/>
  <c r="T664" i="4"/>
  <c r="S664" i="4"/>
  <c r="S664" i="5" s="1"/>
  <c r="U664" i="6" s="1"/>
  <c r="R664" i="4"/>
  <c r="Q664" i="4"/>
  <c r="P664" i="4"/>
  <c r="O664" i="4"/>
  <c r="O664" i="5" s="1"/>
  <c r="Q664" i="6" s="1"/>
  <c r="N664" i="4"/>
  <c r="M664" i="4"/>
  <c r="L664" i="4"/>
  <c r="K664" i="4"/>
  <c r="K664" i="5" s="1"/>
  <c r="M664" i="6" s="1"/>
  <c r="J664" i="4"/>
  <c r="I664" i="4"/>
  <c r="H664" i="4"/>
  <c r="G664" i="4"/>
  <c r="G664" i="5" s="1"/>
  <c r="I664" i="6" s="1"/>
  <c r="F664" i="4"/>
  <c r="E664" i="4"/>
  <c r="D664" i="4"/>
  <c r="AG663" i="4"/>
  <c r="AG663" i="5" s="1"/>
  <c r="AI663" i="6" s="1"/>
  <c r="AF663" i="4"/>
  <c r="AE663" i="4"/>
  <c r="AD663" i="4"/>
  <c r="AC663" i="4"/>
  <c r="AC663" i="5" s="1"/>
  <c r="AE663" i="6" s="1"/>
  <c r="AB663" i="4"/>
  <c r="AA663" i="4"/>
  <c r="Z663" i="4"/>
  <c r="Y663" i="4"/>
  <c r="Y663" i="5" s="1"/>
  <c r="AA663" i="6" s="1"/>
  <c r="X663" i="4"/>
  <c r="W663" i="4"/>
  <c r="V663" i="4"/>
  <c r="U663" i="4"/>
  <c r="U663" i="5" s="1"/>
  <c r="W663" i="6" s="1"/>
  <c r="T663" i="4"/>
  <c r="S663" i="4"/>
  <c r="R663" i="4"/>
  <c r="Q663" i="4"/>
  <c r="Q663" i="5" s="1"/>
  <c r="S663" i="6" s="1"/>
  <c r="P663" i="4"/>
  <c r="O663" i="4"/>
  <c r="N663" i="4"/>
  <c r="M663" i="4"/>
  <c r="M663" i="5" s="1"/>
  <c r="O663" i="6" s="1"/>
  <c r="L663" i="4"/>
  <c r="K663" i="4"/>
  <c r="J663" i="4"/>
  <c r="I663" i="4"/>
  <c r="I663" i="5" s="1"/>
  <c r="K663" i="6" s="1"/>
  <c r="H663" i="4"/>
  <c r="G663" i="4"/>
  <c r="F663" i="4"/>
  <c r="E663" i="4"/>
  <c r="E663" i="5" s="1"/>
  <c r="G663" i="6" s="1"/>
  <c r="D663" i="4"/>
  <c r="AG662" i="4"/>
  <c r="AF662" i="4"/>
  <c r="AE662" i="4"/>
  <c r="AE662" i="5" s="1"/>
  <c r="AG662" i="6" s="1"/>
  <c r="AD662" i="4"/>
  <c r="AC662" i="4"/>
  <c r="AB662" i="4"/>
  <c r="AA662" i="4"/>
  <c r="AA662" i="5" s="1"/>
  <c r="AC662" i="6" s="1"/>
  <c r="Z662" i="4"/>
  <c r="Y662" i="4"/>
  <c r="X662" i="4"/>
  <c r="W662" i="4"/>
  <c r="W662" i="5" s="1"/>
  <c r="Y662" i="6" s="1"/>
  <c r="V662" i="4"/>
  <c r="U662" i="4"/>
  <c r="T662" i="4"/>
  <c r="S662" i="4"/>
  <c r="S662" i="5" s="1"/>
  <c r="U662" i="6" s="1"/>
  <c r="R662" i="4"/>
  <c r="Q662" i="4"/>
  <c r="P662" i="4"/>
  <c r="O662" i="4"/>
  <c r="O662" i="5" s="1"/>
  <c r="Q662" i="6" s="1"/>
  <c r="N662" i="4"/>
  <c r="M662" i="4"/>
  <c r="L662" i="4"/>
  <c r="K662" i="4"/>
  <c r="K662" i="5" s="1"/>
  <c r="M662" i="6" s="1"/>
  <c r="J662" i="4"/>
  <c r="I662" i="4"/>
  <c r="H662" i="4"/>
  <c r="G662" i="4"/>
  <c r="G662" i="5" s="1"/>
  <c r="I662" i="6" s="1"/>
  <c r="F662" i="4"/>
  <c r="E662" i="4"/>
  <c r="D662" i="4"/>
  <c r="AG661" i="4"/>
  <c r="AG661" i="5" s="1"/>
  <c r="AI661" i="6" s="1"/>
  <c r="AF661" i="4"/>
  <c r="AE661" i="4"/>
  <c r="AD661" i="4"/>
  <c r="AC661" i="4"/>
  <c r="AC661" i="5" s="1"/>
  <c r="AE661" i="6" s="1"/>
  <c r="AB661" i="4"/>
  <c r="AA661" i="4"/>
  <c r="Z661" i="4"/>
  <c r="Y661" i="4"/>
  <c r="Y661" i="5" s="1"/>
  <c r="AA661" i="6" s="1"/>
  <c r="X661" i="4"/>
  <c r="W661" i="4"/>
  <c r="V661" i="4"/>
  <c r="U661" i="4"/>
  <c r="U661" i="5" s="1"/>
  <c r="W661" i="6" s="1"/>
  <c r="T661" i="4"/>
  <c r="S661" i="4"/>
  <c r="R661" i="4"/>
  <c r="Q661" i="4"/>
  <c r="Q661" i="5" s="1"/>
  <c r="S661" i="6" s="1"/>
  <c r="P661" i="4"/>
  <c r="O661" i="4"/>
  <c r="N661" i="4"/>
  <c r="M661" i="4"/>
  <c r="M661" i="5" s="1"/>
  <c r="O661" i="6" s="1"/>
  <c r="L661" i="4"/>
  <c r="K661" i="4"/>
  <c r="J661" i="4"/>
  <c r="I661" i="4"/>
  <c r="I661" i="5" s="1"/>
  <c r="K661" i="6" s="1"/>
  <c r="H661" i="4"/>
  <c r="G661" i="4"/>
  <c r="F661" i="4"/>
  <c r="E661" i="4"/>
  <c r="E661" i="5" s="1"/>
  <c r="G661" i="6" s="1"/>
  <c r="D661" i="4"/>
  <c r="AG660" i="4"/>
  <c r="AF660" i="4"/>
  <c r="AE660" i="4"/>
  <c r="AE660" i="5" s="1"/>
  <c r="AG660" i="6" s="1"/>
  <c r="AD660" i="4"/>
  <c r="AC660" i="4"/>
  <c r="AB660" i="4"/>
  <c r="AA660" i="4"/>
  <c r="AA660" i="5" s="1"/>
  <c r="AC660" i="6" s="1"/>
  <c r="Z660" i="4"/>
  <c r="Y660" i="4"/>
  <c r="X660" i="4"/>
  <c r="W660" i="4"/>
  <c r="W660" i="5" s="1"/>
  <c r="Y660" i="6" s="1"/>
  <c r="V660" i="4"/>
  <c r="U660" i="4"/>
  <c r="T660" i="4"/>
  <c r="S660" i="4"/>
  <c r="S660" i="5" s="1"/>
  <c r="U660" i="6" s="1"/>
  <c r="R660" i="4"/>
  <c r="Q660" i="4"/>
  <c r="P660" i="4"/>
  <c r="O660" i="4"/>
  <c r="O660" i="5" s="1"/>
  <c r="Q660" i="6" s="1"/>
  <c r="N660" i="4"/>
  <c r="M660" i="4"/>
  <c r="L660" i="4"/>
  <c r="K660" i="4"/>
  <c r="K660" i="5" s="1"/>
  <c r="M660" i="6" s="1"/>
  <c r="J660" i="4"/>
  <c r="I660" i="4"/>
  <c r="H660" i="4"/>
  <c r="G660" i="4"/>
  <c r="G660" i="5" s="1"/>
  <c r="I660" i="6" s="1"/>
  <c r="F660" i="4"/>
  <c r="E660" i="4"/>
  <c r="D660" i="4"/>
  <c r="AG659" i="4"/>
  <c r="AG659" i="5" s="1"/>
  <c r="AI659" i="6" s="1"/>
  <c r="AF659" i="4"/>
  <c r="AE659" i="4"/>
  <c r="AD659" i="4"/>
  <c r="AC659" i="4"/>
  <c r="AC659" i="5" s="1"/>
  <c r="AE659" i="6" s="1"/>
  <c r="AB659" i="4"/>
  <c r="AA659" i="4"/>
  <c r="Z659" i="4"/>
  <c r="Y659" i="4"/>
  <c r="Y659" i="5" s="1"/>
  <c r="AA659" i="6" s="1"/>
  <c r="X659" i="4"/>
  <c r="W659" i="4"/>
  <c r="V659" i="4"/>
  <c r="U659" i="4"/>
  <c r="U659" i="5" s="1"/>
  <c r="W659" i="6" s="1"/>
  <c r="T659" i="4"/>
  <c r="S659" i="4"/>
  <c r="R659" i="4"/>
  <c r="Q659" i="4"/>
  <c r="Q659" i="5" s="1"/>
  <c r="S659" i="6" s="1"/>
  <c r="P659" i="4"/>
  <c r="O659" i="4"/>
  <c r="N659" i="4"/>
  <c r="M659" i="4"/>
  <c r="M659" i="5" s="1"/>
  <c r="O659" i="6" s="1"/>
  <c r="L659" i="4"/>
  <c r="K659" i="4"/>
  <c r="J659" i="4"/>
  <c r="I659" i="4"/>
  <c r="I659" i="5" s="1"/>
  <c r="K659" i="6" s="1"/>
  <c r="H659" i="4"/>
  <c r="G659" i="4"/>
  <c r="F659" i="4"/>
  <c r="E659" i="4"/>
  <c r="E659" i="5" s="1"/>
  <c r="G659" i="6" s="1"/>
  <c r="D659" i="4"/>
  <c r="AG658" i="4"/>
  <c r="AF658" i="4"/>
  <c r="AE658" i="4"/>
  <c r="AE658" i="5" s="1"/>
  <c r="AG658" i="6" s="1"/>
  <c r="AD658" i="4"/>
  <c r="AC658" i="4"/>
  <c r="AB658" i="4"/>
  <c r="AA658" i="4"/>
  <c r="AA658" i="5" s="1"/>
  <c r="AC658" i="6" s="1"/>
  <c r="Z658" i="4"/>
  <c r="Y658" i="4"/>
  <c r="X658" i="4"/>
  <c r="W658" i="4"/>
  <c r="W658" i="5" s="1"/>
  <c r="Y658" i="6" s="1"/>
  <c r="V658" i="4"/>
  <c r="U658" i="4"/>
  <c r="T658" i="4"/>
  <c r="S658" i="4"/>
  <c r="S658" i="5" s="1"/>
  <c r="U658" i="6" s="1"/>
  <c r="R658" i="4"/>
  <c r="Q658" i="4"/>
  <c r="P658" i="4"/>
  <c r="O658" i="4"/>
  <c r="O658" i="5" s="1"/>
  <c r="Q658" i="6" s="1"/>
  <c r="N658" i="4"/>
  <c r="M658" i="4"/>
  <c r="L658" i="4"/>
  <c r="K658" i="4"/>
  <c r="K658" i="5" s="1"/>
  <c r="M658" i="6" s="1"/>
  <c r="J658" i="4"/>
  <c r="I658" i="4"/>
  <c r="H658" i="4"/>
  <c r="G658" i="4"/>
  <c r="G658" i="5" s="1"/>
  <c r="I658" i="6" s="1"/>
  <c r="F658" i="4"/>
  <c r="E658" i="4"/>
  <c r="D658" i="4"/>
  <c r="AG657" i="4"/>
  <c r="AG657" i="5" s="1"/>
  <c r="AI657" i="6" s="1"/>
  <c r="AF657" i="4"/>
  <c r="AE657" i="4"/>
  <c r="AD657" i="4"/>
  <c r="AC657" i="4"/>
  <c r="AC657" i="5" s="1"/>
  <c r="AE657" i="6" s="1"/>
  <c r="AB657" i="4"/>
  <c r="AA657" i="4"/>
  <c r="Z657" i="4"/>
  <c r="Y657" i="4"/>
  <c r="Y657" i="5" s="1"/>
  <c r="AA657" i="6" s="1"/>
  <c r="X657" i="4"/>
  <c r="W657" i="4"/>
  <c r="V657" i="4"/>
  <c r="U657" i="4"/>
  <c r="U657" i="5" s="1"/>
  <c r="W657" i="6" s="1"/>
  <c r="T657" i="4"/>
  <c r="S657" i="4"/>
  <c r="R657" i="4"/>
  <c r="Q657" i="4"/>
  <c r="Q657" i="5" s="1"/>
  <c r="S657" i="6" s="1"/>
  <c r="P657" i="4"/>
  <c r="O657" i="4"/>
  <c r="N657" i="4"/>
  <c r="M657" i="4"/>
  <c r="M657" i="5" s="1"/>
  <c r="O657" i="6" s="1"/>
  <c r="L657" i="4"/>
  <c r="K657" i="4"/>
  <c r="J657" i="4"/>
  <c r="I657" i="4"/>
  <c r="I657" i="5" s="1"/>
  <c r="K657" i="6" s="1"/>
  <c r="H657" i="4"/>
  <c r="G657" i="4"/>
  <c r="F657" i="4"/>
  <c r="E657" i="4"/>
  <c r="E657" i="5" s="1"/>
  <c r="G657" i="6" s="1"/>
  <c r="D657" i="4"/>
  <c r="AG656" i="4"/>
  <c r="AF656" i="4"/>
  <c r="AE656" i="4"/>
  <c r="AE656" i="5" s="1"/>
  <c r="AG656" i="6" s="1"/>
  <c r="AD656" i="4"/>
  <c r="AC656" i="4"/>
  <c r="AB656" i="4"/>
  <c r="AA656" i="4"/>
  <c r="AA656" i="5" s="1"/>
  <c r="AC656" i="6" s="1"/>
  <c r="Z656" i="4"/>
  <c r="Y656" i="4"/>
  <c r="X656" i="4"/>
  <c r="W656" i="4"/>
  <c r="W656" i="5" s="1"/>
  <c r="Y656" i="6" s="1"/>
  <c r="V656" i="4"/>
  <c r="U656" i="4"/>
  <c r="T656" i="4"/>
  <c r="S656" i="4"/>
  <c r="S656" i="5" s="1"/>
  <c r="U656" i="6" s="1"/>
  <c r="R656" i="4"/>
  <c r="Q656" i="4"/>
  <c r="P656" i="4"/>
  <c r="O656" i="4"/>
  <c r="O656" i="5" s="1"/>
  <c r="Q656" i="6" s="1"/>
  <c r="N656" i="4"/>
  <c r="M656" i="4"/>
  <c r="L656" i="4"/>
  <c r="K656" i="4"/>
  <c r="K656" i="5" s="1"/>
  <c r="M656" i="6" s="1"/>
  <c r="J656" i="4"/>
  <c r="I656" i="4"/>
  <c r="H656" i="4"/>
  <c r="G656" i="4"/>
  <c r="G656" i="5" s="1"/>
  <c r="I656" i="6" s="1"/>
  <c r="F656" i="4"/>
  <c r="E656" i="4"/>
  <c r="D656" i="4"/>
  <c r="AG655" i="4"/>
  <c r="AG655" i="5" s="1"/>
  <c r="AI655" i="6" s="1"/>
  <c r="AF655" i="4"/>
  <c r="AE655" i="4"/>
  <c r="AD655" i="4"/>
  <c r="AC655" i="4"/>
  <c r="AC655" i="5" s="1"/>
  <c r="AE655" i="6" s="1"/>
  <c r="AB655" i="4"/>
  <c r="AA655" i="4"/>
  <c r="Z655" i="4"/>
  <c r="Y655" i="4"/>
  <c r="Y655" i="5" s="1"/>
  <c r="AA655" i="6" s="1"/>
  <c r="X655" i="4"/>
  <c r="W655" i="4"/>
  <c r="V655" i="4"/>
  <c r="U655" i="4"/>
  <c r="U655" i="5" s="1"/>
  <c r="W655" i="6" s="1"/>
  <c r="T655" i="4"/>
  <c r="S655" i="4"/>
  <c r="R655" i="4"/>
  <c r="Q655" i="4"/>
  <c r="Q655" i="5" s="1"/>
  <c r="S655" i="6" s="1"/>
  <c r="P655" i="4"/>
  <c r="O655" i="4"/>
  <c r="N655" i="4"/>
  <c r="M655" i="4"/>
  <c r="M655" i="5" s="1"/>
  <c r="O655" i="6" s="1"/>
  <c r="L655" i="4"/>
  <c r="K655" i="4"/>
  <c r="J655" i="4"/>
  <c r="I655" i="4"/>
  <c r="I655" i="5" s="1"/>
  <c r="K655" i="6" s="1"/>
  <c r="H655" i="4"/>
  <c r="G655" i="4"/>
  <c r="F655" i="4"/>
  <c r="E655" i="4"/>
  <c r="E655" i="5" s="1"/>
  <c r="G655" i="6" s="1"/>
  <c r="D655" i="4"/>
  <c r="AG654" i="4"/>
  <c r="AF654" i="4"/>
  <c r="AE654" i="4"/>
  <c r="AE654" i="5" s="1"/>
  <c r="AG654" i="6" s="1"/>
  <c r="AD654" i="4"/>
  <c r="AC654" i="4"/>
  <c r="AB654" i="4"/>
  <c r="AA654" i="4"/>
  <c r="AA654" i="5" s="1"/>
  <c r="AC654" i="6" s="1"/>
  <c r="Z654" i="4"/>
  <c r="Y654" i="4"/>
  <c r="X654" i="4"/>
  <c r="W654" i="4"/>
  <c r="W654" i="5" s="1"/>
  <c r="Y654" i="6" s="1"/>
  <c r="V654" i="4"/>
  <c r="U654" i="4"/>
  <c r="T654" i="4"/>
  <c r="S654" i="4"/>
  <c r="S654" i="5" s="1"/>
  <c r="U654" i="6" s="1"/>
  <c r="R654" i="4"/>
  <c r="Q654" i="4"/>
  <c r="P654" i="4"/>
  <c r="O654" i="4"/>
  <c r="O654" i="5" s="1"/>
  <c r="Q654" i="6" s="1"/>
  <c r="N654" i="4"/>
  <c r="M654" i="4"/>
  <c r="L654" i="4"/>
  <c r="K654" i="4"/>
  <c r="K654" i="5" s="1"/>
  <c r="M654" i="6" s="1"/>
  <c r="J654" i="4"/>
  <c r="I654" i="4"/>
  <c r="H654" i="4"/>
  <c r="G654" i="4"/>
  <c r="G654" i="5" s="1"/>
  <c r="I654" i="6" s="1"/>
  <c r="F654" i="4"/>
  <c r="E654" i="4"/>
  <c r="D654" i="4"/>
  <c r="AG653" i="4"/>
  <c r="AG653" i="5" s="1"/>
  <c r="AI653" i="6" s="1"/>
  <c r="AF653" i="4"/>
  <c r="AE653" i="4"/>
  <c r="AD653" i="4"/>
  <c r="AC653" i="4"/>
  <c r="AC653" i="5" s="1"/>
  <c r="AE653" i="6" s="1"/>
  <c r="AB653" i="4"/>
  <c r="AA653" i="4"/>
  <c r="Z653" i="4"/>
  <c r="Y653" i="4"/>
  <c r="Y653" i="5" s="1"/>
  <c r="AA653" i="6" s="1"/>
  <c r="X653" i="4"/>
  <c r="W653" i="4"/>
  <c r="V653" i="4"/>
  <c r="U653" i="4"/>
  <c r="U653" i="5" s="1"/>
  <c r="W653" i="6" s="1"/>
  <c r="T653" i="4"/>
  <c r="S653" i="4"/>
  <c r="R653" i="4"/>
  <c r="Q653" i="4"/>
  <c r="Q653" i="5" s="1"/>
  <c r="S653" i="6" s="1"/>
  <c r="P653" i="4"/>
  <c r="O653" i="4"/>
  <c r="N653" i="4"/>
  <c r="M653" i="4"/>
  <c r="M653" i="5" s="1"/>
  <c r="O653" i="6" s="1"/>
  <c r="L653" i="4"/>
  <c r="K653" i="4"/>
  <c r="J653" i="4"/>
  <c r="I653" i="4"/>
  <c r="I653" i="5" s="1"/>
  <c r="K653" i="6" s="1"/>
  <c r="H653" i="4"/>
  <c r="G653" i="4"/>
  <c r="F653" i="4"/>
  <c r="E653" i="4"/>
  <c r="E653" i="5" s="1"/>
  <c r="G653" i="6" s="1"/>
  <c r="D653" i="4"/>
  <c r="AG652" i="4"/>
  <c r="AF652" i="4"/>
  <c r="AE652" i="4"/>
  <c r="AE652" i="5" s="1"/>
  <c r="AG652" i="6" s="1"/>
  <c r="AD652" i="4"/>
  <c r="AC652" i="4"/>
  <c r="AB652" i="4"/>
  <c r="AA652" i="4"/>
  <c r="AA652" i="5" s="1"/>
  <c r="AC652" i="6" s="1"/>
  <c r="Z652" i="4"/>
  <c r="Y652" i="4"/>
  <c r="X652" i="4"/>
  <c r="W652" i="4"/>
  <c r="W652" i="5" s="1"/>
  <c r="Y652" i="6" s="1"/>
  <c r="V652" i="4"/>
  <c r="U652" i="4"/>
  <c r="T652" i="4"/>
  <c r="S652" i="4"/>
  <c r="S652" i="5" s="1"/>
  <c r="U652" i="6" s="1"/>
  <c r="R652" i="4"/>
  <c r="Q652" i="4"/>
  <c r="P652" i="4"/>
  <c r="O652" i="4"/>
  <c r="O652" i="5" s="1"/>
  <c r="Q652" i="6" s="1"/>
  <c r="N652" i="4"/>
  <c r="M652" i="4"/>
  <c r="L652" i="4"/>
  <c r="K652" i="4"/>
  <c r="K652" i="5" s="1"/>
  <c r="M652" i="6" s="1"/>
  <c r="J652" i="4"/>
  <c r="I652" i="4"/>
  <c r="H652" i="4"/>
  <c r="G652" i="4"/>
  <c r="G652" i="5" s="1"/>
  <c r="I652" i="6" s="1"/>
  <c r="F652" i="4"/>
  <c r="E652" i="4"/>
  <c r="D652" i="4"/>
  <c r="AG651" i="4"/>
  <c r="AG651" i="5" s="1"/>
  <c r="AI651" i="6" s="1"/>
  <c r="AF651" i="4"/>
  <c r="AE651" i="4"/>
  <c r="AD651" i="4"/>
  <c r="AC651" i="4"/>
  <c r="AC651" i="5" s="1"/>
  <c r="AE651" i="6" s="1"/>
  <c r="AB651" i="4"/>
  <c r="AA651" i="4"/>
  <c r="Z651" i="4"/>
  <c r="Y651" i="4"/>
  <c r="Y651" i="5" s="1"/>
  <c r="AA651" i="6" s="1"/>
  <c r="X651" i="4"/>
  <c r="W651" i="4"/>
  <c r="V651" i="4"/>
  <c r="U651" i="4"/>
  <c r="U651" i="5" s="1"/>
  <c r="W651" i="6" s="1"/>
  <c r="T651" i="4"/>
  <c r="S651" i="4"/>
  <c r="R651" i="4"/>
  <c r="Q651" i="4"/>
  <c r="Q651" i="5" s="1"/>
  <c r="S651" i="6" s="1"/>
  <c r="P651" i="4"/>
  <c r="O651" i="4"/>
  <c r="N651" i="4"/>
  <c r="M651" i="4"/>
  <c r="M651" i="5" s="1"/>
  <c r="O651" i="6" s="1"/>
  <c r="L651" i="4"/>
  <c r="K651" i="4"/>
  <c r="J651" i="4"/>
  <c r="I651" i="4"/>
  <c r="I651" i="5" s="1"/>
  <c r="K651" i="6" s="1"/>
  <c r="H651" i="4"/>
  <c r="G651" i="4"/>
  <c r="F651" i="4"/>
  <c r="E651" i="4"/>
  <c r="E651" i="5" s="1"/>
  <c r="G651" i="6" s="1"/>
  <c r="D651" i="4"/>
  <c r="AG650" i="4"/>
  <c r="AF650" i="4"/>
  <c r="AE650" i="4"/>
  <c r="AE650" i="5" s="1"/>
  <c r="AG650" i="6" s="1"/>
  <c r="AD650" i="4"/>
  <c r="AC650" i="4"/>
  <c r="AB650" i="4"/>
  <c r="AA650" i="4"/>
  <c r="AA650" i="5" s="1"/>
  <c r="AC650" i="6" s="1"/>
  <c r="Z650" i="4"/>
  <c r="Y650" i="4"/>
  <c r="X650" i="4"/>
  <c r="W650" i="4"/>
  <c r="W650" i="5" s="1"/>
  <c r="Y650" i="6" s="1"/>
  <c r="V650" i="4"/>
  <c r="U650" i="4"/>
  <c r="T650" i="4"/>
  <c r="S650" i="4"/>
  <c r="S650" i="5" s="1"/>
  <c r="U650" i="6" s="1"/>
  <c r="R650" i="4"/>
  <c r="Q650" i="4"/>
  <c r="P650" i="4"/>
  <c r="O650" i="4"/>
  <c r="O650" i="5" s="1"/>
  <c r="Q650" i="6" s="1"/>
  <c r="N650" i="4"/>
  <c r="M650" i="4"/>
  <c r="L650" i="4"/>
  <c r="K650" i="4"/>
  <c r="K650" i="5" s="1"/>
  <c r="M650" i="6" s="1"/>
  <c r="J650" i="4"/>
  <c r="I650" i="4"/>
  <c r="H650" i="4"/>
  <c r="G650" i="4"/>
  <c r="G650" i="5" s="1"/>
  <c r="I650" i="6" s="1"/>
  <c r="F650" i="4"/>
  <c r="E650" i="4"/>
  <c r="D650" i="4"/>
  <c r="AG649" i="4"/>
  <c r="AG649" i="5" s="1"/>
  <c r="AI649" i="6" s="1"/>
  <c r="AF649" i="4"/>
  <c r="AE649" i="4"/>
  <c r="AD649" i="4"/>
  <c r="AC649" i="4"/>
  <c r="AC649" i="5" s="1"/>
  <c r="AE649" i="6" s="1"/>
  <c r="AB649" i="4"/>
  <c r="AA649" i="4"/>
  <c r="Z649" i="4"/>
  <c r="Y649" i="4"/>
  <c r="Y649" i="5" s="1"/>
  <c r="AA649" i="6" s="1"/>
  <c r="X649" i="4"/>
  <c r="W649" i="4"/>
  <c r="V649" i="4"/>
  <c r="U649" i="4"/>
  <c r="U649" i="5" s="1"/>
  <c r="W649" i="6" s="1"/>
  <c r="T649" i="4"/>
  <c r="S649" i="4"/>
  <c r="R649" i="4"/>
  <c r="Q649" i="4"/>
  <c r="Q649" i="5" s="1"/>
  <c r="S649" i="6" s="1"/>
  <c r="P649" i="4"/>
  <c r="O649" i="4"/>
  <c r="N649" i="4"/>
  <c r="M649" i="4"/>
  <c r="M649" i="5" s="1"/>
  <c r="O649" i="6" s="1"/>
  <c r="L649" i="4"/>
  <c r="K649" i="4"/>
  <c r="J649" i="4"/>
  <c r="I649" i="4"/>
  <c r="I649" i="5" s="1"/>
  <c r="K649" i="6" s="1"/>
  <c r="H649" i="4"/>
  <c r="G649" i="4"/>
  <c r="F649" i="4"/>
  <c r="E649" i="4"/>
  <c r="E649" i="5" s="1"/>
  <c r="G649" i="6" s="1"/>
  <c r="D649" i="4"/>
  <c r="AG648" i="4"/>
  <c r="AF648" i="4"/>
  <c r="AE648" i="4"/>
  <c r="AE648" i="5" s="1"/>
  <c r="AG648" i="6" s="1"/>
  <c r="AD648" i="4"/>
  <c r="AC648" i="4"/>
  <c r="AB648" i="4"/>
  <c r="AA648" i="4"/>
  <c r="AA648" i="5" s="1"/>
  <c r="AC648" i="6" s="1"/>
  <c r="Z648" i="4"/>
  <c r="Y648" i="4"/>
  <c r="X648" i="4"/>
  <c r="W648" i="4"/>
  <c r="W648" i="5" s="1"/>
  <c r="Y648" i="6" s="1"/>
  <c r="V648" i="4"/>
  <c r="U648" i="4"/>
  <c r="T648" i="4"/>
  <c r="S648" i="4"/>
  <c r="S648" i="5" s="1"/>
  <c r="U648" i="6" s="1"/>
  <c r="R648" i="4"/>
  <c r="Q648" i="4"/>
  <c r="P648" i="4"/>
  <c r="O648" i="4"/>
  <c r="O648" i="5" s="1"/>
  <c r="Q648" i="6" s="1"/>
  <c r="N648" i="4"/>
  <c r="M648" i="4"/>
  <c r="L648" i="4"/>
  <c r="K648" i="4"/>
  <c r="K648" i="5" s="1"/>
  <c r="M648" i="6" s="1"/>
  <c r="J648" i="4"/>
  <c r="I648" i="4"/>
  <c r="H648" i="4"/>
  <c r="G648" i="4"/>
  <c r="G648" i="5" s="1"/>
  <c r="I648" i="6" s="1"/>
  <c r="F648" i="4"/>
  <c r="E648" i="4"/>
  <c r="D648" i="4"/>
  <c r="AG647" i="4"/>
  <c r="AG647" i="5" s="1"/>
  <c r="AI647" i="6" s="1"/>
  <c r="AF647" i="4"/>
  <c r="AE647" i="4"/>
  <c r="AD647" i="4"/>
  <c r="AC647" i="4"/>
  <c r="AC647" i="5" s="1"/>
  <c r="AE647" i="6" s="1"/>
  <c r="AB647" i="4"/>
  <c r="AA647" i="4"/>
  <c r="Z647" i="4"/>
  <c r="Y647" i="4"/>
  <c r="Y647" i="5" s="1"/>
  <c r="AA647" i="6" s="1"/>
  <c r="X647" i="4"/>
  <c r="W647" i="4"/>
  <c r="V647" i="4"/>
  <c r="U647" i="4"/>
  <c r="U647" i="5" s="1"/>
  <c r="W647" i="6" s="1"/>
  <c r="T647" i="4"/>
  <c r="S647" i="4"/>
  <c r="R647" i="4"/>
  <c r="Q647" i="4"/>
  <c r="Q647" i="5" s="1"/>
  <c r="S647" i="6" s="1"/>
  <c r="P647" i="4"/>
  <c r="O647" i="4"/>
  <c r="N647" i="4"/>
  <c r="M647" i="4"/>
  <c r="M647" i="5" s="1"/>
  <c r="O647" i="6" s="1"/>
  <c r="L647" i="4"/>
  <c r="K647" i="4"/>
  <c r="J647" i="4"/>
  <c r="I647" i="4"/>
  <c r="I647" i="5" s="1"/>
  <c r="K647" i="6" s="1"/>
  <c r="H647" i="4"/>
  <c r="G647" i="4"/>
  <c r="F647" i="4"/>
  <c r="E647" i="4"/>
  <c r="E647" i="5" s="1"/>
  <c r="G647" i="6" s="1"/>
  <c r="D647" i="4"/>
  <c r="AG646" i="4"/>
  <c r="AF646" i="4"/>
  <c r="AE646" i="4"/>
  <c r="AE646" i="5" s="1"/>
  <c r="AG646" i="6" s="1"/>
  <c r="AD646" i="4"/>
  <c r="AC646" i="4"/>
  <c r="AB646" i="4"/>
  <c r="AA646" i="4"/>
  <c r="AA646" i="5" s="1"/>
  <c r="AC646" i="6" s="1"/>
  <c r="Z646" i="4"/>
  <c r="Y646" i="4"/>
  <c r="X646" i="4"/>
  <c r="W646" i="4"/>
  <c r="W646" i="5" s="1"/>
  <c r="Y646" i="6" s="1"/>
  <c r="V646" i="4"/>
  <c r="U646" i="4"/>
  <c r="T646" i="4"/>
  <c r="S646" i="4"/>
  <c r="S646" i="5" s="1"/>
  <c r="U646" i="6" s="1"/>
  <c r="R646" i="4"/>
  <c r="Q646" i="4"/>
  <c r="P646" i="4"/>
  <c r="O646" i="4"/>
  <c r="O646" i="5" s="1"/>
  <c r="Q646" i="6" s="1"/>
  <c r="N646" i="4"/>
  <c r="M646" i="4"/>
  <c r="L646" i="4"/>
  <c r="K646" i="4"/>
  <c r="K646" i="5" s="1"/>
  <c r="M646" i="6" s="1"/>
  <c r="J646" i="4"/>
  <c r="I646" i="4"/>
  <c r="H646" i="4"/>
  <c r="G646" i="4"/>
  <c r="G646" i="5" s="1"/>
  <c r="I646" i="6" s="1"/>
  <c r="F646" i="4"/>
  <c r="E646" i="4"/>
  <c r="D646" i="4"/>
  <c r="AG645" i="4"/>
  <c r="AG645" i="5" s="1"/>
  <c r="AI645" i="6" s="1"/>
  <c r="AF645" i="4"/>
  <c r="AE645" i="4"/>
  <c r="AD645" i="4"/>
  <c r="AC645" i="4"/>
  <c r="AC645" i="5" s="1"/>
  <c r="AE645" i="6" s="1"/>
  <c r="AB645" i="4"/>
  <c r="AA645" i="4"/>
  <c r="Z645" i="4"/>
  <c r="Y645" i="4"/>
  <c r="Y645" i="5" s="1"/>
  <c r="AA645" i="6" s="1"/>
  <c r="X645" i="4"/>
  <c r="W645" i="4"/>
  <c r="V645" i="4"/>
  <c r="U645" i="4"/>
  <c r="U645" i="5" s="1"/>
  <c r="W645" i="6" s="1"/>
  <c r="T645" i="4"/>
  <c r="S645" i="4"/>
  <c r="R645" i="4"/>
  <c r="Q645" i="4"/>
  <c r="Q645" i="5" s="1"/>
  <c r="S645" i="6" s="1"/>
  <c r="P645" i="4"/>
  <c r="O645" i="4"/>
  <c r="N645" i="4"/>
  <c r="M645" i="4"/>
  <c r="M645" i="5" s="1"/>
  <c r="O645" i="6" s="1"/>
  <c r="L645" i="4"/>
  <c r="K645" i="4"/>
  <c r="J645" i="4"/>
  <c r="I645" i="4"/>
  <c r="I645" i="5" s="1"/>
  <c r="K645" i="6" s="1"/>
  <c r="H645" i="4"/>
  <c r="G645" i="4"/>
  <c r="F645" i="4"/>
  <c r="E645" i="4"/>
  <c r="E645" i="5" s="1"/>
  <c r="G645" i="6" s="1"/>
  <c r="D645" i="4"/>
  <c r="AG644" i="4"/>
  <c r="AF644" i="4"/>
  <c r="AE644" i="4"/>
  <c r="AE644" i="5" s="1"/>
  <c r="AG644" i="6" s="1"/>
  <c r="AD644" i="4"/>
  <c r="AC644" i="4"/>
  <c r="AB644" i="4"/>
  <c r="AA644" i="4"/>
  <c r="AA644" i="5" s="1"/>
  <c r="AC644" i="6" s="1"/>
  <c r="Z644" i="4"/>
  <c r="Y644" i="4"/>
  <c r="X644" i="4"/>
  <c r="W644" i="4"/>
  <c r="W644" i="5" s="1"/>
  <c r="Y644" i="6" s="1"/>
  <c r="V644" i="4"/>
  <c r="U644" i="4"/>
  <c r="T644" i="4"/>
  <c r="S644" i="4"/>
  <c r="S644" i="5" s="1"/>
  <c r="U644" i="6" s="1"/>
  <c r="R644" i="4"/>
  <c r="Q644" i="4"/>
  <c r="P644" i="4"/>
  <c r="O644" i="4"/>
  <c r="O644" i="5" s="1"/>
  <c r="Q644" i="6" s="1"/>
  <c r="N644" i="4"/>
  <c r="M644" i="4"/>
  <c r="L644" i="4"/>
  <c r="K644" i="4"/>
  <c r="K644" i="5" s="1"/>
  <c r="M644" i="6" s="1"/>
  <c r="J644" i="4"/>
  <c r="I644" i="4"/>
  <c r="H644" i="4"/>
  <c r="G644" i="4"/>
  <c r="G644" i="5" s="1"/>
  <c r="I644" i="6" s="1"/>
  <c r="F644" i="4"/>
  <c r="E644" i="4"/>
  <c r="D644" i="4"/>
  <c r="AG643" i="4"/>
  <c r="AG643" i="5" s="1"/>
  <c r="AI643" i="6" s="1"/>
  <c r="AF643" i="4"/>
  <c r="AE643" i="4"/>
  <c r="AD643" i="4"/>
  <c r="AC643" i="4"/>
  <c r="AC643" i="5" s="1"/>
  <c r="AE643" i="6" s="1"/>
  <c r="AB643" i="4"/>
  <c r="AA643" i="4"/>
  <c r="Z643" i="4"/>
  <c r="Y643" i="4"/>
  <c r="Y643" i="5" s="1"/>
  <c r="AA643" i="6" s="1"/>
  <c r="X643" i="4"/>
  <c r="W643" i="4"/>
  <c r="V643" i="4"/>
  <c r="U643" i="4"/>
  <c r="U643" i="5" s="1"/>
  <c r="W643" i="6" s="1"/>
  <c r="T643" i="4"/>
  <c r="S643" i="4"/>
  <c r="R643" i="4"/>
  <c r="Q643" i="4"/>
  <c r="Q643" i="5" s="1"/>
  <c r="S643" i="6" s="1"/>
  <c r="P643" i="4"/>
  <c r="O643" i="4"/>
  <c r="N643" i="4"/>
  <c r="M643" i="4"/>
  <c r="M643" i="5" s="1"/>
  <c r="O643" i="6" s="1"/>
  <c r="L643" i="4"/>
  <c r="K643" i="4"/>
  <c r="J643" i="4"/>
  <c r="I643" i="4"/>
  <c r="I643" i="5" s="1"/>
  <c r="K643" i="6" s="1"/>
  <c r="H643" i="4"/>
  <c r="G643" i="4"/>
  <c r="F643" i="4"/>
  <c r="E643" i="4"/>
  <c r="E643" i="5" s="1"/>
  <c r="G643" i="6" s="1"/>
  <c r="D643" i="4"/>
  <c r="AG642" i="4"/>
  <c r="AF642" i="4"/>
  <c r="AE642" i="4"/>
  <c r="AE642" i="5" s="1"/>
  <c r="AG642" i="6" s="1"/>
  <c r="AD642" i="4"/>
  <c r="AC642" i="4"/>
  <c r="AB642" i="4"/>
  <c r="AA642" i="4"/>
  <c r="AA642" i="5" s="1"/>
  <c r="AC642" i="6" s="1"/>
  <c r="Z642" i="4"/>
  <c r="Y642" i="4"/>
  <c r="X642" i="4"/>
  <c r="W642" i="4"/>
  <c r="W642" i="5" s="1"/>
  <c r="Y642" i="6" s="1"/>
  <c r="V642" i="4"/>
  <c r="U642" i="4"/>
  <c r="T642" i="4"/>
  <c r="S642" i="4"/>
  <c r="S642" i="5" s="1"/>
  <c r="U642" i="6" s="1"/>
  <c r="R642" i="4"/>
  <c r="Q642" i="4"/>
  <c r="P642" i="4"/>
  <c r="O642" i="4"/>
  <c r="O642" i="5" s="1"/>
  <c r="Q642" i="6" s="1"/>
  <c r="N642" i="4"/>
  <c r="M642" i="4"/>
  <c r="L642" i="4"/>
  <c r="K642" i="4"/>
  <c r="K642" i="5" s="1"/>
  <c r="M642" i="6" s="1"/>
  <c r="J642" i="4"/>
  <c r="I642" i="4"/>
  <c r="H642" i="4"/>
  <c r="G642" i="4"/>
  <c r="G642" i="5" s="1"/>
  <c r="I642" i="6" s="1"/>
  <c r="F642" i="4"/>
  <c r="E642" i="4"/>
  <c r="D642" i="4"/>
  <c r="AG641" i="4"/>
  <c r="AG641" i="5" s="1"/>
  <c r="AI641" i="6" s="1"/>
  <c r="AF641" i="4"/>
  <c r="AE641" i="4"/>
  <c r="AD641" i="4"/>
  <c r="AC641" i="4"/>
  <c r="AC641" i="5" s="1"/>
  <c r="AE641" i="6" s="1"/>
  <c r="AB641" i="4"/>
  <c r="AA641" i="4"/>
  <c r="Z641" i="4"/>
  <c r="Y641" i="4"/>
  <c r="Y641" i="5" s="1"/>
  <c r="AA641" i="6" s="1"/>
  <c r="X641" i="4"/>
  <c r="W641" i="4"/>
  <c r="V641" i="4"/>
  <c r="U641" i="4"/>
  <c r="U641" i="5" s="1"/>
  <c r="W641" i="6" s="1"/>
  <c r="T641" i="4"/>
  <c r="S641" i="4"/>
  <c r="R641" i="4"/>
  <c r="Q641" i="4"/>
  <c r="Q641" i="5" s="1"/>
  <c r="S641" i="6" s="1"/>
  <c r="P641" i="4"/>
  <c r="O641" i="4"/>
  <c r="N641" i="4"/>
  <c r="M641" i="4"/>
  <c r="M641" i="5" s="1"/>
  <c r="O641" i="6" s="1"/>
  <c r="L641" i="4"/>
  <c r="K641" i="4"/>
  <c r="J641" i="4"/>
  <c r="I641" i="4"/>
  <c r="I641" i="5" s="1"/>
  <c r="K641" i="6" s="1"/>
  <c r="H641" i="4"/>
  <c r="G641" i="4"/>
  <c r="F641" i="4"/>
  <c r="E641" i="4"/>
  <c r="E641" i="5" s="1"/>
  <c r="G641" i="6" s="1"/>
  <c r="D641" i="4"/>
  <c r="AG640" i="4"/>
  <c r="AF640" i="4"/>
  <c r="AE640" i="4"/>
  <c r="AE640" i="5" s="1"/>
  <c r="AG640" i="6" s="1"/>
  <c r="AD640" i="4"/>
  <c r="AC640" i="4"/>
  <c r="AB640" i="4"/>
  <c r="AA640" i="4"/>
  <c r="AA640" i="5" s="1"/>
  <c r="AC640" i="6" s="1"/>
  <c r="Z640" i="4"/>
  <c r="Y640" i="4"/>
  <c r="X640" i="4"/>
  <c r="W640" i="4"/>
  <c r="W640" i="5" s="1"/>
  <c r="Y640" i="6" s="1"/>
  <c r="V640" i="4"/>
  <c r="U640" i="4"/>
  <c r="T640" i="4"/>
  <c r="S640" i="4"/>
  <c r="S640" i="5" s="1"/>
  <c r="U640" i="6" s="1"/>
  <c r="R640" i="4"/>
  <c r="Q640" i="4"/>
  <c r="P640" i="4"/>
  <c r="O640" i="4"/>
  <c r="O640" i="5" s="1"/>
  <c r="Q640" i="6" s="1"/>
  <c r="N640" i="4"/>
  <c r="M640" i="4"/>
  <c r="L640" i="4"/>
  <c r="K640" i="4"/>
  <c r="K640" i="5" s="1"/>
  <c r="M640" i="6" s="1"/>
  <c r="J640" i="4"/>
  <c r="I640" i="4"/>
  <c r="H640" i="4"/>
  <c r="G640" i="4"/>
  <c r="G640" i="5" s="1"/>
  <c r="I640" i="6" s="1"/>
  <c r="F640" i="4"/>
  <c r="E640" i="4"/>
  <c r="D640" i="4"/>
  <c r="AG639" i="4"/>
  <c r="AG639" i="5" s="1"/>
  <c r="AI639" i="6" s="1"/>
  <c r="AF639" i="4"/>
  <c r="AE639" i="4"/>
  <c r="AD639" i="4"/>
  <c r="AC639" i="4"/>
  <c r="AC639" i="5" s="1"/>
  <c r="AE639" i="6" s="1"/>
  <c r="AB639" i="4"/>
  <c r="AA639" i="4"/>
  <c r="Z639" i="4"/>
  <c r="Y639" i="4"/>
  <c r="Y639" i="5" s="1"/>
  <c r="AA639" i="6" s="1"/>
  <c r="X639" i="4"/>
  <c r="W639" i="4"/>
  <c r="V639" i="4"/>
  <c r="U639" i="4"/>
  <c r="U639" i="5" s="1"/>
  <c r="W639" i="6" s="1"/>
  <c r="T639" i="4"/>
  <c r="S639" i="4"/>
  <c r="R639" i="4"/>
  <c r="Q639" i="4"/>
  <c r="Q639" i="5" s="1"/>
  <c r="S639" i="6" s="1"/>
  <c r="P639" i="4"/>
  <c r="O639" i="4"/>
  <c r="N639" i="4"/>
  <c r="M639" i="4"/>
  <c r="M639" i="5" s="1"/>
  <c r="O639" i="6" s="1"/>
  <c r="L639" i="4"/>
  <c r="K639" i="4"/>
  <c r="J639" i="4"/>
  <c r="I639" i="4"/>
  <c r="I639" i="5" s="1"/>
  <c r="K639" i="6" s="1"/>
  <c r="H639" i="4"/>
  <c r="G639" i="4"/>
  <c r="F639" i="4"/>
  <c r="E639" i="4"/>
  <c r="E639" i="5" s="1"/>
  <c r="G639" i="6" s="1"/>
  <c r="D639" i="4"/>
  <c r="AG638" i="4"/>
  <c r="AF638" i="4"/>
  <c r="AE638" i="4"/>
  <c r="AE638" i="5" s="1"/>
  <c r="AG638" i="6" s="1"/>
  <c r="AD638" i="4"/>
  <c r="AC638" i="4"/>
  <c r="AB638" i="4"/>
  <c r="AA638" i="4"/>
  <c r="AA638" i="5" s="1"/>
  <c r="AC638" i="6" s="1"/>
  <c r="Z638" i="4"/>
  <c r="Y638" i="4"/>
  <c r="X638" i="4"/>
  <c r="W638" i="4"/>
  <c r="W638" i="5" s="1"/>
  <c r="Y638" i="6" s="1"/>
  <c r="V638" i="4"/>
  <c r="U638" i="4"/>
  <c r="T638" i="4"/>
  <c r="S638" i="4"/>
  <c r="S638" i="5" s="1"/>
  <c r="U638" i="6" s="1"/>
  <c r="R638" i="4"/>
  <c r="Q638" i="4"/>
  <c r="P638" i="4"/>
  <c r="O638" i="4"/>
  <c r="O638" i="5" s="1"/>
  <c r="Q638" i="6" s="1"/>
  <c r="N638" i="4"/>
  <c r="M638" i="4"/>
  <c r="L638" i="4"/>
  <c r="K638" i="4"/>
  <c r="K638" i="5" s="1"/>
  <c r="M638" i="6" s="1"/>
  <c r="J638" i="4"/>
  <c r="I638" i="4"/>
  <c r="H638" i="4"/>
  <c r="G638" i="4"/>
  <c r="G638" i="5" s="1"/>
  <c r="I638" i="6" s="1"/>
  <c r="F638" i="4"/>
  <c r="E638" i="4"/>
  <c r="D638" i="4"/>
  <c r="AG637" i="4"/>
  <c r="AG637" i="5" s="1"/>
  <c r="AI637" i="6" s="1"/>
  <c r="AF637" i="4"/>
  <c r="AE637" i="4"/>
  <c r="AD637" i="4"/>
  <c r="AC637" i="4"/>
  <c r="AC637" i="5" s="1"/>
  <c r="AE637" i="6" s="1"/>
  <c r="AB637" i="4"/>
  <c r="AA637" i="4"/>
  <c r="Z637" i="4"/>
  <c r="Y637" i="4"/>
  <c r="Y637" i="5" s="1"/>
  <c r="AA637" i="6" s="1"/>
  <c r="X637" i="4"/>
  <c r="W637" i="4"/>
  <c r="V637" i="4"/>
  <c r="U637" i="4"/>
  <c r="U637" i="5" s="1"/>
  <c r="W637" i="6" s="1"/>
  <c r="T637" i="4"/>
  <c r="S637" i="4"/>
  <c r="R637" i="4"/>
  <c r="Q637" i="4"/>
  <c r="Q637" i="5" s="1"/>
  <c r="S637" i="6" s="1"/>
  <c r="P637" i="4"/>
  <c r="O637" i="4"/>
  <c r="N637" i="4"/>
  <c r="M637" i="4"/>
  <c r="M637" i="5" s="1"/>
  <c r="O637" i="6" s="1"/>
  <c r="L637" i="4"/>
  <c r="K637" i="4"/>
  <c r="J637" i="4"/>
  <c r="I637" i="4"/>
  <c r="I637" i="5" s="1"/>
  <c r="K637" i="6" s="1"/>
  <c r="H637" i="4"/>
  <c r="G637" i="4"/>
  <c r="F637" i="4"/>
  <c r="E637" i="4"/>
  <c r="E637" i="5" s="1"/>
  <c r="G637" i="6" s="1"/>
  <c r="D637" i="4"/>
  <c r="AG636" i="4"/>
  <c r="AF636" i="4"/>
  <c r="AE636" i="4"/>
  <c r="AE636" i="5" s="1"/>
  <c r="AG636" i="6" s="1"/>
  <c r="AD636" i="4"/>
  <c r="AC636" i="4"/>
  <c r="AB636" i="4"/>
  <c r="AA636" i="4"/>
  <c r="AA636" i="5" s="1"/>
  <c r="AC636" i="6" s="1"/>
  <c r="Z636" i="4"/>
  <c r="Y636" i="4"/>
  <c r="X636" i="4"/>
  <c r="W636" i="4"/>
  <c r="W636" i="5" s="1"/>
  <c r="Y636" i="6" s="1"/>
  <c r="V636" i="4"/>
  <c r="U636" i="4"/>
  <c r="T636" i="4"/>
  <c r="S636" i="4"/>
  <c r="S636" i="5" s="1"/>
  <c r="U636" i="6" s="1"/>
  <c r="R636" i="4"/>
  <c r="Q636" i="4"/>
  <c r="P636" i="4"/>
  <c r="O636" i="4"/>
  <c r="O636" i="5" s="1"/>
  <c r="Q636" i="6" s="1"/>
  <c r="N636" i="4"/>
  <c r="M636" i="4"/>
  <c r="L636" i="4"/>
  <c r="K636" i="4"/>
  <c r="K636" i="5" s="1"/>
  <c r="M636" i="6" s="1"/>
  <c r="J636" i="4"/>
  <c r="I636" i="4"/>
  <c r="H636" i="4"/>
  <c r="G636" i="4"/>
  <c r="G636" i="5" s="1"/>
  <c r="I636" i="6" s="1"/>
  <c r="F636" i="4"/>
  <c r="E636" i="4"/>
  <c r="D636" i="4"/>
  <c r="AG635" i="4"/>
  <c r="AG635" i="5" s="1"/>
  <c r="AI635" i="6" s="1"/>
  <c r="AF635" i="4"/>
  <c r="AE635" i="4"/>
  <c r="AD635" i="4"/>
  <c r="AC635" i="4"/>
  <c r="AC635" i="5" s="1"/>
  <c r="AE635" i="6" s="1"/>
  <c r="AB635" i="4"/>
  <c r="AA635" i="4"/>
  <c r="Z635" i="4"/>
  <c r="Y635" i="4"/>
  <c r="Y635" i="5" s="1"/>
  <c r="AA635" i="6" s="1"/>
  <c r="X635" i="4"/>
  <c r="W635" i="4"/>
  <c r="V635" i="4"/>
  <c r="U635" i="4"/>
  <c r="U635" i="5" s="1"/>
  <c r="W635" i="6" s="1"/>
  <c r="T635" i="4"/>
  <c r="S635" i="4"/>
  <c r="R635" i="4"/>
  <c r="Q635" i="4"/>
  <c r="Q635" i="5" s="1"/>
  <c r="S635" i="6" s="1"/>
  <c r="P635" i="4"/>
  <c r="O635" i="4"/>
  <c r="N635" i="4"/>
  <c r="M635" i="4"/>
  <c r="M635" i="5" s="1"/>
  <c r="O635" i="6" s="1"/>
  <c r="L635" i="4"/>
  <c r="K635" i="4"/>
  <c r="J635" i="4"/>
  <c r="I635" i="4"/>
  <c r="I635" i="5" s="1"/>
  <c r="K635" i="6" s="1"/>
  <c r="H635" i="4"/>
  <c r="G635" i="4"/>
  <c r="F635" i="4"/>
  <c r="E635" i="4"/>
  <c r="E635" i="5" s="1"/>
  <c r="G635" i="6" s="1"/>
  <c r="D635" i="4"/>
  <c r="AG634" i="4"/>
  <c r="AF634" i="4"/>
  <c r="AE634" i="4"/>
  <c r="AE634" i="5" s="1"/>
  <c r="AG634" i="6" s="1"/>
  <c r="AD634" i="4"/>
  <c r="AC634" i="4"/>
  <c r="AB634" i="4"/>
  <c r="AA634" i="4"/>
  <c r="AA634" i="5" s="1"/>
  <c r="AC634" i="6" s="1"/>
  <c r="Z634" i="4"/>
  <c r="Y634" i="4"/>
  <c r="X634" i="4"/>
  <c r="W634" i="4"/>
  <c r="W634" i="5" s="1"/>
  <c r="Y634" i="6" s="1"/>
  <c r="V634" i="4"/>
  <c r="U634" i="4"/>
  <c r="T634" i="4"/>
  <c r="S634" i="4"/>
  <c r="S634" i="5" s="1"/>
  <c r="U634" i="6" s="1"/>
  <c r="R634" i="4"/>
  <c r="Q634" i="4"/>
  <c r="P634" i="4"/>
  <c r="O634" i="4"/>
  <c r="O634" i="5" s="1"/>
  <c r="Q634" i="6" s="1"/>
  <c r="N634" i="4"/>
  <c r="M634" i="4"/>
  <c r="L634" i="4"/>
  <c r="K634" i="4"/>
  <c r="K634" i="5" s="1"/>
  <c r="M634" i="6" s="1"/>
  <c r="J634" i="4"/>
  <c r="I634" i="4"/>
  <c r="H634" i="4"/>
  <c r="G634" i="4"/>
  <c r="G634" i="5" s="1"/>
  <c r="I634" i="6" s="1"/>
  <c r="F634" i="4"/>
  <c r="E634" i="4"/>
  <c r="D634" i="4"/>
  <c r="AG633" i="4"/>
  <c r="AG633" i="5" s="1"/>
  <c r="AI633" i="6" s="1"/>
  <c r="AF633" i="4"/>
  <c r="AE633" i="4"/>
  <c r="AD633" i="4"/>
  <c r="AC633" i="4"/>
  <c r="AC633" i="5" s="1"/>
  <c r="AE633" i="6" s="1"/>
  <c r="AB633" i="4"/>
  <c r="AA633" i="4"/>
  <c r="Z633" i="4"/>
  <c r="Y633" i="4"/>
  <c r="Y633" i="5" s="1"/>
  <c r="AA633" i="6" s="1"/>
  <c r="X633" i="4"/>
  <c r="W633" i="4"/>
  <c r="V633" i="4"/>
  <c r="U633" i="4"/>
  <c r="U633" i="5" s="1"/>
  <c r="W633" i="6" s="1"/>
  <c r="T633" i="4"/>
  <c r="S633" i="4"/>
  <c r="R633" i="4"/>
  <c r="Q633" i="4"/>
  <c r="Q633" i="5" s="1"/>
  <c r="S633" i="6" s="1"/>
  <c r="P633" i="4"/>
  <c r="O633" i="4"/>
  <c r="N633" i="4"/>
  <c r="M633" i="4"/>
  <c r="M633" i="5" s="1"/>
  <c r="O633" i="6" s="1"/>
  <c r="L633" i="4"/>
  <c r="K633" i="4"/>
  <c r="J633" i="4"/>
  <c r="I633" i="4"/>
  <c r="I633" i="5" s="1"/>
  <c r="K633" i="6" s="1"/>
  <c r="H633" i="4"/>
  <c r="G633" i="4"/>
  <c r="F633" i="4"/>
  <c r="E633" i="4"/>
  <c r="E633" i="5" s="1"/>
  <c r="G633" i="6" s="1"/>
  <c r="D633" i="4"/>
  <c r="AG632" i="4"/>
  <c r="AF632" i="4"/>
  <c r="AE632" i="4"/>
  <c r="AE632" i="5" s="1"/>
  <c r="AG632" i="6" s="1"/>
  <c r="AD632" i="4"/>
  <c r="AC632" i="4"/>
  <c r="AB632" i="4"/>
  <c r="AA632" i="4"/>
  <c r="AA632" i="5" s="1"/>
  <c r="AC632" i="6" s="1"/>
  <c r="Z632" i="4"/>
  <c r="Y632" i="4"/>
  <c r="X632" i="4"/>
  <c r="W632" i="4"/>
  <c r="W632" i="5" s="1"/>
  <c r="Y632" i="6" s="1"/>
  <c r="V632" i="4"/>
  <c r="U632" i="4"/>
  <c r="T632" i="4"/>
  <c r="S632" i="4"/>
  <c r="S632" i="5" s="1"/>
  <c r="U632" i="6" s="1"/>
  <c r="R632" i="4"/>
  <c r="Q632" i="4"/>
  <c r="P632" i="4"/>
  <c r="O632" i="4"/>
  <c r="O632" i="5" s="1"/>
  <c r="Q632" i="6" s="1"/>
  <c r="N632" i="4"/>
  <c r="M632" i="4"/>
  <c r="L632" i="4"/>
  <c r="K632" i="4"/>
  <c r="K632" i="5" s="1"/>
  <c r="M632" i="6" s="1"/>
  <c r="J632" i="4"/>
  <c r="I632" i="4"/>
  <c r="H632" i="4"/>
  <c r="G632" i="4"/>
  <c r="G632" i="5" s="1"/>
  <c r="I632" i="6" s="1"/>
  <c r="F632" i="4"/>
  <c r="E632" i="4"/>
  <c r="D632" i="4"/>
  <c r="AG631" i="4"/>
  <c r="AG631" i="5" s="1"/>
  <c r="AI631" i="6" s="1"/>
  <c r="AF631" i="4"/>
  <c r="AE631" i="4"/>
  <c r="AD631" i="4"/>
  <c r="AC631" i="4"/>
  <c r="AC631" i="5" s="1"/>
  <c r="AE631" i="6" s="1"/>
  <c r="AB631" i="4"/>
  <c r="AA631" i="4"/>
  <c r="Z631" i="4"/>
  <c r="Y631" i="4"/>
  <c r="Y631" i="5" s="1"/>
  <c r="AA631" i="6" s="1"/>
  <c r="X631" i="4"/>
  <c r="W631" i="4"/>
  <c r="V631" i="4"/>
  <c r="U631" i="4"/>
  <c r="U631" i="5" s="1"/>
  <c r="W631" i="6" s="1"/>
  <c r="T631" i="4"/>
  <c r="S631" i="4"/>
  <c r="R631" i="4"/>
  <c r="Q631" i="4"/>
  <c r="Q631" i="5" s="1"/>
  <c r="S631" i="6" s="1"/>
  <c r="P631" i="4"/>
  <c r="O631" i="4"/>
  <c r="N631" i="4"/>
  <c r="M631" i="4"/>
  <c r="M631" i="5" s="1"/>
  <c r="O631" i="6" s="1"/>
  <c r="L631" i="4"/>
  <c r="K631" i="4"/>
  <c r="J631" i="4"/>
  <c r="I631" i="4"/>
  <c r="I631" i="5" s="1"/>
  <c r="K631" i="6" s="1"/>
  <c r="H631" i="4"/>
  <c r="G631" i="4"/>
  <c r="F631" i="4"/>
  <c r="E631" i="4"/>
  <c r="E631" i="5" s="1"/>
  <c r="G631" i="6" s="1"/>
  <c r="D631" i="4"/>
  <c r="AG630" i="4"/>
  <c r="AF630" i="4"/>
  <c r="AE630" i="4"/>
  <c r="AE630" i="5" s="1"/>
  <c r="AG630" i="6" s="1"/>
  <c r="AD630" i="4"/>
  <c r="AC630" i="4"/>
  <c r="AB630" i="4"/>
  <c r="AA630" i="4"/>
  <c r="AA630" i="5" s="1"/>
  <c r="AC630" i="6" s="1"/>
  <c r="Z630" i="4"/>
  <c r="Y630" i="4"/>
  <c r="X630" i="4"/>
  <c r="W630" i="4"/>
  <c r="W630" i="5" s="1"/>
  <c r="Y630" i="6" s="1"/>
  <c r="V630" i="4"/>
  <c r="U630" i="4"/>
  <c r="T630" i="4"/>
  <c r="S630" i="4"/>
  <c r="S630" i="5" s="1"/>
  <c r="U630" i="6" s="1"/>
  <c r="R630" i="4"/>
  <c r="Q630" i="4"/>
  <c r="P630" i="4"/>
  <c r="O630" i="4"/>
  <c r="O630" i="5" s="1"/>
  <c r="Q630" i="6" s="1"/>
  <c r="N630" i="4"/>
  <c r="M630" i="4"/>
  <c r="L630" i="4"/>
  <c r="K630" i="4"/>
  <c r="K630" i="5" s="1"/>
  <c r="M630" i="6" s="1"/>
  <c r="J630" i="4"/>
  <c r="I630" i="4"/>
  <c r="H630" i="4"/>
  <c r="G630" i="4"/>
  <c r="G630" i="5" s="1"/>
  <c r="I630" i="6" s="1"/>
  <c r="F630" i="4"/>
  <c r="E630" i="4"/>
  <c r="D630" i="4"/>
  <c r="AG629" i="4"/>
  <c r="AG629" i="5" s="1"/>
  <c r="AI629" i="6" s="1"/>
  <c r="AF629" i="4"/>
  <c r="AE629" i="4"/>
  <c r="AD629" i="4"/>
  <c r="AC629" i="4"/>
  <c r="AC629" i="5" s="1"/>
  <c r="AE629" i="6" s="1"/>
  <c r="AB629" i="4"/>
  <c r="AA629" i="4"/>
  <c r="Z629" i="4"/>
  <c r="Y629" i="4"/>
  <c r="Y629" i="5" s="1"/>
  <c r="AA629" i="6" s="1"/>
  <c r="X629" i="4"/>
  <c r="W629" i="4"/>
  <c r="V629" i="4"/>
  <c r="U629" i="4"/>
  <c r="U629" i="5" s="1"/>
  <c r="W629" i="6" s="1"/>
  <c r="T629" i="4"/>
  <c r="S629" i="4"/>
  <c r="R629" i="4"/>
  <c r="Q629" i="4"/>
  <c r="Q629" i="5" s="1"/>
  <c r="S629" i="6" s="1"/>
  <c r="P629" i="4"/>
  <c r="O629" i="4"/>
  <c r="N629" i="4"/>
  <c r="M629" i="4"/>
  <c r="M629" i="5" s="1"/>
  <c r="O629" i="6" s="1"/>
  <c r="L629" i="4"/>
  <c r="K629" i="4"/>
  <c r="J629" i="4"/>
  <c r="I629" i="4"/>
  <c r="I629" i="5" s="1"/>
  <c r="K629" i="6" s="1"/>
  <c r="H629" i="4"/>
  <c r="G629" i="4"/>
  <c r="F629" i="4"/>
  <c r="E629" i="4"/>
  <c r="E629" i="5" s="1"/>
  <c r="G629" i="6" s="1"/>
  <c r="D629" i="4"/>
  <c r="AG628" i="4"/>
  <c r="AF628" i="4"/>
  <c r="AE628" i="4"/>
  <c r="AE628" i="5" s="1"/>
  <c r="AG628" i="6" s="1"/>
  <c r="AD628" i="4"/>
  <c r="AC628" i="4"/>
  <c r="AB628" i="4"/>
  <c r="AA628" i="4"/>
  <c r="AA628" i="5" s="1"/>
  <c r="AC628" i="6" s="1"/>
  <c r="Z628" i="4"/>
  <c r="Y628" i="4"/>
  <c r="X628" i="4"/>
  <c r="W628" i="4"/>
  <c r="W628" i="5" s="1"/>
  <c r="Y628" i="6" s="1"/>
  <c r="V628" i="4"/>
  <c r="U628" i="4"/>
  <c r="T628" i="4"/>
  <c r="S628" i="4"/>
  <c r="S628" i="5" s="1"/>
  <c r="U628" i="6" s="1"/>
  <c r="R628" i="4"/>
  <c r="Q628" i="4"/>
  <c r="P628" i="4"/>
  <c r="O628" i="4"/>
  <c r="O628" i="5" s="1"/>
  <c r="Q628" i="6" s="1"/>
  <c r="N628" i="4"/>
  <c r="M628" i="4"/>
  <c r="L628" i="4"/>
  <c r="K628" i="4"/>
  <c r="K628" i="5" s="1"/>
  <c r="M628" i="6" s="1"/>
  <c r="J628" i="4"/>
  <c r="I628" i="4"/>
  <c r="H628" i="4"/>
  <c r="G628" i="4"/>
  <c r="G628" i="5" s="1"/>
  <c r="I628" i="6" s="1"/>
  <c r="F628" i="4"/>
  <c r="E628" i="4"/>
  <c r="D628" i="4"/>
  <c r="AG627" i="4"/>
  <c r="AG627" i="5" s="1"/>
  <c r="AI627" i="6" s="1"/>
  <c r="AF627" i="4"/>
  <c r="AE627" i="4"/>
  <c r="AD627" i="4"/>
  <c r="AC627" i="4"/>
  <c r="AC627" i="5" s="1"/>
  <c r="AE627" i="6" s="1"/>
  <c r="AB627" i="4"/>
  <c r="AA627" i="4"/>
  <c r="Z627" i="4"/>
  <c r="Y627" i="4"/>
  <c r="Y627" i="5" s="1"/>
  <c r="AA627" i="6" s="1"/>
  <c r="X627" i="4"/>
  <c r="W627" i="4"/>
  <c r="V627" i="4"/>
  <c r="U627" i="4"/>
  <c r="U627" i="5" s="1"/>
  <c r="W627" i="6" s="1"/>
  <c r="T627" i="4"/>
  <c r="S627" i="4"/>
  <c r="R627" i="4"/>
  <c r="Q627" i="4"/>
  <c r="Q627" i="5" s="1"/>
  <c r="S627" i="6" s="1"/>
  <c r="P627" i="4"/>
  <c r="O627" i="4"/>
  <c r="N627" i="4"/>
  <c r="M627" i="4"/>
  <c r="M627" i="5" s="1"/>
  <c r="O627" i="6" s="1"/>
  <c r="L627" i="4"/>
  <c r="K627" i="4"/>
  <c r="J627" i="4"/>
  <c r="I627" i="4"/>
  <c r="I627" i="5" s="1"/>
  <c r="K627" i="6" s="1"/>
  <c r="H627" i="4"/>
  <c r="G627" i="4"/>
  <c r="F627" i="4"/>
  <c r="E627" i="4"/>
  <c r="E627" i="5" s="1"/>
  <c r="G627" i="6" s="1"/>
  <c r="D627" i="4"/>
  <c r="AG626" i="4"/>
  <c r="AF626" i="4"/>
  <c r="AE626" i="4"/>
  <c r="AE626" i="5" s="1"/>
  <c r="AG626" i="6" s="1"/>
  <c r="AD626" i="4"/>
  <c r="AC626" i="4"/>
  <c r="AB626" i="4"/>
  <c r="AA626" i="4"/>
  <c r="AA626" i="5" s="1"/>
  <c r="AC626" i="6" s="1"/>
  <c r="Z626" i="4"/>
  <c r="Y626" i="4"/>
  <c r="X626" i="4"/>
  <c r="W626" i="4"/>
  <c r="W626" i="5" s="1"/>
  <c r="Y626" i="6" s="1"/>
  <c r="V626" i="4"/>
  <c r="U626" i="4"/>
  <c r="T626" i="4"/>
  <c r="S626" i="4"/>
  <c r="S626" i="5" s="1"/>
  <c r="U626" i="6" s="1"/>
  <c r="R626" i="4"/>
  <c r="Q626" i="4"/>
  <c r="P626" i="4"/>
  <c r="O626" i="4"/>
  <c r="O626" i="5" s="1"/>
  <c r="Q626" i="6" s="1"/>
  <c r="N626" i="4"/>
  <c r="M626" i="4"/>
  <c r="L626" i="4"/>
  <c r="K626" i="4"/>
  <c r="K626" i="5" s="1"/>
  <c r="M626" i="6" s="1"/>
  <c r="J626" i="4"/>
  <c r="I626" i="4"/>
  <c r="H626" i="4"/>
  <c r="G626" i="4"/>
  <c r="G626" i="5" s="1"/>
  <c r="I626" i="6" s="1"/>
  <c r="F626" i="4"/>
  <c r="E626" i="4"/>
  <c r="D626" i="4"/>
  <c r="AG625" i="4"/>
  <c r="AG625" i="5" s="1"/>
  <c r="AI625" i="6" s="1"/>
  <c r="AF625" i="4"/>
  <c r="AE625" i="4"/>
  <c r="AD625" i="4"/>
  <c r="AC625" i="4"/>
  <c r="AC625" i="5" s="1"/>
  <c r="AE625" i="6" s="1"/>
  <c r="AB625" i="4"/>
  <c r="AA625" i="4"/>
  <c r="Z625" i="4"/>
  <c r="Y625" i="4"/>
  <c r="Y625" i="5" s="1"/>
  <c r="AA625" i="6" s="1"/>
  <c r="X625" i="4"/>
  <c r="W625" i="4"/>
  <c r="V625" i="4"/>
  <c r="U625" i="4"/>
  <c r="U625" i="5" s="1"/>
  <c r="W625" i="6" s="1"/>
  <c r="T625" i="4"/>
  <c r="S625" i="4"/>
  <c r="R625" i="4"/>
  <c r="Q625" i="4"/>
  <c r="Q625" i="5" s="1"/>
  <c r="S625" i="6" s="1"/>
  <c r="P625" i="4"/>
  <c r="O625" i="4"/>
  <c r="N625" i="4"/>
  <c r="M625" i="4"/>
  <c r="M625" i="5" s="1"/>
  <c r="O625" i="6" s="1"/>
  <c r="L625" i="4"/>
  <c r="K625" i="4"/>
  <c r="J625" i="4"/>
  <c r="I625" i="4"/>
  <c r="I625" i="5" s="1"/>
  <c r="K625" i="6" s="1"/>
  <c r="H625" i="4"/>
  <c r="G625" i="4"/>
  <c r="F625" i="4"/>
  <c r="E625" i="4"/>
  <c r="E625" i="5" s="1"/>
  <c r="G625" i="6" s="1"/>
  <c r="D625" i="4"/>
  <c r="AG624" i="4"/>
  <c r="AF624" i="4"/>
  <c r="AE624" i="4"/>
  <c r="AE624" i="5" s="1"/>
  <c r="AG624" i="6" s="1"/>
  <c r="AD624" i="4"/>
  <c r="AC624" i="4"/>
  <c r="AB624" i="4"/>
  <c r="AA624" i="4"/>
  <c r="AA624" i="5" s="1"/>
  <c r="AC624" i="6" s="1"/>
  <c r="Z624" i="4"/>
  <c r="Y624" i="4"/>
  <c r="X624" i="4"/>
  <c r="W624" i="4"/>
  <c r="W624" i="5" s="1"/>
  <c r="Y624" i="6" s="1"/>
  <c r="V624" i="4"/>
  <c r="U624" i="4"/>
  <c r="T624" i="4"/>
  <c r="S624" i="4"/>
  <c r="S624" i="5" s="1"/>
  <c r="U624" i="6" s="1"/>
  <c r="R624" i="4"/>
  <c r="Q624" i="4"/>
  <c r="P624" i="4"/>
  <c r="O624" i="4"/>
  <c r="O624" i="5" s="1"/>
  <c r="Q624" i="6" s="1"/>
  <c r="N624" i="4"/>
  <c r="M624" i="4"/>
  <c r="L624" i="4"/>
  <c r="K624" i="4"/>
  <c r="K624" i="5" s="1"/>
  <c r="M624" i="6" s="1"/>
  <c r="J624" i="4"/>
  <c r="I624" i="4"/>
  <c r="H624" i="4"/>
  <c r="G624" i="4"/>
  <c r="G624" i="5" s="1"/>
  <c r="I624" i="6" s="1"/>
  <c r="F624" i="4"/>
  <c r="E624" i="4"/>
  <c r="D624" i="4"/>
  <c r="AG623" i="4"/>
  <c r="AG623" i="5" s="1"/>
  <c r="AI623" i="6" s="1"/>
  <c r="AF623" i="4"/>
  <c r="AE623" i="4"/>
  <c r="AD623" i="4"/>
  <c r="AC623" i="4"/>
  <c r="AC623" i="5" s="1"/>
  <c r="AE623" i="6" s="1"/>
  <c r="AB623" i="4"/>
  <c r="AA623" i="4"/>
  <c r="Z623" i="4"/>
  <c r="Y623" i="4"/>
  <c r="Y623" i="5" s="1"/>
  <c r="AA623" i="6" s="1"/>
  <c r="X623" i="4"/>
  <c r="W623" i="4"/>
  <c r="V623" i="4"/>
  <c r="U623" i="4"/>
  <c r="U623" i="5" s="1"/>
  <c r="W623" i="6" s="1"/>
  <c r="T623" i="4"/>
  <c r="S623" i="4"/>
  <c r="R623" i="4"/>
  <c r="Q623" i="4"/>
  <c r="Q623" i="5" s="1"/>
  <c r="S623" i="6" s="1"/>
  <c r="P623" i="4"/>
  <c r="O623" i="4"/>
  <c r="N623" i="4"/>
  <c r="M623" i="4"/>
  <c r="M623" i="5" s="1"/>
  <c r="O623" i="6" s="1"/>
  <c r="L623" i="4"/>
  <c r="K623" i="4"/>
  <c r="J623" i="4"/>
  <c r="I623" i="4"/>
  <c r="I623" i="5" s="1"/>
  <c r="K623" i="6" s="1"/>
  <c r="H623" i="4"/>
  <c r="G623" i="4"/>
  <c r="F623" i="4"/>
  <c r="E623" i="4"/>
  <c r="E623" i="5" s="1"/>
  <c r="G623" i="6" s="1"/>
  <c r="D623" i="4"/>
  <c r="AG622" i="4"/>
  <c r="AF622" i="4"/>
  <c r="AE622" i="4"/>
  <c r="AE622" i="5" s="1"/>
  <c r="AG622" i="6" s="1"/>
  <c r="AD622" i="4"/>
  <c r="AC622" i="4"/>
  <c r="AB622" i="4"/>
  <c r="AA622" i="4"/>
  <c r="AA622" i="5" s="1"/>
  <c r="AC622" i="6" s="1"/>
  <c r="Z622" i="4"/>
  <c r="Y622" i="4"/>
  <c r="X622" i="4"/>
  <c r="W622" i="4"/>
  <c r="W622" i="5" s="1"/>
  <c r="Y622" i="6" s="1"/>
  <c r="V622" i="4"/>
  <c r="U622" i="4"/>
  <c r="T622" i="4"/>
  <c r="S622" i="4"/>
  <c r="S622" i="5" s="1"/>
  <c r="U622" i="6" s="1"/>
  <c r="R622" i="4"/>
  <c r="Q622" i="4"/>
  <c r="P622" i="4"/>
  <c r="O622" i="4"/>
  <c r="O622" i="5" s="1"/>
  <c r="Q622" i="6" s="1"/>
  <c r="N622" i="4"/>
  <c r="M622" i="4"/>
  <c r="L622" i="4"/>
  <c r="K622" i="4"/>
  <c r="K622" i="5" s="1"/>
  <c r="M622" i="6" s="1"/>
  <c r="J622" i="4"/>
  <c r="I622" i="4"/>
  <c r="H622" i="4"/>
  <c r="G622" i="4"/>
  <c r="G622" i="5" s="1"/>
  <c r="I622" i="6" s="1"/>
  <c r="F622" i="4"/>
  <c r="E622" i="4"/>
  <c r="D622" i="4"/>
  <c r="AG621" i="4"/>
  <c r="AG621" i="5" s="1"/>
  <c r="AI621" i="6" s="1"/>
  <c r="AF621" i="4"/>
  <c r="AE621" i="4"/>
  <c r="AD621" i="4"/>
  <c r="AC621" i="4"/>
  <c r="AC621" i="5" s="1"/>
  <c r="AE621" i="6" s="1"/>
  <c r="AB621" i="4"/>
  <c r="AA621" i="4"/>
  <c r="Z621" i="4"/>
  <c r="Y621" i="4"/>
  <c r="Y621" i="5" s="1"/>
  <c r="AA621" i="6" s="1"/>
  <c r="X621" i="4"/>
  <c r="W621" i="4"/>
  <c r="V621" i="4"/>
  <c r="U621" i="4"/>
  <c r="U621" i="5" s="1"/>
  <c r="W621" i="6" s="1"/>
  <c r="T621" i="4"/>
  <c r="S621" i="4"/>
  <c r="R621" i="4"/>
  <c r="Q621" i="4"/>
  <c r="Q621" i="5" s="1"/>
  <c r="S621" i="6" s="1"/>
  <c r="P621" i="4"/>
  <c r="O621" i="4"/>
  <c r="N621" i="4"/>
  <c r="M621" i="4"/>
  <c r="M621" i="5" s="1"/>
  <c r="O621" i="6" s="1"/>
  <c r="L621" i="4"/>
  <c r="K621" i="4"/>
  <c r="J621" i="4"/>
  <c r="I621" i="4"/>
  <c r="I621" i="5" s="1"/>
  <c r="K621" i="6" s="1"/>
  <c r="H621" i="4"/>
  <c r="G621" i="4"/>
  <c r="F621" i="4"/>
  <c r="E621" i="4"/>
  <c r="E621" i="5" s="1"/>
  <c r="G621" i="6" s="1"/>
  <c r="D621" i="4"/>
  <c r="AG620" i="4"/>
  <c r="AF620" i="4"/>
  <c r="AE620" i="4"/>
  <c r="AE620" i="5" s="1"/>
  <c r="AG620" i="6" s="1"/>
  <c r="AD620" i="4"/>
  <c r="AC620" i="4"/>
  <c r="AB620" i="4"/>
  <c r="AA620" i="4"/>
  <c r="AA620" i="5" s="1"/>
  <c r="AC620" i="6" s="1"/>
  <c r="Z620" i="4"/>
  <c r="Y620" i="4"/>
  <c r="X620" i="4"/>
  <c r="W620" i="4"/>
  <c r="W620" i="5" s="1"/>
  <c r="Y620" i="6" s="1"/>
  <c r="V620" i="4"/>
  <c r="U620" i="4"/>
  <c r="T620" i="4"/>
  <c r="S620" i="4"/>
  <c r="S620" i="5" s="1"/>
  <c r="U620" i="6" s="1"/>
  <c r="R620" i="4"/>
  <c r="Q620" i="4"/>
  <c r="P620" i="4"/>
  <c r="O620" i="4"/>
  <c r="O620" i="5" s="1"/>
  <c r="Q620" i="6" s="1"/>
  <c r="N620" i="4"/>
  <c r="M620" i="4"/>
  <c r="L620" i="4"/>
  <c r="K620" i="4"/>
  <c r="K620" i="5" s="1"/>
  <c r="M620" i="6" s="1"/>
  <c r="J620" i="4"/>
  <c r="I620" i="4"/>
  <c r="H620" i="4"/>
  <c r="G620" i="4"/>
  <c r="G620" i="5" s="1"/>
  <c r="I620" i="6" s="1"/>
  <c r="F620" i="4"/>
  <c r="E620" i="4"/>
  <c r="D620" i="4"/>
  <c r="AG619" i="4"/>
  <c r="AG619" i="5" s="1"/>
  <c r="AI619" i="6" s="1"/>
  <c r="AF619" i="4"/>
  <c r="AE619" i="4"/>
  <c r="AD619" i="4"/>
  <c r="AC619" i="4"/>
  <c r="AC619" i="5" s="1"/>
  <c r="AE619" i="6" s="1"/>
  <c r="AB619" i="4"/>
  <c r="AA619" i="4"/>
  <c r="Z619" i="4"/>
  <c r="Y619" i="4"/>
  <c r="Y619" i="5" s="1"/>
  <c r="AA619" i="6" s="1"/>
  <c r="X619" i="4"/>
  <c r="W619" i="4"/>
  <c r="V619" i="4"/>
  <c r="U619" i="4"/>
  <c r="U619" i="5" s="1"/>
  <c r="W619" i="6" s="1"/>
  <c r="T619" i="4"/>
  <c r="S619" i="4"/>
  <c r="R619" i="4"/>
  <c r="Q619" i="4"/>
  <c r="Q619" i="5" s="1"/>
  <c r="S619" i="6" s="1"/>
  <c r="P619" i="4"/>
  <c r="O619" i="4"/>
  <c r="N619" i="4"/>
  <c r="M619" i="4"/>
  <c r="M619" i="5" s="1"/>
  <c r="O619" i="6" s="1"/>
  <c r="L619" i="4"/>
  <c r="K619" i="4"/>
  <c r="J619" i="4"/>
  <c r="I619" i="4"/>
  <c r="I619" i="5" s="1"/>
  <c r="K619" i="6" s="1"/>
  <c r="H619" i="4"/>
  <c r="G619" i="4"/>
  <c r="F619" i="4"/>
  <c r="E619" i="4"/>
  <c r="E619" i="5" s="1"/>
  <c r="G619" i="6" s="1"/>
  <c r="D619" i="4"/>
  <c r="AG618" i="4"/>
  <c r="AF618" i="4"/>
  <c r="AE618" i="4"/>
  <c r="AE618" i="5" s="1"/>
  <c r="AG618" i="6" s="1"/>
  <c r="AD618" i="4"/>
  <c r="AC618" i="4"/>
  <c r="AB618" i="4"/>
  <c r="AA618" i="4"/>
  <c r="AA618" i="5" s="1"/>
  <c r="AC618" i="6" s="1"/>
  <c r="Z618" i="4"/>
  <c r="Y618" i="4"/>
  <c r="X618" i="4"/>
  <c r="W618" i="4"/>
  <c r="W618" i="5" s="1"/>
  <c r="Y618" i="6" s="1"/>
  <c r="V618" i="4"/>
  <c r="U618" i="4"/>
  <c r="T618" i="4"/>
  <c r="S618" i="4"/>
  <c r="S618" i="5" s="1"/>
  <c r="U618" i="6" s="1"/>
  <c r="R618" i="4"/>
  <c r="Q618" i="4"/>
  <c r="P618" i="4"/>
  <c r="O618" i="4"/>
  <c r="O618" i="5" s="1"/>
  <c r="Q618" i="6" s="1"/>
  <c r="N618" i="4"/>
  <c r="M618" i="4"/>
  <c r="L618" i="4"/>
  <c r="K618" i="4"/>
  <c r="K618" i="5" s="1"/>
  <c r="M618" i="6" s="1"/>
  <c r="J618" i="4"/>
  <c r="I618" i="4"/>
  <c r="H618" i="4"/>
  <c r="G618" i="4"/>
  <c r="G618" i="5" s="1"/>
  <c r="I618" i="6" s="1"/>
  <c r="F618" i="4"/>
  <c r="E618" i="4"/>
  <c r="D618" i="4"/>
  <c r="AG617" i="4"/>
  <c r="AG617" i="5" s="1"/>
  <c r="AI617" i="6" s="1"/>
  <c r="AF617" i="4"/>
  <c r="AE617" i="4"/>
  <c r="AD617" i="4"/>
  <c r="AC617" i="4"/>
  <c r="AC617" i="5" s="1"/>
  <c r="AE617" i="6" s="1"/>
  <c r="AB617" i="4"/>
  <c r="AA617" i="4"/>
  <c r="Z617" i="4"/>
  <c r="Y617" i="4"/>
  <c r="Y617" i="5" s="1"/>
  <c r="AA617" i="6" s="1"/>
  <c r="X617" i="4"/>
  <c r="W617" i="4"/>
  <c r="V617" i="4"/>
  <c r="U617" i="4"/>
  <c r="U617" i="5" s="1"/>
  <c r="W617" i="6" s="1"/>
  <c r="T617" i="4"/>
  <c r="S617" i="4"/>
  <c r="R617" i="4"/>
  <c r="Q617" i="4"/>
  <c r="Q617" i="5" s="1"/>
  <c r="S617" i="6" s="1"/>
  <c r="P617" i="4"/>
  <c r="O617" i="4"/>
  <c r="N617" i="4"/>
  <c r="M617" i="4"/>
  <c r="M617" i="5" s="1"/>
  <c r="O617" i="6" s="1"/>
  <c r="L617" i="4"/>
  <c r="K617" i="4"/>
  <c r="J617" i="4"/>
  <c r="I617" i="4"/>
  <c r="I617" i="5" s="1"/>
  <c r="K617" i="6" s="1"/>
  <c r="H617" i="4"/>
  <c r="G617" i="4"/>
  <c r="F617" i="4"/>
  <c r="E617" i="4"/>
  <c r="E617" i="5" s="1"/>
  <c r="G617" i="6" s="1"/>
  <c r="D617" i="4"/>
  <c r="AG616" i="4"/>
  <c r="AF616" i="4"/>
  <c r="AE616" i="4"/>
  <c r="AE616" i="5" s="1"/>
  <c r="AG616" i="6" s="1"/>
  <c r="AD616" i="4"/>
  <c r="AC616" i="4"/>
  <c r="AB616" i="4"/>
  <c r="AA616" i="4"/>
  <c r="AA616" i="5" s="1"/>
  <c r="AC616" i="6" s="1"/>
  <c r="Z616" i="4"/>
  <c r="Y616" i="4"/>
  <c r="X616" i="4"/>
  <c r="W616" i="4"/>
  <c r="W616" i="5" s="1"/>
  <c r="Y616" i="6" s="1"/>
  <c r="V616" i="4"/>
  <c r="U616" i="4"/>
  <c r="T616" i="4"/>
  <c r="S616" i="4"/>
  <c r="S616" i="5" s="1"/>
  <c r="U616" i="6" s="1"/>
  <c r="R616" i="4"/>
  <c r="Q616" i="4"/>
  <c r="P616" i="4"/>
  <c r="O616" i="4"/>
  <c r="O616" i="5" s="1"/>
  <c r="Q616" i="6" s="1"/>
  <c r="N616" i="4"/>
  <c r="M616" i="4"/>
  <c r="L616" i="4"/>
  <c r="K616" i="4"/>
  <c r="K616" i="5" s="1"/>
  <c r="M616" i="6" s="1"/>
  <c r="J616" i="4"/>
  <c r="I616" i="4"/>
  <c r="H616" i="4"/>
  <c r="G616" i="4"/>
  <c r="G616" i="5" s="1"/>
  <c r="I616" i="6" s="1"/>
  <c r="F616" i="4"/>
  <c r="E616" i="4"/>
  <c r="D616" i="4"/>
  <c r="AG615" i="4"/>
  <c r="AG615" i="5" s="1"/>
  <c r="AI615" i="6" s="1"/>
  <c r="AF615" i="4"/>
  <c r="AE615" i="4"/>
  <c r="AD615" i="4"/>
  <c r="AC615" i="4"/>
  <c r="AC615" i="5" s="1"/>
  <c r="AE615" i="6" s="1"/>
  <c r="AB615" i="4"/>
  <c r="AA615" i="4"/>
  <c r="Z615" i="4"/>
  <c r="Y615" i="4"/>
  <c r="Y615" i="5" s="1"/>
  <c r="AA615" i="6" s="1"/>
  <c r="X615" i="4"/>
  <c r="W615" i="4"/>
  <c r="V615" i="4"/>
  <c r="U615" i="4"/>
  <c r="U615" i="5" s="1"/>
  <c r="W615" i="6" s="1"/>
  <c r="T615" i="4"/>
  <c r="S615" i="4"/>
  <c r="R615" i="4"/>
  <c r="Q615" i="4"/>
  <c r="Q615" i="5" s="1"/>
  <c r="S615" i="6" s="1"/>
  <c r="P615" i="4"/>
  <c r="O615" i="4"/>
  <c r="N615" i="4"/>
  <c r="M615" i="4"/>
  <c r="M615" i="5" s="1"/>
  <c r="O615" i="6" s="1"/>
  <c r="L615" i="4"/>
  <c r="K615" i="4"/>
  <c r="J615" i="4"/>
  <c r="I615" i="4"/>
  <c r="I615" i="5" s="1"/>
  <c r="K615" i="6" s="1"/>
  <c r="H615" i="4"/>
  <c r="G615" i="4"/>
  <c r="F615" i="4"/>
  <c r="E615" i="4"/>
  <c r="E615" i="5" s="1"/>
  <c r="G615" i="6" s="1"/>
  <c r="D615" i="4"/>
  <c r="AG614" i="4"/>
  <c r="AF614" i="4"/>
  <c r="AE614" i="4"/>
  <c r="AE614" i="5" s="1"/>
  <c r="AG614" i="6" s="1"/>
  <c r="AD614" i="4"/>
  <c r="AC614" i="4"/>
  <c r="AB614" i="4"/>
  <c r="AA614" i="4"/>
  <c r="AA614" i="5" s="1"/>
  <c r="AC614" i="6" s="1"/>
  <c r="Z614" i="4"/>
  <c r="Y614" i="4"/>
  <c r="X614" i="4"/>
  <c r="W614" i="4"/>
  <c r="W614" i="5" s="1"/>
  <c r="Y614" i="6" s="1"/>
  <c r="V614" i="4"/>
  <c r="U614" i="4"/>
  <c r="T614" i="4"/>
  <c r="S614" i="4"/>
  <c r="S614" i="5" s="1"/>
  <c r="U614" i="6" s="1"/>
  <c r="R614" i="4"/>
  <c r="Q614" i="4"/>
  <c r="P614" i="4"/>
  <c r="O614" i="4"/>
  <c r="O614" i="5" s="1"/>
  <c r="Q614" i="6" s="1"/>
  <c r="N614" i="4"/>
  <c r="M614" i="4"/>
  <c r="L614" i="4"/>
  <c r="K614" i="4"/>
  <c r="K614" i="5" s="1"/>
  <c r="M614" i="6" s="1"/>
  <c r="J614" i="4"/>
  <c r="I614" i="4"/>
  <c r="H614" i="4"/>
  <c r="G614" i="4"/>
  <c r="G614" i="5" s="1"/>
  <c r="I614" i="6" s="1"/>
  <c r="F614" i="4"/>
  <c r="E614" i="4"/>
  <c r="D614" i="4"/>
  <c r="AG613" i="4"/>
  <c r="AG613" i="5" s="1"/>
  <c r="AI613" i="6" s="1"/>
  <c r="AF613" i="4"/>
  <c r="AE613" i="4"/>
  <c r="AD613" i="4"/>
  <c r="AC613" i="4"/>
  <c r="AC613" i="5" s="1"/>
  <c r="AE613" i="6" s="1"/>
  <c r="AB613" i="4"/>
  <c r="AA613" i="4"/>
  <c r="Z613" i="4"/>
  <c r="Y613" i="4"/>
  <c r="Y613" i="5" s="1"/>
  <c r="AA613" i="6" s="1"/>
  <c r="X613" i="4"/>
  <c r="W613" i="4"/>
  <c r="V613" i="4"/>
  <c r="U613" i="4"/>
  <c r="U613" i="5" s="1"/>
  <c r="W613" i="6" s="1"/>
  <c r="T613" i="4"/>
  <c r="S613" i="4"/>
  <c r="R613" i="4"/>
  <c r="Q613" i="4"/>
  <c r="Q613" i="5" s="1"/>
  <c r="S613" i="6" s="1"/>
  <c r="P613" i="4"/>
  <c r="O613" i="4"/>
  <c r="N613" i="4"/>
  <c r="M613" i="4"/>
  <c r="M613" i="5" s="1"/>
  <c r="O613" i="6" s="1"/>
  <c r="L613" i="4"/>
  <c r="K613" i="4"/>
  <c r="J613" i="4"/>
  <c r="I613" i="4"/>
  <c r="I613" i="5" s="1"/>
  <c r="K613" i="6" s="1"/>
  <c r="H613" i="4"/>
  <c r="G613" i="4"/>
  <c r="F613" i="4"/>
  <c r="E613" i="4"/>
  <c r="E613" i="5" s="1"/>
  <c r="G613" i="6" s="1"/>
  <c r="D613" i="4"/>
  <c r="AG612" i="4"/>
  <c r="AF612" i="4"/>
  <c r="AE612" i="4"/>
  <c r="AE612" i="5" s="1"/>
  <c r="AG612" i="6" s="1"/>
  <c r="AD612" i="4"/>
  <c r="AC612" i="4"/>
  <c r="AB612" i="4"/>
  <c r="AA612" i="4"/>
  <c r="AA612" i="5" s="1"/>
  <c r="AC612" i="6" s="1"/>
  <c r="Z612" i="4"/>
  <c r="Y612" i="4"/>
  <c r="X612" i="4"/>
  <c r="W612" i="4"/>
  <c r="W612" i="5" s="1"/>
  <c r="Y612" i="6" s="1"/>
  <c r="V612" i="4"/>
  <c r="U612" i="4"/>
  <c r="T612" i="4"/>
  <c r="S612" i="4"/>
  <c r="S612" i="5" s="1"/>
  <c r="U612" i="6" s="1"/>
  <c r="R612" i="4"/>
  <c r="Q612" i="4"/>
  <c r="P612" i="4"/>
  <c r="O612" i="4"/>
  <c r="O612" i="5" s="1"/>
  <c r="Q612" i="6" s="1"/>
  <c r="N612" i="4"/>
  <c r="M612" i="4"/>
  <c r="L612" i="4"/>
  <c r="K612" i="4"/>
  <c r="K612" i="5" s="1"/>
  <c r="M612" i="6" s="1"/>
  <c r="J612" i="4"/>
  <c r="I612" i="4"/>
  <c r="H612" i="4"/>
  <c r="G612" i="4"/>
  <c r="G612" i="5" s="1"/>
  <c r="I612" i="6" s="1"/>
  <c r="F612" i="4"/>
  <c r="E612" i="4"/>
  <c r="D612" i="4"/>
  <c r="AG611" i="4"/>
  <c r="AG611" i="5" s="1"/>
  <c r="AI611" i="6" s="1"/>
  <c r="AF611" i="4"/>
  <c r="AE611" i="4"/>
  <c r="AD611" i="4"/>
  <c r="AC611" i="4"/>
  <c r="AC611" i="5" s="1"/>
  <c r="AE611" i="6" s="1"/>
  <c r="AB611" i="4"/>
  <c r="AA611" i="4"/>
  <c r="Z611" i="4"/>
  <c r="Y611" i="4"/>
  <c r="Y611" i="5" s="1"/>
  <c r="AA611" i="6" s="1"/>
  <c r="X611" i="4"/>
  <c r="W611" i="4"/>
  <c r="V611" i="4"/>
  <c r="U611" i="4"/>
  <c r="U611" i="5" s="1"/>
  <c r="W611" i="6" s="1"/>
  <c r="T611" i="4"/>
  <c r="S611" i="4"/>
  <c r="R611" i="4"/>
  <c r="Q611" i="4"/>
  <c r="Q611" i="5" s="1"/>
  <c r="S611" i="6" s="1"/>
  <c r="P611" i="4"/>
  <c r="O611" i="4"/>
  <c r="N611" i="4"/>
  <c r="M611" i="4"/>
  <c r="M611" i="5" s="1"/>
  <c r="O611" i="6" s="1"/>
  <c r="L611" i="4"/>
  <c r="K611" i="4"/>
  <c r="J611" i="4"/>
  <c r="I611" i="4"/>
  <c r="I611" i="5" s="1"/>
  <c r="K611" i="6" s="1"/>
  <c r="H611" i="4"/>
  <c r="G611" i="4"/>
  <c r="F611" i="4"/>
  <c r="E611" i="4"/>
  <c r="E611" i="5" s="1"/>
  <c r="G611" i="6" s="1"/>
  <c r="D611" i="4"/>
  <c r="AG610" i="4"/>
  <c r="AF610" i="4"/>
  <c r="AE610" i="4"/>
  <c r="AE610" i="5" s="1"/>
  <c r="AG610" i="6" s="1"/>
  <c r="AD610" i="4"/>
  <c r="AC610" i="4"/>
  <c r="AB610" i="4"/>
  <c r="AA610" i="4"/>
  <c r="AA610" i="5" s="1"/>
  <c r="AC610" i="6" s="1"/>
  <c r="Z610" i="4"/>
  <c r="Y610" i="4"/>
  <c r="X610" i="4"/>
  <c r="W610" i="4"/>
  <c r="W610" i="5" s="1"/>
  <c r="Y610" i="6" s="1"/>
  <c r="V610" i="4"/>
  <c r="U610" i="4"/>
  <c r="T610" i="4"/>
  <c r="S610" i="4"/>
  <c r="S610" i="5" s="1"/>
  <c r="U610" i="6" s="1"/>
  <c r="R610" i="4"/>
  <c r="Q610" i="4"/>
  <c r="P610" i="4"/>
  <c r="O610" i="4"/>
  <c r="O610" i="5" s="1"/>
  <c r="Q610" i="6" s="1"/>
  <c r="N610" i="4"/>
  <c r="M610" i="4"/>
  <c r="L610" i="4"/>
  <c r="K610" i="4"/>
  <c r="K610" i="5" s="1"/>
  <c r="M610" i="6" s="1"/>
  <c r="J610" i="4"/>
  <c r="I610" i="4"/>
  <c r="H610" i="4"/>
  <c r="G610" i="4"/>
  <c r="G610" i="5" s="1"/>
  <c r="I610" i="6" s="1"/>
  <c r="F610" i="4"/>
  <c r="E610" i="4"/>
  <c r="D610" i="4"/>
  <c r="AG609" i="4"/>
  <c r="AG609" i="5" s="1"/>
  <c r="AI609" i="6" s="1"/>
  <c r="AF609" i="4"/>
  <c r="AE609" i="4"/>
  <c r="AD609" i="4"/>
  <c r="AC609" i="4"/>
  <c r="AC609" i="5" s="1"/>
  <c r="AE609" i="6" s="1"/>
  <c r="AB609" i="4"/>
  <c r="AA609" i="4"/>
  <c r="Z609" i="4"/>
  <c r="Y609" i="4"/>
  <c r="Y609" i="5" s="1"/>
  <c r="AA609" i="6" s="1"/>
  <c r="X609" i="4"/>
  <c r="W609" i="4"/>
  <c r="V609" i="4"/>
  <c r="U609" i="4"/>
  <c r="U609" i="5" s="1"/>
  <c r="W609" i="6" s="1"/>
  <c r="T609" i="4"/>
  <c r="S609" i="4"/>
  <c r="R609" i="4"/>
  <c r="Q609" i="4"/>
  <c r="Q609" i="5" s="1"/>
  <c r="S609" i="6" s="1"/>
  <c r="P609" i="4"/>
  <c r="O609" i="4"/>
  <c r="N609" i="4"/>
  <c r="M609" i="4"/>
  <c r="M609" i="5" s="1"/>
  <c r="O609" i="6" s="1"/>
  <c r="L609" i="4"/>
  <c r="K609" i="4"/>
  <c r="J609" i="4"/>
  <c r="I609" i="4"/>
  <c r="I609" i="5" s="1"/>
  <c r="K609" i="6" s="1"/>
  <c r="H609" i="4"/>
  <c r="G609" i="4"/>
  <c r="F609" i="4"/>
  <c r="E609" i="4"/>
  <c r="E609" i="5" s="1"/>
  <c r="G609" i="6" s="1"/>
  <c r="D609" i="4"/>
  <c r="AG608" i="4"/>
  <c r="AF608" i="4"/>
  <c r="AE608" i="4"/>
  <c r="AE608" i="5" s="1"/>
  <c r="AG608" i="6" s="1"/>
  <c r="AD608" i="4"/>
  <c r="AC608" i="4"/>
  <c r="AB608" i="4"/>
  <c r="AA608" i="4"/>
  <c r="AA608" i="5" s="1"/>
  <c r="AC608" i="6" s="1"/>
  <c r="Z608" i="4"/>
  <c r="Y608" i="4"/>
  <c r="X608" i="4"/>
  <c r="W608" i="4"/>
  <c r="W608" i="5" s="1"/>
  <c r="Y608" i="6" s="1"/>
  <c r="V608" i="4"/>
  <c r="U608" i="4"/>
  <c r="T608" i="4"/>
  <c r="S608" i="4"/>
  <c r="S608" i="5" s="1"/>
  <c r="U608" i="6" s="1"/>
  <c r="R608" i="4"/>
  <c r="Q608" i="4"/>
  <c r="P608" i="4"/>
  <c r="O608" i="4"/>
  <c r="O608" i="5" s="1"/>
  <c r="Q608" i="6" s="1"/>
  <c r="N608" i="4"/>
  <c r="M608" i="4"/>
  <c r="L608" i="4"/>
  <c r="K608" i="4"/>
  <c r="J608" i="4"/>
  <c r="I608" i="4"/>
  <c r="H608" i="4"/>
  <c r="G608" i="4"/>
  <c r="F608" i="4"/>
  <c r="E608" i="4"/>
  <c r="E608" i="5" s="1"/>
  <c r="G608" i="6" s="1"/>
  <c r="D608" i="4"/>
  <c r="AG607" i="4"/>
  <c r="AF607" i="4"/>
  <c r="AE607" i="4"/>
  <c r="AD607" i="4"/>
  <c r="AD607" i="5" s="1"/>
  <c r="AF607" i="6" s="1"/>
  <c r="AC607" i="4"/>
  <c r="AB607" i="4"/>
  <c r="AA607" i="4"/>
  <c r="Z607" i="4"/>
  <c r="Y607" i="4"/>
  <c r="X607" i="4"/>
  <c r="W607" i="4"/>
  <c r="V607" i="4"/>
  <c r="U607" i="4"/>
  <c r="T607" i="4"/>
  <c r="S607" i="4"/>
  <c r="S607" i="5" s="1"/>
  <c r="U607" i="6" s="1"/>
  <c r="R607" i="4"/>
  <c r="Q607" i="4"/>
  <c r="P607" i="4"/>
  <c r="O607" i="4"/>
  <c r="N607" i="4"/>
  <c r="N607" i="5" s="1"/>
  <c r="P607" i="6" s="1"/>
  <c r="M607" i="4"/>
  <c r="L607" i="4"/>
  <c r="K607" i="4"/>
  <c r="J607" i="4"/>
  <c r="I607" i="4"/>
  <c r="H607" i="4"/>
  <c r="G607" i="4"/>
  <c r="F607" i="4"/>
  <c r="E607" i="4"/>
  <c r="D607" i="4"/>
  <c r="AG606" i="4"/>
  <c r="AG606" i="5" s="1"/>
  <c r="AI606" i="6" s="1"/>
  <c r="AF606" i="4"/>
  <c r="AE606" i="4"/>
  <c r="AD606" i="4"/>
  <c r="AC606" i="4"/>
  <c r="AB606" i="4"/>
  <c r="AB606" i="5" s="1"/>
  <c r="AD606" i="6" s="1"/>
  <c r="AA606" i="4"/>
  <c r="Z606" i="4"/>
  <c r="Y606" i="4"/>
  <c r="X606" i="4"/>
  <c r="W606" i="4"/>
  <c r="V606" i="4"/>
  <c r="U606" i="4"/>
  <c r="T606" i="4"/>
  <c r="S606" i="4"/>
  <c r="R606" i="4"/>
  <c r="Q606" i="4"/>
  <c r="Q606" i="5" s="1"/>
  <c r="S606" i="6" s="1"/>
  <c r="P606" i="4"/>
  <c r="O606" i="4"/>
  <c r="N606" i="4"/>
  <c r="M606" i="4"/>
  <c r="L606" i="4"/>
  <c r="L606" i="5" s="1"/>
  <c r="N606" i="6" s="1"/>
  <c r="K606" i="4"/>
  <c r="J606" i="4"/>
  <c r="I606" i="4"/>
  <c r="H606" i="4"/>
  <c r="G606" i="4"/>
  <c r="F606" i="4"/>
  <c r="E606" i="4"/>
  <c r="D606" i="4"/>
  <c r="AG605" i="4"/>
  <c r="AF605" i="4"/>
  <c r="AE605" i="4"/>
  <c r="AE605" i="5" s="1"/>
  <c r="AG605" i="6" s="1"/>
  <c r="AD605" i="4"/>
  <c r="AC605" i="4"/>
  <c r="AB605" i="4"/>
  <c r="AA605" i="4"/>
  <c r="Z605" i="4"/>
  <c r="Z605" i="5" s="1"/>
  <c r="AB605" i="6" s="1"/>
  <c r="Y605" i="4"/>
  <c r="X605" i="4"/>
  <c r="W605" i="4"/>
  <c r="V605" i="4"/>
  <c r="U605" i="4"/>
  <c r="T605" i="4"/>
  <c r="S605" i="4"/>
  <c r="R605" i="4"/>
  <c r="Q605" i="4"/>
  <c r="P605" i="4"/>
  <c r="O605" i="4"/>
  <c r="O605" i="5" s="1"/>
  <c r="Q605" i="6" s="1"/>
  <c r="N605" i="4"/>
  <c r="M605" i="4"/>
  <c r="L605" i="4"/>
  <c r="K605" i="4"/>
  <c r="J605" i="4"/>
  <c r="J605" i="5" s="1"/>
  <c r="L605" i="6" s="1"/>
  <c r="I605" i="4"/>
  <c r="H605" i="4"/>
  <c r="G605" i="4"/>
  <c r="F605" i="4"/>
  <c r="E605" i="4"/>
  <c r="D605" i="4"/>
  <c r="AG604" i="4"/>
  <c r="AF604" i="4"/>
  <c r="AE604" i="4"/>
  <c r="AD604" i="4"/>
  <c r="AC604" i="4"/>
  <c r="AC604" i="5" s="1"/>
  <c r="AE604" i="6" s="1"/>
  <c r="AB604" i="4"/>
  <c r="AA604" i="4"/>
  <c r="Z604" i="4"/>
  <c r="Y604" i="4"/>
  <c r="X604" i="4"/>
  <c r="X604" i="5" s="1"/>
  <c r="Z604" i="6" s="1"/>
  <c r="W604" i="4"/>
  <c r="V604" i="4"/>
  <c r="U604" i="4"/>
  <c r="T604" i="4"/>
  <c r="S604" i="4"/>
  <c r="R604" i="4"/>
  <c r="Q604" i="4"/>
  <c r="P604" i="4"/>
  <c r="O604" i="4"/>
  <c r="N604" i="4"/>
  <c r="M604" i="4"/>
  <c r="M604" i="5" s="1"/>
  <c r="O604" i="6" s="1"/>
  <c r="L604" i="4"/>
  <c r="K604" i="4"/>
  <c r="J604" i="4"/>
  <c r="I604" i="4"/>
  <c r="H604" i="4"/>
  <c r="H604" i="5" s="1"/>
  <c r="J604" i="6" s="1"/>
  <c r="G604" i="4"/>
  <c r="F604" i="4"/>
  <c r="E604" i="4"/>
  <c r="D604" i="4"/>
  <c r="AG602" i="4"/>
  <c r="AF602" i="4"/>
  <c r="AE602" i="4"/>
  <c r="AD602" i="4"/>
  <c r="AC602" i="4"/>
  <c r="AB602" i="4"/>
  <c r="AA602" i="4"/>
  <c r="AA602" i="5" s="1"/>
  <c r="AC602" i="6" s="1"/>
  <c r="Z602" i="4"/>
  <c r="Y602" i="4"/>
  <c r="X602" i="4"/>
  <c r="W602" i="4"/>
  <c r="V602" i="4"/>
  <c r="V602" i="5" s="1"/>
  <c r="X602" i="6" s="1"/>
  <c r="U602" i="4"/>
  <c r="T602" i="4"/>
  <c r="S602" i="4"/>
  <c r="R602" i="4"/>
  <c r="Q602" i="4"/>
  <c r="P602" i="4"/>
  <c r="O602" i="4"/>
  <c r="N602" i="4"/>
  <c r="M602" i="4"/>
  <c r="L602" i="4"/>
  <c r="K602" i="4"/>
  <c r="K602" i="5" s="1"/>
  <c r="M602" i="6" s="1"/>
  <c r="J602" i="4"/>
  <c r="I602" i="4"/>
  <c r="H602" i="4"/>
  <c r="G602" i="4"/>
  <c r="F602" i="4"/>
  <c r="F602" i="5" s="1"/>
  <c r="H602" i="6" s="1"/>
  <c r="E602" i="4"/>
  <c r="D602" i="4"/>
  <c r="AG601" i="4"/>
  <c r="AF601" i="4"/>
  <c r="AE601" i="4"/>
  <c r="AD601" i="4"/>
  <c r="AC601" i="4"/>
  <c r="AB601" i="4"/>
  <c r="AA601" i="4"/>
  <c r="Z601" i="4"/>
  <c r="Y601" i="4"/>
  <c r="Y601" i="5" s="1"/>
  <c r="AA601" i="6" s="1"/>
  <c r="X601" i="4"/>
  <c r="W601" i="4"/>
  <c r="V601" i="4"/>
  <c r="U601" i="4"/>
  <c r="T601" i="4"/>
  <c r="T601" i="5" s="1"/>
  <c r="V601" i="6" s="1"/>
  <c r="S601" i="4"/>
  <c r="R601" i="4"/>
  <c r="Q601" i="4"/>
  <c r="P601" i="4"/>
  <c r="O601" i="4"/>
  <c r="N601" i="4"/>
  <c r="M601" i="4"/>
  <c r="L601" i="4"/>
  <c r="L601" i="5" s="1"/>
  <c r="N601" i="6" s="1"/>
  <c r="K601" i="4"/>
  <c r="J601" i="4"/>
  <c r="I601" i="4"/>
  <c r="H601" i="4"/>
  <c r="G601" i="4"/>
  <c r="F601" i="4"/>
  <c r="E601" i="4"/>
  <c r="D601" i="4"/>
  <c r="D601" i="5" s="1"/>
  <c r="F601" i="6" s="1"/>
  <c r="AG600" i="4"/>
  <c r="AF600" i="4"/>
  <c r="AE600" i="4"/>
  <c r="AD600" i="4"/>
  <c r="AC600" i="4"/>
  <c r="AB600" i="4"/>
  <c r="AA600" i="4"/>
  <c r="Z600" i="4"/>
  <c r="Z600" i="5" s="1"/>
  <c r="AB600" i="6" s="1"/>
  <c r="Y600" i="4"/>
  <c r="X600" i="4"/>
  <c r="W600" i="4"/>
  <c r="V600" i="4"/>
  <c r="U600" i="4"/>
  <c r="T600" i="4"/>
  <c r="S600" i="4"/>
  <c r="R600" i="4"/>
  <c r="R600" i="5" s="1"/>
  <c r="T600" i="6" s="1"/>
  <c r="Q600" i="4"/>
  <c r="P600" i="4"/>
  <c r="O600" i="4"/>
  <c r="N600" i="4"/>
  <c r="M600" i="4"/>
  <c r="L600" i="4"/>
  <c r="K600" i="4"/>
  <c r="J600" i="4"/>
  <c r="I600" i="4"/>
  <c r="H600" i="4"/>
  <c r="G600" i="4"/>
  <c r="F600" i="4"/>
  <c r="E600" i="4"/>
  <c r="D600" i="4"/>
  <c r="AG599" i="4"/>
  <c r="AF599" i="4"/>
  <c r="AE599" i="4"/>
  <c r="AD599" i="4"/>
  <c r="AC599" i="4"/>
  <c r="AB599" i="4"/>
  <c r="AA599" i="4"/>
  <c r="Z599" i="4"/>
  <c r="Y599" i="4"/>
  <c r="X599" i="4"/>
  <c r="W599" i="4"/>
  <c r="V599" i="4"/>
  <c r="U599" i="4"/>
  <c r="T599" i="4"/>
  <c r="S599" i="4"/>
  <c r="R599" i="4"/>
  <c r="Q599" i="4"/>
  <c r="P599" i="4"/>
  <c r="O599" i="4"/>
  <c r="N599" i="4"/>
  <c r="M599" i="4"/>
  <c r="L599" i="4"/>
  <c r="K599" i="4"/>
  <c r="J599" i="4"/>
  <c r="I599" i="4"/>
  <c r="H599" i="4"/>
  <c r="G599" i="4"/>
  <c r="F599" i="4"/>
  <c r="E599" i="4"/>
  <c r="D599" i="4"/>
  <c r="AG598" i="4"/>
  <c r="AF598" i="4"/>
  <c r="AE598" i="4"/>
  <c r="AD598" i="4"/>
  <c r="AC598" i="4"/>
  <c r="AB598" i="4"/>
  <c r="AA598" i="4"/>
  <c r="Z598" i="4"/>
  <c r="Y598" i="4"/>
  <c r="X598" i="4"/>
  <c r="W598" i="4"/>
  <c r="V598" i="4"/>
  <c r="U598" i="4"/>
  <c r="T598" i="4"/>
  <c r="S598" i="4"/>
  <c r="R598" i="4"/>
  <c r="Q598" i="4"/>
  <c r="P598" i="4"/>
  <c r="O598" i="4"/>
  <c r="N598" i="4"/>
  <c r="M598" i="4"/>
  <c r="L598" i="4"/>
  <c r="K598" i="4"/>
  <c r="J598" i="4"/>
  <c r="I598" i="4"/>
  <c r="H598" i="4"/>
  <c r="G598" i="4"/>
  <c r="F598" i="4"/>
  <c r="E598" i="4"/>
  <c r="D598" i="4"/>
  <c r="AG597" i="4"/>
  <c r="AF597" i="4"/>
  <c r="AE597" i="4"/>
  <c r="AD597" i="4"/>
  <c r="AC597" i="4"/>
  <c r="AB597" i="4"/>
  <c r="AA597" i="4"/>
  <c r="Z597" i="4"/>
  <c r="Y597" i="4"/>
  <c r="X597" i="4"/>
  <c r="W597" i="4"/>
  <c r="V597" i="4"/>
  <c r="U597" i="4"/>
  <c r="T597" i="4"/>
  <c r="S597" i="4"/>
  <c r="R597" i="4"/>
  <c r="Q597" i="4"/>
  <c r="P597" i="4"/>
  <c r="O597" i="4"/>
  <c r="N597" i="4"/>
  <c r="M597" i="4"/>
  <c r="L597" i="4"/>
  <c r="K597" i="4"/>
  <c r="J597" i="4"/>
  <c r="I597" i="4"/>
  <c r="H597" i="4"/>
  <c r="G597" i="4"/>
  <c r="F597" i="4"/>
  <c r="E597" i="4"/>
  <c r="D597" i="4"/>
  <c r="W595" i="4"/>
  <c r="U595" i="4"/>
  <c r="S595" i="4"/>
  <c r="P595" i="4"/>
  <c r="AG594" i="4"/>
  <c r="AE594" i="4"/>
  <c r="AC594" i="4"/>
  <c r="Z594" i="4"/>
  <c r="W594" i="4"/>
  <c r="U594" i="4"/>
  <c r="S594" i="4"/>
  <c r="P594" i="4"/>
  <c r="M594" i="4"/>
  <c r="K594" i="4"/>
  <c r="I594" i="4"/>
  <c r="F594" i="4"/>
  <c r="F594" i="5" s="1"/>
  <c r="H594" i="6" s="1"/>
  <c r="AF593" i="4"/>
  <c r="AF593" i="5" s="1"/>
  <c r="AH593" i="6" s="1"/>
  <c r="AD593" i="4"/>
  <c r="AA593" i="4"/>
  <c r="X593" i="4"/>
  <c r="V593" i="4"/>
  <c r="T593" i="4"/>
  <c r="Q593" i="4"/>
  <c r="N593" i="4"/>
  <c r="L593" i="4"/>
  <c r="J593" i="4"/>
  <c r="G593" i="4"/>
  <c r="D593" i="4"/>
  <c r="AF592" i="4"/>
  <c r="AD592" i="4"/>
  <c r="AA592" i="4"/>
  <c r="X592" i="4"/>
  <c r="V592" i="4"/>
  <c r="T592" i="4"/>
  <c r="Q592" i="4"/>
  <c r="N592" i="4"/>
  <c r="N592" i="5" s="1"/>
  <c r="P592" i="6" s="1"/>
  <c r="L592" i="4"/>
  <c r="J592" i="4"/>
  <c r="G592" i="4"/>
  <c r="D592" i="4"/>
  <c r="AF591" i="4"/>
  <c r="AD591" i="4"/>
  <c r="AA591" i="4"/>
  <c r="X591" i="4"/>
  <c r="V591" i="4"/>
  <c r="T591" i="4"/>
  <c r="Q591" i="4"/>
  <c r="N591" i="4"/>
  <c r="L591" i="4"/>
  <c r="L591" i="5" s="1"/>
  <c r="N591" i="6" s="1"/>
  <c r="J591" i="4"/>
  <c r="G591" i="4"/>
  <c r="D591" i="4"/>
  <c r="AG589" i="4"/>
  <c r="AF589" i="4"/>
  <c r="AE589" i="4"/>
  <c r="AD589" i="4"/>
  <c r="AC589" i="4"/>
  <c r="AB589" i="4"/>
  <c r="AA589" i="4"/>
  <c r="Z589" i="4"/>
  <c r="Z589" i="5" s="1"/>
  <c r="AB589" i="6" s="1"/>
  <c r="Y589" i="4"/>
  <c r="X589" i="4"/>
  <c r="W589" i="4"/>
  <c r="V589" i="4"/>
  <c r="U589" i="4"/>
  <c r="T589" i="4"/>
  <c r="S589" i="4"/>
  <c r="R589" i="4"/>
  <c r="Q589" i="4"/>
  <c r="P589" i="4"/>
  <c r="O589" i="4"/>
  <c r="N589" i="4"/>
  <c r="M589" i="4"/>
  <c r="L589" i="4"/>
  <c r="K589" i="4"/>
  <c r="J589" i="4"/>
  <c r="J589" i="5" s="1"/>
  <c r="L589" i="6" s="1"/>
  <c r="I589" i="4"/>
  <c r="H589" i="4"/>
  <c r="G589" i="4"/>
  <c r="F589" i="4"/>
  <c r="E589" i="4"/>
  <c r="D589" i="4"/>
  <c r="AG588" i="4"/>
  <c r="AF588" i="4"/>
  <c r="AE588" i="4"/>
  <c r="AD588" i="4"/>
  <c r="AC588" i="4"/>
  <c r="AB588" i="4"/>
  <c r="AA588" i="4"/>
  <c r="Z588" i="4"/>
  <c r="Y588" i="4"/>
  <c r="X588" i="4"/>
  <c r="X588" i="5" s="1"/>
  <c r="Z588" i="6" s="1"/>
  <c r="W588" i="4"/>
  <c r="V588" i="4"/>
  <c r="U588" i="4"/>
  <c r="T588" i="4"/>
  <c r="S588" i="4"/>
  <c r="R588" i="4"/>
  <c r="Q588" i="4"/>
  <c r="P588" i="4"/>
  <c r="O588" i="4"/>
  <c r="N588" i="4"/>
  <c r="M588" i="4"/>
  <c r="L588" i="4"/>
  <c r="K588" i="4"/>
  <c r="J588" i="4"/>
  <c r="I588" i="4"/>
  <c r="H588" i="4"/>
  <c r="H588" i="5" s="1"/>
  <c r="J588" i="6" s="1"/>
  <c r="G588" i="4"/>
  <c r="F588" i="4"/>
  <c r="E588" i="4"/>
  <c r="D588" i="4"/>
  <c r="AG587" i="4"/>
  <c r="AF587" i="4"/>
  <c r="AE587" i="4"/>
  <c r="AD587" i="4"/>
  <c r="AC587" i="4"/>
  <c r="AB587" i="4"/>
  <c r="AA587" i="4"/>
  <c r="Z587" i="4"/>
  <c r="Y587" i="4"/>
  <c r="X587" i="4"/>
  <c r="W587" i="4"/>
  <c r="V587" i="4"/>
  <c r="V587" i="5" s="1"/>
  <c r="X587" i="6" s="1"/>
  <c r="U587" i="4"/>
  <c r="T587" i="4"/>
  <c r="S587" i="4"/>
  <c r="R587" i="4"/>
  <c r="Q587" i="4"/>
  <c r="P587" i="4"/>
  <c r="O587" i="4"/>
  <c r="N587" i="4"/>
  <c r="M587" i="4"/>
  <c r="L587" i="4"/>
  <c r="K587" i="4"/>
  <c r="J587" i="4"/>
  <c r="I587" i="4"/>
  <c r="H587" i="4"/>
  <c r="G587" i="4"/>
  <c r="F587" i="4"/>
  <c r="F587" i="5" s="1"/>
  <c r="H587" i="6" s="1"/>
  <c r="E587" i="4"/>
  <c r="D587" i="4"/>
  <c r="AG586" i="4"/>
  <c r="AF586" i="4"/>
  <c r="AE586" i="4"/>
  <c r="AD586" i="4"/>
  <c r="AC586" i="4"/>
  <c r="AB586" i="4"/>
  <c r="AA586" i="4"/>
  <c r="Z586" i="4"/>
  <c r="Y586" i="4"/>
  <c r="X586" i="4"/>
  <c r="W586" i="4"/>
  <c r="V586" i="4"/>
  <c r="U586" i="4"/>
  <c r="T586" i="4"/>
  <c r="T586" i="5" s="1"/>
  <c r="V586" i="6" s="1"/>
  <c r="S586" i="4"/>
  <c r="R586" i="4"/>
  <c r="Q586" i="4"/>
  <c r="P586" i="4"/>
  <c r="O586" i="4"/>
  <c r="N586" i="4"/>
  <c r="M586" i="4"/>
  <c r="L586" i="4"/>
  <c r="K586" i="4"/>
  <c r="J586" i="4"/>
  <c r="I586" i="4"/>
  <c r="H586" i="4"/>
  <c r="G586" i="4"/>
  <c r="F586" i="4"/>
  <c r="E586" i="4"/>
  <c r="D586" i="4"/>
  <c r="D586" i="5" s="1"/>
  <c r="F586" i="6" s="1"/>
  <c r="AG585" i="4"/>
  <c r="AF585" i="4"/>
  <c r="AE585" i="4"/>
  <c r="AD585" i="4"/>
  <c r="AC585" i="4"/>
  <c r="AB585" i="4"/>
  <c r="AA585" i="4"/>
  <c r="Z585" i="4"/>
  <c r="Y585" i="4"/>
  <c r="X585" i="4"/>
  <c r="W585" i="4"/>
  <c r="V585" i="4"/>
  <c r="U585" i="4"/>
  <c r="T585" i="4"/>
  <c r="S585" i="4"/>
  <c r="R585" i="4"/>
  <c r="R585" i="5" s="1"/>
  <c r="T585" i="6" s="1"/>
  <c r="Q585" i="4"/>
  <c r="P585" i="4"/>
  <c r="O585" i="4"/>
  <c r="N585" i="4"/>
  <c r="M585" i="4"/>
  <c r="L585" i="4"/>
  <c r="K585" i="4"/>
  <c r="J585" i="4"/>
  <c r="I585" i="4"/>
  <c r="H585" i="4"/>
  <c r="G585" i="4"/>
  <c r="F585" i="4"/>
  <c r="E585" i="4"/>
  <c r="D585" i="4"/>
  <c r="AG569" i="4"/>
  <c r="AE569" i="4"/>
  <c r="AC569" i="4"/>
  <c r="Z569" i="4"/>
  <c r="W569" i="4"/>
  <c r="U569" i="4"/>
  <c r="S569" i="4"/>
  <c r="P569" i="4"/>
  <c r="M569" i="4"/>
  <c r="K569" i="4"/>
  <c r="I569" i="4"/>
  <c r="F569" i="4"/>
  <c r="AG568" i="4"/>
  <c r="AE568" i="4"/>
  <c r="AC568" i="4"/>
  <c r="Z568" i="4"/>
  <c r="W568" i="4"/>
  <c r="U568" i="4"/>
  <c r="S568" i="4"/>
  <c r="P568" i="4"/>
  <c r="M568" i="4"/>
  <c r="K568" i="4"/>
  <c r="I568" i="4"/>
  <c r="F568" i="4"/>
  <c r="AF567" i="4"/>
  <c r="AD567" i="4"/>
  <c r="AA567" i="4"/>
  <c r="X567" i="4"/>
  <c r="V567" i="4"/>
  <c r="T567" i="4"/>
  <c r="Q567" i="4"/>
  <c r="N567" i="4"/>
  <c r="L567" i="4"/>
  <c r="J567" i="4"/>
  <c r="G567" i="4"/>
  <c r="D567" i="4"/>
  <c r="AF566" i="4"/>
  <c r="AF566" i="5" s="1"/>
  <c r="AH566" i="6" s="1"/>
  <c r="AD566" i="4"/>
  <c r="AA566" i="4"/>
  <c r="X566" i="4"/>
  <c r="V566" i="4"/>
  <c r="T566" i="4"/>
  <c r="Q566" i="4"/>
  <c r="N566" i="4"/>
  <c r="L566" i="4"/>
  <c r="J566" i="4"/>
  <c r="G566" i="4"/>
  <c r="D566" i="4"/>
  <c r="AF565" i="4"/>
  <c r="AD565" i="4"/>
  <c r="AD565" i="5" s="1"/>
  <c r="AF565" i="6" s="1"/>
  <c r="AA565" i="4"/>
  <c r="X565" i="4"/>
  <c r="V565" i="4"/>
  <c r="T565" i="4"/>
  <c r="Q565" i="4"/>
  <c r="N565" i="4"/>
  <c r="L565" i="4"/>
  <c r="J565" i="4"/>
  <c r="G565" i="4"/>
  <c r="D565" i="4"/>
  <c r="AF564" i="4"/>
  <c r="AD564" i="4"/>
  <c r="AA564" i="4"/>
  <c r="X564" i="4"/>
  <c r="V564" i="4"/>
  <c r="T564" i="4"/>
  <c r="Q564" i="4"/>
  <c r="N564" i="4"/>
  <c r="L564" i="4"/>
  <c r="L564" i="5" s="1"/>
  <c r="N564" i="6" s="1"/>
  <c r="J564" i="4"/>
  <c r="G564" i="4"/>
  <c r="D564" i="4"/>
  <c r="AG562" i="4"/>
  <c r="AF562" i="4"/>
  <c r="AE562" i="4"/>
  <c r="AD562" i="4"/>
  <c r="AC562" i="4"/>
  <c r="AB562" i="4"/>
  <c r="AA562" i="4"/>
  <c r="Z562" i="4"/>
  <c r="Y562" i="4"/>
  <c r="X562" i="4"/>
  <c r="W562" i="4"/>
  <c r="V562" i="4"/>
  <c r="U562" i="4"/>
  <c r="T562" i="4"/>
  <c r="S562" i="4"/>
  <c r="R562" i="4"/>
  <c r="Q562" i="4"/>
  <c r="P562" i="4"/>
  <c r="O562" i="4"/>
  <c r="N562" i="4"/>
  <c r="M562" i="4"/>
  <c r="L562" i="4"/>
  <c r="K562" i="4"/>
  <c r="J562" i="4"/>
  <c r="I562" i="4"/>
  <c r="H562" i="4"/>
  <c r="G562" i="4"/>
  <c r="F562" i="4"/>
  <c r="E562" i="4"/>
  <c r="D562" i="4"/>
  <c r="AG561" i="4"/>
  <c r="AF561" i="4"/>
  <c r="AE561" i="4"/>
  <c r="AD561" i="4"/>
  <c r="AC561" i="4"/>
  <c r="AB561" i="4"/>
  <c r="AA561" i="4"/>
  <c r="Z561" i="4"/>
  <c r="Y561" i="4"/>
  <c r="X561" i="4"/>
  <c r="W561" i="4"/>
  <c r="V561" i="4"/>
  <c r="U561" i="4"/>
  <c r="T561" i="4"/>
  <c r="S561" i="4"/>
  <c r="R561" i="4"/>
  <c r="Q561" i="4"/>
  <c r="P561" i="4"/>
  <c r="O561" i="4"/>
  <c r="N561" i="4"/>
  <c r="M561" i="4"/>
  <c r="L561" i="4"/>
  <c r="K561" i="4"/>
  <c r="J561" i="4"/>
  <c r="I561" i="4"/>
  <c r="H561" i="4"/>
  <c r="G561" i="4"/>
  <c r="F561" i="4"/>
  <c r="E561" i="4"/>
  <c r="D561" i="4"/>
  <c r="W560" i="4"/>
  <c r="V560" i="4"/>
  <c r="U560" i="4"/>
  <c r="T560" i="4"/>
  <c r="S560" i="4"/>
  <c r="R560" i="4"/>
  <c r="Q560" i="4"/>
  <c r="P560" i="4"/>
  <c r="O560" i="4"/>
  <c r="N560" i="4"/>
  <c r="M560" i="4"/>
  <c r="L560" i="4"/>
  <c r="K560" i="4"/>
  <c r="J560" i="4"/>
  <c r="I560" i="4"/>
  <c r="H560" i="4"/>
  <c r="G560" i="4"/>
  <c r="F560" i="4"/>
  <c r="E560" i="4"/>
  <c r="D560" i="4"/>
  <c r="AG559" i="4"/>
  <c r="AF559" i="4"/>
  <c r="AE559" i="4"/>
  <c r="AD559" i="4"/>
  <c r="AC559" i="4"/>
  <c r="AB559" i="4"/>
  <c r="AA559" i="4"/>
  <c r="Z559" i="4"/>
  <c r="Y559" i="4"/>
  <c r="X559" i="4"/>
  <c r="W559" i="4"/>
  <c r="V559" i="4"/>
  <c r="U559" i="4"/>
  <c r="T559" i="4"/>
  <c r="S559" i="4"/>
  <c r="R559" i="4"/>
  <c r="Q559" i="4"/>
  <c r="P559" i="4"/>
  <c r="O559" i="4"/>
  <c r="N559" i="4"/>
  <c r="M559" i="4"/>
  <c r="L559" i="4"/>
  <c r="K559" i="4"/>
  <c r="J559" i="4"/>
  <c r="I559" i="4"/>
  <c r="H559" i="4"/>
  <c r="G559" i="4"/>
  <c r="F559" i="4"/>
  <c r="E559" i="4"/>
  <c r="D559" i="4"/>
  <c r="AG558" i="4"/>
  <c r="AF558" i="4"/>
  <c r="AE558" i="4"/>
  <c r="AD558" i="4"/>
  <c r="AC558" i="4"/>
  <c r="AB558" i="4"/>
  <c r="AA558" i="4"/>
  <c r="Z558" i="4"/>
  <c r="Y558" i="4"/>
  <c r="X558" i="4"/>
  <c r="W558" i="4"/>
  <c r="V558" i="4"/>
  <c r="U558" i="4"/>
  <c r="T558" i="4"/>
  <c r="S558" i="4"/>
  <c r="R558" i="4"/>
  <c r="Q558" i="4"/>
  <c r="P558" i="4"/>
  <c r="O558" i="4"/>
  <c r="N558" i="4"/>
  <c r="M558" i="4"/>
  <c r="L558" i="4"/>
  <c r="K558" i="4"/>
  <c r="J558" i="4"/>
  <c r="I558" i="4"/>
  <c r="H558" i="4"/>
  <c r="G558" i="4"/>
  <c r="F558" i="4"/>
  <c r="E558" i="4"/>
  <c r="D558" i="4"/>
  <c r="AG557" i="4"/>
  <c r="AF557" i="4"/>
  <c r="AE557" i="4"/>
  <c r="AD557" i="4"/>
  <c r="AC557" i="4"/>
  <c r="AB557" i="4"/>
  <c r="AA557" i="4"/>
  <c r="Z557" i="4"/>
  <c r="Y557" i="4"/>
  <c r="X557" i="4"/>
  <c r="W557" i="4"/>
  <c r="V557" i="4"/>
  <c r="U557" i="4"/>
  <c r="T557" i="4"/>
  <c r="S557" i="4"/>
  <c r="R557" i="4"/>
  <c r="Q557" i="4"/>
  <c r="P557" i="4"/>
  <c r="O557" i="4"/>
  <c r="N557" i="4"/>
  <c r="M557" i="4"/>
  <c r="L557" i="4"/>
  <c r="K557" i="4"/>
  <c r="J557" i="4"/>
  <c r="I557" i="4"/>
  <c r="H557" i="4"/>
  <c r="G557" i="4"/>
  <c r="F557" i="4"/>
  <c r="E557" i="4"/>
  <c r="D557" i="4"/>
  <c r="AG555" i="4"/>
  <c r="AF555" i="4"/>
  <c r="AE555" i="4"/>
  <c r="AD555" i="4"/>
  <c r="AC555" i="4"/>
  <c r="AB555" i="4"/>
  <c r="AA555" i="4"/>
  <c r="Z555" i="4"/>
  <c r="Y555" i="4"/>
  <c r="X555" i="4"/>
  <c r="W555" i="4"/>
  <c r="V555" i="4"/>
  <c r="U555" i="4"/>
  <c r="T555" i="4"/>
  <c r="S555" i="4"/>
  <c r="R555" i="4"/>
  <c r="Q555" i="4"/>
  <c r="P555" i="4"/>
  <c r="O555" i="4"/>
  <c r="N555" i="4"/>
  <c r="M555" i="4"/>
  <c r="L555" i="4"/>
  <c r="K555" i="4"/>
  <c r="J555" i="4"/>
  <c r="I555" i="4"/>
  <c r="H555" i="4"/>
  <c r="G555" i="4"/>
  <c r="F555" i="4"/>
  <c r="E555" i="4"/>
  <c r="D555" i="4"/>
  <c r="AG554" i="4"/>
  <c r="AF554" i="4"/>
  <c r="AE554" i="4"/>
  <c r="AD554" i="4"/>
  <c r="AC554" i="4"/>
  <c r="AB554" i="4"/>
  <c r="AA554" i="4"/>
  <c r="Z554" i="4"/>
  <c r="Y554" i="4"/>
  <c r="X554" i="4"/>
  <c r="W554" i="4"/>
  <c r="V554" i="4"/>
  <c r="U554" i="4"/>
  <c r="T554" i="4"/>
  <c r="S554" i="4"/>
  <c r="R554" i="4"/>
  <c r="Q554" i="4"/>
  <c r="P554" i="4"/>
  <c r="O554" i="4"/>
  <c r="N554" i="4"/>
  <c r="M554" i="4"/>
  <c r="L554" i="4"/>
  <c r="K554" i="4"/>
  <c r="J554" i="4"/>
  <c r="I554" i="4"/>
  <c r="H554" i="4"/>
  <c r="G554" i="4"/>
  <c r="F554" i="4"/>
  <c r="E554" i="4"/>
  <c r="D554" i="4"/>
  <c r="AG553" i="4"/>
  <c r="AF553" i="4"/>
  <c r="AE553" i="4"/>
  <c r="AD553" i="4"/>
  <c r="AC553" i="4"/>
  <c r="AB553" i="4"/>
  <c r="AA553" i="4"/>
  <c r="Z553" i="4"/>
  <c r="Y553" i="4"/>
  <c r="X553" i="4"/>
  <c r="W553" i="4"/>
  <c r="V553" i="4"/>
  <c r="U553" i="4"/>
  <c r="T553" i="4"/>
  <c r="S553" i="4"/>
  <c r="R553" i="4"/>
  <c r="Q553" i="4"/>
  <c r="P553" i="4"/>
  <c r="O553" i="4"/>
  <c r="N553" i="4"/>
  <c r="M553" i="4"/>
  <c r="L553" i="4"/>
  <c r="K553" i="4"/>
  <c r="J553" i="4"/>
  <c r="I553" i="4"/>
  <c r="H553" i="4"/>
  <c r="G553" i="4"/>
  <c r="F553" i="4"/>
  <c r="E553" i="4"/>
  <c r="D553" i="4"/>
  <c r="AG552" i="4"/>
  <c r="AF552" i="4"/>
  <c r="AE552" i="4"/>
  <c r="AD552" i="4"/>
  <c r="AC552" i="4"/>
  <c r="AB552" i="4"/>
  <c r="AA552" i="4"/>
  <c r="Z552" i="4"/>
  <c r="Y552" i="4"/>
  <c r="X552" i="4"/>
  <c r="W552" i="4"/>
  <c r="V552" i="4"/>
  <c r="U552" i="4"/>
  <c r="T552" i="4"/>
  <c r="S552" i="4"/>
  <c r="R552" i="4"/>
  <c r="Q552" i="4"/>
  <c r="P552" i="4"/>
  <c r="O552" i="4"/>
  <c r="N552" i="4"/>
  <c r="M552" i="4"/>
  <c r="L552" i="4"/>
  <c r="K552" i="4"/>
  <c r="J552" i="4"/>
  <c r="I552" i="4"/>
  <c r="H552" i="4"/>
  <c r="G552" i="4"/>
  <c r="F552" i="4"/>
  <c r="E552" i="4"/>
  <c r="D552" i="4"/>
  <c r="AG551" i="4"/>
  <c r="AF551" i="4"/>
  <c r="AE551" i="4"/>
  <c r="AD551" i="4"/>
  <c r="AC551" i="4"/>
  <c r="AB551" i="4"/>
  <c r="AA551" i="4"/>
  <c r="Z551" i="4"/>
  <c r="Y551" i="4"/>
  <c r="X551" i="4"/>
  <c r="W551" i="4"/>
  <c r="V551" i="4"/>
  <c r="U551" i="4"/>
  <c r="T551" i="4"/>
  <c r="S551" i="4"/>
  <c r="R551" i="4"/>
  <c r="Q551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D551" i="4"/>
  <c r="AG550" i="4"/>
  <c r="AF550" i="4"/>
  <c r="AE550" i="4"/>
  <c r="AD550" i="4"/>
  <c r="AC550" i="4"/>
  <c r="AB550" i="4"/>
  <c r="AA550" i="4"/>
  <c r="Z550" i="4"/>
  <c r="Y550" i="4"/>
  <c r="X550" i="4"/>
  <c r="W550" i="4"/>
  <c r="V550" i="4"/>
  <c r="U550" i="4"/>
  <c r="T550" i="4"/>
  <c r="S550" i="4"/>
  <c r="R550" i="4"/>
  <c r="Q550" i="4"/>
  <c r="P550" i="4"/>
  <c r="O550" i="4"/>
  <c r="N550" i="4"/>
  <c r="M550" i="4"/>
  <c r="L550" i="4"/>
  <c r="K550" i="4"/>
  <c r="J550" i="4"/>
  <c r="I550" i="4"/>
  <c r="H550" i="4"/>
  <c r="G550" i="4"/>
  <c r="F550" i="4"/>
  <c r="E550" i="4"/>
  <c r="D550" i="4"/>
  <c r="AG549" i="4"/>
  <c r="AF549" i="4"/>
  <c r="AE549" i="4"/>
  <c r="AD549" i="4"/>
  <c r="AC549" i="4"/>
  <c r="AB549" i="4"/>
  <c r="AA549" i="4"/>
  <c r="Z549" i="4"/>
  <c r="Y549" i="4"/>
  <c r="X549" i="4"/>
  <c r="W549" i="4"/>
  <c r="V549" i="4"/>
  <c r="U549" i="4"/>
  <c r="T549" i="4"/>
  <c r="S549" i="4"/>
  <c r="R549" i="4"/>
  <c r="Q549" i="4"/>
  <c r="P549" i="4"/>
  <c r="O549" i="4"/>
  <c r="N549" i="4"/>
  <c r="M549" i="4"/>
  <c r="L549" i="4"/>
  <c r="K549" i="4"/>
  <c r="J549" i="4"/>
  <c r="I549" i="4"/>
  <c r="H549" i="4"/>
  <c r="G549" i="4"/>
  <c r="F549" i="4"/>
  <c r="E549" i="4"/>
  <c r="D549" i="4"/>
  <c r="AG548" i="4"/>
  <c r="AF548" i="4"/>
  <c r="AE548" i="4"/>
  <c r="AD548" i="4"/>
  <c r="AC548" i="4"/>
  <c r="AB548" i="4"/>
  <c r="AA548" i="4"/>
  <c r="Z548" i="4"/>
  <c r="Y548" i="4"/>
  <c r="X548" i="4"/>
  <c r="W548" i="4"/>
  <c r="V548" i="4"/>
  <c r="U548" i="4"/>
  <c r="T548" i="4"/>
  <c r="S548" i="4"/>
  <c r="R548" i="4"/>
  <c r="Q548" i="4"/>
  <c r="P548" i="4"/>
  <c r="O548" i="4"/>
  <c r="N548" i="4"/>
  <c r="L548" i="4"/>
  <c r="J548" i="4"/>
  <c r="G548" i="4"/>
  <c r="D548" i="4"/>
  <c r="AG545" i="4"/>
  <c r="AF545" i="4"/>
  <c r="AE545" i="4"/>
  <c r="AD545" i="4"/>
  <c r="AC545" i="4"/>
  <c r="AB545" i="4"/>
  <c r="AA545" i="4"/>
  <c r="Z545" i="4"/>
  <c r="Y545" i="4"/>
  <c r="X545" i="4"/>
  <c r="W545" i="4"/>
  <c r="V545" i="4"/>
  <c r="U545" i="4"/>
  <c r="T545" i="4"/>
  <c r="S545" i="4"/>
  <c r="R545" i="4"/>
  <c r="Q545" i="4"/>
  <c r="P545" i="4"/>
  <c r="O545" i="4"/>
  <c r="N545" i="4"/>
  <c r="M545" i="4"/>
  <c r="L545" i="4"/>
  <c r="K545" i="4"/>
  <c r="J545" i="4"/>
  <c r="I545" i="4"/>
  <c r="H545" i="4"/>
  <c r="G545" i="4"/>
  <c r="F545" i="4"/>
  <c r="E545" i="4"/>
  <c r="D545" i="4"/>
  <c r="AG544" i="4"/>
  <c r="AF544" i="4"/>
  <c r="AE544" i="4"/>
  <c r="AD544" i="4"/>
  <c r="AC544" i="4"/>
  <c r="AB544" i="4"/>
  <c r="AA544" i="4"/>
  <c r="Z544" i="4"/>
  <c r="Y544" i="4"/>
  <c r="X544" i="4"/>
  <c r="W544" i="4"/>
  <c r="V544" i="4"/>
  <c r="U544" i="4"/>
  <c r="T544" i="4"/>
  <c r="S544" i="4"/>
  <c r="R544" i="4"/>
  <c r="Q544" i="4"/>
  <c r="P544" i="4"/>
  <c r="O544" i="4"/>
  <c r="N544" i="4"/>
  <c r="M544" i="4"/>
  <c r="L544" i="4"/>
  <c r="K544" i="4"/>
  <c r="J544" i="4"/>
  <c r="I544" i="4"/>
  <c r="H544" i="4"/>
  <c r="G544" i="4"/>
  <c r="F544" i="4"/>
  <c r="E544" i="4"/>
  <c r="D544" i="4"/>
  <c r="AG543" i="4"/>
  <c r="AF543" i="4"/>
  <c r="AE543" i="4"/>
  <c r="AD543" i="4"/>
  <c r="AC543" i="4"/>
  <c r="AB543" i="4"/>
  <c r="AA543" i="4"/>
  <c r="Z543" i="4"/>
  <c r="Y543" i="4"/>
  <c r="X543" i="4"/>
  <c r="W543" i="4"/>
  <c r="V543" i="4"/>
  <c r="U543" i="4"/>
  <c r="T543" i="4"/>
  <c r="S543" i="4"/>
  <c r="R543" i="4"/>
  <c r="Q543" i="4"/>
  <c r="P543" i="4"/>
  <c r="O543" i="4"/>
  <c r="N543" i="4"/>
  <c r="M543" i="4"/>
  <c r="L543" i="4"/>
  <c r="K543" i="4"/>
  <c r="J543" i="4"/>
  <c r="I543" i="4"/>
  <c r="H543" i="4"/>
  <c r="G543" i="4"/>
  <c r="F543" i="4"/>
  <c r="E543" i="4"/>
  <c r="D543" i="4"/>
  <c r="AG542" i="4"/>
  <c r="AF542" i="4"/>
  <c r="AE542" i="4"/>
  <c r="AD542" i="4"/>
  <c r="AC542" i="4"/>
  <c r="AB542" i="4"/>
  <c r="AA542" i="4"/>
  <c r="Z542" i="4"/>
  <c r="Y542" i="4"/>
  <c r="X542" i="4"/>
  <c r="W542" i="4"/>
  <c r="V542" i="4"/>
  <c r="U542" i="4"/>
  <c r="T542" i="4"/>
  <c r="S542" i="4"/>
  <c r="R542" i="4"/>
  <c r="Q542" i="4"/>
  <c r="P542" i="4"/>
  <c r="O542" i="4"/>
  <c r="N542" i="4"/>
  <c r="M542" i="4"/>
  <c r="L542" i="4"/>
  <c r="K542" i="4"/>
  <c r="J542" i="4"/>
  <c r="I542" i="4"/>
  <c r="H542" i="4"/>
  <c r="G542" i="4"/>
  <c r="F542" i="4"/>
  <c r="E542" i="4"/>
  <c r="D542" i="4"/>
  <c r="AG541" i="4"/>
  <c r="AF541" i="4"/>
  <c r="AE541" i="4"/>
  <c r="AD541" i="4"/>
  <c r="AC541" i="4"/>
  <c r="AB541" i="4"/>
  <c r="AA541" i="4"/>
  <c r="Z541" i="4"/>
  <c r="Y541" i="4"/>
  <c r="X541" i="4"/>
  <c r="W541" i="4"/>
  <c r="V541" i="4"/>
  <c r="U541" i="4"/>
  <c r="T541" i="4"/>
  <c r="S541" i="4"/>
  <c r="R541" i="4"/>
  <c r="Q541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D541" i="4"/>
  <c r="AG540" i="4"/>
  <c r="AF540" i="4"/>
  <c r="AE540" i="4"/>
  <c r="AD540" i="4"/>
  <c r="AC540" i="4"/>
  <c r="AB540" i="4"/>
  <c r="AA540" i="4"/>
  <c r="Z540" i="4"/>
  <c r="Y540" i="4"/>
  <c r="X540" i="4"/>
  <c r="W540" i="4"/>
  <c r="V540" i="4"/>
  <c r="U540" i="4"/>
  <c r="T540" i="4"/>
  <c r="S540" i="4"/>
  <c r="R540" i="4"/>
  <c r="Q540" i="4"/>
  <c r="P540" i="4"/>
  <c r="O540" i="4"/>
  <c r="N540" i="4"/>
  <c r="M540" i="4"/>
  <c r="L540" i="4"/>
  <c r="K540" i="4"/>
  <c r="J540" i="4"/>
  <c r="I540" i="4"/>
  <c r="H540" i="4"/>
  <c r="G540" i="4"/>
  <c r="F540" i="4"/>
  <c r="E540" i="4"/>
  <c r="D540" i="4"/>
  <c r="AG539" i="4"/>
  <c r="AF539" i="4"/>
  <c r="AE539" i="4"/>
  <c r="AD539" i="4"/>
  <c r="AC539" i="4"/>
  <c r="AB539" i="4"/>
  <c r="AA539" i="4"/>
  <c r="Z539" i="4"/>
  <c r="Y539" i="4"/>
  <c r="X539" i="4"/>
  <c r="W539" i="4"/>
  <c r="V539" i="4"/>
  <c r="U539" i="4"/>
  <c r="T539" i="4"/>
  <c r="S539" i="4"/>
  <c r="R539" i="4"/>
  <c r="Q539" i="4"/>
  <c r="P539" i="4"/>
  <c r="O539" i="4"/>
  <c r="N539" i="4"/>
  <c r="M539" i="4"/>
  <c r="L539" i="4"/>
  <c r="K539" i="4"/>
  <c r="J539" i="4"/>
  <c r="I539" i="4"/>
  <c r="H539" i="4"/>
  <c r="G539" i="4"/>
  <c r="F539" i="4"/>
  <c r="E539" i="4"/>
  <c r="D539" i="4"/>
  <c r="AG538" i="4"/>
  <c r="AF538" i="4"/>
  <c r="AE538" i="4"/>
  <c r="AD538" i="4"/>
  <c r="AC538" i="4"/>
  <c r="AB538" i="4"/>
  <c r="AA538" i="4"/>
  <c r="Z538" i="4"/>
  <c r="Y538" i="4"/>
  <c r="X538" i="4"/>
  <c r="W538" i="4"/>
  <c r="V538" i="4"/>
  <c r="U538" i="4"/>
  <c r="T538" i="4"/>
  <c r="S538" i="4"/>
  <c r="R538" i="4"/>
  <c r="Q538" i="4"/>
  <c r="P538" i="4"/>
  <c r="O538" i="4"/>
  <c r="N538" i="4"/>
  <c r="M538" i="4"/>
  <c r="L538" i="4"/>
  <c r="K538" i="4"/>
  <c r="J538" i="4"/>
  <c r="I538" i="4"/>
  <c r="H538" i="4"/>
  <c r="G538" i="4"/>
  <c r="F538" i="4"/>
  <c r="E538" i="4"/>
  <c r="D538" i="4"/>
  <c r="AG537" i="4"/>
  <c r="AF537" i="4"/>
  <c r="AE537" i="4"/>
  <c r="AD537" i="4"/>
  <c r="AC537" i="4"/>
  <c r="AB537" i="4"/>
  <c r="AA537" i="4"/>
  <c r="Z537" i="4"/>
  <c r="Y537" i="4"/>
  <c r="X537" i="4"/>
  <c r="W537" i="4"/>
  <c r="V537" i="4"/>
  <c r="U537" i="4"/>
  <c r="T537" i="4"/>
  <c r="S537" i="4"/>
  <c r="R537" i="4"/>
  <c r="Q537" i="4"/>
  <c r="P537" i="4"/>
  <c r="O537" i="4"/>
  <c r="N537" i="4"/>
  <c r="M537" i="4"/>
  <c r="L537" i="4"/>
  <c r="K537" i="4"/>
  <c r="J537" i="4"/>
  <c r="I537" i="4"/>
  <c r="H537" i="4"/>
  <c r="G537" i="4"/>
  <c r="F537" i="4"/>
  <c r="E537" i="4"/>
  <c r="D537" i="4"/>
  <c r="AG536" i="4"/>
  <c r="AF536" i="4"/>
  <c r="AE536" i="4"/>
  <c r="AD536" i="4"/>
  <c r="AC536" i="4"/>
  <c r="AB536" i="4"/>
  <c r="AA536" i="4"/>
  <c r="Z536" i="4"/>
  <c r="Y536" i="4"/>
  <c r="X536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D536" i="4"/>
  <c r="AG535" i="4"/>
  <c r="AF535" i="4"/>
  <c r="AE535" i="4"/>
  <c r="AD535" i="4"/>
  <c r="AC535" i="4"/>
  <c r="AB535" i="4"/>
  <c r="AA535" i="4"/>
  <c r="Z535" i="4"/>
  <c r="Y535" i="4"/>
  <c r="X535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K535" i="4"/>
  <c r="J535" i="4"/>
  <c r="I535" i="4"/>
  <c r="H535" i="4"/>
  <c r="G535" i="4"/>
  <c r="F535" i="4"/>
  <c r="E535" i="4"/>
  <c r="D535" i="4"/>
  <c r="AG534" i="4"/>
  <c r="AF534" i="4"/>
  <c r="AE534" i="4"/>
  <c r="AD534" i="4"/>
  <c r="AC534" i="4"/>
  <c r="AB534" i="4"/>
  <c r="AA534" i="4"/>
  <c r="Z534" i="4"/>
  <c r="Y534" i="4"/>
  <c r="X534" i="4"/>
  <c r="W534" i="4"/>
  <c r="V534" i="4"/>
  <c r="U534" i="4"/>
  <c r="T534" i="4"/>
  <c r="S534" i="4"/>
  <c r="R534" i="4"/>
  <c r="Q534" i="4"/>
  <c r="P534" i="4"/>
  <c r="O534" i="4"/>
  <c r="N534" i="4"/>
  <c r="M534" i="4"/>
  <c r="L534" i="4"/>
  <c r="K534" i="4"/>
  <c r="J534" i="4"/>
  <c r="I534" i="4"/>
  <c r="H534" i="4"/>
  <c r="G534" i="4"/>
  <c r="F534" i="4"/>
  <c r="E534" i="4"/>
  <c r="D534" i="4"/>
  <c r="AG533" i="4"/>
  <c r="AF533" i="4"/>
  <c r="AE533" i="4"/>
  <c r="AD533" i="4"/>
  <c r="AC533" i="4"/>
  <c r="AB533" i="4"/>
  <c r="AA533" i="4"/>
  <c r="Z533" i="4"/>
  <c r="Y533" i="4"/>
  <c r="X533" i="4"/>
  <c r="W533" i="4"/>
  <c r="V533" i="4"/>
  <c r="U533" i="4"/>
  <c r="T533" i="4"/>
  <c r="S533" i="4"/>
  <c r="R533" i="4"/>
  <c r="Q533" i="4"/>
  <c r="P533" i="4"/>
  <c r="O533" i="4"/>
  <c r="N533" i="4"/>
  <c r="M533" i="4"/>
  <c r="L533" i="4"/>
  <c r="K533" i="4"/>
  <c r="J533" i="4"/>
  <c r="I533" i="4"/>
  <c r="H533" i="4"/>
  <c r="G533" i="4"/>
  <c r="F533" i="4"/>
  <c r="E533" i="4"/>
  <c r="D533" i="4"/>
  <c r="AG532" i="4"/>
  <c r="AF532" i="4"/>
  <c r="AE532" i="4"/>
  <c r="AD532" i="4"/>
  <c r="AC532" i="4"/>
  <c r="AB532" i="4"/>
  <c r="AA532" i="4"/>
  <c r="Z532" i="4"/>
  <c r="Y532" i="4"/>
  <c r="X532" i="4"/>
  <c r="W532" i="4"/>
  <c r="V532" i="4"/>
  <c r="U532" i="4"/>
  <c r="T532" i="4"/>
  <c r="S532" i="4"/>
  <c r="R532" i="4"/>
  <c r="Q532" i="4"/>
  <c r="P532" i="4"/>
  <c r="O532" i="4"/>
  <c r="N532" i="4"/>
  <c r="M532" i="4"/>
  <c r="L532" i="4"/>
  <c r="K532" i="4"/>
  <c r="J532" i="4"/>
  <c r="I532" i="4"/>
  <c r="H532" i="4"/>
  <c r="G532" i="4"/>
  <c r="F532" i="4"/>
  <c r="E532" i="4"/>
  <c r="D532" i="4"/>
  <c r="AG531" i="4"/>
  <c r="AF531" i="4"/>
  <c r="AE531" i="4"/>
  <c r="AD531" i="4"/>
  <c r="AC531" i="4"/>
  <c r="AB531" i="4"/>
  <c r="AA531" i="4"/>
  <c r="Z531" i="4"/>
  <c r="Y531" i="4"/>
  <c r="X531" i="4"/>
  <c r="W531" i="4"/>
  <c r="V531" i="4"/>
  <c r="U531" i="4"/>
  <c r="T531" i="4"/>
  <c r="S531" i="4"/>
  <c r="R531" i="4"/>
  <c r="Q531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D531" i="4"/>
  <c r="AG530" i="4"/>
  <c r="AF530" i="4"/>
  <c r="AE530" i="4"/>
  <c r="AD530" i="4"/>
  <c r="AC530" i="4"/>
  <c r="AB530" i="4"/>
  <c r="AA530" i="4"/>
  <c r="Z530" i="4"/>
  <c r="Y530" i="4"/>
  <c r="X530" i="4"/>
  <c r="W530" i="4"/>
  <c r="V530" i="4"/>
  <c r="U530" i="4"/>
  <c r="T530" i="4"/>
  <c r="S530" i="4"/>
  <c r="R530" i="4"/>
  <c r="Q530" i="4"/>
  <c r="P530" i="4"/>
  <c r="O530" i="4"/>
  <c r="N530" i="4"/>
  <c r="M530" i="4"/>
  <c r="L530" i="4"/>
  <c r="K530" i="4"/>
  <c r="J530" i="4"/>
  <c r="I530" i="4"/>
  <c r="H530" i="4"/>
  <c r="G530" i="4"/>
  <c r="F530" i="4"/>
  <c r="E530" i="4"/>
  <c r="D530" i="4"/>
  <c r="AG529" i="4"/>
  <c r="AF529" i="4"/>
  <c r="AE529" i="4"/>
  <c r="AD529" i="4"/>
  <c r="AC529" i="4"/>
  <c r="AB529" i="4"/>
  <c r="AA529" i="4"/>
  <c r="Z529" i="4"/>
  <c r="Y529" i="4"/>
  <c r="X529" i="4"/>
  <c r="W529" i="4"/>
  <c r="V529" i="4"/>
  <c r="U529" i="4"/>
  <c r="T529" i="4"/>
  <c r="S529" i="4"/>
  <c r="R529" i="4"/>
  <c r="Q529" i="4"/>
  <c r="P529" i="4"/>
  <c r="O529" i="4"/>
  <c r="N529" i="4"/>
  <c r="M529" i="4"/>
  <c r="L529" i="4"/>
  <c r="K529" i="4"/>
  <c r="J529" i="4"/>
  <c r="I529" i="4"/>
  <c r="H529" i="4"/>
  <c r="G529" i="4"/>
  <c r="F529" i="4"/>
  <c r="E529" i="4"/>
  <c r="D529" i="4"/>
  <c r="AG528" i="4"/>
  <c r="AF528" i="4"/>
  <c r="AE528" i="4"/>
  <c r="AD528" i="4"/>
  <c r="AC528" i="4"/>
  <c r="AB528" i="4"/>
  <c r="AA528" i="4"/>
  <c r="Z528" i="4"/>
  <c r="Y528" i="4"/>
  <c r="X528" i="4"/>
  <c r="W528" i="4"/>
  <c r="V528" i="4"/>
  <c r="U528" i="4"/>
  <c r="T528" i="4"/>
  <c r="S528" i="4"/>
  <c r="R528" i="4"/>
  <c r="Q528" i="4"/>
  <c r="P528" i="4"/>
  <c r="O528" i="4"/>
  <c r="N528" i="4"/>
  <c r="M528" i="4"/>
  <c r="L528" i="4"/>
  <c r="K528" i="4"/>
  <c r="J528" i="4"/>
  <c r="I528" i="4"/>
  <c r="H528" i="4"/>
  <c r="G528" i="4"/>
  <c r="F528" i="4"/>
  <c r="E528" i="4"/>
  <c r="D528" i="4"/>
  <c r="AG527" i="4"/>
  <c r="AF527" i="4"/>
  <c r="AE527" i="4"/>
  <c r="AD527" i="4"/>
  <c r="AC527" i="4"/>
  <c r="AB527" i="4"/>
  <c r="AA527" i="4"/>
  <c r="Z527" i="4"/>
  <c r="Y527" i="4"/>
  <c r="X527" i="4"/>
  <c r="W527" i="4"/>
  <c r="V527" i="4"/>
  <c r="U527" i="4"/>
  <c r="T527" i="4"/>
  <c r="S527" i="4"/>
  <c r="R527" i="4"/>
  <c r="Q527" i="4"/>
  <c r="P527" i="4"/>
  <c r="O527" i="4"/>
  <c r="N527" i="4"/>
  <c r="M527" i="4"/>
  <c r="L527" i="4"/>
  <c r="K527" i="4"/>
  <c r="J527" i="4"/>
  <c r="I527" i="4"/>
  <c r="H527" i="4"/>
  <c r="G527" i="4"/>
  <c r="F527" i="4"/>
  <c r="E527" i="4"/>
  <c r="D527" i="4"/>
  <c r="AG526" i="4"/>
  <c r="AF526" i="4"/>
  <c r="AE526" i="4"/>
  <c r="AD526" i="4"/>
  <c r="AC526" i="4"/>
  <c r="AB526" i="4"/>
  <c r="AA526" i="4"/>
  <c r="Z526" i="4"/>
  <c r="Y526" i="4"/>
  <c r="X526" i="4"/>
  <c r="W526" i="4"/>
  <c r="V526" i="4"/>
  <c r="U526" i="4"/>
  <c r="T526" i="4"/>
  <c r="S526" i="4"/>
  <c r="R526" i="4"/>
  <c r="Q526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D526" i="4"/>
  <c r="AG525" i="4"/>
  <c r="AF525" i="4"/>
  <c r="AE525" i="4"/>
  <c r="AD525" i="4"/>
  <c r="AC525" i="4"/>
  <c r="AB525" i="4"/>
  <c r="AA525" i="4"/>
  <c r="Z525" i="4"/>
  <c r="Y525" i="4"/>
  <c r="X525" i="4"/>
  <c r="W525" i="4"/>
  <c r="V525" i="4"/>
  <c r="U525" i="4"/>
  <c r="T525" i="4"/>
  <c r="S525" i="4"/>
  <c r="R525" i="4"/>
  <c r="Q525" i="4"/>
  <c r="P525" i="4"/>
  <c r="O525" i="4"/>
  <c r="N525" i="4"/>
  <c r="M525" i="4"/>
  <c r="L525" i="4"/>
  <c r="K525" i="4"/>
  <c r="J525" i="4"/>
  <c r="I525" i="4"/>
  <c r="H525" i="4"/>
  <c r="G525" i="4"/>
  <c r="F525" i="4"/>
  <c r="E525" i="4"/>
  <c r="D525" i="4"/>
  <c r="AG524" i="4"/>
  <c r="AF524" i="4"/>
  <c r="AE524" i="4"/>
  <c r="AD524" i="4"/>
  <c r="AC524" i="4"/>
  <c r="AB524" i="4"/>
  <c r="AA524" i="4"/>
  <c r="Z524" i="4"/>
  <c r="Y524" i="4"/>
  <c r="X524" i="4"/>
  <c r="W524" i="4"/>
  <c r="V524" i="4"/>
  <c r="U524" i="4"/>
  <c r="T524" i="4"/>
  <c r="S524" i="4"/>
  <c r="R524" i="4"/>
  <c r="Q524" i="4"/>
  <c r="P524" i="4"/>
  <c r="O524" i="4"/>
  <c r="N524" i="4"/>
  <c r="M524" i="4"/>
  <c r="L524" i="4"/>
  <c r="K524" i="4"/>
  <c r="J524" i="4"/>
  <c r="I524" i="4"/>
  <c r="H524" i="4"/>
  <c r="G524" i="4"/>
  <c r="F524" i="4"/>
  <c r="E524" i="4"/>
  <c r="D524" i="4"/>
  <c r="AG523" i="4"/>
  <c r="AF523" i="4"/>
  <c r="AE523" i="4"/>
  <c r="AD523" i="4"/>
  <c r="AC523" i="4"/>
  <c r="AB523" i="4"/>
  <c r="AA523" i="4"/>
  <c r="Z523" i="4"/>
  <c r="Y523" i="4"/>
  <c r="X523" i="4"/>
  <c r="W523" i="4"/>
  <c r="V523" i="4"/>
  <c r="U523" i="4"/>
  <c r="U523" i="5" s="1"/>
  <c r="W523" i="6" s="1"/>
  <c r="T523" i="4"/>
  <c r="S523" i="4"/>
  <c r="R523" i="4"/>
  <c r="Q523" i="4"/>
  <c r="P523" i="4"/>
  <c r="O523" i="4"/>
  <c r="N523" i="4"/>
  <c r="M523" i="4"/>
  <c r="L523" i="4"/>
  <c r="K523" i="4"/>
  <c r="J523" i="4"/>
  <c r="I523" i="4"/>
  <c r="H523" i="4"/>
  <c r="G523" i="4"/>
  <c r="F523" i="4"/>
  <c r="E523" i="4"/>
  <c r="D523" i="4"/>
  <c r="AG522" i="4"/>
  <c r="AF522" i="4"/>
  <c r="AE522" i="4"/>
  <c r="AD522" i="4"/>
  <c r="AD522" i="5" s="1"/>
  <c r="AF522" i="6" s="1"/>
  <c r="AC522" i="4"/>
  <c r="AB522" i="4"/>
  <c r="AA522" i="4"/>
  <c r="Z522" i="4"/>
  <c r="Y522" i="4"/>
  <c r="X522" i="4"/>
  <c r="W522" i="4"/>
  <c r="V522" i="4"/>
  <c r="U522" i="4"/>
  <c r="T522" i="4"/>
  <c r="S522" i="4"/>
  <c r="R522" i="4"/>
  <c r="Q522" i="4"/>
  <c r="P522" i="4"/>
  <c r="O522" i="4"/>
  <c r="N522" i="4"/>
  <c r="M522" i="4"/>
  <c r="L522" i="4"/>
  <c r="K522" i="4"/>
  <c r="J522" i="4"/>
  <c r="I522" i="4"/>
  <c r="I522" i="5" s="1"/>
  <c r="K522" i="6" s="1"/>
  <c r="H522" i="4"/>
  <c r="G522" i="4"/>
  <c r="F522" i="4"/>
  <c r="E522" i="4"/>
  <c r="D522" i="4"/>
  <c r="AG521" i="4"/>
  <c r="AF521" i="4"/>
  <c r="AE521" i="4"/>
  <c r="AD521" i="4"/>
  <c r="AC521" i="4"/>
  <c r="AB521" i="4"/>
  <c r="AA521" i="4"/>
  <c r="Z521" i="4"/>
  <c r="Y521" i="4"/>
  <c r="X521" i="4"/>
  <c r="W521" i="4"/>
  <c r="V521" i="4"/>
  <c r="U521" i="4"/>
  <c r="T521" i="4"/>
  <c r="S521" i="4"/>
  <c r="R521" i="4"/>
  <c r="Q521" i="4"/>
  <c r="Q521" i="5" s="1"/>
  <c r="S521" i="6" s="1"/>
  <c r="P521" i="4"/>
  <c r="O521" i="4"/>
  <c r="N521" i="4"/>
  <c r="M521" i="4"/>
  <c r="L521" i="4"/>
  <c r="K521" i="4"/>
  <c r="J521" i="4"/>
  <c r="I521" i="4"/>
  <c r="H521" i="4"/>
  <c r="G521" i="4"/>
  <c r="F521" i="4"/>
  <c r="E521" i="4"/>
  <c r="D521" i="4"/>
  <c r="AG520" i="4"/>
  <c r="AF520" i="4"/>
  <c r="AE520" i="4"/>
  <c r="AD520" i="4"/>
  <c r="AC520" i="4"/>
  <c r="AB520" i="4"/>
  <c r="AA520" i="4"/>
  <c r="Z520" i="4"/>
  <c r="Z520" i="5" s="1"/>
  <c r="AB520" i="6" s="1"/>
  <c r="Y520" i="4"/>
  <c r="X520" i="4"/>
  <c r="W520" i="4"/>
  <c r="V520" i="4"/>
  <c r="U520" i="4"/>
  <c r="T520" i="4"/>
  <c r="S520" i="4"/>
  <c r="R520" i="4"/>
  <c r="Q520" i="4"/>
  <c r="P520" i="4"/>
  <c r="O520" i="4"/>
  <c r="N520" i="4"/>
  <c r="M520" i="4"/>
  <c r="L520" i="4"/>
  <c r="K520" i="4"/>
  <c r="J520" i="4"/>
  <c r="I520" i="4"/>
  <c r="H520" i="4"/>
  <c r="G520" i="4"/>
  <c r="F520" i="4"/>
  <c r="E520" i="4"/>
  <c r="E520" i="5" s="1"/>
  <c r="G520" i="6" s="1"/>
  <c r="D520" i="4"/>
  <c r="AG519" i="4"/>
  <c r="AF519" i="4"/>
  <c r="AE519" i="4"/>
  <c r="AD519" i="4"/>
  <c r="AC519" i="4"/>
  <c r="AB519" i="4"/>
  <c r="AA519" i="4"/>
  <c r="Z519" i="4"/>
  <c r="Y519" i="4"/>
  <c r="X519" i="4"/>
  <c r="W519" i="4"/>
  <c r="V519" i="4"/>
  <c r="U519" i="4"/>
  <c r="T519" i="4"/>
  <c r="S519" i="4"/>
  <c r="R519" i="4"/>
  <c r="Q519" i="4"/>
  <c r="P519" i="4"/>
  <c r="O519" i="4"/>
  <c r="N519" i="4"/>
  <c r="M519" i="4"/>
  <c r="L519" i="4"/>
  <c r="K519" i="4"/>
  <c r="J519" i="4"/>
  <c r="I519" i="4"/>
  <c r="H519" i="4"/>
  <c r="G519" i="4"/>
  <c r="F519" i="4"/>
  <c r="E519" i="4"/>
  <c r="D519" i="4"/>
  <c r="AG518" i="4"/>
  <c r="AG518" i="5" s="1"/>
  <c r="AI518" i="6" s="1"/>
  <c r="AF518" i="4"/>
  <c r="AE518" i="4"/>
  <c r="AD518" i="4"/>
  <c r="AC518" i="4"/>
  <c r="AB518" i="4"/>
  <c r="AA518" i="4"/>
  <c r="Z518" i="4"/>
  <c r="Y518" i="4"/>
  <c r="X518" i="4"/>
  <c r="W518" i="4"/>
  <c r="V518" i="4"/>
  <c r="U518" i="4"/>
  <c r="T518" i="4"/>
  <c r="S518" i="4"/>
  <c r="R518" i="4"/>
  <c r="Q518" i="4"/>
  <c r="P518" i="4"/>
  <c r="O518" i="4"/>
  <c r="N518" i="4"/>
  <c r="M518" i="4"/>
  <c r="L518" i="4"/>
  <c r="K518" i="4"/>
  <c r="J518" i="4"/>
  <c r="I518" i="4"/>
  <c r="H518" i="4"/>
  <c r="G518" i="4"/>
  <c r="F518" i="4"/>
  <c r="E518" i="4"/>
  <c r="D518" i="4"/>
  <c r="AG517" i="4"/>
  <c r="AF517" i="4"/>
  <c r="AE517" i="4"/>
  <c r="AE517" i="5" s="1"/>
  <c r="AG517" i="6" s="1"/>
  <c r="AD517" i="4"/>
  <c r="AC517" i="4"/>
  <c r="AB517" i="4"/>
  <c r="AA517" i="4"/>
  <c r="Z517" i="4"/>
  <c r="Y517" i="4"/>
  <c r="X517" i="4"/>
  <c r="W517" i="4"/>
  <c r="V517" i="4"/>
  <c r="U517" i="4"/>
  <c r="T517" i="4"/>
  <c r="S517" i="4"/>
  <c r="R517" i="4"/>
  <c r="Q517" i="4"/>
  <c r="P517" i="4"/>
  <c r="O517" i="4"/>
  <c r="N517" i="4"/>
  <c r="M517" i="4"/>
  <c r="L517" i="4"/>
  <c r="K517" i="4"/>
  <c r="J517" i="4"/>
  <c r="I517" i="4"/>
  <c r="H517" i="4"/>
  <c r="G517" i="4"/>
  <c r="F517" i="4"/>
  <c r="E517" i="4"/>
  <c r="D517" i="4"/>
  <c r="AG516" i="4"/>
  <c r="AF516" i="4"/>
  <c r="AE516" i="4"/>
  <c r="AD516" i="4"/>
  <c r="AC516" i="4"/>
  <c r="AC516" i="5" s="1"/>
  <c r="AE516" i="6" s="1"/>
  <c r="AB516" i="4"/>
  <c r="AA516" i="4"/>
  <c r="Z516" i="4"/>
  <c r="Y516" i="4"/>
  <c r="X516" i="4"/>
  <c r="W516" i="4"/>
  <c r="V516" i="4"/>
  <c r="U516" i="4"/>
  <c r="T516" i="4"/>
  <c r="S516" i="4"/>
  <c r="R516" i="4"/>
  <c r="Q516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D516" i="4"/>
  <c r="AG515" i="4"/>
  <c r="AF515" i="4"/>
  <c r="AE515" i="4"/>
  <c r="AD515" i="4"/>
  <c r="AC515" i="4"/>
  <c r="AB515" i="4"/>
  <c r="AA515" i="4"/>
  <c r="AA515" i="5" s="1"/>
  <c r="AC515" i="6" s="1"/>
  <c r="Z515" i="4"/>
  <c r="Y515" i="4"/>
  <c r="X515" i="4"/>
  <c r="W515" i="4"/>
  <c r="V515" i="4"/>
  <c r="U515" i="4"/>
  <c r="T515" i="4"/>
  <c r="S515" i="4"/>
  <c r="R515" i="4"/>
  <c r="Q515" i="4"/>
  <c r="P515" i="4"/>
  <c r="O515" i="4"/>
  <c r="N515" i="4"/>
  <c r="M515" i="4"/>
  <c r="L515" i="4"/>
  <c r="K515" i="4"/>
  <c r="J515" i="4"/>
  <c r="I515" i="4"/>
  <c r="H515" i="4"/>
  <c r="G515" i="4"/>
  <c r="F515" i="4"/>
  <c r="E515" i="4"/>
  <c r="D515" i="4"/>
  <c r="AG514" i="4"/>
  <c r="AF514" i="4"/>
  <c r="AE514" i="4"/>
  <c r="AD514" i="4"/>
  <c r="AC514" i="4"/>
  <c r="AB514" i="4"/>
  <c r="AA514" i="4"/>
  <c r="Z514" i="4"/>
  <c r="Y514" i="4"/>
  <c r="Y514" i="5" s="1"/>
  <c r="AA514" i="6" s="1"/>
  <c r="X514" i="4"/>
  <c r="W514" i="4"/>
  <c r="V514" i="4"/>
  <c r="U514" i="4"/>
  <c r="T514" i="4"/>
  <c r="S514" i="4"/>
  <c r="R514" i="4"/>
  <c r="Q514" i="4"/>
  <c r="P514" i="4"/>
  <c r="O514" i="4"/>
  <c r="N514" i="4"/>
  <c r="M514" i="4"/>
  <c r="L514" i="4"/>
  <c r="K514" i="4"/>
  <c r="J514" i="4"/>
  <c r="I514" i="4"/>
  <c r="H514" i="4"/>
  <c r="G514" i="4"/>
  <c r="F514" i="4"/>
  <c r="E514" i="4"/>
  <c r="D514" i="4"/>
  <c r="AG513" i="4"/>
  <c r="AF513" i="4"/>
  <c r="AE513" i="4"/>
  <c r="AD513" i="4"/>
  <c r="AC513" i="4"/>
  <c r="AB513" i="4"/>
  <c r="AA513" i="4"/>
  <c r="Z513" i="4"/>
  <c r="Y513" i="4"/>
  <c r="X513" i="4"/>
  <c r="W513" i="4"/>
  <c r="W513" i="5" s="1"/>
  <c r="Y513" i="6" s="1"/>
  <c r="V513" i="4"/>
  <c r="U513" i="4"/>
  <c r="T513" i="4"/>
  <c r="S513" i="4"/>
  <c r="R513" i="4"/>
  <c r="Q513" i="4"/>
  <c r="P513" i="4"/>
  <c r="O513" i="4"/>
  <c r="N513" i="4"/>
  <c r="M513" i="4"/>
  <c r="L513" i="4"/>
  <c r="K513" i="4"/>
  <c r="J513" i="4"/>
  <c r="I513" i="4"/>
  <c r="H513" i="4"/>
  <c r="G513" i="4"/>
  <c r="F513" i="4"/>
  <c r="E513" i="4"/>
  <c r="D513" i="4"/>
  <c r="AG512" i="4"/>
  <c r="AF512" i="4"/>
  <c r="AE512" i="4"/>
  <c r="AD512" i="4"/>
  <c r="AC512" i="4"/>
  <c r="AB512" i="4"/>
  <c r="AA512" i="4"/>
  <c r="Z512" i="4"/>
  <c r="Y512" i="4"/>
  <c r="X512" i="4"/>
  <c r="W512" i="4"/>
  <c r="V512" i="4"/>
  <c r="U512" i="4"/>
  <c r="U512" i="5" s="1"/>
  <c r="W512" i="6" s="1"/>
  <c r="T512" i="4"/>
  <c r="S512" i="4"/>
  <c r="R512" i="4"/>
  <c r="Q512" i="4"/>
  <c r="P512" i="4"/>
  <c r="O512" i="4"/>
  <c r="N512" i="4"/>
  <c r="M512" i="4"/>
  <c r="L512" i="4"/>
  <c r="K512" i="4"/>
  <c r="J512" i="4"/>
  <c r="I512" i="4"/>
  <c r="H512" i="4"/>
  <c r="G512" i="4"/>
  <c r="F512" i="4"/>
  <c r="E512" i="4"/>
  <c r="D512" i="4"/>
  <c r="AG511" i="4"/>
  <c r="AF511" i="4"/>
  <c r="AE511" i="4"/>
  <c r="AD511" i="4"/>
  <c r="AC511" i="4"/>
  <c r="AB511" i="4"/>
  <c r="AA511" i="4"/>
  <c r="Z511" i="4"/>
  <c r="Y511" i="4"/>
  <c r="X511" i="4"/>
  <c r="W511" i="4"/>
  <c r="V511" i="4"/>
  <c r="U511" i="4"/>
  <c r="T511" i="4"/>
  <c r="S511" i="4"/>
  <c r="S511" i="5" s="1"/>
  <c r="U511" i="6" s="1"/>
  <c r="R511" i="4"/>
  <c r="Q511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D511" i="4"/>
  <c r="AG510" i="4"/>
  <c r="AF510" i="4"/>
  <c r="AE510" i="4"/>
  <c r="AD510" i="4"/>
  <c r="AC510" i="4"/>
  <c r="AB510" i="4"/>
  <c r="AA510" i="4"/>
  <c r="Z510" i="4"/>
  <c r="Y510" i="4"/>
  <c r="X510" i="4"/>
  <c r="W510" i="4"/>
  <c r="V510" i="4"/>
  <c r="U510" i="4"/>
  <c r="T510" i="4"/>
  <c r="S510" i="4"/>
  <c r="R510" i="4"/>
  <c r="Q510" i="4"/>
  <c r="Q510" i="5" s="1"/>
  <c r="S510" i="6" s="1"/>
  <c r="P510" i="4"/>
  <c r="O510" i="4"/>
  <c r="N510" i="4"/>
  <c r="M510" i="4"/>
  <c r="L510" i="4"/>
  <c r="K510" i="4"/>
  <c r="J510" i="4"/>
  <c r="I510" i="4"/>
  <c r="H510" i="4"/>
  <c r="G510" i="4"/>
  <c r="F510" i="4"/>
  <c r="E510" i="4"/>
  <c r="D510" i="4"/>
  <c r="AG509" i="4"/>
  <c r="AF509" i="4"/>
  <c r="AE509" i="4"/>
  <c r="AD509" i="4"/>
  <c r="AC509" i="4"/>
  <c r="AB509" i="4"/>
  <c r="AA509" i="4"/>
  <c r="Z509" i="4"/>
  <c r="Y509" i="4"/>
  <c r="X509" i="4"/>
  <c r="W509" i="4"/>
  <c r="V509" i="4"/>
  <c r="U509" i="4"/>
  <c r="T509" i="4"/>
  <c r="S509" i="4"/>
  <c r="R509" i="4"/>
  <c r="Q509" i="4"/>
  <c r="P509" i="4"/>
  <c r="O509" i="4"/>
  <c r="O509" i="5" s="1"/>
  <c r="Q509" i="6" s="1"/>
  <c r="N509" i="4"/>
  <c r="M509" i="4"/>
  <c r="L509" i="4"/>
  <c r="K509" i="4"/>
  <c r="J509" i="4"/>
  <c r="I509" i="4"/>
  <c r="H509" i="4"/>
  <c r="G509" i="4"/>
  <c r="F509" i="4"/>
  <c r="E509" i="4"/>
  <c r="D509" i="4"/>
  <c r="AG508" i="4"/>
  <c r="AF508" i="4"/>
  <c r="AE508" i="4"/>
  <c r="AD508" i="4"/>
  <c r="AC508" i="4"/>
  <c r="AB508" i="4"/>
  <c r="AA508" i="4"/>
  <c r="Z508" i="4"/>
  <c r="Y508" i="4"/>
  <c r="X508" i="4"/>
  <c r="W508" i="4"/>
  <c r="V508" i="4"/>
  <c r="U508" i="4"/>
  <c r="T508" i="4"/>
  <c r="S508" i="4"/>
  <c r="R508" i="4"/>
  <c r="Q508" i="4"/>
  <c r="P508" i="4"/>
  <c r="O508" i="4"/>
  <c r="N508" i="4"/>
  <c r="M508" i="4"/>
  <c r="M508" i="5" s="1"/>
  <c r="O508" i="6" s="1"/>
  <c r="L508" i="4"/>
  <c r="K508" i="4"/>
  <c r="J508" i="4"/>
  <c r="I508" i="4"/>
  <c r="H508" i="4"/>
  <c r="G508" i="4"/>
  <c r="F508" i="4"/>
  <c r="E508" i="4"/>
  <c r="D508" i="4"/>
  <c r="AG507" i="4"/>
  <c r="AF507" i="4"/>
  <c r="AE507" i="4"/>
  <c r="AD507" i="4"/>
  <c r="AC507" i="4"/>
  <c r="AB507" i="4"/>
  <c r="AA507" i="4"/>
  <c r="Z507" i="4"/>
  <c r="Y507" i="4"/>
  <c r="X507" i="4"/>
  <c r="W507" i="4"/>
  <c r="V507" i="4"/>
  <c r="U507" i="4"/>
  <c r="T507" i="4"/>
  <c r="S507" i="4"/>
  <c r="R507" i="4"/>
  <c r="Q507" i="4"/>
  <c r="P507" i="4"/>
  <c r="O507" i="4"/>
  <c r="N507" i="4"/>
  <c r="M507" i="4"/>
  <c r="L507" i="4"/>
  <c r="K507" i="4"/>
  <c r="K507" i="5" s="1"/>
  <c r="M507" i="6" s="1"/>
  <c r="J507" i="4"/>
  <c r="I507" i="4"/>
  <c r="H507" i="4"/>
  <c r="G507" i="4"/>
  <c r="F507" i="4"/>
  <c r="E507" i="4"/>
  <c r="D507" i="4"/>
  <c r="AG506" i="4"/>
  <c r="AF506" i="4"/>
  <c r="AE506" i="4"/>
  <c r="AD506" i="4"/>
  <c r="AC506" i="4"/>
  <c r="AB506" i="4"/>
  <c r="AA506" i="4"/>
  <c r="Z506" i="4"/>
  <c r="Y506" i="4"/>
  <c r="X506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I506" i="5" s="1"/>
  <c r="K506" i="6" s="1"/>
  <c r="H506" i="4"/>
  <c r="G506" i="4"/>
  <c r="F506" i="4"/>
  <c r="E506" i="4"/>
  <c r="D506" i="4"/>
  <c r="AG505" i="4"/>
  <c r="AF505" i="4"/>
  <c r="AE505" i="4"/>
  <c r="AD505" i="4"/>
  <c r="AC505" i="4"/>
  <c r="AB505" i="4"/>
  <c r="AA505" i="4"/>
  <c r="Z505" i="4"/>
  <c r="Y505" i="4"/>
  <c r="X505" i="4"/>
  <c r="W505" i="4"/>
  <c r="V505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H505" i="4"/>
  <c r="G505" i="4"/>
  <c r="G505" i="5" s="1"/>
  <c r="I505" i="6" s="1"/>
  <c r="F505" i="4"/>
  <c r="E505" i="4"/>
  <c r="D505" i="4"/>
  <c r="AG504" i="4"/>
  <c r="AF504" i="4"/>
  <c r="AE504" i="4"/>
  <c r="AD504" i="4"/>
  <c r="AC504" i="4"/>
  <c r="AB504" i="4"/>
  <c r="AA504" i="4"/>
  <c r="Z504" i="4"/>
  <c r="Y504" i="4"/>
  <c r="X504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H504" i="4"/>
  <c r="G504" i="4"/>
  <c r="F504" i="4"/>
  <c r="E504" i="4"/>
  <c r="E504" i="5" s="1"/>
  <c r="G504" i="6" s="1"/>
  <c r="D504" i="4"/>
  <c r="AG503" i="4"/>
  <c r="AF503" i="4"/>
  <c r="AE503" i="4"/>
  <c r="AD503" i="4"/>
  <c r="AC503" i="4"/>
  <c r="AB503" i="4"/>
  <c r="AA503" i="4"/>
  <c r="Z503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D503" i="4"/>
  <c r="AG502" i="4"/>
  <c r="AG502" i="5" s="1"/>
  <c r="AI502" i="6" s="1"/>
  <c r="AF502" i="4"/>
  <c r="AE502" i="4"/>
  <c r="AD502" i="4"/>
  <c r="AC502" i="4"/>
  <c r="AB502" i="4"/>
  <c r="AA502" i="4"/>
  <c r="Z502" i="4"/>
  <c r="Y502" i="4"/>
  <c r="X502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D502" i="4"/>
  <c r="AG501" i="4"/>
  <c r="AF501" i="4"/>
  <c r="AE501" i="4"/>
  <c r="AE501" i="5" s="1"/>
  <c r="AG501" i="6" s="1"/>
  <c r="AD501" i="4"/>
  <c r="AC501" i="4"/>
  <c r="AB501" i="4"/>
  <c r="AA501" i="4"/>
  <c r="Z501" i="4"/>
  <c r="Y501" i="4"/>
  <c r="X501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D501" i="4"/>
  <c r="AG500" i="4"/>
  <c r="AF500" i="4"/>
  <c r="AE500" i="4"/>
  <c r="AD500" i="4"/>
  <c r="AC500" i="4"/>
  <c r="AC500" i="5" s="1"/>
  <c r="AE500" i="6" s="1"/>
  <c r="AB500" i="4"/>
  <c r="AA500" i="4"/>
  <c r="Z500" i="4"/>
  <c r="Y500" i="4"/>
  <c r="X500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AG499" i="4"/>
  <c r="AF499" i="4"/>
  <c r="AE499" i="4"/>
  <c r="AD499" i="4"/>
  <c r="AC499" i="4"/>
  <c r="AB499" i="4"/>
  <c r="AA499" i="4"/>
  <c r="AA499" i="5" s="1"/>
  <c r="AC499" i="6" s="1"/>
  <c r="Z499" i="4"/>
  <c r="Y499" i="4"/>
  <c r="X499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AG498" i="4"/>
  <c r="AF498" i="4"/>
  <c r="AE498" i="4"/>
  <c r="AD498" i="4"/>
  <c r="AC498" i="4"/>
  <c r="AB498" i="4"/>
  <c r="AA498" i="4"/>
  <c r="Z498" i="4"/>
  <c r="Y498" i="4"/>
  <c r="Y498" i="5" s="1"/>
  <c r="AA498" i="6" s="1"/>
  <c r="X498" i="4"/>
  <c r="W498" i="4"/>
  <c r="V498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D498" i="4"/>
  <c r="AG497" i="4"/>
  <c r="AF497" i="4"/>
  <c r="AE497" i="4"/>
  <c r="AD497" i="4"/>
  <c r="AC497" i="4"/>
  <c r="AB497" i="4"/>
  <c r="AA497" i="4"/>
  <c r="Z497" i="4"/>
  <c r="Y497" i="4"/>
  <c r="X497" i="4"/>
  <c r="W497" i="4"/>
  <c r="W497" i="5" s="1"/>
  <c r="Y497" i="6" s="1"/>
  <c r="V497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H497" i="4"/>
  <c r="G497" i="4"/>
  <c r="F497" i="4"/>
  <c r="E497" i="4"/>
  <c r="D497" i="4"/>
  <c r="AG496" i="4"/>
  <c r="AF496" i="4"/>
  <c r="AE496" i="4"/>
  <c r="AD496" i="4"/>
  <c r="AC496" i="4"/>
  <c r="AB496" i="4"/>
  <c r="AA496" i="4"/>
  <c r="Z496" i="4"/>
  <c r="Y496" i="4"/>
  <c r="X496" i="4"/>
  <c r="W496" i="4"/>
  <c r="V496" i="4"/>
  <c r="U496" i="4"/>
  <c r="U496" i="5" s="1"/>
  <c r="W496" i="6" s="1"/>
  <c r="T496" i="4"/>
  <c r="S496" i="4"/>
  <c r="R496" i="4"/>
  <c r="Q496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D496" i="4"/>
  <c r="AG495" i="4"/>
  <c r="AF495" i="4"/>
  <c r="AE495" i="4"/>
  <c r="AD495" i="4"/>
  <c r="AC495" i="4"/>
  <c r="AB495" i="4"/>
  <c r="AA495" i="4"/>
  <c r="Z495" i="4"/>
  <c r="Y495" i="4"/>
  <c r="X495" i="4"/>
  <c r="W495" i="4"/>
  <c r="V495" i="4"/>
  <c r="U495" i="4"/>
  <c r="T495" i="4"/>
  <c r="S495" i="4"/>
  <c r="S495" i="5" s="1"/>
  <c r="U495" i="6" s="1"/>
  <c r="R495" i="4"/>
  <c r="Q495" i="4"/>
  <c r="P495" i="4"/>
  <c r="O495" i="4"/>
  <c r="N495" i="4"/>
  <c r="M495" i="4"/>
  <c r="L495" i="4"/>
  <c r="K495" i="4"/>
  <c r="J495" i="4"/>
  <c r="I495" i="4"/>
  <c r="H495" i="4"/>
  <c r="G495" i="4"/>
  <c r="F495" i="4"/>
  <c r="E495" i="4"/>
  <c r="D495" i="4"/>
  <c r="AG494" i="4"/>
  <c r="AF494" i="4"/>
  <c r="AE494" i="4"/>
  <c r="AD494" i="4"/>
  <c r="AC494" i="4"/>
  <c r="AB494" i="4"/>
  <c r="AA494" i="4"/>
  <c r="Z494" i="4"/>
  <c r="Y494" i="4"/>
  <c r="X494" i="4"/>
  <c r="W494" i="4"/>
  <c r="V494" i="4"/>
  <c r="U494" i="4"/>
  <c r="T494" i="4"/>
  <c r="S494" i="4"/>
  <c r="R494" i="4"/>
  <c r="Q494" i="4"/>
  <c r="Q494" i="5" s="1"/>
  <c r="S494" i="6" s="1"/>
  <c r="P494" i="4"/>
  <c r="O494" i="4"/>
  <c r="N494" i="4"/>
  <c r="M494" i="4"/>
  <c r="L494" i="4"/>
  <c r="K494" i="4"/>
  <c r="J494" i="4"/>
  <c r="I494" i="4"/>
  <c r="H494" i="4"/>
  <c r="G494" i="4"/>
  <c r="F494" i="4"/>
  <c r="E494" i="4"/>
  <c r="D494" i="4"/>
  <c r="AG493" i="4"/>
  <c r="AF493" i="4"/>
  <c r="AE493" i="4"/>
  <c r="AD493" i="4"/>
  <c r="AC493" i="4"/>
  <c r="AB493" i="4"/>
  <c r="AA493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O493" i="5" s="1"/>
  <c r="Q493" i="6" s="1"/>
  <c r="N493" i="4"/>
  <c r="M493" i="4"/>
  <c r="L493" i="4"/>
  <c r="K493" i="4"/>
  <c r="J493" i="4"/>
  <c r="I493" i="4"/>
  <c r="H493" i="4"/>
  <c r="G493" i="4"/>
  <c r="F493" i="4"/>
  <c r="E493" i="4"/>
  <c r="D493" i="4"/>
  <c r="AG492" i="4"/>
  <c r="AF492" i="4"/>
  <c r="AE492" i="4"/>
  <c r="AD492" i="4"/>
  <c r="AC492" i="4"/>
  <c r="AB492" i="4"/>
  <c r="AA492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M492" i="5" s="1"/>
  <c r="O492" i="6" s="1"/>
  <c r="L492" i="4"/>
  <c r="K492" i="4"/>
  <c r="J492" i="4"/>
  <c r="I492" i="4"/>
  <c r="H492" i="4"/>
  <c r="G492" i="4"/>
  <c r="F492" i="4"/>
  <c r="E492" i="4"/>
  <c r="D492" i="4"/>
  <c r="AG491" i="4"/>
  <c r="AF491" i="4"/>
  <c r="AE491" i="4"/>
  <c r="AD491" i="4"/>
  <c r="AC491" i="4"/>
  <c r="AB491" i="4"/>
  <c r="AA491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K491" i="5" s="1"/>
  <c r="M491" i="6" s="1"/>
  <c r="J491" i="4"/>
  <c r="I491" i="4"/>
  <c r="H491" i="4"/>
  <c r="G491" i="4"/>
  <c r="F491" i="4"/>
  <c r="E491" i="4"/>
  <c r="D491" i="4"/>
  <c r="AG490" i="4"/>
  <c r="AF490" i="4"/>
  <c r="AE490" i="4"/>
  <c r="AD490" i="4"/>
  <c r="AC490" i="4"/>
  <c r="AB490" i="4"/>
  <c r="AA490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I490" i="5" s="1"/>
  <c r="K490" i="6" s="1"/>
  <c r="H490" i="4"/>
  <c r="G490" i="4"/>
  <c r="F490" i="4"/>
  <c r="E490" i="4"/>
  <c r="D490" i="4"/>
  <c r="AG489" i="4"/>
  <c r="AF489" i="4"/>
  <c r="AE489" i="4"/>
  <c r="AD489" i="4"/>
  <c r="AC489" i="4"/>
  <c r="AB489" i="4"/>
  <c r="AA489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G489" i="5" s="1"/>
  <c r="I489" i="6" s="1"/>
  <c r="F489" i="4"/>
  <c r="E489" i="4"/>
  <c r="D489" i="4"/>
  <c r="AG488" i="4"/>
  <c r="AF488" i="4"/>
  <c r="AE488" i="4"/>
  <c r="AD488" i="4"/>
  <c r="AC488" i="4"/>
  <c r="AB488" i="4"/>
  <c r="AA488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E488" i="5" s="1"/>
  <c r="G488" i="6" s="1"/>
  <c r="D488" i="4"/>
  <c r="AG487" i="4"/>
  <c r="AF487" i="4"/>
  <c r="AE487" i="4"/>
  <c r="AD487" i="4"/>
  <c r="AC487" i="4"/>
  <c r="AB487" i="4"/>
  <c r="AA487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AG486" i="4"/>
  <c r="AG486" i="5" s="1"/>
  <c r="AI486" i="6" s="1"/>
  <c r="AF486" i="4"/>
  <c r="AE486" i="4"/>
  <c r="AD486" i="4"/>
  <c r="AC486" i="4"/>
  <c r="AB486" i="4"/>
  <c r="AA486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AG485" i="4"/>
  <c r="AF485" i="4"/>
  <c r="AE485" i="4"/>
  <c r="AE485" i="5" s="1"/>
  <c r="AG485" i="6" s="1"/>
  <c r="AD485" i="4"/>
  <c r="AC485" i="4"/>
  <c r="AB485" i="4"/>
  <c r="AA485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AG484" i="4"/>
  <c r="AF484" i="4"/>
  <c r="AE484" i="4"/>
  <c r="AD484" i="4"/>
  <c r="AC484" i="4"/>
  <c r="AC484" i="5" s="1"/>
  <c r="AE484" i="6" s="1"/>
  <c r="AB484" i="4"/>
  <c r="AA484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AG483" i="4"/>
  <c r="AF483" i="4"/>
  <c r="AE483" i="4"/>
  <c r="AD483" i="4"/>
  <c r="AC483" i="4"/>
  <c r="AB483" i="4"/>
  <c r="AA483" i="4"/>
  <c r="AA483" i="5" s="1"/>
  <c r="AC483" i="6" s="1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AG482" i="4"/>
  <c r="AF482" i="4"/>
  <c r="AE482" i="4"/>
  <c r="AD482" i="4"/>
  <c r="AC482" i="4"/>
  <c r="AB482" i="4"/>
  <c r="AA482" i="4"/>
  <c r="Z482" i="4"/>
  <c r="Y482" i="4"/>
  <c r="Y482" i="5" s="1"/>
  <c r="AA482" i="6" s="1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AG481" i="4"/>
  <c r="AF481" i="4"/>
  <c r="AE481" i="4"/>
  <c r="AD481" i="4"/>
  <c r="AC481" i="4"/>
  <c r="AB481" i="4"/>
  <c r="AA481" i="4"/>
  <c r="Z481" i="4"/>
  <c r="Y481" i="4"/>
  <c r="X481" i="4"/>
  <c r="W481" i="4"/>
  <c r="W481" i="5" s="1"/>
  <c r="Y481" i="6" s="1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AG480" i="4"/>
  <c r="AF480" i="4"/>
  <c r="AE480" i="4"/>
  <c r="AD480" i="4"/>
  <c r="AC480" i="4"/>
  <c r="AB480" i="4"/>
  <c r="AA480" i="4"/>
  <c r="Z480" i="4"/>
  <c r="Y480" i="4"/>
  <c r="X480" i="4"/>
  <c r="W480" i="4"/>
  <c r="V480" i="4"/>
  <c r="U480" i="4"/>
  <c r="U480" i="5" s="1"/>
  <c r="W480" i="6" s="1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AG479" i="4"/>
  <c r="AF479" i="4"/>
  <c r="AE479" i="4"/>
  <c r="AD479" i="4"/>
  <c r="AC479" i="4"/>
  <c r="AB479" i="4"/>
  <c r="AA479" i="4"/>
  <c r="Z479" i="4"/>
  <c r="Y479" i="4"/>
  <c r="X479" i="4"/>
  <c r="W479" i="4"/>
  <c r="V479" i="4"/>
  <c r="U479" i="4"/>
  <c r="T479" i="4"/>
  <c r="S479" i="4"/>
  <c r="S479" i="5" s="1"/>
  <c r="U479" i="6" s="1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AG478" i="4"/>
  <c r="AF478" i="4"/>
  <c r="AE478" i="4"/>
  <c r="AD478" i="4"/>
  <c r="AC478" i="4"/>
  <c r="AB478" i="4"/>
  <c r="AA478" i="4"/>
  <c r="Z478" i="4"/>
  <c r="Y478" i="4"/>
  <c r="X478" i="4"/>
  <c r="W478" i="4"/>
  <c r="V478" i="4"/>
  <c r="U478" i="4"/>
  <c r="T478" i="4"/>
  <c r="S478" i="4"/>
  <c r="R478" i="4"/>
  <c r="Q478" i="4"/>
  <c r="Q478" i="5" s="1"/>
  <c r="S478" i="6" s="1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AG477" i="4"/>
  <c r="AF477" i="4"/>
  <c r="AE477" i="4"/>
  <c r="AD477" i="4"/>
  <c r="AC477" i="4"/>
  <c r="AB477" i="4"/>
  <c r="AA477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O477" i="5" s="1"/>
  <c r="Q477" i="6" s="1"/>
  <c r="N477" i="4"/>
  <c r="M477" i="4"/>
  <c r="L477" i="4"/>
  <c r="K477" i="4"/>
  <c r="J477" i="4"/>
  <c r="I477" i="4"/>
  <c r="H477" i="4"/>
  <c r="G477" i="4"/>
  <c r="F477" i="4"/>
  <c r="E477" i="4"/>
  <c r="D477" i="4"/>
  <c r="AG476" i="4"/>
  <c r="AF476" i="4"/>
  <c r="AE476" i="4"/>
  <c r="AD476" i="4"/>
  <c r="AC476" i="4"/>
  <c r="AB476" i="4"/>
  <c r="AA476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M476" i="5" s="1"/>
  <c r="O476" i="6" s="1"/>
  <c r="L476" i="4"/>
  <c r="K476" i="4"/>
  <c r="J476" i="4"/>
  <c r="I476" i="4"/>
  <c r="H476" i="4"/>
  <c r="G476" i="4"/>
  <c r="F476" i="4"/>
  <c r="E476" i="4"/>
  <c r="D476" i="4"/>
  <c r="AG474" i="4"/>
  <c r="AF474" i="4"/>
  <c r="AE474" i="4"/>
  <c r="AD474" i="4"/>
  <c r="AC474" i="4"/>
  <c r="AB474" i="4"/>
  <c r="AA474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AG473" i="4"/>
  <c r="AF473" i="4"/>
  <c r="AE473" i="4"/>
  <c r="AD473" i="4"/>
  <c r="AC473" i="4"/>
  <c r="AB473" i="4"/>
  <c r="AA473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M473" i="5" s="1"/>
  <c r="O473" i="6" s="1"/>
  <c r="L473" i="4"/>
  <c r="K473" i="4"/>
  <c r="J473" i="4"/>
  <c r="I473" i="4"/>
  <c r="H473" i="4"/>
  <c r="G473" i="4"/>
  <c r="F473" i="4"/>
  <c r="E473" i="4"/>
  <c r="D473" i="4"/>
  <c r="AG472" i="4"/>
  <c r="AF472" i="4"/>
  <c r="AE472" i="4"/>
  <c r="AD472" i="4"/>
  <c r="AC472" i="4"/>
  <c r="AB472" i="4"/>
  <c r="AA472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AG471" i="4"/>
  <c r="AF471" i="4"/>
  <c r="AE471" i="4"/>
  <c r="AD471" i="4"/>
  <c r="AC471" i="4"/>
  <c r="AB471" i="4"/>
  <c r="AA471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I471" i="5" s="1"/>
  <c r="K471" i="6" s="1"/>
  <c r="H471" i="4"/>
  <c r="G471" i="4"/>
  <c r="F471" i="4"/>
  <c r="E471" i="4"/>
  <c r="D471" i="4"/>
  <c r="AG470" i="4"/>
  <c r="AF470" i="4"/>
  <c r="AE470" i="4"/>
  <c r="AD470" i="4"/>
  <c r="AC470" i="4"/>
  <c r="AB470" i="4"/>
  <c r="AA470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AG469" i="4"/>
  <c r="AF469" i="4"/>
  <c r="AE469" i="4"/>
  <c r="AD469" i="4"/>
  <c r="AC469" i="4"/>
  <c r="AB469" i="4"/>
  <c r="AA469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E469" i="5" s="1"/>
  <c r="G469" i="6" s="1"/>
  <c r="D469" i="4"/>
  <c r="AG468" i="4"/>
  <c r="AF468" i="4"/>
  <c r="AE468" i="4"/>
  <c r="AD468" i="4"/>
  <c r="AC468" i="4"/>
  <c r="AB468" i="4"/>
  <c r="AA468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AG467" i="4"/>
  <c r="AF467" i="4"/>
  <c r="AE467" i="4"/>
  <c r="AD467" i="4"/>
  <c r="AC467" i="4"/>
  <c r="AB467" i="4"/>
  <c r="AA467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AG466" i="4"/>
  <c r="AF466" i="4"/>
  <c r="AE466" i="4"/>
  <c r="AE466" i="5" s="1"/>
  <c r="AG466" i="6" s="1"/>
  <c r="AD466" i="4"/>
  <c r="AC466" i="4"/>
  <c r="AB466" i="4"/>
  <c r="AA466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AG465" i="4"/>
  <c r="AF465" i="4"/>
  <c r="AE465" i="4"/>
  <c r="AD465" i="4"/>
  <c r="AC465" i="4"/>
  <c r="AB465" i="4"/>
  <c r="AA465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AG464" i="4"/>
  <c r="AF464" i="4"/>
  <c r="AE464" i="4"/>
  <c r="AD464" i="4"/>
  <c r="AC464" i="4"/>
  <c r="AB464" i="4"/>
  <c r="AA464" i="4"/>
  <c r="AA464" i="5" s="1"/>
  <c r="AC464" i="6" s="1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AG463" i="4"/>
  <c r="AF463" i="4"/>
  <c r="AE463" i="4"/>
  <c r="AD463" i="4"/>
  <c r="AC463" i="4"/>
  <c r="AB463" i="4"/>
  <c r="AA463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AG462" i="4"/>
  <c r="AF462" i="4"/>
  <c r="AE462" i="4"/>
  <c r="AD462" i="4"/>
  <c r="AC462" i="4"/>
  <c r="AB462" i="4"/>
  <c r="AA462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G462" i="5" s="1"/>
  <c r="I462" i="6" s="1"/>
  <c r="F462" i="4"/>
  <c r="E462" i="4"/>
  <c r="D462" i="4"/>
  <c r="AG461" i="4"/>
  <c r="AF461" i="4"/>
  <c r="AE461" i="4"/>
  <c r="AD461" i="4"/>
  <c r="AC461" i="4"/>
  <c r="AB461" i="4"/>
  <c r="AA461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AG460" i="4"/>
  <c r="AF460" i="4"/>
  <c r="AE460" i="4"/>
  <c r="AD460" i="4"/>
  <c r="AC460" i="4"/>
  <c r="AB460" i="4"/>
  <c r="AA460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AG459" i="4"/>
  <c r="AF459" i="4"/>
  <c r="AE459" i="4"/>
  <c r="AD459" i="4"/>
  <c r="AC459" i="4"/>
  <c r="AB459" i="4"/>
  <c r="AA459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AG458" i="4"/>
  <c r="AF458" i="4"/>
  <c r="AE458" i="4"/>
  <c r="AD458" i="4"/>
  <c r="AC458" i="4"/>
  <c r="AB458" i="4"/>
  <c r="AA458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AG457" i="4"/>
  <c r="AF457" i="4"/>
  <c r="AE457" i="4"/>
  <c r="AD457" i="4"/>
  <c r="AC457" i="4"/>
  <c r="AB457" i="4"/>
  <c r="AA457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AG456" i="4"/>
  <c r="AF456" i="4"/>
  <c r="AE456" i="4"/>
  <c r="AD456" i="4"/>
  <c r="AC456" i="4"/>
  <c r="AB456" i="4"/>
  <c r="AA456" i="4"/>
  <c r="Z456" i="4"/>
  <c r="Y456" i="4"/>
  <c r="X456" i="4"/>
  <c r="W456" i="4"/>
  <c r="V456" i="4"/>
  <c r="U456" i="4"/>
  <c r="T456" i="4"/>
  <c r="S456" i="4"/>
  <c r="R456" i="4"/>
  <c r="Q456" i="4"/>
  <c r="P456" i="4"/>
  <c r="P456" i="5" s="1"/>
  <c r="R456" i="6" s="1"/>
  <c r="O456" i="4"/>
  <c r="N456" i="4"/>
  <c r="M456" i="4"/>
  <c r="L456" i="4"/>
  <c r="K456" i="4"/>
  <c r="J456" i="4"/>
  <c r="I456" i="4"/>
  <c r="H456" i="4"/>
  <c r="G456" i="4"/>
  <c r="F456" i="4"/>
  <c r="E456" i="4"/>
  <c r="D456" i="4"/>
  <c r="AG455" i="4"/>
  <c r="AF455" i="4"/>
  <c r="AE455" i="4"/>
  <c r="AD455" i="4"/>
  <c r="AC455" i="4"/>
  <c r="AB455" i="4"/>
  <c r="AA455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AG454" i="4"/>
  <c r="AF454" i="4"/>
  <c r="AE454" i="4"/>
  <c r="AD454" i="4"/>
  <c r="AC454" i="4"/>
  <c r="AB454" i="4"/>
  <c r="AA454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AG453" i="4"/>
  <c r="AF453" i="4"/>
  <c r="AE453" i="4"/>
  <c r="AD453" i="4"/>
  <c r="AC453" i="4"/>
  <c r="AB453" i="4"/>
  <c r="AA453" i="4"/>
  <c r="Z453" i="4"/>
  <c r="Y453" i="4"/>
  <c r="X453" i="4"/>
  <c r="W453" i="4"/>
  <c r="V453" i="4"/>
  <c r="U453" i="4"/>
  <c r="U453" i="5" s="1"/>
  <c r="W453" i="6" s="1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AG452" i="4"/>
  <c r="AF452" i="4"/>
  <c r="AE452" i="4"/>
  <c r="AD452" i="4"/>
  <c r="AC452" i="4"/>
  <c r="AB452" i="4"/>
  <c r="AA452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AG451" i="4"/>
  <c r="AF451" i="4"/>
  <c r="AE451" i="4"/>
  <c r="AD451" i="4"/>
  <c r="AC451" i="4"/>
  <c r="AB451" i="4"/>
  <c r="AA451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AG450" i="4"/>
  <c r="AF450" i="4"/>
  <c r="AE450" i="4"/>
  <c r="AD450" i="4"/>
  <c r="AC450" i="4"/>
  <c r="AB450" i="4"/>
  <c r="AA450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AG449" i="4"/>
  <c r="AF449" i="4"/>
  <c r="AE449" i="4"/>
  <c r="AD449" i="4"/>
  <c r="AC449" i="4"/>
  <c r="AB449" i="4"/>
  <c r="AA449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AG448" i="4"/>
  <c r="AF448" i="4"/>
  <c r="AE448" i="4"/>
  <c r="AD448" i="4"/>
  <c r="AC448" i="4"/>
  <c r="AB448" i="4"/>
  <c r="AA448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AG447" i="4"/>
  <c r="AF447" i="4"/>
  <c r="AE447" i="4"/>
  <c r="AD447" i="4"/>
  <c r="AD447" i="5" s="1"/>
  <c r="AF447" i="6" s="1"/>
  <c r="AC447" i="4"/>
  <c r="AB447" i="4"/>
  <c r="AA447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AG446" i="4"/>
  <c r="AF446" i="4"/>
  <c r="AE446" i="4"/>
  <c r="AD446" i="4"/>
  <c r="AC446" i="4"/>
  <c r="AB446" i="4"/>
  <c r="AA446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AG445" i="4"/>
  <c r="AF445" i="4"/>
  <c r="AE445" i="4"/>
  <c r="AD445" i="4"/>
  <c r="AC445" i="4"/>
  <c r="AB445" i="4"/>
  <c r="AA445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AG444" i="4"/>
  <c r="AF444" i="4"/>
  <c r="AE444" i="4"/>
  <c r="AD444" i="4"/>
  <c r="AC444" i="4"/>
  <c r="AB444" i="4"/>
  <c r="AA444" i="4"/>
  <c r="Z444" i="4"/>
  <c r="Y444" i="4"/>
  <c r="X444" i="4"/>
  <c r="W444" i="4"/>
  <c r="V444" i="4"/>
  <c r="U444" i="4"/>
  <c r="T444" i="4"/>
  <c r="S444" i="4"/>
  <c r="S444" i="5" s="1"/>
  <c r="U444" i="6" s="1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AG443" i="4"/>
  <c r="AF443" i="4"/>
  <c r="AE443" i="4"/>
  <c r="AD443" i="4"/>
  <c r="AC443" i="4"/>
  <c r="AB443" i="4"/>
  <c r="AA443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AG442" i="4"/>
  <c r="AF442" i="4"/>
  <c r="AE442" i="4"/>
  <c r="AD442" i="4"/>
  <c r="AC442" i="4"/>
  <c r="AB442" i="4"/>
  <c r="AA442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AG441" i="4"/>
  <c r="AF441" i="4"/>
  <c r="AE441" i="4"/>
  <c r="AD441" i="4"/>
  <c r="AC441" i="4"/>
  <c r="AB441" i="4"/>
  <c r="AA441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AG440" i="4"/>
  <c r="AF440" i="4"/>
  <c r="AE440" i="4"/>
  <c r="AD440" i="4"/>
  <c r="AC440" i="4"/>
  <c r="AB440" i="4"/>
  <c r="AA440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K440" i="5" s="1"/>
  <c r="M440" i="6" s="1"/>
  <c r="J440" i="4"/>
  <c r="I440" i="4"/>
  <c r="H440" i="4"/>
  <c r="G440" i="4"/>
  <c r="F440" i="4"/>
  <c r="E440" i="4"/>
  <c r="D440" i="4"/>
  <c r="AG439" i="4"/>
  <c r="AF439" i="4"/>
  <c r="AE439" i="4"/>
  <c r="AD439" i="4"/>
  <c r="AC439" i="4"/>
  <c r="AB439" i="4"/>
  <c r="AA439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AG438" i="4"/>
  <c r="AF438" i="4"/>
  <c r="AE438" i="4"/>
  <c r="AD438" i="4"/>
  <c r="AC438" i="4"/>
  <c r="AB438" i="4"/>
  <c r="AA438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AG437" i="4"/>
  <c r="AF437" i="4"/>
  <c r="AE437" i="4"/>
  <c r="AD437" i="4"/>
  <c r="AC437" i="4"/>
  <c r="AB437" i="4"/>
  <c r="AA437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AG436" i="4"/>
  <c r="AF436" i="4"/>
  <c r="AE436" i="4"/>
  <c r="AD436" i="4"/>
  <c r="AC436" i="4"/>
  <c r="AB436" i="4"/>
  <c r="AA436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AG435" i="4"/>
  <c r="AG435" i="5" s="1"/>
  <c r="AI435" i="6" s="1"/>
  <c r="AF435" i="4"/>
  <c r="AE435" i="4"/>
  <c r="AD435" i="4"/>
  <c r="AC435" i="4"/>
  <c r="AB435" i="4"/>
  <c r="AA435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AG434" i="4"/>
  <c r="AF434" i="4"/>
  <c r="AE434" i="4"/>
  <c r="AD434" i="4"/>
  <c r="AC434" i="4"/>
  <c r="AB434" i="4"/>
  <c r="AA434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AG433" i="4"/>
  <c r="AF433" i="4"/>
  <c r="AE433" i="4"/>
  <c r="AD433" i="4"/>
  <c r="AC433" i="4"/>
  <c r="AB433" i="4"/>
  <c r="AA433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AG432" i="4"/>
  <c r="AF432" i="4"/>
  <c r="AE432" i="4"/>
  <c r="AD432" i="4"/>
  <c r="AC432" i="4"/>
  <c r="AB432" i="4"/>
  <c r="AA432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AG431" i="4"/>
  <c r="AF431" i="4"/>
  <c r="AE431" i="4"/>
  <c r="AD431" i="4"/>
  <c r="AC431" i="4"/>
  <c r="AB431" i="4"/>
  <c r="AA431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AG430" i="4"/>
  <c r="AF430" i="4"/>
  <c r="AE430" i="4"/>
  <c r="AE430" i="5" s="1"/>
  <c r="AG430" i="6" s="1"/>
  <c r="AD430" i="4"/>
  <c r="AC430" i="4"/>
  <c r="AB430" i="4"/>
  <c r="AA430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AG429" i="4"/>
  <c r="AF429" i="4"/>
  <c r="AE429" i="4"/>
  <c r="AD429" i="4"/>
  <c r="AC429" i="4"/>
  <c r="AB429" i="4"/>
  <c r="AA429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AG428" i="4"/>
  <c r="AF428" i="4"/>
  <c r="AE428" i="4"/>
  <c r="AD428" i="4"/>
  <c r="AC428" i="4"/>
  <c r="AB428" i="4"/>
  <c r="AA428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AG427" i="4"/>
  <c r="AF427" i="4"/>
  <c r="AE427" i="4"/>
  <c r="AD427" i="4"/>
  <c r="AC427" i="4"/>
  <c r="AB427" i="4"/>
  <c r="AA427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AG426" i="4"/>
  <c r="AF426" i="4"/>
  <c r="AE426" i="4"/>
  <c r="AD426" i="4"/>
  <c r="AC426" i="4"/>
  <c r="AB426" i="4"/>
  <c r="AA426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AG425" i="4"/>
  <c r="AF425" i="4"/>
  <c r="AE425" i="4"/>
  <c r="AD425" i="4"/>
  <c r="AC425" i="4"/>
  <c r="AB425" i="4"/>
  <c r="AA425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K425" i="5" s="1"/>
  <c r="M425" i="6" s="1"/>
  <c r="J425" i="4"/>
  <c r="I425" i="4"/>
  <c r="H425" i="4"/>
  <c r="G425" i="4"/>
  <c r="F425" i="4"/>
  <c r="E425" i="4"/>
  <c r="D425" i="4"/>
  <c r="AG424" i="4"/>
  <c r="AF424" i="4"/>
  <c r="AE424" i="4"/>
  <c r="AD424" i="4"/>
  <c r="AC424" i="4"/>
  <c r="AB424" i="4"/>
  <c r="AA424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AG423" i="4"/>
  <c r="AF423" i="4"/>
  <c r="AE423" i="4"/>
  <c r="AD423" i="4"/>
  <c r="AC423" i="4"/>
  <c r="AB423" i="4"/>
  <c r="AA423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AG422" i="4"/>
  <c r="AF422" i="4"/>
  <c r="AE422" i="4"/>
  <c r="AD422" i="4"/>
  <c r="AC422" i="4"/>
  <c r="AB422" i="4"/>
  <c r="AA422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AG421" i="4"/>
  <c r="AF421" i="4"/>
  <c r="AE421" i="4"/>
  <c r="AD421" i="4"/>
  <c r="AC421" i="4"/>
  <c r="AB421" i="4"/>
  <c r="AA421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AG420" i="4"/>
  <c r="AF420" i="4"/>
  <c r="AE420" i="4"/>
  <c r="AD420" i="4"/>
  <c r="AC420" i="4"/>
  <c r="AB420" i="4"/>
  <c r="AA420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AG419" i="4"/>
  <c r="AF419" i="4"/>
  <c r="AE419" i="4"/>
  <c r="AD419" i="4"/>
  <c r="AC419" i="4"/>
  <c r="AB419" i="4"/>
  <c r="AA419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AG418" i="4"/>
  <c r="AF418" i="4"/>
  <c r="AE418" i="4"/>
  <c r="AD418" i="4"/>
  <c r="AC418" i="4"/>
  <c r="AB418" i="4"/>
  <c r="AA418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AG417" i="4"/>
  <c r="AF417" i="4"/>
  <c r="AE417" i="4"/>
  <c r="AD417" i="4"/>
  <c r="AC417" i="4"/>
  <c r="AB417" i="4"/>
  <c r="AA417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AG416" i="4"/>
  <c r="AF416" i="4"/>
  <c r="AE416" i="4"/>
  <c r="AD416" i="4"/>
  <c r="AC416" i="4"/>
  <c r="AB416" i="4"/>
  <c r="AA416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AG415" i="4"/>
  <c r="AF415" i="4"/>
  <c r="AE415" i="4"/>
  <c r="AD415" i="4"/>
  <c r="AC415" i="4"/>
  <c r="AB415" i="4"/>
  <c r="AA415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AG414" i="4"/>
  <c r="AF414" i="4"/>
  <c r="AE414" i="4"/>
  <c r="AD414" i="4"/>
  <c r="AC414" i="4"/>
  <c r="AB414" i="4"/>
  <c r="AA414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AG413" i="4"/>
  <c r="AF413" i="4"/>
  <c r="AE413" i="4"/>
  <c r="AD413" i="4"/>
  <c r="AC413" i="4"/>
  <c r="AB413" i="4"/>
  <c r="AA413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AG412" i="4"/>
  <c r="AF412" i="4"/>
  <c r="AE412" i="4"/>
  <c r="AD412" i="4"/>
  <c r="AC412" i="4"/>
  <c r="AB412" i="4"/>
  <c r="AA412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AG411" i="4"/>
  <c r="AF411" i="4"/>
  <c r="AE411" i="4"/>
  <c r="AD411" i="4"/>
  <c r="AC411" i="4"/>
  <c r="AB411" i="4"/>
  <c r="AA411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AG410" i="4"/>
  <c r="AF410" i="4"/>
  <c r="AE410" i="4"/>
  <c r="AD410" i="4"/>
  <c r="AC410" i="4"/>
  <c r="AB410" i="4"/>
  <c r="AA410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AG409" i="4"/>
  <c r="AF409" i="4"/>
  <c r="AE409" i="4"/>
  <c r="AD409" i="4"/>
  <c r="AC409" i="4"/>
  <c r="AB409" i="4"/>
  <c r="AA409" i="4"/>
  <c r="AA409" i="5" s="1"/>
  <c r="AC409" i="6" s="1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AG408" i="4"/>
  <c r="AF408" i="4"/>
  <c r="AE408" i="4"/>
  <c r="AD408" i="4"/>
  <c r="AC408" i="4"/>
  <c r="AB408" i="4"/>
  <c r="AA408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AG407" i="4"/>
  <c r="AF407" i="4"/>
  <c r="AE407" i="4"/>
  <c r="AD407" i="4"/>
  <c r="AC407" i="4"/>
  <c r="AB407" i="4"/>
  <c r="AA407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AG406" i="4"/>
  <c r="AF406" i="4"/>
  <c r="AE406" i="4"/>
  <c r="AD406" i="4"/>
  <c r="AC406" i="4"/>
  <c r="AB406" i="4"/>
  <c r="AA406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AG405" i="4"/>
  <c r="AF405" i="4"/>
  <c r="AE405" i="4"/>
  <c r="AD405" i="4"/>
  <c r="AC405" i="4"/>
  <c r="AB405" i="4"/>
  <c r="AA405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AG404" i="4"/>
  <c r="AF404" i="4"/>
  <c r="AE404" i="4"/>
  <c r="AD404" i="4"/>
  <c r="AC404" i="4"/>
  <c r="AB404" i="4"/>
  <c r="AA404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AG403" i="4"/>
  <c r="AF403" i="4"/>
  <c r="AE403" i="4"/>
  <c r="AD403" i="4"/>
  <c r="AC403" i="4"/>
  <c r="AB403" i="4"/>
  <c r="AA403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AG402" i="4"/>
  <c r="AF402" i="4"/>
  <c r="AE402" i="4"/>
  <c r="AD402" i="4"/>
  <c r="AC402" i="4"/>
  <c r="AB402" i="4"/>
  <c r="AA402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AG401" i="4"/>
  <c r="AF401" i="4"/>
  <c r="AE401" i="4"/>
  <c r="AD401" i="4"/>
  <c r="AC401" i="4"/>
  <c r="AB401" i="4"/>
  <c r="AA401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AG399" i="4"/>
  <c r="AF399" i="4"/>
  <c r="AE399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O398" i="5" s="1"/>
  <c r="Q398" i="6" s="1"/>
  <c r="N398" i="4"/>
  <c r="M398" i="4"/>
  <c r="L398" i="4"/>
  <c r="K398" i="4"/>
  <c r="J398" i="4"/>
  <c r="I398" i="4"/>
  <c r="H398" i="4"/>
  <c r="G398" i="4"/>
  <c r="F398" i="4"/>
  <c r="E398" i="4"/>
  <c r="D398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AG372" i="4"/>
  <c r="AF372" i="4"/>
  <c r="AE372" i="4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AG371" i="4"/>
  <c r="AF371" i="4"/>
  <c r="AE371" i="4"/>
  <c r="AD371" i="4"/>
  <c r="AC371" i="4"/>
  <c r="AB371" i="4"/>
  <c r="AA371" i="4"/>
  <c r="Z371" i="4"/>
  <c r="Y371" i="4"/>
  <c r="X371" i="4"/>
  <c r="X371" i="5" s="1"/>
  <c r="Z371" i="6" s="1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AG366" i="4"/>
  <c r="AF366" i="4"/>
  <c r="AE366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AG364" i="4"/>
  <c r="AF364" i="4"/>
  <c r="AE364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AG362" i="4"/>
  <c r="AF362" i="4"/>
  <c r="AE362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AG357" i="4"/>
  <c r="AF357" i="4"/>
  <c r="AE357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V353" i="4"/>
  <c r="T353" i="4"/>
  <c r="R353" i="4"/>
  <c r="Q353" i="4"/>
  <c r="O353" i="4"/>
  <c r="N353" i="4"/>
  <c r="AF352" i="4"/>
  <c r="AD352" i="4"/>
  <c r="AA352" i="4"/>
  <c r="X352" i="4"/>
  <c r="R350" i="4"/>
  <c r="O350" i="4"/>
  <c r="H350" i="4"/>
  <c r="E350" i="4"/>
  <c r="V348" i="4"/>
  <c r="T348" i="4"/>
  <c r="Q348" i="4"/>
  <c r="N348" i="4"/>
  <c r="AF347" i="4"/>
  <c r="AD347" i="4"/>
  <c r="AA347" i="4"/>
  <c r="X347" i="4"/>
  <c r="AF343" i="4"/>
  <c r="AD343" i="4"/>
  <c r="AA343" i="4"/>
  <c r="X343" i="4"/>
  <c r="V343" i="4"/>
  <c r="T343" i="4"/>
  <c r="Q343" i="4"/>
  <c r="N343" i="4"/>
  <c r="L343" i="4"/>
  <c r="J343" i="4"/>
  <c r="G343" i="4"/>
  <c r="D343" i="4"/>
  <c r="AB341" i="4"/>
  <c r="Y341" i="4"/>
  <c r="V338" i="4"/>
  <c r="T338" i="4"/>
  <c r="Q338" i="4"/>
  <c r="N338" i="4"/>
  <c r="V335" i="4"/>
  <c r="T335" i="4"/>
  <c r="Q335" i="4"/>
  <c r="N335" i="4"/>
  <c r="L335" i="4"/>
  <c r="J335" i="4"/>
  <c r="G335" i="4"/>
  <c r="D335" i="4"/>
  <c r="V333" i="4"/>
  <c r="T333" i="4"/>
  <c r="Q333" i="4"/>
  <c r="N333" i="4"/>
  <c r="AG328" i="4"/>
  <c r="AE328" i="4"/>
  <c r="AC328" i="4"/>
  <c r="Z328" i="4"/>
  <c r="W328" i="4"/>
  <c r="U328" i="4"/>
  <c r="S328" i="4"/>
  <c r="P328" i="4"/>
  <c r="AF327" i="4"/>
  <c r="AD327" i="4"/>
  <c r="AA327" i="4"/>
  <c r="X327" i="4"/>
  <c r="V325" i="4"/>
  <c r="T325" i="4"/>
  <c r="Q325" i="4"/>
  <c r="N325" i="4"/>
  <c r="AF324" i="4"/>
  <c r="AD324" i="4"/>
  <c r="AA324" i="4"/>
  <c r="X324" i="4"/>
  <c r="R321" i="4"/>
  <c r="O321" i="4"/>
  <c r="AF318" i="4"/>
  <c r="AD318" i="4"/>
  <c r="AA318" i="4"/>
  <c r="X318" i="4"/>
  <c r="V318" i="4"/>
  <c r="T318" i="4"/>
  <c r="Q318" i="4"/>
  <c r="N318" i="4"/>
  <c r="AF314" i="4"/>
  <c r="AD314" i="4"/>
  <c r="AA314" i="4"/>
  <c r="X314" i="4"/>
  <c r="V314" i="4"/>
  <c r="T314" i="4"/>
  <c r="Q314" i="4"/>
  <c r="N314" i="4"/>
  <c r="AF313" i="4"/>
  <c r="AD313" i="4"/>
  <c r="AA313" i="4"/>
  <c r="X313" i="4"/>
  <c r="V313" i="4"/>
  <c r="T313" i="4"/>
  <c r="Q313" i="4"/>
  <c r="N313" i="4"/>
  <c r="L313" i="4"/>
  <c r="J313" i="4"/>
  <c r="G313" i="4"/>
  <c r="D313" i="4"/>
  <c r="AF310" i="4"/>
  <c r="AD310" i="4"/>
  <c r="AA310" i="4"/>
  <c r="X310" i="4"/>
  <c r="V310" i="4"/>
  <c r="T310" i="4"/>
  <c r="Q310" i="4"/>
  <c r="N310" i="4"/>
  <c r="L310" i="4"/>
  <c r="J310" i="4"/>
  <c r="G310" i="4"/>
  <c r="D310" i="4"/>
  <c r="V308" i="4"/>
  <c r="T308" i="4"/>
  <c r="Q308" i="4"/>
  <c r="N308" i="4"/>
  <c r="AF307" i="4"/>
  <c r="AD307" i="4"/>
  <c r="AA307" i="4"/>
  <c r="X307" i="4"/>
  <c r="V307" i="4"/>
  <c r="T307" i="4"/>
  <c r="Q307" i="4"/>
  <c r="N307" i="4"/>
  <c r="L307" i="4"/>
  <c r="J307" i="4"/>
  <c r="G307" i="4"/>
  <c r="D307" i="4"/>
  <c r="AF302" i="4"/>
  <c r="AD302" i="4"/>
  <c r="AA302" i="4"/>
  <c r="X302" i="4"/>
  <c r="V302" i="4"/>
  <c r="T302" i="4"/>
  <c r="Q302" i="4"/>
  <c r="N302" i="4"/>
  <c r="L302" i="4"/>
  <c r="J302" i="4"/>
  <c r="G302" i="4"/>
  <c r="D302" i="4"/>
  <c r="AF301" i="4"/>
  <c r="AD301" i="4"/>
  <c r="AA301" i="4"/>
  <c r="X301" i="4"/>
  <c r="V301" i="4"/>
  <c r="T301" i="4"/>
  <c r="Q301" i="4"/>
  <c r="N301" i="4"/>
  <c r="L301" i="4"/>
  <c r="J301" i="4"/>
  <c r="G301" i="4"/>
  <c r="D301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AG290" i="4"/>
  <c r="AF290" i="4"/>
  <c r="AE290" i="4"/>
  <c r="AD290" i="4"/>
  <c r="AC290" i="4"/>
  <c r="AB290" i="4"/>
  <c r="AA290" i="4"/>
  <c r="Z290" i="4"/>
  <c r="Y290" i="4"/>
  <c r="X290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W285" i="4"/>
  <c r="V285" i="4"/>
  <c r="U285" i="4"/>
  <c r="T285" i="4"/>
  <c r="S285" i="4"/>
  <c r="R285" i="4"/>
  <c r="Q285" i="4"/>
  <c r="P285" i="4"/>
  <c r="O285" i="4"/>
  <c r="N285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AG273" i="4"/>
  <c r="AF273" i="4"/>
  <c r="AE273" i="4"/>
  <c r="AD273" i="4"/>
  <c r="AC273" i="4"/>
  <c r="AB273" i="4"/>
  <c r="AA273" i="4"/>
  <c r="Z273" i="4"/>
  <c r="Y273" i="4"/>
  <c r="X273" i="4"/>
  <c r="M273" i="4"/>
  <c r="L273" i="4"/>
  <c r="K273" i="4"/>
  <c r="J273" i="4"/>
  <c r="I273" i="4"/>
  <c r="H273" i="4"/>
  <c r="G273" i="4"/>
  <c r="F273" i="4"/>
  <c r="E273" i="4"/>
  <c r="D273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AG267" i="4"/>
  <c r="AF267" i="4"/>
  <c r="AE267" i="4"/>
  <c r="AD267" i="4"/>
  <c r="AC267" i="4"/>
  <c r="AB267" i="4"/>
  <c r="AA267" i="4"/>
  <c r="Z267" i="4"/>
  <c r="Y267" i="4"/>
  <c r="X267" i="4"/>
  <c r="M267" i="4"/>
  <c r="L267" i="4"/>
  <c r="K267" i="4"/>
  <c r="J267" i="4"/>
  <c r="I267" i="4"/>
  <c r="H267" i="4"/>
  <c r="G267" i="4"/>
  <c r="F267" i="4"/>
  <c r="E267" i="4"/>
  <c r="D267" i="4"/>
  <c r="AG266" i="4"/>
  <c r="AF266" i="4"/>
  <c r="AE266" i="4"/>
  <c r="AD266" i="4"/>
  <c r="AC266" i="4"/>
  <c r="AB266" i="4"/>
  <c r="AA266" i="4"/>
  <c r="Z266" i="4"/>
  <c r="Y266" i="4"/>
  <c r="X266" i="4"/>
  <c r="M266" i="4"/>
  <c r="L266" i="4"/>
  <c r="K266" i="4"/>
  <c r="J266" i="4"/>
  <c r="I266" i="4"/>
  <c r="H266" i="4"/>
  <c r="G266" i="4"/>
  <c r="F266" i="4"/>
  <c r="E266" i="4"/>
  <c r="D266" i="4"/>
  <c r="AG265" i="4"/>
  <c r="AF265" i="4"/>
  <c r="AE265" i="4"/>
  <c r="AD265" i="4"/>
  <c r="AC265" i="4"/>
  <c r="AB265" i="4"/>
  <c r="AA265" i="4"/>
  <c r="Z265" i="4"/>
  <c r="Y265" i="4"/>
  <c r="X265" i="4"/>
  <c r="M265" i="4"/>
  <c r="L265" i="4"/>
  <c r="K265" i="4"/>
  <c r="J265" i="4"/>
  <c r="I265" i="4"/>
  <c r="H265" i="4"/>
  <c r="G265" i="4"/>
  <c r="F265" i="4"/>
  <c r="E265" i="4"/>
  <c r="D265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AG257" i="4"/>
  <c r="AF257" i="4"/>
  <c r="AE257" i="4"/>
  <c r="AD257" i="4"/>
  <c r="AC257" i="4"/>
  <c r="AB257" i="4"/>
  <c r="AA257" i="4"/>
  <c r="Z257" i="4"/>
  <c r="Y257" i="4"/>
  <c r="X257" i="4"/>
  <c r="AG255" i="4"/>
  <c r="AF255" i="4"/>
  <c r="AE255" i="4"/>
  <c r="AD255" i="4"/>
  <c r="AC255" i="4"/>
  <c r="AB255" i="4"/>
  <c r="AA255" i="4"/>
  <c r="Z255" i="4"/>
  <c r="Y255" i="4"/>
  <c r="X255" i="4"/>
  <c r="AG254" i="4"/>
  <c r="AF254" i="4"/>
  <c r="AE254" i="4"/>
  <c r="AD254" i="4"/>
  <c r="AC254" i="4"/>
  <c r="AB254" i="4"/>
  <c r="AA254" i="4"/>
  <c r="Z254" i="4"/>
  <c r="Y254" i="4"/>
  <c r="X254" i="4"/>
  <c r="AG248" i="4"/>
  <c r="AF248" i="4"/>
  <c r="AE248" i="4"/>
  <c r="AD248" i="4"/>
  <c r="AC248" i="4"/>
  <c r="AB248" i="4"/>
  <c r="AA248" i="4"/>
  <c r="Z248" i="4"/>
  <c r="Y248" i="4"/>
  <c r="X248" i="4"/>
  <c r="H211" i="4"/>
  <c r="W243" i="4"/>
  <c r="V243" i="4"/>
  <c r="U243" i="4"/>
  <c r="T243" i="4"/>
  <c r="S243" i="4"/>
  <c r="R243" i="4"/>
  <c r="Q243" i="4"/>
  <c r="P243" i="4"/>
  <c r="O243" i="4"/>
  <c r="N243" i="4"/>
  <c r="W241" i="4"/>
  <c r="V241" i="4"/>
  <c r="U241" i="4"/>
  <c r="T241" i="4"/>
  <c r="S241" i="4"/>
  <c r="R241" i="4"/>
  <c r="Q241" i="4"/>
  <c r="P241" i="4"/>
  <c r="O241" i="4"/>
  <c r="N241" i="4"/>
  <c r="AG205" i="4"/>
  <c r="AE205" i="4"/>
  <c r="AC205" i="4"/>
  <c r="Z205" i="4"/>
  <c r="W205" i="4"/>
  <c r="U205" i="4"/>
  <c r="S205" i="4"/>
  <c r="P205" i="4"/>
  <c r="M205" i="4"/>
  <c r="K205" i="4"/>
  <c r="I205" i="4"/>
  <c r="F205" i="4"/>
  <c r="T174" i="4"/>
  <c r="AF171" i="4"/>
  <c r="AD171" i="4"/>
  <c r="AA171" i="4"/>
  <c r="X171" i="4"/>
  <c r="V171" i="4"/>
  <c r="T171" i="4"/>
  <c r="Q171" i="4"/>
  <c r="N171" i="4"/>
  <c r="L171" i="4"/>
  <c r="J171" i="4"/>
  <c r="G171" i="4"/>
  <c r="D171" i="4"/>
  <c r="AF170" i="4"/>
  <c r="AD170" i="4"/>
  <c r="AA170" i="4"/>
  <c r="X170" i="4"/>
  <c r="V170" i="4"/>
  <c r="T170" i="4"/>
  <c r="Q170" i="4"/>
  <c r="N170" i="4"/>
  <c r="L170" i="4"/>
  <c r="J170" i="4"/>
  <c r="G170" i="4"/>
  <c r="D170" i="4"/>
  <c r="AF169" i="4"/>
  <c r="AD169" i="4"/>
  <c r="AA169" i="4"/>
  <c r="X169" i="4"/>
  <c r="V169" i="4"/>
  <c r="T169" i="4"/>
  <c r="Q169" i="4"/>
  <c r="N169" i="4"/>
  <c r="L169" i="4"/>
  <c r="J169" i="4"/>
  <c r="G169" i="4"/>
  <c r="D169" i="4"/>
  <c r="AF168" i="4"/>
  <c r="AD168" i="4"/>
  <c r="AA168" i="4"/>
  <c r="X168" i="4"/>
  <c r="V168" i="4"/>
  <c r="T168" i="4"/>
  <c r="Q168" i="4"/>
  <c r="N168" i="4"/>
  <c r="L168" i="4"/>
  <c r="J168" i="4"/>
  <c r="G168" i="4"/>
  <c r="D168" i="4"/>
  <c r="AF167" i="4"/>
  <c r="AD167" i="4"/>
  <c r="AA167" i="4"/>
  <c r="X167" i="4"/>
  <c r="V167" i="4"/>
  <c r="T167" i="4"/>
  <c r="Q167" i="4"/>
  <c r="N167" i="4"/>
  <c r="L167" i="4"/>
  <c r="J167" i="4"/>
  <c r="G167" i="4"/>
  <c r="D167" i="4"/>
  <c r="AF166" i="4"/>
  <c r="AD166" i="4"/>
  <c r="AA166" i="4"/>
  <c r="X166" i="4"/>
  <c r="V166" i="4"/>
  <c r="T166" i="4"/>
  <c r="Q166" i="4"/>
  <c r="N166" i="4"/>
  <c r="L166" i="4"/>
  <c r="J166" i="4"/>
  <c r="G166" i="4"/>
  <c r="D166" i="4"/>
  <c r="AF165" i="4"/>
  <c r="AD165" i="4"/>
  <c r="AA165" i="4"/>
  <c r="X165" i="4"/>
  <c r="V165" i="4"/>
  <c r="T165" i="4"/>
  <c r="Q165" i="4"/>
  <c r="N165" i="4"/>
  <c r="L165" i="4"/>
  <c r="J165" i="4"/>
  <c r="G165" i="4"/>
  <c r="D165" i="4"/>
  <c r="AF164" i="4"/>
  <c r="AD164" i="4"/>
  <c r="AA164" i="4"/>
  <c r="X164" i="4"/>
  <c r="V164" i="4"/>
  <c r="T164" i="4"/>
  <c r="Q164" i="4"/>
  <c r="N164" i="4"/>
  <c r="L164" i="4"/>
  <c r="J164" i="4"/>
  <c r="G164" i="4"/>
  <c r="D164" i="4"/>
  <c r="AF163" i="4"/>
  <c r="AD163" i="4"/>
  <c r="AA163" i="4"/>
  <c r="X163" i="4"/>
  <c r="V163" i="4"/>
  <c r="T163" i="4"/>
  <c r="Q163" i="4"/>
  <c r="N163" i="4"/>
  <c r="L163" i="4"/>
  <c r="J163" i="4"/>
  <c r="G163" i="4"/>
  <c r="D163" i="4"/>
  <c r="AF162" i="4"/>
  <c r="AD162" i="4"/>
  <c r="AA162" i="4"/>
  <c r="X162" i="4"/>
  <c r="V162" i="4"/>
  <c r="T162" i="4"/>
  <c r="Q162" i="4"/>
  <c r="N162" i="4"/>
  <c r="L162" i="4"/>
  <c r="J162" i="4"/>
  <c r="G162" i="4"/>
  <c r="D162" i="4"/>
  <c r="AF161" i="4"/>
  <c r="AD161" i="4"/>
  <c r="AA161" i="4"/>
  <c r="X161" i="4"/>
  <c r="V161" i="4"/>
  <c r="T161" i="4"/>
  <c r="Q161" i="4"/>
  <c r="N161" i="4"/>
  <c r="L161" i="4"/>
  <c r="J161" i="4"/>
  <c r="G161" i="4"/>
  <c r="D161" i="4"/>
  <c r="AF160" i="4"/>
  <c r="AD160" i="4"/>
  <c r="AA160" i="4"/>
  <c r="X160" i="4"/>
  <c r="V160" i="4"/>
  <c r="T160" i="4"/>
  <c r="Q160" i="4"/>
  <c r="N160" i="4"/>
  <c r="L160" i="4"/>
  <c r="J160" i="4"/>
  <c r="G160" i="4"/>
  <c r="D160" i="4"/>
  <c r="AF159" i="4"/>
  <c r="AD159" i="4"/>
  <c r="AA159" i="4"/>
  <c r="X159" i="4"/>
  <c r="V159" i="4"/>
  <c r="T159" i="4"/>
  <c r="Q159" i="4"/>
  <c r="N159" i="4"/>
  <c r="L159" i="4"/>
  <c r="J159" i="4"/>
  <c r="G159" i="4"/>
  <c r="D159" i="4"/>
  <c r="AF158" i="4"/>
  <c r="AD158" i="4"/>
  <c r="AA158" i="4"/>
  <c r="X158" i="4"/>
  <c r="V158" i="4"/>
  <c r="T158" i="4"/>
  <c r="Q158" i="4"/>
  <c r="N158" i="4"/>
  <c r="L158" i="4"/>
  <c r="J158" i="4"/>
  <c r="G158" i="4"/>
  <c r="D158" i="4"/>
  <c r="AF157" i="4"/>
  <c r="AD157" i="4"/>
  <c r="AA157" i="4"/>
  <c r="X157" i="4"/>
  <c r="V157" i="4"/>
  <c r="T157" i="4"/>
  <c r="Q157" i="4"/>
  <c r="N157" i="4"/>
  <c r="L157" i="4"/>
  <c r="J157" i="4"/>
  <c r="G157" i="4"/>
  <c r="D157" i="4"/>
  <c r="AF156" i="4"/>
  <c r="AD156" i="4"/>
  <c r="AA156" i="4"/>
  <c r="X156" i="4"/>
  <c r="V156" i="4"/>
  <c r="T156" i="4"/>
  <c r="Q156" i="4"/>
  <c r="N156" i="4"/>
  <c r="L156" i="4"/>
  <c r="J156" i="4"/>
  <c r="G156" i="4"/>
  <c r="D156" i="4"/>
  <c r="AF155" i="4"/>
  <c r="AD155" i="4"/>
  <c r="AA155" i="4"/>
  <c r="X155" i="4"/>
  <c r="V155" i="4"/>
  <c r="T155" i="4"/>
  <c r="Q155" i="4"/>
  <c r="N155" i="4"/>
  <c r="L155" i="4"/>
  <c r="J155" i="4"/>
  <c r="G155" i="4"/>
  <c r="D155" i="4"/>
  <c r="AF149" i="4"/>
  <c r="AD149" i="4"/>
  <c r="AA149" i="4"/>
  <c r="X149" i="4"/>
  <c r="V149" i="4"/>
  <c r="T149" i="4"/>
  <c r="Q149" i="4"/>
  <c r="N149" i="4"/>
  <c r="L149" i="4"/>
  <c r="J149" i="4"/>
  <c r="G149" i="4"/>
  <c r="D149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AA121" i="4"/>
  <c r="O99" i="4"/>
  <c r="I75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AI67" i="6"/>
  <c r="AH67" i="6"/>
  <c r="AG67" i="6"/>
  <c r="AF67" i="6"/>
  <c r="AE67" i="6"/>
  <c r="AD67" i="6"/>
  <c r="AC67" i="6"/>
  <c r="AB67" i="6"/>
  <c r="AA67" i="6"/>
  <c r="Z67" i="6"/>
  <c r="M67" i="4"/>
  <c r="L67" i="4"/>
  <c r="K67" i="4"/>
  <c r="J67" i="4"/>
  <c r="I67" i="4"/>
  <c r="H67" i="4"/>
  <c r="G67" i="4"/>
  <c r="F67" i="4"/>
  <c r="E67" i="4"/>
  <c r="D67" i="4"/>
  <c r="K66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I62" i="6"/>
  <c r="AH62" i="6"/>
  <c r="AG62" i="6"/>
  <c r="AF62" i="6"/>
  <c r="AE62" i="6"/>
  <c r="AD62" i="6"/>
  <c r="AC62" i="6"/>
  <c r="AB62" i="6"/>
  <c r="AA62" i="6"/>
  <c r="X62" i="4"/>
  <c r="M62" i="4"/>
  <c r="L62" i="4"/>
  <c r="K62" i="4"/>
  <c r="J62" i="4"/>
  <c r="I62" i="4"/>
  <c r="H62" i="4"/>
  <c r="G62" i="4"/>
  <c r="F62" i="4"/>
  <c r="E62" i="4"/>
  <c r="D62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I54" i="6"/>
  <c r="AH54" i="6"/>
  <c r="AG54" i="6"/>
  <c r="AF54" i="6"/>
  <c r="AE54" i="6"/>
  <c r="AD54" i="6"/>
  <c r="AC54" i="6"/>
  <c r="AB54" i="6"/>
  <c r="AA54" i="6"/>
  <c r="Z54" i="6"/>
  <c r="O54" i="6"/>
  <c r="N54" i="6"/>
  <c r="M54" i="6"/>
  <c r="L54" i="6"/>
  <c r="K54" i="6"/>
  <c r="J54" i="6"/>
  <c r="I54" i="6"/>
  <c r="H54" i="6"/>
  <c r="G54" i="6"/>
  <c r="F54" i="6"/>
  <c r="AI53" i="6"/>
  <c r="AH53" i="6"/>
  <c r="AG53" i="6"/>
  <c r="AF53" i="6"/>
  <c r="AE53" i="6"/>
  <c r="AD53" i="6"/>
  <c r="AC53" i="6"/>
  <c r="AB53" i="6"/>
  <c r="AA53" i="6"/>
  <c r="Z53" i="6"/>
  <c r="O53" i="6"/>
  <c r="N53" i="6"/>
  <c r="M53" i="6"/>
  <c r="L53" i="6"/>
  <c r="K53" i="6"/>
  <c r="J53" i="6"/>
  <c r="I53" i="6"/>
  <c r="H53" i="6"/>
  <c r="G53" i="6"/>
  <c r="F53" i="6"/>
  <c r="AI52" i="6"/>
  <c r="AH52" i="6"/>
  <c r="AG52" i="6"/>
  <c r="AF52" i="6"/>
  <c r="AE52" i="6"/>
  <c r="AD52" i="6"/>
  <c r="AC52" i="6"/>
  <c r="AB52" i="6"/>
  <c r="AA52" i="6"/>
  <c r="Z52" i="6"/>
  <c r="O52" i="6"/>
  <c r="N52" i="6"/>
  <c r="M52" i="6"/>
  <c r="L52" i="6"/>
  <c r="K52" i="6"/>
  <c r="J52" i="6"/>
  <c r="I52" i="6"/>
  <c r="H52" i="6"/>
  <c r="G52" i="6"/>
  <c r="F52" i="6"/>
  <c r="AC48" i="4"/>
  <c r="G44" i="4"/>
  <c r="L40" i="4"/>
  <c r="J40" i="4"/>
  <c r="G40" i="4"/>
  <c r="D40" i="4"/>
  <c r="Q39" i="4"/>
  <c r="L39" i="4"/>
  <c r="J39" i="4"/>
  <c r="G39" i="4"/>
  <c r="D39" i="4"/>
  <c r="L38" i="4"/>
  <c r="J38" i="4"/>
  <c r="G38" i="4"/>
  <c r="D38" i="4"/>
  <c r="R35" i="4"/>
  <c r="AG223" i="4" l="1"/>
  <c r="D12" i="4"/>
  <c r="D13" i="4"/>
  <c r="D24" i="4"/>
  <c r="G56" i="5"/>
  <c r="I56" i="6" s="1"/>
  <c r="O56" i="5"/>
  <c r="Q56" i="6" s="1"/>
  <c r="S56" i="5"/>
  <c r="U56" i="6" s="1"/>
  <c r="AA56" i="5"/>
  <c r="AC56" i="6" s="1"/>
  <c r="AE56" i="5"/>
  <c r="AG56" i="6" s="1"/>
  <c r="E57" i="5"/>
  <c r="G57" i="6" s="1"/>
  <c r="M57" i="5"/>
  <c r="O57" i="6" s="1"/>
  <c r="Q57" i="5"/>
  <c r="S57" i="6" s="1"/>
  <c r="Y57" i="5"/>
  <c r="AA57" i="6" s="1"/>
  <c r="AG57" i="5"/>
  <c r="AI57" i="6" s="1"/>
  <c r="G58" i="5"/>
  <c r="I58" i="6" s="1"/>
  <c r="O58" i="5"/>
  <c r="Q58" i="6" s="1"/>
  <c r="W58" i="5"/>
  <c r="Y58" i="6" s="1"/>
  <c r="AE58" i="5"/>
  <c r="AG58" i="6" s="1"/>
  <c r="E59" i="5"/>
  <c r="G59" i="6" s="1"/>
  <c r="Q59" i="5"/>
  <c r="S59" i="6" s="1"/>
  <c r="Y59" i="5"/>
  <c r="AA59" i="6" s="1"/>
  <c r="AG59" i="5"/>
  <c r="AI59" i="6" s="1"/>
  <c r="G60" i="5"/>
  <c r="I60" i="6" s="1"/>
  <c r="O60" i="5"/>
  <c r="Q60" i="6" s="1"/>
  <c r="W60" i="5"/>
  <c r="Y60" i="6" s="1"/>
  <c r="AE60" i="5"/>
  <c r="AG60" i="6" s="1"/>
  <c r="I61" i="5"/>
  <c r="K61" i="6" s="1"/>
  <c r="Q61" i="5"/>
  <c r="S61" i="6" s="1"/>
  <c r="Y61" i="5"/>
  <c r="AA61" i="6" s="1"/>
  <c r="AG61" i="5"/>
  <c r="AI61" i="6" s="1"/>
  <c r="K62" i="5"/>
  <c r="M62" i="6" s="1"/>
  <c r="S63" i="5"/>
  <c r="U63" i="6" s="1"/>
  <c r="AE63" i="5"/>
  <c r="AG63" i="6" s="1"/>
  <c r="Q64" i="5"/>
  <c r="S64" i="6" s="1"/>
  <c r="AC64" i="5"/>
  <c r="AE64" i="6" s="1"/>
  <c r="K65" i="5"/>
  <c r="M65" i="6" s="1"/>
  <c r="AA65" i="5"/>
  <c r="AC65" i="6" s="1"/>
  <c r="H68" i="5"/>
  <c r="J68" i="6" s="1"/>
  <c r="T68" i="5"/>
  <c r="V68" i="6" s="1"/>
  <c r="F69" i="5"/>
  <c r="H69" i="6" s="1"/>
  <c r="R69" i="5"/>
  <c r="T69" i="6" s="1"/>
  <c r="AD69" i="5"/>
  <c r="AF69" i="6" s="1"/>
  <c r="H70" i="5"/>
  <c r="J70" i="6" s="1"/>
  <c r="P70" i="5"/>
  <c r="R70" i="6" s="1"/>
  <c r="T70" i="5"/>
  <c r="V70" i="6" s="1"/>
  <c r="AF70" i="5"/>
  <c r="AH70" i="6" s="1"/>
  <c r="N72" i="5"/>
  <c r="P72" i="6" s="1"/>
  <c r="Z72" i="5"/>
  <c r="AB72" i="6" s="1"/>
  <c r="AD72" i="5"/>
  <c r="AF72" i="6" s="1"/>
  <c r="D73" i="5"/>
  <c r="F73" i="6" s="1"/>
  <c r="L73" i="5"/>
  <c r="N73" i="6" s="1"/>
  <c r="T73" i="5"/>
  <c r="V73" i="6" s="1"/>
  <c r="AB73" i="5"/>
  <c r="AD73" i="6" s="1"/>
  <c r="G130" i="5"/>
  <c r="I130" i="6" s="1"/>
  <c r="O130" i="5"/>
  <c r="Q130" i="6" s="1"/>
  <c r="AA130" i="5"/>
  <c r="AC130" i="6" s="1"/>
  <c r="I132" i="5"/>
  <c r="K132" i="6" s="1"/>
  <c r="U132" i="5"/>
  <c r="W132" i="6" s="1"/>
  <c r="Y132" i="5"/>
  <c r="AA132" i="6" s="1"/>
  <c r="L149" i="5"/>
  <c r="N149" i="6" s="1"/>
  <c r="L155" i="5"/>
  <c r="N155" i="6" s="1"/>
  <c r="L156" i="5"/>
  <c r="N156" i="6" s="1"/>
  <c r="V156" i="5"/>
  <c r="X156" i="6" s="1"/>
  <c r="V157" i="5"/>
  <c r="X157" i="6" s="1"/>
  <c r="L158" i="5"/>
  <c r="N158" i="6" s="1"/>
  <c r="V159" i="5"/>
  <c r="X159" i="6" s="1"/>
  <c r="V160" i="5"/>
  <c r="X160" i="6" s="1"/>
  <c r="V161" i="5"/>
  <c r="X161" i="6" s="1"/>
  <c r="L162" i="5"/>
  <c r="N162" i="6" s="1"/>
  <c r="AF162" i="5"/>
  <c r="AH162" i="6" s="1"/>
  <c r="V163" i="5"/>
  <c r="X163" i="6" s="1"/>
  <c r="L164" i="5"/>
  <c r="N164" i="6" s="1"/>
  <c r="AF164" i="5"/>
  <c r="AH164" i="6" s="1"/>
  <c r="AF165" i="5"/>
  <c r="AH165" i="6" s="1"/>
  <c r="AF166" i="5"/>
  <c r="AH166" i="6" s="1"/>
  <c r="AF167" i="5"/>
  <c r="AH167" i="6" s="1"/>
  <c r="AF168" i="5"/>
  <c r="AH168" i="6" s="1"/>
  <c r="AF169" i="5"/>
  <c r="AH169" i="6" s="1"/>
  <c r="V170" i="5"/>
  <c r="X170" i="6" s="1"/>
  <c r="V171" i="5"/>
  <c r="X171" i="6" s="1"/>
  <c r="U205" i="5"/>
  <c r="W205" i="6" s="1"/>
  <c r="P241" i="5"/>
  <c r="R241" i="6" s="1"/>
  <c r="N243" i="5"/>
  <c r="P243" i="6" s="1"/>
  <c r="R243" i="5"/>
  <c r="T243" i="6" s="1"/>
  <c r="AC248" i="5"/>
  <c r="AE248" i="6" s="1"/>
  <c r="AG248" i="5"/>
  <c r="AI248" i="6" s="1"/>
  <c r="Y255" i="5"/>
  <c r="AA255" i="6" s="1"/>
  <c r="AA257" i="5"/>
  <c r="AC257" i="6" s="1"/>
  <c r="AE257" i="5"/>
  <c r="AG257" i="6" s="1"/>
  <c r="S258" i="5"/>
  <c r="U258" i="6" s="1"/>
  <c r="AA258" i="5"/>
  <c r="AC258" i="6" s="1"/>
  <c r="I259" i="5"/>
  <c r="K259" i="6" s="1"/>
  <c r="U259" i="5"/>
  <c r="W259" i="6" s="1"/>
  <c r="AG259" i="5"/>
  <c r="AI259" i="6" s="1"/>
  <c r="O260" i="5"/>
  <c r="Q260" i="6" s="1"/>
  <c r="AA260" i="5"/>
  <c r="AC260" i="6" s="1"/>
  <c r="I261" i="5"/>
  <c r="K261" i="6" s="1"/>
  <c r="Q261" i="5"/>
  <c r="S261" i="6" s="1"/>
  <c r="AC261" i="5"/>
  <c r="AE261" i="6" s="1"/>
  <c r="G262" i="5"/>
  <c r="I262" i="6" s="1"/>
  <c r="O262" i="5"/>
  <c r="Q262" i="6" s="1"/>
  <c r="W262" i="5"/>
  <c r="Y262" i="6" s="1"/>
  <c r="AE262" i="5"/>
  <c r="AG262" i="6" s="1"/>
  <c r="S263" i="5"/>
  <c r="U263" i="6" s="1"/>
  <c r="AE263" i="5"/>
  <c r="AG263" i="6" s="1"/>
  <c r="I264" i="5"/>
  <c r="K264" i="6" s="1"/>
  <c r="U264" i="5"/>
  <c r="W264" i="6" s="1"/>
  <c r="AG264" i="5"/>
  <c r="AI264" i="6" s="1"/>
  <c r="Y265" i="5"/>
  <c r="AA265" i="6" s="1"/>
  <c r="G266" i="5"/>
  <c r="I266" i="6" s="1"/>
  <c r="AC266" i="5"/>
  <c r="AE266" i="6" s="1"/>
  <c r="K267" i="5"/>
  <c r="M267" i="6" s="1"/>
  <c r="AG267" i="5"/>
  <c r="AI267" i="6" s="1"/>
  <c r="S270" i="5"/>
  <c r="U270" i="6" s="1"/>
  <c r="AE270" i="5"/>
  <c r="AG270" i="6" s="1"/>
  <c r="M271" i="5"/>
  <c r="O271" i="6" s="1"/>
  <c r="Y271" i="5"/>
  <c r="AA271" i="6" s="1"/>
  <c r="G273" i="5"/>
  <c r="I273" i="6" s="1"/>
  <c r="AC273" i="5"/>
  <c r="AE273" i="6" s="1"/>
  <c r="K283" i="5"/>
  <c r="M283" i="6" s="1"/>
  <c r="O283" i="5"/>
  <c r="Q283" i="6" s="1"/>
  <c r="AA283" i="5"/>
  <c r="AC283" i="6" s="1"/>
  <c r="AE283" i="5"/>
  <c r="AG283" i="6" s="1"/>
  <c r="S285" i="5"/>
  <c r="U285" i="6" s="1"/>
  <c r="G288" i="5"/>
  <c r="I288" i="6" s="1"/>
  <c r="O288" i="5"/>
  <c r="Q288" i="6" s="1"/>
  <c r="AA288" i="5"/>
  <c r="AC288" i="6" s="1"/>
  <c r="E289" i="5"/>
  <c r="G289" i="6" s="1"/>
  <c r="Q289" i="5"/>
  <c r="S289" i="6" s="1"/>
  <c r="AG290" i="5"/>
  <c r="AI290" i="6" s="1"/>
  <c r="O292" i="5"/>
  <c r="Q292" i="6" s="1"/>
  <c r="S292" i="5"/>
  <c r="U292" i="6" s="1"/>
  <c r="AE292" i="5"/>
  <c r="AG292" i="6" s="1"/>
  <c r="AA301" i="5"/>
  <c r="AC301" i="6" s="1"/>
  <c r="AA302" i="5"/>
  <c r="AC302" i="6" s="1"/>
  <c r="Q307" i="5"/>
  <c r="S307" i="6" s="1"/>
  <c r="G310" i="5"/>
  <c r="I310" i="6" s="1"/>
  <c r="AA310" i="5"/>
  <c r="AC310" i="6" s="1"/>
  <c r="Q313" i="5"/>
  <c r="S313" i="6" s="1"/>
  <c r="AA313" i="5"/>
  <c r="AC313" i="6" s="1"/>
  <c r="Q318" i="5"/>
  <c r="S318" i="6" s="1"/>
  <c r="AF324" i="5"/>
  <c r="AH324" i="6" s="1"/>
  <c r="W328" i="5"/>
  <c r="Y328" i="6" s="1"/>
  <c r="L335" i="5"/>
  <c r="N335" i="6" s="1"/>
  <c r="Q343" i="5"/>
  <c r="S343" i="6" s="1"/>
  <c r="H350" i="5"/>
  <c r="J350" i="6" s="1"/>
  <c r="G357" i="5"/>
  <c r="I357" i="6" s="1"/>
  <c r="S357" i="5"/>
  <c r="U357" i="6" s="1"/>
  <c r="AE357" i="5"/>
  <c r="AG357" i="6" s="1"/>
  <c r="M358" i="5"/>
  <c r="O358" i="6" s="1"/>
  <c r="Y358" i="5"/>
  <c r="AA358" i="6" s="1"/>
  <c r="K359" i="5"/>
  <c r="M359" i="6" s="1"/>
  <c r="W359" i="5"/>
  <c r="Y359" i="6" s="1"/>
  <c r="E360" i="5"/>
  <c r="G360" i="6" s="1"/>
  <c r="Q360" i="5"/>
  <c r="S360" i="6" s="1"/>
  <c r="U360" i="5"/>
  <c r="W360" i="6" s="1"/>
  <c r="AG360" i="5"/>
  <c r="AI360" i="6" s="1"/>
  <c r="O361" i="5"/>
  <c r="Q361" i="6" s="1"/>
  <c r="AA361" i="5"/>
  <c r="AC361" i="6" s="1"/>
  <c r="I362" i="5"/>
  <c r="K362" i="6" s="1"/>
  <c r="U362" i="5"/>
  <c r="W362" i="6" s="1"/>
  <c r="AC362" i="5"/>
  <c r="AE362" i="6" s="1"/>
  <c r="G363" i="5"/>
  <c r="I363" i="6" s="1"/>
  <c r="K363" i="5"/>
  <c r="M363" i="6" s="1"/>
  <c r="S363" i="5"/>
  <c r="U363" i="6" s="1"/>
  <c r="AA363" i="5"/>
  <c r="AC363" i="6" s="1"/>
  <c r="AE363" i="5"/>
  <c r="AG363" i="6" s="1"/>
  <c r="I364" i="5"/>
  <c r="K364" i="6" s="1"/>
  <c r="M364" i="5"/>
  <c r="O364" i="6" s="1"/>
  <c r="U364" i="5"/>
  <c r="W364" i="6" s="1"/>
  <c r="AC364" i="5"/>
  <c r="AE364" i="6" s="1"/>
  <c r="K365" i="5"/>
  <c r="M365" i="6" s="1"/>
  <c r="W365" i="5"/>
  <c r="Y365" i="6" s="1"/>
  <c r="E366" i="5"/>
  <c r="G366" i="6" s="1"/>
  <c r="I366" i="5"/>
  <c r="K366" i="6" s="1"/>
  <c r="U366" i="5"/>
  <c r="W366" i="6" s="1"/>
  <c r="AC366" i="5"/>
  <c r="AE366" i="6" s="1"/>
  <c r="K367" i="5"/>
  <c r="M367" i="6" s="1"/>
  <c r="W367" i="5"/>
  <c r="Y367" i="6" s="1"/>
  <c r="E368" i="5"/>
  <c r="G368" i="6" s="1"/>
  <c r="Q368" i="5"/>
  <c r="S368" i="6" s="1"/>
  <c r="AG368" i="5"/>
  <c r="AI368" i="6" s="1"/>
  <c r="S369" i="5"/>
  <c r="U369" i="6" s="1"/>
  <c r="AE369" i="5"/>
  <c r="AG369" i="6" s="1"/>
  <c r="M370" i="5"/>
  <c r="O370" i="6" s="1"/>
  <c r="Y370" i="5"/>
  <c r="AA370" i="6" s="1"/>
  <c r="AG370" i="5"/>
  <c r="AI370" i="6" s="1"/>
  <c r="K371" i="5"/>
  <c r="M371" i="6" s="1"/>
  <c r="W371" i="5"/>
  <c r="Y371" i="6" s="1"/>
  <c r="AE371" i="5"/>
  <c r="AG371" i="6" s="1"/>
  <c r="M372" i="5"/>
  <c r="O372" i="6" s="1"/>
  <c r="AC372" i="5"/>
  <c r="AE372" i="6" s="1"/>
  <c r="K373" i="5"/>
  <c r="M373" i="6" s="1"/>
  <c r="S373" i="5"/>
  <c r="U373" i="6" s="1"/>
  <c r="E375" i="5"/>
  <c r="G375" i="6" s="1"/>
  <c r="U375" i="5"/>
  <c r="W375" i="6" s="1"/>
  <c r="AG375" i="5"/>
  <c r="AI375" i="6" s="1"/>
  <c r="O376" i="5"/>
  <c r="Q376" i="6" s="1"/>
  <c r="AA376" i="5"/>
  <c r="AC376" i="6" s="1"/>
  <c r="I377" i="5"/>
  <c r="K377" i="6" s="1"/>
  <c r="U377" i="5"/>
  <c r="W377" i="6" s="1"/>
  <c r="AG377" i="5"/>
  <c r="AI377" i="6" s="1"/>
  <c r="O378" i="5"/>
  <c r="Q378" i="6" s="1"/>
  <c r="AA378" i="5"/>
  <c r="AC378" i="6" s="1"/>
  <c r="I379" i="5"/>
  <c r="K379" i="6" s="1"/>
  <c r="AC379" i="5"/>
  <c r="AE379" i="6" s="1"/>
  <c r="K380" i="5"/>
  <c r="M380" i="6" s="1"/>
  <c r="W380" i="5"/>
  <c r="Y380" i="6" s="1"/>
  <c r="E381" i="5"/>
  <c r="G381" i="6" s="1"/>
  <c r="U381" i="5"/>
  <c r="W381" i="6" s="1"/>
  <c r="AG381" i="5"/>
  <c r="AI381" i="6" s="1"/>
  <c r="W382" i="5"/>
  <c r="Y382" i="6" s="1"/>
  <c r="E383" i="5"/>
  <c r="G383" i="6" s="1"/>
  <c r="Q383" i="5"/>
  <c r="S383" i="6" s="1"/>
  <c r="AC383" i="5"/>
  <c r="AE383" i="6" s="1"/>
  <c r="S384" i="5"/>
  <c r="U384" i="6" s="1"/>
  <c r="AE384" i="5"/>
  <c r="AG384" i="6" s="1"/>
  <c r="M385" i="5"/>
  <c r="O385" i="6" s="1"/>
  <c r="Y385" i="5"/>
  <c r="AA385" i="6" s="1"/>
  <c r="G388" i="5"/>
  <c r="I388" i="6" s="1"/>
  <c r="AA388" i="5"/>
  <c r="AC388" i="6" s="1"/>
  <c r="I389" i="5"/>
  <c r="K389" i="6" s="1"/>
  <c r="Q389" i="5"/>
  <c r="S389" i="6" s="1"/>
  <c r="Y389" i="5"/>
  <c r="AA389" i="6" s="1"/>
  <c r="AC389" i="5"/>
  <c r="AE389" i="6" s="1"/>
  <c r="K390" i="5"/>
  <c r="M390" i="6" s="1"/>
  <c r="W390" i="5"/>
  <c r="Y390" i="6" s="1"/>
  <c r="E391" i="5"/>
  <c r="G391" i="6" s="1"/>
  <c r="Q391" i="5"/>
  <c r="S391" i="6" s="1"/>
  <c r="AG391" i="5"/>
  <c r="AI391" i="6" s="1"/>
  <c r="O392" i="5"/>
  <c r="Q392" i="6" s="1"/>
  <c r="E393" i="5"/>
  <c r="G393" i="6" s="1"/>
  <c r="Q393" i="5"/>
  <c r="S393" i="6" s="1"/>
  <c r="AC393" i="5"/>
  <c r="AE393" i="6" s="1"/>
  <c r="G394" i="5"/>
  <c r="I394" i="6" s="1"/>
  <c r="S394" i="5"/>
  <c r="U394" i="6" s="1"/>
  <c r="AA394" i="5"/>
  <c r="AC394" i="6" s="1"/>
  <c r="I395" i="5"/>
  <c r="K395" i="6" s="1"/>
  <c r="U395" i="5"/>
  <c r="W395" i="6" s="1"/>
  <c r="AC395" i="5"/>
  <c r="AE395" i="6" s="1"/>
  <c r="AG395" i="5"/>
  <c r="AI395" i="6" s="1"/>
  <c r="K396" i="5"/>
  <c r="M396" i="6" s="1"/>
  <c r="O396" i="5"/>
  <c r="Q396" i="6" s="1"/>
  <c r="W396" i="5"/>
  <c r="Y396" i="6" s="1"/>
  <c r="AE396" i="5"/>
  <c r="AG396" i="6" s="1"/>
  <c r="E397" i="5"/>
  <c r="G397" i="6" s="1"/>
  <c r="M397" i="5"/>
  <c r="O397" i="6" s="1"/>
  <c r="U397" i="5"/>
  <c r="W397" i="6" s="1"/>
  <c r="AC397" i="5"/>
  <c r="AE397" i="6" s="1"/>
  <c r="G398" i="5"/>
  <c r="I398" i="6" s="1"/>
  <c r="S398" i="5"/>
  <c r="U398" i="6" s="1"/>
  <c r="AE398" i="5"/>
  <c r="AG398" i="6" s="1"/>
  <c r="M399" i="5"/>
  <c r="O399" i="6" s="1"/>
  <c r="Y399" i="5"/>
  <c r="AA399" i="6" s="1"/>
  <c r="G400" i="5"/>
  <c r="I400" i="6" s="1"/>
  <c r="S400" i="5"/>
  <c r="U400" i="6" s="1"/>
  <c r="AA400" i="5"/>
  <c r="AC400" i="6" s="1"/>
  <c r="E401" i="5"/>
  <c r="G401" i="6" s="1"/>
  <c r="M401" i="5"/>
  <c r="O401" i="6" s="1"/>
  <c r="U401" i="5"/>
  <c r="W401" i="6" s="1"/>
  <c r="AG401" i="5"/>
  <c r="AI401" i="6" s="1"/>
  <c r="O402" i="5"/>
  <c r="Q402" i="6" s="1"/>
  <c r="AE402" i="5"/>
  <c r="AG402" i="6" s="1"/>
  <c r="M403" i="5"/>
  <c r="O403" i="6" s="1"/>
  <c r="Y403" i="5"/>
  <c r="AA403" i="6" s="1"/>
  <c r="G404" i="5"/>
  <c r="I404" i="6" s="1"/>
  <c r="W404" i="5"/>
  <c r="Y404" i="6" s="1"/>
  <c r="E405" i="5"/>
  <c r="G405" i="6" s="1"/>
  <c r="Q405" i="5"/>
  <c r="S405" i="6" s="1"/>
  <c r="Y405" i="5"/>
  <c r="AA405" i="6" s="1"/>
  <c r="AG405" i="5"/>
  <c r="AI405" i="6" s="1"/>
  <c r="O406" i="5"/>
  <c r="Q406" i="6" s="1"/>
  <c r="AA406" i="5"/>
  <c r="AC406" i="6" s="1"/>
  <c r="I407" i="5"/>
  <c r="K407" i="6" s="1"/>
  <c r="U407" i="5"/>
  <c r="W407" i="6" s="1"/>
  <c r="AG407" i="5"/>
  <c r="AI407" i="6" s="1"/>
  <c r="O408" i="5"/>
  <c r="Q408" i="6" s="1"/>
  <c r="AA408" i="5"/>
  <c r="AC408" i="6" s="1"/>
  <c r="I409" i="5"/>
  <c r="K409" i="6" s="1"/>
  <c r="AC409" i="5"/>
  <c r="AE409" i="6" s="1"/>
  <c r="S410" i="5"/>
  <c r="U410" i="6" s="1"/>
  <c r="AE410" i="5"/>
  <c r="AG410" i="6" s="1"/>
  <c r="M411" i="5"/>
  <c r="O411" i="6" s="1"/>
  <c r="AC411" i="5"/>
  <c r="AE411" i="6" s="1"/>
  <c r="O412" i="5"/>
  <c r="Q412" i="6" s="1"/>
  <c r="AE412" i="5"/>
  <c r="AG412" i="6" s="1"/>
  <c r="I413" i="5"/>
  <c r="K413" i="6" s="1"/>
  <c r="Q413" i="5"/>
  <c r="S413" i="6" s="1"/>
  <c r="AC413" i="5"/>
  <c r="AE413" i="6" s="1"/>
  <c r="K414" i="5"/>
  <c r="M414" i="6" s="1"/>
  <c r="W414" i="5"/>
  <c r="Y414" i="6" s="1"/>
  <c r="E415" i="5"/>
  <c r="G415" i="6" s="1"/>
  <c r="Q415" i="5"/>
  <c r="S415" i="6" s="1"/>
  <c r="AC415" i="5"/>
  <c r="AE415" i="6" s="1"/>
  <c r="K416" i="5"/>
  <c r="M416" i="6" s="1"/>
  <c r="W416" i="5"/>
  <c r="Y416" i="6" s="1"/>
  <c r="I417" i="5"/>
  <c r="K417" i="6" s="1"/>
  <c r="Y417" i="5"/>
  <c r="AA417" i="6" s="1"/>
  <c r="G418" i="5"/>
  <c r="I418" i="6" s="1"/>
  <c r="S418" i="5"/>
  <c r="U418" i="6" s="1"/>
  <c r="AE418" i="5"/>
  <c r="AG418" i="6" s="1"/>
  <c r="Q419" i="5"/>
  <c r="S419" i="6" s="1"/>
  <c r="AG419" i="5"/>
  <c r="AI419" i="6" s="1"/>
  <c r="O420" i="5"/>
  <c r="Q420" i="6" s="1"/>
  <c r="AA420" i="5"/>
  <c r="AC420" i="6" s="1"/>
  <c r="I421" i="5"/>
  <c r="K421" i="6" s="1"/>
  <c r="U421" i="5"/>
  <c r="W421" i="6" s="1"/>
  <c r="AG421" i="5"/>
  <c r="AI421" i="6" s="1"/>
  <c r="O422" i="5"/>
  <c r="Q422" i="6" s="1"/>
  <c r="AA422" i="5"/>
  <c r="AC422" i="6" s="1"/>
  <c r="I423" i="5"/>
  <c r="K423" i="6" s="1"/>
  <c r="U423" i="5"/>
  <c r="W423" i="6" s="1"/>
  <c r="G424" i="5"/>
  <c r="I424" i="6" s="1"/>
  <c r="S424" i="5"/>
  <c r="U424" i="6" s="1"/>
  <c r="E425" i="5"/>
  <c r="G425" i="6" s="1"/>
  <c r="Q425" i="5"/>
  <c r="S425" i="6" s="1"/>
  <c r="AC425" i="5"/>
  <c r="AE425" i="6" s="1"/>
  <c r="K426" i="5"/>
  <c r="M426" i="6" s="1"/>
  <c r="W426" i="5"/>
  <c r="Y426" i="6" s="1"/>
  <c r="E427" i="5"/>
  <c r="G427" i="6" s="1"/>
  <c r="M427" i="5"/>
  <c r="O427" i="6" s="1"/>
  <c r="Q427" i="5"/>
  <c r="S427" i="6" s="1"/>
  <c r="Y427" i="5"/>
  <c r="AA427" i="6" s="1"/>
  <c r="G428" i="5"/>
  <c r="I428" i="6" s="1"/>
  <c r="O428" i="5"/>
  <c r="Q428" i="6" s="1"/>
  <c r="W428" i="5"/>
  <c r="Y428" i="6" s="1"/>
  <c r="AE428" i="5"/>
  <c r="AG428" i="6" s="1"/>
  <c r="I429" i="5"/>
  <c r="K429" i="6" s="1"/>
  <c r="Q429" i="5"/>
  <c r="S429" i="6" s="1"/>
  <c r="U429" i="5"/>
  <c r="W429" i="6" s="1"/>
  <c r="AC429" i="5"/>
  <c r="AE429" i="6" s="1"/>
  <c r="G430" i="5"/>
  <c r="I430" i="6" s="1"/>
  <c r="O430" i="5"/>
  <c r="Q430" i="6" s="1"/>
  <c r="W430" i="5"/>
  <c r="Y430" i="6" s="1"/>
  <c r="E431" i="5"/>
  <c r="G431" i="6" s="1"/>
  <c r="U431" i="5"/>
  <c r="W431" i="6" s="1"/>
  <c r="AG431" i="5"/>
  <c r="AI431" i="6" s="1"/>
  <c r="K432" i="5"/>
  <c r="M432" i="6" s="1"/>
  <c r="S432" i="5"/>
  <c r="U432" i="6" s="1"/>
  <c r="W432" i="5"/>
  <c r="Y432" i="6" s="1"/>
  <c r="E433" i="5"/>
  <c r="G433" i="6" s="1"/>
  <c r="I433" i="5"/>
  <c r="K433" i="6" s="1"/>
  <c r="Q433" i="5"/>
  <c r="S433" i="6" s="1"/>
  <c r="U433" i="5"/>
  <c r="W433" i="6" s="1"/>
  <c r="AC433" i="5"/>
  <c r="AE433" i="6" s="1"/>
  <c r="G434" i="5"/>
  <c r="I434" i="6" s="1"/>
  <c r="O434" i="5"/>
  <c r="Q434" i="6" s="1"/>
  <c r="W434" i="5"/>
  <c r="Y434" i="6" s="1"/>
  <c r="AE434" i="5"/>
  <c r="AG434" i="6" s="1"/>
  <c r="M435" i="5"/>
  <c r="O435" i="6" s="1"/>
  <c r="AC435" i="5"/>
  <c r="AE435" i="6" s="1"/>
  <c r="U437" i="5"/>
  <c r="W437" i="6" s="1"/>
  <c r="AA440" i="5"/>
  <c r="AC440" i="6" s="1"/>
  <c r="Q441" i="5"/>
  <c r="S441" i="6" s="1"/>
  <c r="S442" i="5"/>
  <c r="U442" i="6" s="1"/>
  <c r="AE444" i="5"/>
  <c r="AG444" i="6" s="1"/>
  <c r="M445" i="5"/>
  <c r="O445" i="6" s="1"/>
  <c r="U445" i="5"/>
  <c r="W445" i="6" s="1"/>
  <c r="AC445" i="5"/>
  <c r="AE445" i="6" s="1"/>
  <c r="G446" i="5"/>
  <c r="I446" i="6" s="1"/>
  <c r="S446" i="5"/>
  <c r="U446" i="6" s="1"/>
  <c r="AE446" i="5"/>
  <c r="AG446" i="6" s="1"/>
  <c r="Q447" i="5"/>
  <c r="S447" i="6" s="1"/>
  <c r="AG447" i="5"/>
  <c r="AI447" i="6" s="1"/>
  <c r="W448" i="5"/>
  <c r="Y448" i="6" s="1"/>
  <c r="Q449" i="5"/>
  <c r="S449" i="6" s="1"/>
  <c r="E451" i="5"/>
  <c r="G451" i="6" s="1"/>
  <c r="AG453" i="5"/>
  <c r="AI453" i="6" s="1"/>
  <c r="O454" i="5"/>
  <c r="Q454" i="6" s="1"/>
  <c r="AA454" i="5"/>
  <c r="AC454" i="6" s="1"/>
  <c r="I455" i="5"/>
  <c r="K455" i="6" s="1"/>
  <c r="U455" i="5"/>
  <c r="W455" i="6" s="1"/>
  <c r="G456" i="5"/>
  <c r="I456" i="6" s="1"/>
  <c r="S456" i="5"/>
  <c r="U456" i="6" s="1"/>
  <c r="AE456" i="5"/>
  <c r="AG456" i="6" s="1"/>
  <c r="M457" i="5"/>
  <c r="O457" i="6" s="1"/>
  <c r="Y457" i="5"/>
  <c r="AA457" i="6" s="1"/>
  <c r="G458" i="5"/>
  <c r="I458" i="6" s="1"/>
  <c r="S458" i="5"/>
  <c r="U458" i="6" s="1"/>
  <c r="E459" i="5"/>
  <c r="G459" i="6" s="1"/>
  <c r="Q459" i="5"/>
  <c r="S459" i="6" s="1"/>
  <c r="Y459" i="5"/>
  <c r="AA459" i="6" s="1"/>
  <c r="AC459" i="5"/>
  <c r="AE459" i="6" s="1"/>
  <c r="K460" i="5"/>
  <c r="M460" i="6" s="1"/>
  <c r="S460" i="5"/>
  <c r="U460" i="6" s="1"/>
  <c r="AA460" i="5"/>
  <c r="AC460" i="6" s="1"/>
  <c r="E461" i="5"/>
  <c r="G461" i="6" s="1"/>
  <c r="M461" i="5"/>
  <c r="O461" i="6" s="1"/>
  <c r="AC461" i="5"/>
  <c r="AE461" i="6" s="1"/>
  <c r="AE462" i="5"/>
  <c r="AG462" i="6" s="1"/>
  <c r="E465" i="5"/>
  <c r="G465" i="6" s="1"/>
  <c r="M465" i="5"/>
  <c r="O465" i="6" s="1"/>
  <c r="K466" i="5"/>
  <c r="M466" i="6" s="1"/>
  <c r="Q471" i="5"/>
  <c r="S471" i="6" s="1"/>
  <c r="Y471" i="5"/>
  <c r="AA471" i="6" s="1"/>
  <c r="AG471" i="5"/>
  <c r="AI471" i="6" s="1"/>
  <c r="G472" i="5"/>
  <c r="I472" i="6" s="1"/>
  <c r="O472" i="5"/>
  <c r="Q472" i="6" s="1"/>
  <c r="S472" i="5"/>
  <c r="U472" i="6" s="1"/>
  <c r="W472" i="5"/>
  <c r="Y472" i="6" s="1"/>
  <c r="AA472" i="5"/>
  <c r="AC472" i="6" s="1"/>
  <c r="E473" i="5"/>
  <c r="G473" i="6" s="1"/>
  <c r="I473" i="5"/>
  <c r="K473" i="6" s="1"/>
  <c r="Q473" i="5"/>
  <c r="S473" i="6" s="1"/>
  <c r="Y473" i="5"/>
  <c r="AA473" i="6" s="1"/>
  <c r="AC473" i="5"/>
  <c r="AE473" i="6" s="1"/>
  <c r="AG473" i="5"/>
  <c r="AI473" i="6" s="1"/>
  <c r="G474" i="5"/>
  <c r="I474" i="6" s="1"/>
  <c r="K474" i="5"/>
  <c r="M474" i="6" s="1"/>
  <c r="S474" i="5"/>
  <c r="U474" i="6" s="1"/>
  <c r="W474" i="5"/>
  <c r="Y474" i="6" s="1"/>
  <c r="AA474" i="5"/>
  <c r="AC474" i="6" s="1"/>
  <c r="AE474" i="5"/>
  <c r="AG474" i="6" s="1"/>
  <c r="E476" i="5"/>
  <c r="G476" i="6" s="1"/>
  <c r="I476" i="5"/>
  <c r="K476" i="6" s="1"/>
  <c r="Y476" i="5"/>
  <c r="AA476" i="6" s="1"/>
  <c r="AC478" i="5"/>
  <c r="AE478" i="6" s="1"/>
  <c r="W479" i="5"/>
  <c r="Y479" i="6" s="1"/>
  <c r="AA479" i="5"/>
  <c r="AC479" i="6" s="1"/>
  <c r="AE479" i="5"/>
  <c r="AG479" i="6" s="1"/>
  <c r="E480" i="5"/>
  <c r="G480" i="6" s="1"/>
  <c r="I480" i="5"/>
  <c r="K480" i="6" s="1"/>
  <c r="M480" i="5"/>
  <c r="O480" i="6" s="1"/>
  <c r="Q480" i="5"/>
  <c r="S480" i="6" s="1"/>
  <c r="Y480" i="5"/>
  <c r="AA480" i="6" s="1"/>
  <c r="O481" i="5"/>
  <c r="Q481" i="6" s="1"/>
  <c r="AC482" i="5"/>
  <c r="AE482" i="6" s="1"/>
  <c r="G483" i="5"/>
  <c r="I483" i="6" s="1"/>
  <c r="K483" i="5"/>
  <c r="M483" i="6" s="1"/>
  <c r="W483" i="5"/>
  <c r="Y483" i="6" s="1"/>
  <c r="E484" i="5"/>
  <c r="G484" i="6" s="1"/>
  <c r="Q484" i="5"/>
  <c r="S484" i="6" s="1"/>
  <c r="AG484" i="5"/>
  <c r="AI484" i="6" s="1"/>
  <c r="G485" i="5"/>
  <c r="I485" i="6" s="1"/>
  <c r="K485" i="5"/>
  <c r="M485" i="6" s="1"/>
  <c r="O485" i="5"/>
  <c r="Q485" i="6" s="1"/>
  <c r="S485" i="5"/>
  <c r="U485" i="6" s="1"/>
  <c r="W485" i="5"/>
  <c r="Y485" i="6" s="1"/>
  <c r="AA485" i="5"/>
  <c r="AC485" i="6" s="1"/>
  <c r="E486" i="5"/>
  <c r="G486" i="6" s="1"/>
  <c r="U486" i="5"/>
  <c r="W486" i="6" s="1"/>
  <c r="M488" i="5"/>
  <c r="O488" i="6" s="1"/>
  <c r="U488" i="5"/>
  <c r="W488" i="6" s="1"/>
  <c r="AG488" i="5"/>
  <c r="AI488" i="6" s="1"/>
  <c r="W489" i="5"/>
  <c r="Y489" i="6" s="1"/>
  <c r="M490" i="5"/>
  <c r="O490" i="6" s="1"/>
  <c r="Q490" i="5"/>
  <c r="S490" i="6" s="1"/>
  <c r="U490" i="5"/>
  <c r="W490" i="6" s="1"/>
  <c r="Y490" i="5"/>
  <c r="AA490" i="6" s="1"/>
  <c r="AC490" i="5"/>
  <c r="AE490" i="6" s="1"/>
  <c r="AG490" i="5"/>
  <c r="AI490" i="6" s="1"/>
  <c r="G491" i="5"/>
  <c r="I491" i="6" s="1"/>
  <c r="O491" i="5"/>
  <c r="Q491" i="6" s="1"/>
  <c r="AE491" i="5"/>
  <c r="AG491" i="6" s="1"/>
  <c r="W493" i="5"/>
  <c r="Y493" i="6" s="1"/>
  <c r="I494" i="5"/>
  <c r="K494" i="6" s="1"/>
  <c r="I496" i="5"/>
  <c r="K496" i="6" s="1"/>
  <c r="AA497" i="5"/>
  <c r="AC497" i="6" s="1"/>
  <c r="E498" i="5"/>
  <c r="G498" i="6" s="1"/>
  <c r="I498" i="5"/>
  <c r="K498" i="6" s="1"/>
  <c r="M498" i="5"/>
  <c r="O498" i="6" s="1"/>
  <c r="U498" i="5"/>
  <c r="W498" i="6" s="1"/>
  <c r="E500" i="5"/>
  <c r="G500" i="6" s="1"/>
  <c r="M500" i="5"/>
  <c r="O500" i="6" s="1"/>
  <c r="Y500" i="5"/>
  <c r="AA500" i="6" s="1"/>
  <c r="O501" i="5"/>
  <c r="Q501" i="6" s="1"/>
  <c r="E502" i="5"/>
  <c r="G502" i="6" s="1"/>
  <c r="I502" i="5"/>
  <c r="K502" i="6" s="1"/>
  <c r="M502" i="5"/>
  <c r="O502" i="6" s="1"/>
  <c r="Q502" i="5"/>
  <c r="S502" i="6" s="1"/>
  <c r="U502" i="5"/>
  <c r="W502" i="6" s="1"/>
  <c r="Y502" i="5"/>
  <c r="AA502" i="6" s="1"/>
  <c r="AC502" i="5"/>
  <c r="AE502" i="6" s="1"/>
  <c r="G503" i="5"/>
  <c r="I503" i="6" s="1"/>
  <c r="K503" i="5"/>
  <c r="M503" i="6" s="1"/>
  <c r="S503" i="5"/>
  <c r="U503" i="6" s="1"/>
  <c r="AA503" i="5"/>
  <c r="AC503" i="6" s="1"/>
  <c r="Q504" i="5"/>
  <c r="S504" i="6" s="1"/>
  <c r="K505" i="5"/>
  <c r="M505" i="6" s="1"/>
  <c r="O505" i="5"/>
  <c r="Q505" i="6" s="1"/>
  <c r="S505" i="5"/>
  <c r="U505" i="6" s="1"/>
  <c r="W505" i="5"/>
  <c r="Y505" i="6" s="1"/>
  <c r="AA505" i="5"/>
  <c r="AC505" i="6" s="1"/>
  <c r="AE505" i="5"/>
  <c r="AG505" i="6" s="1"/>
  <c r="E506" i="5"/>
  <c r="G506" i="6" s="1"/>
  <c r="M506" i="5"/>
  <c r="O506" i="6" s="1"/>
  <c r="AC506" i="5"/>
  <c r="AE506" i="6" s="1"/>
  <c r="Y508" i="5"/>
  <c r="AA508" i="6" s="1"/>
  <c r="K509" i="5"/>
  <c r="M509" i="6" s="1"/>
  <c r="AC510" i="5"/>
  <c r="AE510" i="6" s="1"/>
  <c r="O511" i="5"/>
  <c r="Q511" i="6" s="1"/>
  <c r="AC512" i="5"/>
  <c r="AE512" i="6" s="1"/>
  <c r="AG512" i="5"/>
  <c r="AI512" i="6" s="1"/>
  <c r="K513" i="5"/>
  <c r="M513" i="6" s="1"/>
  <c r="AA513" i="5"/>
  <c r="AC513" i="6" s="1"/>
  <c r="AC514" i="5"/>
  <c r="AE514" i="6" s="1"/>
  <c r="G515" i="5"/>
  <c r="I515" i="6" s="1"/>
  <c r="K515" i="5"/>
  <c r="M515" i="6" s="1"/>
  <c r="O515" i="5"/>
  <c r="Q515" i="6" s="1"/>
  <c r="S515" i="5"/>
  <c r="U515" i="6" s="1"/>
  <c r="W515" i="5"/>
  <c r="Y515" i="6" s="1"/>
  <c r="AE515" i="5"/>
  <c r="AG515" i="6" s="1"/>
  <c r="G519" i="5"/>
  <c r="I519" i="6" s="1"/>
  <c r="K519" i="5"/>
  <c r="M519" i="6" s="1"/>
  <c r="O519" i="5"/>
  <c r="Q519" i="6" s="1"/>
  <c r="S519" i="5"/>
  <c r="U519" i="6" s="1"/>
  <c r="W519" i="5"/>
  <c r="Y519" i="6" s="1"/>
  <c r="AA519" i="5"/>
  <c r="AC519" i="6" s="1"/>
  <c r="AE519" i="5"/>
  <c r="AG519" i="6" s="1"/>
  <c r="I520" i="5"/>
  <c r="K520" i="6" s="1"/>
  <c r="Q520" i="5"/>
  <c r="S520" i="6" s="1"/>
  <c r="U520" i="5"/>
  <c r="W520" i="6" s="1"/>
  <c r="AC520" i="5"/>
  <c r="AE520" i="6" s="1"/>
  <c r="G521" i="5"/>
  <c r="I521" i="6" s="1"/>
  <c r="O521" i="5"/>
  <c r="Q521" i="6" s="1"/>
  <c r="S521" i="5"/>
  <c r="U521" i="6" s="1"/>
  <c r="AA521" i="5"/>
  <c r="AC521" i="6" s="1"/>
  <c r="E522" i="5"/>
  <c r="G522" i="6" s="1"/>
  <c r="Q522" i="5"/>
  <c r="S522" i="6" s="1"/>
  <c r="AC522" i="5"/>
  <c r="AE522" i="6" s="1"/>
  <c r="O523" i="5"/>
  <c r="Q523" i="6" s="1"/>
  <c r="AA523" i="5"/>
  <c r="AC523" i="6" s="1"/>
  <c r="M524" i="5"/>
  <c r="O524" i="6" s="1"/>
  <c r="Y524" i="5"/>
  <c r="AA524" i="6" s="1"/>
  <c r="G525" i="5"/>
  <c r="I525" i="6" s="1"/>
  <c r="S525" i="5"/>
  <c r="U525" i="6" s="1"/>
  <c r="E526" i="5"/>
  <c r="G526" i="6" s="1"/>
  <c r="U526" i="5"/>
  <c r="W526" i="6" s="1"/>
  <c r="G527" i="5"/>
  <c r="I527" i="6" s="1"/>
  <c r="S527" i="5"/>
  <c r="U527" i="6" s="1"/>
  <c r="AE527" i="5"/>
  <c r="AG527" i="6" s="1"/>
  <c r="I528" i="5"/>
  <c r="K528" i="6" s="1"/>
  <c r="Q528" i="5"/>
  <c r="S528" i="6" s="1"/>
  <c r="Y528" i="5"/>
  <c r="AA528" i="6" s="1"/>
  <c r="G529" i="5"/>
  <c r="I529" i="6" s="1"/>
  <c r="S529" i="5"/>
  <c r="U529" i="6" s="1"/>
  <c r="AE529" i="5"/>
  <c r="AG529" i="6" s="1"/>
  <c r="I530" i="5"/>
  <c r="K530" i="6" s="1"/>
  <c r="Y530" i="5"/>
  <c r="AA530" i="6" s="1"/>
  <c r="G531" i="5"/>
  <c r="I531" i="6" s="1"/>
  <c r="S531" i="5"/>
  <c r="U531" i="6" s="1"/>
  <c r="AE531" i="5"/>
  <c r="AG531" i="6" s="1"/>
  <c r="M532" i="5"/>
  <c r="O532" i="6" s="1"/>
  <c r="Y532" i="5"/>
  <c r="AA532" i="6" s="1"/>
  <c r="G533" i="5"/>
  <c r="I533" i="6" s="1"/>
  <c r="S533" i="5"/>
  <c r="U533" i="6" s="1"/>
  <c r="AE533" i="5"/>
  <c r="AG533" i="6" s="1"/>
  <c r="Q534" i="5"/>
  <c r="S534" i="6" s="1"/>
  <c r="AG534" i="5"/>
  <c r="AI534" i="6" s="1"/>
  <c r="O535" i="5"/>
  <c r="Q535" i="6" s="1"/>
  <c r="AA535" i="5"/>
  <c r="AC535" i="6" s="1"/>
  <c r="AE535" i="5"/>
  <c r="AG535" i="6" s="1"/>
  <c r="M536" i="5"/>
  <c r="O536" i="6" s="1"/>
  <c r="Q536" i="5"/>
  <c r="S536" i="6" s="1"/>
  <c r="AC536" i="5"/>
  <c r="AE536" i="6" s="1"/>
  <c r="K537" i="5"/>
  <c r="M537" i="6" s="1"/>
  <c r="W537" i="5"/>
  <c r="Y537" i="6" s="1"/>
  <c r="E538" i="5"/>
  <c r="G538" i="6" s="1"/>
  <c r="Q538" i="5"/>
  <c r="S538" i="6" s="1"/>
  <c r="AC538" i="5"/>
  <c r="AE538" i="6" s="1"/>
  <c r="K539" i="5"/>
  <c r="M539" i="6" s="1"/>
  <c r="AE539" i="5"/>
  <c r="AG539" i="6" s="1"/>
  <c r="M540" i="5"/>
  <c r="O540" i="6" s="1"/>
  <c r="Y540" i="5"/>
  <c r="AA540" i="6" s="1"/>
  <c r="G541" i="5"/>
  <c r="I541" i="6" s="1"/>
  <c r="S541" i="5"/>
  <c r="U541" i="6" s="1"/>
  <c r="I542" i="5"/>
  <c r="K542" i="6" s="1"/>
  <c r="U542" i="5"/>
  <c r="W542" i="6" s="1"/>
  <c r="AG542" i="5"/>
  <c r="AI542" i="6" s="1"/>
  <c r="O543" i="5"/>
  <c r="Q543" i="6" s="1"/>
  <c r="AA543" i="5"/>
  <c r="AC543" i="6" s="1"/>
  <c r="Q544" i="5"/>
  <c r="S544" i="6" s="1"/>
  <c r="AC544" i="5"/>
  <c r="AE544" i="6" s="1"/>
  <c r="K545" i="5"/>
  <c r="M545" i="6" s="1"/>
  <c r="AA545" i="5"/>
  <c r="AC545" i="6" s="1"/>
  <c r="S548" i="5"/>
  <c r="U548" i="6" s="1"/>
  <c r="AE548" i="5"/>
  <c r="AG548" i="6" s="1"/>
  <c r="M549" i="5"/>
  <c r="O549" i="6" s="1"/>
  <c r="U549" i="5"/>
  <c r="W549" i="6" s="1"/>
  <c r="AC549" i="5"/>
  <c r="AE549" i="6" s="1"/>
  <c r="K550" i="5"/>
  <c r="M550" i="6" s="1"/>
  <c r="S550" i="5"/>
  <c r="U550" i="6" s="1"/>
  <c r="AE550" i="5"/>
  <c r="AG550" i="6" s="1"/>
  <c r="I551" i="5"/>
  <c r="K551" i="6" s="1"/>
  <c r="Q551" i="5"/>
  <c r="S551" i="6" s="1"/>
  <c r="U551" i="5"/>
  <c r="W551" i="6" s="1"/>
  <c r="AG551" i="5"/>
  <c r="AI551" i="6" s="1"/>
  <c r="G552" i="5"/>
  <c r="I552" i="6" s="1"/>
  <c r="S552" i="5"/>
  <c r="U552" i="6" s="1"/>
  <c r="AE552" i="5"/>
  <c r="AG552" i="6" s="1"/>
  <c r="M553" i="5"/>
  <c r="O553" i="6" s="1"/>
  <c r="Y553" i="5"/>
  <c r="AA553" i="6" s="1"/>
  <c r="G554" i="5"/>
  <c r="I554" i="6" s="1"/>
  <c r="O554" i="5"/>
  <c r="Q554" i="6" s="1"/>
  <c r="W554" i="5"/>
  <c r="Y554" i="6" s="1"/>
  <c r="I555" i="5"/>
  <c r="K555" i="6" s="1"/>
  <c r="Y555" i="5"/>
  <c r="AA555" i="6" s="1"/>
  <c r="G557" i="5"/>
  <c r="I557" i="6" s="1"/>
  <c r="S557" i="5"/>
  <c r="U557" i="6" s="1"/>
  <c r="AE557" i="5"/>
  <c r="AG557" i="6" s="1"/>
  <c r="I558" i="5"/>
  <c r="K558" i="6" s="1"/>
  <c r="M558" i="5"/>
  <c r="O558" i="6" s="1"/>
  <c r="Y558" i="5"/>
  <c r="AA558" i="6" s="1"/>
  <c r="AC558" i="5"/>
  <c r="AE558" i="6" s="1"/>
  <c r="O559" i="5"/>
  <c r="Q559" i="6" s="1"/>
  <c r="AE559" i="5"/>
  <c r="AG559" i="6" s="1"/>
  <c r="Q560" i="5"/>
  <c r="S560" i="6" s="1"/>
  <c r="I561" i="5"/>
  <c r="K561" i="6" s="1"/>
  <c r="M561" i="5"/>
  <c r="O561" i="6" s="1"/>
  <c r="Y561" i="5"/>
  <c r="AA561" i="6" s="1"/>
  <c r="AC561" i="5"/>
  <c r="AE561" i="6" s="1"/>
  <c r="G562" i="5"/>
  <c r="I562" i="6" s="1"/>
  <c r="O562" i="5"/>
  <c r="Q562" i="6" s="1"/>
  <c r="W562" i="5"/>
  <c r="Y562" i="6" s="1"/>
  <c r="AA562" i="5"/>
  <c r="AC562" i="6" s="1"/>
  <c r="G564" i="5"/>
  <c r="I564" i="6" s="1"/>
  <c r="G565" i="5"/>
  <c r="I565" i="6" s="1"/>
  <c r="Q565" i="5"/>
  <c r="S565" i="6" s="1"/>
  <c r="G566" i="5"/>
  <c r="I566" i="6" s="1"/>
  <c r="AA566" i="5"/>
  <c r="AC566" i="6" s="1"/>
  <c r="Q567" i="5"/>
  <c r="S567" i="6" s="1"/>
  <c r="I568" i="5"/>
  <c r="K568" i="6" s="1"/>
  <c r="S568" i="5"/>
  <c r="U568" i="6" s="1"/>
  <c r="AC568" i="5"/>
  <c r="AE568" i="6" s="1"/>
  <c r="AB44" i="11" s="1"/>
  <c r="S569" i="5"/>
  <c r="U569" i="6" s="1"/>
  <c r="AC569" i="5"/>
  <c r="AE569" i="6" s="1"/>
  <c r="E585" i="5"/>
  <c r="G585" i="6" s="1"/>
  <c r="M585" i="5"/>
  <c r="O585" i="6" s="1"/>
  <c r="Q585" i="5"/>
  <c r="S585" i="6" s="1"/>
  <c r="U585" i="5"/>
  <c r="W585" i="6" s="1"/>
  <c r="AC585" i="5"/>
  <c r="AE585" i="6" s="1"/>
  <c r="AG585" i="5"/>
  <c r="AI585" i="6" s="1"/>
  <c r="K586" i="5"/>
  <c r="M586" i="6" s="1"/>
  <c r="O586" i="5"/>
  <c r="Q586" i="6" s="1"/>
  <c r="W586" i="5"/>
  <c r="Y586" i="6" s="1"/>
  <c r="AE586" i="5"/>
  <c r="AG586" i="6" s="1"/>
  <c r="I587" i="5"/>
  <c r="K587" i="6" s="1"/>
  <c r="Q587" i="5"/>
  <c r="S587" i="6" s="1"/>
  <c r="Y587" i="5"/>
  <c r="AA587" i="6" s="1"/>
  <c r="G588" i="5"/>
  <c r="I588" i="6" s="1"/>
  <c r="W588" i="5"/>
  <c r="Y588" i="6" s="1"/>
  <c r="AG594" i="5"/>
  <c r="AI594" i="6" s="1"/>
  <c r="S597" i="5"/>
  <c r="U597" i="6" s="1"/>
  <c r="AE597" i="5"/>
  <c r="AG597" i="6" s="1"/>
  <c r="M598" i="5"/>
  <c r="O598" i="6" s="1"/>
  <c r="Y598" i="5"/>
  <c r="AA598" i="6" s="1"/>
  <c r="K599" i="5"/>
  <c r="M599" i="6" s="1"/>
  <c r="AA599" i="5"/>
  <c r="AC599" i="6" s="1"/>
  <c r="I600" i="5"/>
  <c r="K600" i="6" s="1"/>
  <c r="Y600" i="5"/>
  <c r="AA600" i="6" s="1"/>
  <c r="G601" i="5"/>
  <c r="I601" i="6" s="1"/>
  <c r="S601" i="5"/>
  <c r="U601" i="6" s="1"/>
  <c r="AE601" i="5"/>
  <c r="AG601" i="6" s="1"/>
  <c r="M602" i="5"/>
  <c r="O602" i="6" s="1"/>
  <c r="Y602" i="5"/>
  <c r="AA602" i="6" s="1"/>
  <c r="AG602" i="5"/>
  <c r="AI602" i="6" s="1"/>
  <c r="O604" i="5"/>
  <c r="Q604" i="6" s="1"/>
  <c r="AE604" i="5"/>
  <c r="AG604" i="6" s="1"/>
  <c r="M605" i="5"/>
  <c r="O605" i="6" s="1"/>
  <c r="Y605" i="5"/>
  <c r="AA605" i="6" s="1"/>
  <c r="G606" i="5"/>
  <c r="I606" i="6" s="1"/>
  <c r="S606" i="5"/>
  <c r="U606" i="6" s="1"/>
  <c r="AE606" i="5"/>
  <c r="AG606" i="6" s="1"/>
  <c r="I607" i="5"/>
  <c r="K607" i="6" s="1"/>
  <c r="Q607" i="5"/>
  <c r="S607" i="6" s="1"/>
  <c r="U607" i="5"/>
  <c r="W607" i="6" s="1"/>
  <c r="AG607" i="5"/>
  <c r="AI607" i="6" s="1"/>
  <c r="G608" i="5"/>
  <c r="I608" i="6" s="1"/>
  <c r="K608" i="5"/>
  <c r="M608" i="6" s="1"/>
  <c r="L38" i="5"/>
  <c r="N38" i="6" s="1"/>
  <c r="L39" i="5"/>
  <c r="N39" i="6" s="1"/>
  <c r="J40" i="5"/>
  <c r="L40" i="6" s="1"/>
  <c r="D56" i="5"/>
  <c r="F56" i="6" s="1"/>
  <c r="H56" i="5"/>
  <c r="J56" i="6" s="1"/>
  <c r="L56" i="5"/>
  <c r="N56" i="6" s="1"/>
  <c r="P56" i="5"/>
  <c r="R56" i="6" s="1"/>
  <c r="T56" i="5"/>
  <c r="V56" i="6" s="1"/>
  <c r="X56" i="5"/>
  <c r="Z56" i="6" s="1"/>
  <c r="AB56" i="5"/>
  <c r="AD56" i="6" s="1"/>
  <c r="AF56" i="5"/>
  <c r="AH56" i="6" s="1"/>
  <c r="F57" i="5"/>
  <c r="H57" i="6" s="1"/>
  <c r="J57" i="5"/>
  <c r="L57" i="6" s="1"/>
  <c r="N57" i="5"/>
  <c r="P57" i="6" s="1"/>
  <c r="R57" i="5"/>
  <c r="T57" i="6" s="1"/>
  <c r="V57" i="5"/>
  <c r="X57" i="6" s="1"/>
  <c r="Z57" i="5"/>
  <c r="AB57" i="6" s="1"/>
  <c r="AD57" i="5"/>
  <c r="AF57" i="6" s="1"/>
  <c r="D58" i="5"/>
  <c r="F58" i="6" s="1"/>
  <c r="H58" i="5"/>
  <c r="J58" i="6" s="1"/>
  <c r="L58" i="5"/>
  <c r="N58" i="6" s="1"/>
  <c r="P58" i="5"/>
  <c r="R58" i="6" s="1"/>
  <c r="T58" i="5"/>
  <c r="V58" i="6" s="1"/>
  <c r="X58" i="5"/>
  <c r="Z58" i="6" s="1"/>
  <c r="AB58" i="5"/>
  <c r="AD58" i="6" s="1"/>
  <c r="AF58" i="5"/>
  <c r="AH58" i="6" s="1"/>
  <c r="F59" i="5"/>
  <c r="H59" i="6" s="1"/>
  <c r="J59" i="5"/>
  <c r="L59" i="6" s="1"/>
  <c r="N59" i="5"/>
  <c r="P59" i="6" s="1"/>
  <c r="R59" i="5"/>
  <c r="T59" i="6" s="1"/>
  <c r="V59" i="5"/>
  <c r="X59" i="6" s="1"/>
  <c r="Z59" i="5"/>
  <c r="AB59" i="6" s="1"/>
  <c r="AD59" i="5"/>
  <c r="AF59" i="6" s="1"/>
  <c r="D60" i="5"/>
  <c r="F60" i="6" s="1"/>
  <c r="H60" i="5"/>
  <c r="J60" i="6" s="1"/>
  <c r="L60" i="5"/>
  <c r="N60" i="6" s="1"/>
  <c r="P60" i="5"/>
  <c r="R60" i="6" s="1"/>
  <c r="T60" i="5"/>
  <c r="V60" i="6" s="1"/>
  <c r="X60" i="5"/>
  <c r="Z60" i="6" s="1"/>
  <c r="AB60" i="5"/>
  <c r="AD60" i="6" s="1"/>
  <c r="AF60" i="5"/>
  <c r="AH60" i="6" s="1"/>
  <c r="F61" i="5"/>
  <c r="H61" i="6" s="1"/>
  <c r="J61" i="5"/>
  <c r="L61" i="6" s="1"/>
  <c r="N61" i="5"/>
  <c r="P61" i="6" s="1"/>
  <c r="R61" i="5"/>
  <c r="T61" i="6" s="1"/>
  <c r="V61" i="5"/>
  <c r="X61" i="6" s="1"/>
  <c r="Z61" i="5"/>
  <c r="AB61" i="6" s="1"/>
  <c r="AD61" i="5"/>
  <c r="AF61" i="6" s="1"/>
  <c r="D62" i="5"/>
  <c r="F62" i="6" s="1"/>
  <c r="H62" i="5"/>
  <c r="J62" i="6" s="1"/>
  <c r="L62" i="5"/>
  <c r="N62" i="6" s="1"/>
  <c r="D63" i="5"/>
  <c r="F63" i="6" s="1"/>
  <c r="H63" i="5"/>
  <c r="J63" i="6" s="1"/>
  <c r="L63" i="5"/>
  <c r="N63" i="6" s="1"/>
  <c r="P63" i="5"/>
  <c r="R63" i="6" s="1"/>
  <c r="T63" i="5"/>
  <c r="V63" i="6" s="1"/>
  <c r="X63" i="5"/>
  <c r="Z63" i="6" s="1"/>
  <c r="AB63" i="5"/>
  <c r="AD63" i="6" s="1"/>
  <c r="AF63" i="5"/>
  <c r="AH63" i="6" s="1"/>
  <c r="F64" i="5"/>
  <c r="H64" i="6" s="1"/>
  <c r="J64" i="5"/>
  <c r="L64" i="6" s="1"/>
  <c r="N64" i="5"/>
  <c r="P64" i="6" s="1"/>
  <c r="R64" i="5"/>
  <c r="T64" i="6" s="1"/>
  <c r="V64" i="5"/>
  <c r="X64" i="6" s="1"/>
  <c r="Z64" i="5"/>
  <c r="AB64" i="6" s="1"/>
  <c r="AD64" i="5"/>
  <c r="AF64" i="6" s="1"/>
  <c r="D65" i="5"/>
  <c r="F65" i="6" s="1"/>
  <c r="H65" i="5"/>
  <c r="J65" i="6" s="1"/>
  <c r="L65" i="5"/>
  <c r="N65" i="6" s="1"/>
  <c r="P65" i="5"/>
  <c r="R65" i="6" s="1"/>
  <c r="T65" i="5"/>
  <c r="V65" i="6" s="1"/>
  <c r="X65" i="5"/>
  <c r="Z65" i="6" s="1"/>
  <c r="AB65" i="5"/>
  <c r="AD65" i="6" s="1"/>
  <c r="AF65" i="5"/>
  <c r="AH65" i="6" s="1"/>
  <c r="E67" i="5"/>
  <c r="G67" i="6" s="1"/>
  <c r="I67" i="5"/>
  <c r="K67" i="6" s="1"/>
  <c r="M67" i="5"/>
  <c r="O67" i="6" s="1"/>
  <c r="E68" i="5"/>
  <c r="G68" i="6" s="1"/>
  <c r="I68" i="5"/>
  <c r="K68" i="6" s="1"/>
  <c r="M68" i="5"/>
  <c r="O68" i="6" s="1"/>
  <c r="Q68" i="5"/>
  <c r="S68" i="6" s="1"/>
  <c r="U68" i="5"/>
  <c r="W68" i="6" s="1"/>
  <c r="Y68" i="5"/>
  <c r="AA68" i="6" s="1"/>
  <c r="AC68" i="5"/>
  <c r="AE68" i="6" s="1"/>
  <c r="AG68" i="5"/>
  <c r="AI68" i="6" s="1"/>
  <c r="G69" i="5"/>
  <c r="I69" i="6" s="1"/>
  <c r="K69" i="5"/>
  <c r="M69" i="6" s="1"/>
  <c r="O69" i="5"/>
  <c r="Q69" i="6" s="1"/>
  <c r="S69" i="5"/>
  <c r="U69" i="6" s="1"/>
  <c r="W69" i="5"/>
  <c r="Y69" i="6" s="1"/>
  <c r="AA69" i="5"/>
  <c r="AC69" i="6" s="1"/>
  <c r="AE69" i="5"/>
  <c r="AG69" i="6" s="1"/>
  <c r="E70" i="5"/>
  <c r="G70" i="6" s="1"/>
  <c r="I70" i="5"/>
  <c r="K70" i="6" s="1"/>
  <c r="M70" i="5"/>
  <c r="O70" i="6" s="1"/>
  <c r="Q70" i="5"/>
  <c r="S70" i="6" s="1"/>
  <c r="U70" i="5"/>
  <c r="W70" i="6" s="1"/>
  <c r="Y70" i="5"/>
  <c r="AA70" i="6" s="1"/>
  <c r="AC70" i="5"/>
  <c r="AE70" i="6" s="1"/>
  <c r="AG70" i="5"/>
  <c r="AI70" i="6" s="1"/>
  <c r="G72" i="5"/>
  <c r="I72" i="6" s="1"/>
  <c r="K72" i="5"/>
  <c r="M72" i="6" s="1"/>
  <c r="O72" i="5"/>
  <c r="Q72" i="6" s="1"/>
  <c r="S72" i="5"/>
  <c r="U72" i="6" s="1"/>
  <c r="W72" i="5"/>
  <c r="Y72" i="6" s="1"/>
  <c r="AA72" i="5"/>
  <c r="AC72" i="6" s="1"/>
  <c r="AE72" i="5"/>
  <c r="AG72" i="6" s="1"/>
  <c r="E73" i="5"/>
  <c r="G73" i="6" s="1"/>
  <c r="I73" i="5"/>
  <c r="K73" i="6" s="1"/>
  <c r="M73" i="5"/>
  <c r="O73" i="6" s="1"/>
  <c r="Q73" i="5"/>
  <c r="S73" i="6" s="1"/>
  <c r="U73" i="5"/>
  <c r="W73" i="6" s="1"/>
  <c r="Y73" i="5"/>
  <c r="AA73" i="6" s="1"/>
  <c r="AC73" i="5"/>
  <c r="AE73" i="6" s="1"/>
  <c r="AG73" i="5"/>
  <c r="AI73" i="6" s="1"/>
  <c r="D130" i="5"/>
  <c r="F130" i="6" s="1"/>
  <c r="H130" i="5"/>
  <c r="J130" i="6" s="1"/>
  <c r="L130" i="5"/>
  <c r="N130" i="6" s="1"/>
  <c r="P130" i="5"/>
  <c r="R130" i="6" s="1"/>
  <c r="T130" i="5"/>
  <c r="V130" i="6" s="1"/>
  <c r="X130" i="5"/>
  <c r="Z130" i="6" s="1"/>
  <c r="AB130" i="5"/>
  <c r="AD130" i="6" s="1"/>
  <c r="AF130" i="5"/>
  <c r="AH130" i="6" s="1"/>
  <c r="F132" i="5"/>
  <c r="H132" i="6" s="1"/>
  <c r="J132" i="5"/>
  <c r="L132" i="6" s="1"/>
  <c r="N132" i="5"/>
  <c r="P132" i="6" s="1"/>
  <c r="R132" i="5"/>
  <c r="T132" i="6" s="1"/>
  <c r="V132" i="5"/>
  <c r="X132" i="6" s="1"/>
  <c r="Z132" i="5"/>
  <c r="AB132" i="6" s="1"/>
  <c r="AD132" i="5"/>
  <c r="AF132" i="6" s="1"/>
  <c r="D149" i="5"/>
  <c r="F149" i="6" s="1"/>
  <c r="N149" i="5"/>
  <c r="P149" i="6" s="1"/>
  <c r="X149" i="5"/>
  <c r="Z149" i="6" s="1"/>
  <c r="D155" i="5"/>
  <c r="F155" i="6" s="1"/>
  <c r="N155" i="5"/>
  <c r="P155" i="6" s="1"/>
  <c r="X155" i="5"/>
  <c r="Z155" i="6" s="1"/>
  <c r="D156" i="5"/>
  <c r="F156" i="6" s="1"/>
  <c r="N156" i="5"/>
  <c r="P156" i="6" s="1"/>
  <c r="X156" i="5"/>
  <c r="Z156" i="6" s="1"/>
  <c r="D157" i="5"/>
  <c r="F157" i="6" s="1"/>
  <c r="N157" i="5"/>
  <c r="P157" i="6" s="1"/>
  <c r="X157" i="5"/>
  <c r="Z157" i="6" s="1"/>
  <c r="D158" i="5"/>
  <c r="F158" i="6" s="1"/>
  <c r="N158" i="5"/>
  <c r="P158" i="6" s="1"/>
  <c r="X158" i="5"/>
  <c r="Z158" i="6" s="1"/>
  <c r="D159" i="5"/>
  <c r="F159" i="6" s="1"/>
  <c r="N159" i="5"/>
  <c r="P159" i="6" s="1"/>
  <c r="X159" i="5"/>
  <c r="Z159" i="6" s="1"/>
  <c r="D160" i="5"/>
  <c r="F160" i="6" s="1"/>
  <c r="N160" i="5"/>
  <c r="P160" i="6" s="1"/>
  <c r="X160" i="5"/>
  <c r="Z160" i="6" s="1"/>
  <c r="D161" i="5"/>
  <c r="F161" i="6" s="1"/>
  <c r="N161" i="5"/>
  <c r="P161" i="6" s="1"/>
  <c r="X161" i="5"/>
  <c r="Z161" i="6" s="1"/>
  <c r="D162" i="5"/>
  <c r="F162" i="6" s="1"/>
  <c r="N162" i="5"/>
  <c r="P162" i="6" s="1"/>
  <c r="X162" i="5"/>
  <c r="Z162" i="6" s="1"/>
  <c r="D163" i="5"/>
  <c r="F163" i="6" s="1"/>
  <c r="N163" i="5"/>
  <c r="P163" i="6" s="1"/>
  <c r="X163" i="5"/>
  <c r="Z163" i="6" s="1"/>
  <c r="D164" i="5"/>
  <c r="F164" i="6" s="1"/>
  <c r="N164" i="5"/>
  <c r="P164" i="6" s="1"/>
  <c r="X164" i="5"/>
  <c r="Z164" i="6" s="1"/>
  <c r="D165" i="5"/>
  <c r="F165" i="6" s="1"/>
  <c r="N165" i="5"/>
  <c r="P165" i="6" s="1"/>
  <c r="X165" i="5"/>
  <c r="Z165" i="6" s="1"/>
  <c r="D166" i="5"/>
  <c r="F166" i="6" s="1"/>
  <c r="N166" i="5"/>
  <c r="P166" i="6" s="1"/>
  <c r="X166" i="5"/>
  <c r="Z166" i="6" s="1"/>
  <c r="D167" i="5"/>
  <c r="F167" i="6" s="1"/>
  <c r="N167" i="5"/>
  <c r="P167" i="6" s="1"/>
  <c r="X167" i="5"/>
  <c r="Z167" i="6" s="1"/>
  <c r="D168" i="5"/>
  <c r="F168" i="6" s="1"/>
  <c r="N168" i="5"/>
  <c r="P168" i="6" s="1"/>
  <c r="X168" i="5"/>
  <c r="Z168" i="6" s="1"/>
  <c r="D169" i="5"/>
  <c r="F169" i="6" s="1"/>
  <c r="N169" i="5"/>
  <c r="P169" i="6" s="1"/>
  <c r="X169" i="5"/>
  <c r="Z169" i="6" s="1"/>
  <c r="D170" i="5"/>
  <c r="F170" i="6" s="1"/>
  <c r="N170" i="5"/>
  <c r="P170" i="6" s="1"/>
  <c r="X170" i="5"/>
  <c r="Z170" i="6" s="1"/>
  <c r="D171" i="5"/>
  <c r="F171" i="6" s="1"/>
  <c r="N171" i="5"/>
  <c r="P171" i="6" s="1"/>
  <c r="X171" i="5"/>
  <c r="Z171" i="6" s="1"/>
  <c r="M205" i="5"/>
  <c r="O205" i="6" s="1"/>
  <c r="W205" i="5"/>
  <c r="Y205" i="6" s="1"/>
  <c r="AG205" i="5"/>
  <c r="AI205" i="6" s="1"/>
  <c r="Q241" i="5"/>
  <c r="S241" i="6" s="1"/>
  <c r="U241" i="5"/>
  <c r="W241" i="6" s="1"/>
  <c r="O243" i="5"/>
  <c r="Q243" i="6" s="1"/>
  <c r="S243" i="5"/>
  <c r="U243" i="6" s="1"/>
  <c r="W243" i="5"/>
  <c r="Y243" i="6" s="1"/>
  <c r="Z248" i="5"/>
  <c r="AB248" i="6" s="1"/>
  <c r="AD248" i="5"/>
  <c r="AF248" i="6" s="1"/>
  <c r="X254" i="5"/>
  <c r="Z254" i="6" s="1"/>
  <c r="AB254" i="5"/>
  <c r="AD254" i="6" s="1"/>
  <c r="AF254" i="5"/>
  <c r="AH254" i="6" s="1"/>
  <c r="Z255" i="5"/>
  <c r="AB255" i="6" s="1"/>
  <c r="AD255" i="5"/>
  <c r="AF255" i="6" s="1"/>
  <c r="X257" i="5"/>
  <c r="Z257" i="6" s="1"/>
  <c r="AB257" i="5"/>
  <c r="AD257" i="6" s="1"/>
  <c r="AF257" i="5"/>
  <c r="AH257" i="6" s="1"/>
  <c r="P258" i="5"/>
  <c r="R258" i="6" s="1"/>
  <c r="T258" i="5"/>
  <c r="V258" i="6" s="1"/>
  <c r="X258" i="5"/>
  <c r="Z258" i="6" s="1"/>
  <c r="AB258" i="5"/>
  <c r="AD258" i="6" s="1"/>
  <c r="AF258" i="5"/>
  <c r="AH258" i="6" s="1"/>
  <c r="F259" i="5"/>
  <c r="H259" i="6" s="1"/>
  <c r="J259" i="5"/>
  <c r="L259" i="6" s="1"/>
  <c r="N259" i="5"/>
  <c r="P259" i="6" s="1"/>
  <c r="R259" i="5"/>
  <c r="T259" i="6" s="1"/>
  <c r="V259" i="5"/>
  <c r="X259" i="6" s="1"/>
  <c r="Z259" i="5"/>
  <c r="AB259" i="6" s="1"/>
  <c r="AD259" i="5"/>
  <c r="AF259" i="6" s="1"/>
  <c r="D260" i="5"/>
  <c r="F260" i="6" s="1"/>
  <c r="H260" i="5"/>
  <c r="J260" i="6" s="1"/>
  <c r="L260" i="5"/>
  <c r="N260" i="6" s="1"/>
  <c r="P260" i="5"/>
  <c r="R260" i="6" s="1"/>
  <c r="T260" i="5"/>
  <c r="V260" i="6" s="1"/>
  <c r="X260" i="5"/>
  <c r="Z260" i="6" s="1"/>
  <c r="AB260" i="5"/>
  <c r="AD260" i="6" s="1"/>
  <c r="AF260" i="5"/>
  <c r="AH260" i="6" s="1"/>
  <c r="F261" i="5"/>
  <c r="H261" i="6" s="1"/>
  <c r="J261" i="5"/>
  <c r="L261" i="6" s="1"/>
  <c r="N261" i="5"/>
  <c r="P261" i="6" s="1"/>
  <c r="R261" i="5"/>
  <c r="T261" i="6" s="1"/>
  <c r="V261" i="5"/>
  <c r="X261" i="6" s="1"/>
  <c r="Z261" i="5"/>
  <c r="AB261" i="6" s="1"/>
  <c r="AD261" i="5"/>
  <c r="AF261" i="6" s="1"/>
  <c r="D262" i="5"/>
  <c r="F262" i="6" s="1"/>
  <c r="H262" i="5"/>
  <c r="J262" i="6" s="1"/>
  <c r="L262" i="5"/>
  <c r="N262" i="6" s="1"/>
  <c r="P262" i="5"/>
  <c r="R262" i="6" s="1"/>
  <c r="T262" i="5"/>
  <c r="V262" i="6" s="1"/>
  <c r="X262" i="5"/>
  <c r="Z262" i="6" s="1"/>
  <c r="AB262" i="5"/>
  <c r="AD262" i="6" s="1"/>
  <c r="AF262" i="5"/>
  <c r="AH262" i="6" s="1"/>
  <c r="P263" i="5"/>
  <c r="R263" i="6" s="1"/>
  <c r="T263" i="5"/>
  <c r="V263" i="6" s="1"/>
  <c r="X263" i="5"/>
  <c r="Z263" i="6" s="1"/>
  <c r="AB263" i="5"/>
  <c r="AD263" i="6" s="1"/>
  <c r="AF263" i="5"/>
  <c r="AH263" i="6" s="1"/>
  <c r="F264" i="5"/>
  <c r="H264" i="6" s="1"/>
  <c r="J264" i="5"/>
  <c r="L264" i="6" s="1"/>
  <c r="N264" i="5"/>
  <c r="P264" i="6" s="1"/>
  <c r="R264" i="5"/>
  <c r="T264" i="6" s="1"/>
  <c r="V264" i="5"/>
  <c r="X264" i="6" s="1"/>
  <c r="Z264" i="5"/>
  <c r="AB264" i="6" s="1"/>
  <c r="AD264" i="5"/>
  <c r="AF264" i="6" s="1"/>
  <c r="D265" i="5"/>
  <c r="F265" i="6" s="1"/>
  <c r="H265" i="5"/>
  <c r="J265" i="6" s="1"/>
  <c r="L265" i="5"/>
  <c r="N265" i="6" s="1"/>
  <c r="Z265" i="5"/>
  <c r="AB265" i="6" s="1"/>
  <c r="AD265" i="5"/>
  <c r="AF265" i="6" s="1"/>
  <c r="D266" i="5"/>
  <c r="F266" i="6" s="1"/>
  <c r="H266" i="5"/>
  <c r="J266" i="6" s="1"/>
  <c r="L266" i="5"/>
  <c r="N266" i="6" s="1"/>
  <c r="Z266" i="5"/>
  <c r="AB266" i="6" s="1"/>
  <c r="AD266" i="5"/>
  <c r="AF266" i="6" s="1"/>
  <c r="D267" i="5"/>
  <c r="F267" i="6" s="1"/>
  <c r="H267" i="5"/>
  <c r="J267" i="6" s="1"/>
  <c r="L267" i="5"/>
  <c r="N267" i="6" s="1"/>
  <c r="Z267" i="5"/>
  <c r="AB267" i="6" s="1"/>
  <c r="AD267" i="5"/>
  <c r="AF267" i="6" s="1"/>
  <c r="D270" i="5"/>
  <c r="F270" i="6" s="1"/>
  <c r="H270" i="5"/>
  <c r="J270" i="6" s="1"/>
  <c r="L270" i="5"/>
  <c r="N270" i="6" s="1"/>
  <c r="P270" i="5"/>
  <c r="R270" i="6" s="1"/>
  <c r="T270" i="5"/>
  <c r="V270" i="6" s="1"/>
  <c r="X270" i="5"/>
  <c r="Z270" i="6" s="1"/>
  <c r="AB270" i="5"/>
  <c r="AD270" i="6" s="1"/>
  <c r="AF270" i="5"/>
  <c r="AH270" i="6" s="1"/>
  <c r="F271" i="5"/>
  <c r="H271" i="6" s="1"/>
  <c r="J271" i="5"/>
  <c r="L271" i="6" s="1"/>
  <c r="N271" i="5"/>
  <c r="P271" i="6" s="1"/>
  <c r="R271" i="5"/>
  <c r="T271" i="6" s="1"/>
  <c r="V271" i="5"/>
  <c r="X271" i="6" s="1"/>
  <c r="Z271" i="5"/>
  <c r="AB271" i="6" s="1"/>
  <c r="AD271" i="5"/>
  <c r="AF271" i="6" s="1"/>
  <c r="D273" i="5"/>
  <c r="F273" i="6" s="1"/>
  <c r="H273" i="5"/>
  <c r="J273" i="6" s="1"/>
  <c r="L273" i="5"/>
  <c r="N273" i="6" s="1"/>
  <c r="Z273" i="5"/>
  <c r="AB273" i="6" s="1"/>
  <c r="AD273" i="5"/>
  <c r="AF273" i="6" s="1"/>
  <c r="D283" i="5"/>
  <c r="F283" i="6" s="1"/>
  <c r="H283" i="5"/>
  <c r="J283" i="6" s="1"/>
  <c r="L283" i="5"/>
  <c r="N283" i="6" s="1"/>
  <c r="P283" i="5"/>
  <c r="R283" i="6" s="1"/>
  <c r="T283" i="5"/>
  <c r="V283" i="6" s="1"/>
  <c r="X283" i="5"/>
  <c r="Z283" i="6" s="1"/>
  <c r="AB283" i="5"/>
  <c r="AD283" i="6" s="1"/>
  <c r="AF283" i="5"/>
  <c r="AH283" i="6" s="1"/>
  <c r="P285" i="5"/>
  <c r="R285" i="6" s="1"/>
  <c r="T285" i="5"/>
  <c r="V285" i="6" s="1"/>
  <c r="D288" i="5"/>
  <c r="F288" i="6" s="1"/>
  <c r="H288" i="5"/>
  <c r="J288" i="6" s="1"/>
  <c r="L288" i="5"/>
  <c r="N288" i="6" s="1"/>
  <c r="P288" i="5"/>
  <c r="R288" i="6" s="1"/>
  <c r="T288" i="5"/>
  <c r="V288" i="6" s="1"/>
  <c r="X288" i="5"/>
  <c r="Z288" i="6" s="1"/>
  <c r="AB288" i="5"/>
  <c r="AD288" i="6" s="1"/>
  <c r="AF288" i="5"/>
  <c r="AH288" i="6" s="1"/>
  <c r="F289" i="5"/>
  <c r="H289" i="6" s="1"/>
  <c r="J289" i="5"/>
  <c r="L289" i="6" s="1"/>
  <c r="N289" i="5"/>
  <c r="P289" i="6" s="1"/>
  <c r="R289" i="5"/>
  <c r="T289" i="6" s="1"/>
  <c r="V289" i="5"/>
  <c r="X289" i="6" s="1"/>
  <c r="Z290" i="5"/>
  <c r="AB290" i="6" s="1"/>
  <c r="AD290" i="5"/>
  <c r="AF290" i="6" s="1"/>
  <c r="D292" i="5"/>
  <c r="F292" i="6" s="1"/>
  <c r="H292" i="5"/>
  <c r="J292" i="6" s="1"/>
  <c r="L292" i="5"/>
  <c r="N292" i="6" s="1"/>
  <c r="P292" i="5"/>
  <c r="R292" i="6" s="1"/>
  <c r="T292" i="5"/>
  <c r="V292" i="6" s="1"/>
  <c r="X292" i="5"/>
  <c r="Z292" i="6" s="1"/>
  <c r="AB292" i="5"/>
  <c r="AD292" i="6" s="1"/>
  <c r="AF292" i="5"/>
  <c r="AH292" i="6" s="1"/>
  <c r="J301" i="5"/>
  <c r="L301" i="6" s="1"/>
  <c r="T301" i="5"/>
  <c r="V301" i="6" s="1"/>
  <c r="AD301" i="5"/>
  <c r="AF301" i="6" s="1"/>
  <c r="J302" i="5"/>
  <c r="L302" i="6" s="1"/>
  <c r="T302" i="5"/>
  <c r="V302" i="6" s="1"/>
  <c r="AD302" i="5"/>
  <c r="AF302" i="6" s="1"/>
  <c r="J307" i="5"/>
  <c r="L307" i="6" s="1"/>
  <c r="T307" i="5"/>
  <c r="V307" i="6" s="1"/>
  <c r="AD307" i="5"/>
  <c r="AF307" i="6" s="1"/>
  <c r="T308" i="5"/>
  <c r="V308" i="6" s="1"/>
  <c r="J310" i="5"/>
  <c r="L310" i="6" s="1"/>
  <c r="T310" i="5"/>
  <c r="V310" i="6" s="1"/>
  <c r="AD310" i="5"/>
  <c r="AF310" i="6" s="1"/>
  <c r="J313" i="5"/>
  <c r="L313" i="6" s="1"/>
  <c r="T313" i="5"/>
  <c r="V313" i="6" s="1"/>
  <c r="AD313" i="5"/>
  <c r="AF313" i="6" s="1"/>
  <c r="T314" i="5"/>
  <c r="V314" i="6" s="1"/>
  <c r="AD314" i="5"/>
  <c r="AF314" i="6" s="1"/>
  <c r="T318" i="5"/>
  <c r="V318" i="6" s="1"/>
  <c r="AD318" i="5"/>
  <c r="AF318" i="6" s="1"/>
  <c r="X324" i="5"/>
  <c r="Z324" i="6" s="1"/>
  <c r="N325" i="5"/>
  <c r="P325" i="6" s="1"/>
  <c r="X327" i="5"/>
  <c r="Z327" i="6" s="1"/>
  <c r="P328" i="5"/>
  <c r="R328" i="6" s="1"/>
  <c r="Z328" i="5"/>
  <c r="AB328" i="6" s="1"/>
  <c r="N333" i="5"/>
  <c r="P333" i="6" s="1"/>
  <c r="D335" i="5"/>
  <c r="F335" i="6" s="1"/>
  <c r="N335" i="5"/>
  <c r="P335" i="6" s="1"/>
  <c r="N338" i="5"/>
  <c r="P338" i="6" s="1"/>
  <c r="Y341" i="5"/>
  <c r="AA341" i="6" s="1"/>
  <c r="J343" i="5"/>
  <c r="L343" i="6" s="1"/>
  <c r="T343" i="5"/>
  <c r="V343" i="6" s="1"/>
  <c r="AD343" i="5"/>
  <c r="AF343" i="6" s="1"/>
  <c r="AD347" i="5"/>
  <c r="AF347" i="6" s="1"/>
  <c r="T348" i="5"/>
  <c r="V348" i="6" s="1"/>
  <c r="O350" i="5"/>
  <c r="Q350" i="6" s="1"/>
  <c r="AD352" i="5"/>
  <c r="AF352" i="6" s="1"/>
  <c r="Q353" i="5"/>
  <c r="S353" i="6" s="1"/>
  <c r="D357" i="5"/>
  <c r="F357" i="6" s="1"/>
  <c r="H357" i="5"/>
  <c r="J357" i="6" s="1"/>
  <c r="L357" i="5"/>
  <c r="N357" i="6" s="1"/>
  <c r="P357" i="5"/>
  <c r="R357" i="6" s="1"/>
  <c r="T357" i="5"/>
  <c r="V357" i="6" s="1"/>
  <c r="X357" i="5"/>
  <c r="Z357" i="6" s="1"/>
  <c r="AB357" i="5"/>
  <c r="AD357" i="6" s="1"/>
  <c r="AF357" i="5"/>
  <c r="AH357" i="6" s="1"/>
  <c r="F358" i="5"/>
  <c r="H358" i="6" s="1"/>
  <c r="J358" i="5"/>
  <c r="L358" i="6" s="1"/>
  <c r="N358" i="5"/>
  <c r="P358" i="6" s="1"/>
  <c r="R358" i="5"/>
  <c r="T358" i="6" s="1"/>
  <c r="V358" i="5"/>
  <c r="X358" i="6" s="1"/>
  <c r="Z358" i="5"/>
  <c r="AB358" i="6" s="1"/>
  <c r="AD358" i="5"/>
  <c r="AF358" i="6" s="1"/>
  <c r="D359" i="5"/>
  <c r="F359" i="6" s="1"/>
  <c r="H359" i="5"/>
  <c r="J359" i="6" s="1"/>
  <c r="L359" i="5"/>
  <c r="N359" i="6" s="1"/>
  <c r="P359" i="5"/>
  <c r="R359" i="6" s="1"/>
  <c r="T359" i="5"/>
  <c r="V359" i="6" s="1"/>
  <c r="X359" i="5"/>
  <c r="Z359" i="6" s="1"/>
  <c r="AB359" i="5"/>
  <c r="AD359" i="6" s="1"/>
  <c r="AF359" i="5"/>
  <c r="AH359" i="6" s="1"/>
  <c r="F360" i="5"/>
  <c r="H360" i="6" s="1"/>
  <c r="J360" i="5"/>
  <c r="L360" i="6" s="1"/>
  <c r="N360" i="5"/>
  <c r="P360" i="6" s="1"/>
  <c r="R360" i="5"/>
  <c r="T360" i="6" s="1"/>
  <c r="V360" i="5"/>
  <c r="X360" i="6" s="1"/>
  <c r="Z360" i="5"/>
  <c r="AB360" i="6" s="1"/>
  <c r="AD360" i="5"/>
  <c r="AF360" i="6" s="1"/>
  <c r="D361" i="5"/>
  <c r="F361" i="6" s="1"/>
  <c r="H361" i="5"/>
  <c r="J361" i="6" s="1"/>
  <c r="L361" i="5"/>
  <c r="N361" i="6" s="1"/>
  <c r="P361" i="5"/>
  <c r="R361" i="6" s="1"/>
  <c r="T361" i="5"/>
  <c r="V361" i="6" s="1"/>
  <c r="X361" i="5"/>
  <c r="Z361" i="6" s="1"/>
  <c r="AB361" i="5"/>
  <c r="AD361" i="6" s="1"/>
  <c r="AF361" i="5"/>
  <c r="AH361" i="6" s="1"/>
  <c r="F362" i="5"/>
  <c r="H362" i="6" s="1"/>
  <c r="J362" i="5"/>
  <c r="L362" i="6" s="1"/>
  <c r="N362" i="5"/>
  <c r="P362" i="6" s="1"/>
  <c r="R362" i="5"/>
  <c r="T362" i="6" s="1"/>
  <c r="V362" i="5"/>
  <c r="X362" i="6" s="1"/>
  <c r="Z362" i="5"/>
  <c r="AB362" i="6" s="1"/>
  <c r="AD362" i="5"/>
  <c r="AF362" i="6" s="1"/>
  <c r="D363" i="5"/>
  <c r="F363" i="6" s="1"/>
  <c r="H363" i="5"/>
  <c r="J363" i="6" s="1"/>
  <c r="L363" i="5"/>
  <c r="N363" i="6" s="1"/>
  <c r="P363" i="5"/>
  <c r="R363" i="6" s="1"/>
  <c r="T363" i="5"/>
  <c r="V363" i="6" s="1"/>
  <c r="X363" i="5"/>
  <c r="Z363" i="6" s="1"/>
  <c r="AB363" i="5"/>
  <c r="AD363" i="6" s="1"/>
  <c r="AF363" i="5"/>
  <c r="AH363" i="6" s="1"/>
  <c r="F364" i="5"/>
  <c r="H364" i="6" s="1"/>
  <c r="J364" i="5"/>
  <c r="L364" i="6" s="1"/>
  <c r="N364" i="5"/>
  <c r="P364" i="6" s="1"/>
  <c r="R364" i="5"/>
  <c r="T364" i="6" s="1"/>
  <c r="V364" i="5"/>
  <c r="X364" i="6" s="1"/>
  <c r="Z364" i="5"/>
  <c r="AB364" i="6" s="1"/>
  <c r="AD364" i="5"/>
  <c r="AF364" i="6" s="1"/>
  <c r="D365" i="5"/>
  <c r="F365" i="6" s="1"/>
  <c r="H365" i="5"/>
  <c r="J365" i="6" s="1"/>
  <c r="L365" i="5"/>
  <c r="N365" i="6" s="1"/>
  <c r="P365" i="5"/>
  <c r="R365" i="6" s="1"/>
  <c r="T365" i="5"/>
  <c r="V365" i="6" s="1"/>
  <c r="X365" i="5"/>
  <c r="Z365" i="6" s="1"/>
  <c r="AB365" i="5"/>
  <c r="AD365" i="6" s="1"/>
  <c r="AF365" i="5"/>
  <c r="AH365" i="6" s="1"/>
  <c r="F366" i="5"/>
  <c r="H366" i="6" s="1"/>
  <c r="J366" i="5"/>
  <c r="L366" i="6" s="1"/>
  <c r="N366" i="5"/>
  <c r="P366" i="6" s="1"/>
  <c r="R366" i="5"/>
  <c r="T366" i="6" s="1"/>
  <c r="V366" i="5"/>
  <c r="X366" i="6" s="1"/>
  <c r="Z366" i="5"/>
  <c r="AB366" i="6" s="1"/>
  <c r="AD366" i="5"/>
  <c r="AF366" i="6" s="1"/>
  <c r="D367" i="5"/>
  <c r="F367" i="6" s="1"/>
  <c r="H367" i="5"/>
  <c r="J367" i="6" s="1"/>
  <c r="L367" i="5"/>
  <c r="N367" i="6" s="1"/>
  <c r="P367" i="5"/>
  <c r="R367" i="6" s="1"/>
  <c r="T367" i="5"/>
  <c r="V367" i="6" s="1"/>
  <c r="X367" i="5"/>
  <c r="Z367" i="6" s="1"/>
  <c r="AB367" i="5"/>
  <c r="AD367" i="6" s="1"/>
  <c r="AF367" i="5"/>
  <c r="AH367" i="6" s="1"/>
  <c r="F368" i="5"/>
  <c r="H368" i="6" s="1"/>
  <c r="J368" i="5"/>
  <c r="L368" i="6" s="1"/>
  <c r="N368" i="5"/>
  <c r="P368" i="6" s="1"/>
  <c r="R368" i="5"/>
  <c r="T368" i="6" s="1"/>
  <c r="V368" i="5"/>
  <c r="X368" i="6" s="1"/>
  <c r="Z368" i="5"/>
  <c r="AB368" i="6" s="1"/>
  <c r="AD368" i="5"/>
  <c r="AF368" i="6" s="1"/>
  <c r="D369" i="5"/>
  <c r="F369" i="6" s="1"/>
  <c r="H369" i="5"/>
  <c r="J369" i="6" s="1"/>
  <c r="L369" i="5"/>
  <c r="N369" i="6" s="1"/>
  <c r="P369" i="5"/>
  <c r="R369" i="6" s="1"/>
  <c r="T369" i="5"/>
  <c r="V369" i="6" s="1"/>
  <c r="X369" i="5"/>
  <c r="Z369" i="6" s="1"/>
  <c r="AB369" i="5"/>
  <c r="AD369" i="6" s="1"/>
  <c r="AF369" i="5"/>
  <c r="AH369" i="6" s="1"/>
  <c r="F370" i="5"/>
  <c r="H370" i="6" s="1"/>
  <c r="J370" i="5"/>
  <c r="L370" i="6" s="1"/>
  <c r="N370" i="5"/>
  <c r="P370" i="6" s="1"/>
  <c r="R370" i="5"/>
  <c r="T370" i="6" s="1"/>
  <c r="V370" i="5"/>
  <c r="X370" i="6" s="1"/>
  <c r="Z370" i="5"/>
  <c r="AB370" i="6" s="1"/>
  <c r="AD370" i="5"/>
  <c r="AF370" i="6" s="1"/>
  <c r="D371" i="5"/>
  <c r="F371" i="6" s="1"/>
  <c r="H371" i="5"/>
  <c r="J371" i="6" s="1"/>
  <c r="L371" i="5"/>
  <c r="N371" i="6" s="1"/>
  <c r="P371" i="5"/>
  <c r="R371" i="6" s="1"/>
  <c r="T371" i="5"/>
  <c r="V371" i="6" s="1"/>
  <c r="J39" i="5"/>
  <c r="L39" i="6" s="1"/>
  <c r="K60" i="5"/>
  <c r="M60" i="6" s="1"/>
  <c r="AA60" i="5"/>
  <c r="AC60" i="6" s="1"/>
  <c r="M61" i="5"/>
  <c r="O61" i="6" s="1"/>
  <c r="AC61" i="5"/>
  <c r="AE61" i="6" s="1"/>
  <c r="G63" i="5"/>
  <c r="I63" i="6" s="1"/>
  <c r="O63" i="5"/>
  <c r="Q63" i="6" s="1"/>
  <c r="AA63" i="5"/>
  <c r="AC63" i="6" s="1"/>
  <c r="M64" i="5"/>
  <c r="O64" i="6" s="1"/>
  <c r="Y64" i="5"/>
  <c r="AA64" i="6" s="1"/>
  <c r="G65" i="5"/>
  <c r="I65" i="6" s="1"/>
  <c r="O65" i="5"/>
  <c r="Q65" i="6" s="1"/>
  <c r="W65" i="5"/>
  <c r="Y65" i="6" s="1"/>
  <c r="AE65" i="5"/>
  <c r="AG65" i="6" s="1"/>
  <c r="D67" i="5"/>
  <c r="F67" i="6" s="1"/>
  <c r="H67" i="5"/>
  <c r="J67" i="6" s="1"/>
  <c r="L67" i="5"/>
  <c r="N67" i="6" s="1"/>
  <c r="D68" i="5"/>
  <c r="F68" i="6" s="1"/>
  <c r="P68" i="5"/>
  <c r="R68" i="6" s="1"/>
  <c r="AB68" i="5"/>
  <c r="AD68" i="6" s="1"/>
  <c r="J69" i="5"/>
  <c r="L69" i="6" s="1"/>
  <c r="V69" i="5"/>
  <c r="X69" i="6" s="1"/>
  <c r="D70" i="5"/>
  <c r="F70" i="6" s="1"/>
  <c r="X70" i="5"/>
  <c r="Z70" i="6" s="1"/>
  <c r="J72" i="5"/>
  <c r="L72" i="6" s="1"/>
  <c r="R72" i="5"/>
  <c r="T72" i="6" s="1"/>
  <c r="S130" i="5"/>
  <c r="U130" i="6" s="1"/>
  <c r="AE130" i="5"/>
  <c r="AG130" i="6" s="1"/>
  <c r="Q132" i="5"/>
  <c r="S132" i="6" s="1"/>
  <c r="AG132" i="5"/>
  <c r="AI132" i="6" s="1"/>
  <c r="AF149" i="5"/>
  <c r="AH149" i="6" s="1"/>
  <c r="AF155" i="5"/>
  <c r="AH155" i="6" s="1"/>
  <c r="L157" i="5"/>
  <c r="N157" i="6" s="1"/>
  <c r="V158" i="5"/>
  <c r="X158" i="6" s="1"/>
  <c r="L159" i="5"/>
  <c r="N159" i="6" s="1"/>
  <c r="L160" i="5"/>
  <c r="N160" i="6" s="1"/>
  <c r="L161" i="5"/>
  <c r="N161" i="6" s="1"/>
  <c r="V162" i="5"/>
  <c r="X162" i="6" s="1"/>
  <c r="AF163" i="5"/>
  <c r="AH163" i="6" s="1"/>
  <c r="V165" i="5"/>
  <c r="X165" i="6" s="1"/>
  <c r="L166" i="5"/>
  <c r="N166" i="6" s="1"/>
  <c r="L167" i="5"/>
  <c r="N167" i="6" s="1"/>
  <c r="L168" i="5"/>
  <c r="N168" i="6" s="1"/>
  <c r="V169" i="5"/>
  <c r="X169" i="6" s="1"/>
  <c r="AF170" i="5"/>
  <c r="AH170" i="6" s="1"/>
  <c r="AF171" i="5"/>
  <c r="AH171" i="6" s="1"/>
  <c r="AE205" i="5"/>
  <c r="AG205" i="6" s="1"/>
  <c r="V243" i="5"/>
  <c r="X243" i="6" s="1"/>
  <c r="AA254" i="5"/>
  <c r="AC254" i="6" s="1"/>
  <c r="AG255" i="5"/>
  <c r="AI255" i="6" s="1"/>
  <c r="W258" i="5"/>
  <c r="Y258" i="6" s="1"/>
  <c r="E259" i="5"/>
  <c r="G259" i="6" s="1"/>
  <c r="M259" i="5"/>
  <c r="O259" i="6" s="1"/>
  <c r="Y259" i="5"/>
  <c r="AA259" i="6" s="1"/>
  <c r="G260" i="5"/>
  <c r="I260" i="6" s="1"/>
  <c r="S260" i="5"/>
  <c r="U260" i="6" s="1"/>
  <c r="AE260" i="5"/>
  <c r="AG260" i="6" s="1"/>
  <c r="U261" i="5"/>
  <c r="W261" i="6" s="1"/>
  <c r="AG261" i="5"/>
  <c r="AI261" i="6" s="1"/>
  <c r="S262" i="5"/>
  <c r="U262" i="6" s="1"/>
  <c r="O263" i="5"/>
  <c r="Q263" i="6" s="1"/>
  <c r="AA263" i="5"/>
  <c r="AC263" i="6" s="1"/>
  <c r="M264" i="5"/>
  <c r="O264" i="6" s="1"/>
  <c r="AC264" i="5"/>
  <c r="AE264" i="6" s="1"/>
  <c r="G265" i="5"/>
  <c r="I265" i="6" s="1"/>
  <c r="AC265" i="5"/>
  <c r="AE265" i="6" s="1"/>
  <c r="K266" i="5"/>
  <c r="M266" i="6" s="1"/>
  <c r="AG266" i="5"/>
  <c r="AI266" i="6" s="1"/>
  <c r="Y267" i="5"/>
  <c r="AA267" i="6" s="1"/>
  <c r="G270" i="5"/>
  <c r="I270" i="6" s="1"/>
  <c r="O270" i="5"/>
  <c r="Q270" i="6" s="1"/>
  <c r="AA270" i="5"/>
  <c r="AC270" i="6" s="1"/>
  <c r="E271" i="5"/>
  <c r="G271" i="6" s="1"/>
  <c r="U271" i="5"/>
  <c r="W271" i="6" s="1"/>
  <c r="AG271" i="5"/>
  <c r="AI271" i="6" s="1"/>
  <c r="K273" i="5"/>
  <c r="M273" i="6" s="1"/>
  <c r="AG273" i="5"/>
  <c r="AI273" i="6" s="1"/>
  <c r="W283" i="5"/>
  <c r="Y283" i="6" s="1"/>
  <c r="O285" i="5"/>
  <c r="Q285" i="6" s="1"/>
  <c r="K288" i="5"/>
  <c r="M288" i="6" s="1"/>
  <c r="W288" i="5"/>
  <c r="Y288" i="6" s="1"/>
  <c r="I289" i="5"/>
  <c r="K289" i="6" s="1"/>
  <c r="U289" i="5"/>
  <c r="W289" i="6" s="1"/>
  <c r="AC290" i="5"/>
  <c r="AE290" i="6" s="1"/>
  <c r="K292" i="5"/>
  <c r="M292" i="6" s="1"/>
  <c r="W292" i="5"/>
  <c r="Y292" i="6" s="1"/>
  <c r="G301" i="5"/>
  <c r="I301" i="6" s="1"/>
  <c r="G302" i="5"/>
  <c r="I302" i="6" s="1"/>
  <c r="G307" i="5"/>
  <c r="I307" i="6" s="1"/>
  <c r="Q308" i="5"/>
  <c r="S308" i="6" s="1"/>
  <c r="G313" i="5"/>
  <c r="I313" i="6" s="1"/>
  <c r="AA314" i="5"/>
  <c r="AC314" i="6" s="1"/>
  <c r="R321" i="5"/>
  <c r="T321" i="6" s="1"/>
  <c r="AF327" i="5"/>
  <c r="AH327" i="6" s="1"/>
  <c r="V333" i="5"/>
  <c r="X333" i="6" s="1"/>
  <c r="V338" i="5"/>
  <c r="X338" i="6" s="1"/>
  <c r="AA343" i="5"/>
  <c r="AC343" i="6" s="1"/>
  <c r="Q348" i="5"/>
  <c r="S348" i="6" s="1"/>
  <c r="O353" i="5"/>
  <c r="Q353" i="6" s="1"/>
  <c r="K357" i="5"/>
  <c r="M357" i="6" s="1"/>
  <c r="W357" i="5"/>
  <c r="Y357" i="6" s="1"/>
  <c r="E358" i="5"/>
  <c r="G358" i="6" s="1"/>
  <c r="Q358" i="5"/>
  <c r="S358" i="6" s="1"/>
  <c r="AC358" i="5"/>
  <c r="AE358" i="6" s="1"/>
  <c r="AG358" i="5"/>
  <c r="AI358" i="6" s="1"/>
  <c r="O359" i="5"/>
  <c r="Q359" i="6" s="1"/>
  <c r="AA359" i="5"/>
  <c r="AC359" i="6" s="1"/>
  <c r="M360" i="5"/>
  <c r="O360" i="6" s="1"/>
  <c r="Y360" i="5"/>
  <c r="AA360" i="6" s="1"/>
  <c r="G361" i="5"/>
  <c r="I361" i="6" s="1"/>
  <c r="S361" i="5"/>
  <c r="U361" i="6" s="1"/>
  <c r="AE361" i="5"/>
  <c r="AG361" i="6" s="1"/>
  <c r="M362" i="5"/>
  <c r="O362" i="6" s="1"/>
  <c r="Y362" i="5"/>
  <c r="AA362" i="6" s="1"/>
  <c r="O363" i="5"/>
  <c r="Q363" i="6" s="1"/>
  <c r="E364" i="5"/>
  <c r="G364" i="6" s="1"/>
  <c r="Q364" i="5"/>
  <c r="S364" i="6" s="1"/>
  <c r="AG364" i="5"/>
  <c r="AI364" i="6" s="1"/>
  <c r="O365" i="5"/>
  <c r="Q365" i="6" s="1"/>
  <c r="AE365" i="5"/>
  <c r="AG365" i="6" s="1"/>
  <c r="Q366" i="5"/>
  <c r="S366" i="6" s="1"/>
  <c r="AG366" i="5"/>
  <c r="AI366" i="6" s="1"/>
  <c r="O367" i="5"/>
  <c r="Q367" i="6" s="1"/>
  <c r="AA367" i="5"/>
  <c r="AC367" i="6" s="1"/>
  <c r="M368" i="5"/>
  <c r="O368" i="6" s="1"/>
  <c r="U368" i="5"/>
  <c r="W368" i="6" s="1"/>
  <c r="AC368" i="5"/>
  <c r="AE368" i="6" s="1"/>
  <c r="K369" i="5"/>
  <c r="M369" i="6" s="1"/>
  <c r="W369" i="5"/>
  <c r="Y369" i="6" s="1"/>
  <c r="E370" i="5"/>
  <c r="G370" i="6" s="1"/>
  <c r="Q370" i="5"/>
  <c r="S370" i="6" s="1"/>
  <c r="AC370" i="5"/>
  <c r="AE370" i="6" s="1"/>
  <c r="O371" i="5"/>
  <c r="Q371" i="6" s="1"/>
  <c r="AA371" i="5"/>
  <c r="AC371" i="6" s="1"/>
  <c r="I372" i="5"/>
  <c r="K372" i="6" s="1"/>
  <c r="U372" i="5"/>
  <c r="W372" i="6" s="1"/>
  <c r="AG372" i="5"/>
  <c r="AI372" i="6" s="1"/>
  <c r="O373" i="5"/>
  <c r="Q373" i="6" s="1"/>
  <c r="AA373" i="5"/>
  <c r="AC373" i="6" s="1"/>
  <c r="I375" i="5"/>
  <c r="K375" i="6" s="1"/>
  <c r="Q375" i="5"/>
  <c r="S375" i="6" s="1"/>
  <c r="AC375" i="5"/>
  <c r="AE375" i="6" s="1"/>
  <c r="G376" i="5"/>
  <c r="I376" i="6" s="1"/>
  <c r="S376" i="5"/>
  <c r="U376" i="6" s="1"/>
  <c r="AE376" i="5"/>
  <c r="AG376" i="6" s="1"/>
  <c r="M377" i="5"/>
  <c r="O377" i="6" s="1"/>
  <c r="Y377" i="5"/>
  <c r="AA377" i="6" s="1"/>
  <c r="G378" i="5"/>
  <c r="I378" i="6" s="1"/>
  <c r="W378" i="5"/>
  <c r="Y378" i="6" s="1"/>
  <c r="E379" i="5"/>
  <c r="G379" i="6" s="1"/>
  <c r="Q379" i="5"/>
  <c r="S379" i="6" s="1"/>
  <c r="Y379" i="5"/>
  <c r="AA379" i="6" s="1"/>
  <c r="G380" i="5"/>
  <c r="I380" i="6" s="1"/>
  <c r="S380" i="5"/>
  <c r="U380" i="6" s="1"/>
  <c r="AE380" i="5"/>
  <c r="AG380" i="6" s="1"/>
  <c r="M381" i="5"/>
  <c r="O381" i="6" s="1"/>
  <c r="Y381" i="5"/>
  <c r="AA381" i="6" s="1"/>
  <c r="K382" i="5"/>
  <c r="M382" i="6" s="1"/>
  <c r="S382" i="5"/>
  <c r="U382" i="6" s="1"/>
  <c r="AE382" i="5"/>
  <c r="AG382" i="6" s="1"/>
  <c r="M383" i="5"/>
  <c r="O383" i="6" s="1"/>
  <c r="Y383" i="5"/>
  <c r="AA383" i="6" s="1"/>
  <c r="G384" i="5"/>
  <c r="I384" i="6" s="1"/>
  <c r="O384" i="5"/>
  <c r="Q384" i="6" s="1"/>
  <c r="AA384" i="5"/>
  <c r="AC384" i="6" s="1"/>
  <c r="I385" i="5"/>
  <c r="K385" i="6" s="1"/>
  <c r="U385" i="5"/>
  <c r="W385" i="6" s="1"/>
  <c r="AG385" i="5"/>
  <c r="AI385" i="6" s="1"/>
  <c r="O388" i="5"/>
  <c r="Q388" i="6" s="1"/>
  <c r="W388" i="5"/>
  <c r="Y388" i="6" s="1"/>
  <c r="E389" i="5"/>
  <c r="G389" i="6" s="1"/>
  <c r="U389" i="5"/>
  <c r="W389" i="6" s="1"/>
  <c r="G390" i="5"/>
  <c r="I390" i="6" s="1"/>
  <c r="S390" i="5"/>
  <c r="U390" i="6" s="1"/>
  <c r="AE390" i="5"/>
  <c r="AG390" i="6" s="1"/>
  <c r="M391" i="5"/>
  <c r="O391" i="6" s="1"/>
  <c r="Y391" i="5"/>
  <c r="AA391" i="6" s="1"/>
  <c r="G392" i="5"/>
  <c r="I392" i="6" s="1"/>
  <c r="S392" i="5"/>
  <c r="U392" i="6" s="1"/>
  <c r="AA392" i="5"/>
  <c r="AC392" i="6" s="1"/>
  <c r="I393" i="5"/>
  <c r="K393" i="6" s="1"/>
  <c r="U393" i="5"/>
  <c r="W393" i="6" s="1"/>
  <c r="AG393" i="5"/>
  <c r="AI393" i="6" s="1"/>
  <c r="O394" i="5"/>
  <c r="Q394" i="6" s="1"/>
  <c r="Q395" i="5"/>
  <c r="S395" i="6" s="1"/>
  <c r="AA398" i="5"/>
  <c r="AC398" i="6" s="1"/>
  <c r="I399" i="5"/>
  <c r="K399" i="6" s="1"/>
  <c r="Q399" i="5"/>
  <c r="S399" i="6" s="1"/>
  <c r="AC399" i="5"/>
  <c r="AE399" i="6" s="1"/>
  <c r="K400" i="5"/>
  <c r="M400" i="6" s="1"/>
  <c r="W400" i="5"/>
  <c r="Y400" i="6" s="1"/>
  <c r="I401" i="5"/>
  <c r="K401" i="6" s="1"/>
  <c r="Y401" i="5"/>
  <c r="AA401" i="6" s="1"/>
  <c r="G402" i="5"/>
  <c r="I402" i="6" s="1"/>
  <c r="S402" i="5"/>
  <c r="U402" i="6" s="1"/>
  <c r="AA402" i="5"/>
  <c r="AC402" i="6" s="1"/>
  <c r="I403" i="5"/>
  <c r="K403" i="6" s="1"/>
  <c r="Q403" i="5"/>
  <c r="S403" i="6" s="1"/>
  <c r="AC403" i="5"/>
  <c r="AE403" i="6" s="1"/>
  <c r="K404" i="5"/>
  <c r="M404" i="6" s="1"/>
  <c r="S404" i="5"/>
  <c r="U404" i="6" s="1"/>
  <c r="AE404" i="5"/>
  <c r="AG404" i="6" s="1"/>
  <c r="M405" i="5"/>
  <c r="O405" i="6" s="1"/>
  <c r="AC405" i="5"/>
  <c r="AE405" i="6" s="1"/>
  <c r="K406" i="5"/>
  <c r="M406" i="6" s="1"/>
  <c r="W406" i="5"/>
  <c r="Y406" i="6" s="1"/>
  <c r="E407" i="5"/>
  <c r="G407" i="6" s="1"/>
  <c r="Q407" i="5"/>
  <c r="S407" i="6" s="1"/>
  <c r="Y407" i="5"/>
  <c r="AA407" i="6" s="1"/>
  <c r="G408" i="5"/>
  <c r="I408" i="6" s="1"/>
  <c r="S408" i="5"/>
  <c r="U408" i="6" s="1"/>
  <c r="AE408" i="5"/>
  <c r="AG408" i="6" s="1"/>
  <c r="M409" i="5"/>
  <c r="O409" i="6" s="1"/>
  <c r="Y409" i="5"/>
  <c r="AA409" i="6" s="1"/>
  <c r="G410" i="5"/>
  <c r="I410" i="6" s="1"/>
  <c r="W410" i="5"/>
  <c r="Y410" i="6" s="1"/>
  <c r="AA410" i="5"/>
  <c r="AC410" i="6" s="1"/>
  <c r="I411" i="5"/>
  <c r="K411" i="6" s="1"/>
  <c r="U411" i="5"/>
  <c r="W411" i="6" s="1"/>
  <c r="AG411" i="5"/>
  <c r="AI411" i="6" s="1"/>
  <c r="K412" i="5"/>
  <c r="M412" i="6" s="1"/>
  <c r="W412" i="5"/>
  <c r="Y412" i="6" s="1"/>
  <c r="E413" i="5"/>
  <c r="G413" i="6" s="1"/>
  <c r="U413" i="5"/>
  <c r="W413" i="6" s="1"/>
  <c r="AG413" i="5"/>
  <c r="AI413" i="6" s="1"/>
  <c r="O414" i="5"/>
  <c r="Q414" i="6" s="1"/>
  <c r="AE414" i="5"/>
  <c r="AG414" i="6" s="1"/>
  <c r="M415" i="5"/>
  <c r="O415" i="6" s="1"/>
  <c r="Y415" i="5"/>
  <c r="AA415" i="6" s="1"/>
  <c r="G416" i="5"/>
  <c r="I416" i="6" s="1"/>
  <c r="S416" i="5"/>
  <c r="U416" i="6" s="1"/>
  <c r="AE416" i="5"/>
  <c r="AG416" i="6" s="1"/>
  <c r="M417" i="5"/>
  <c r="O417" i="6" s="1"/>
  <c r="U417" i="5"/>
  <c r="W417" i="6" s="1"/>
  <c r="AG417" i="5"/>
  <c r="AI417" i="6" s="1"/>
  <c r="K418" i="5"/>
  <c r="M418" i="6" s="1"/>
  <c r="AA418" i="5"/>
  <c r="AC418" i="6" s="1"/>
  <c r="I419" i="5"/>
  <c r="K419" i="6" s="1"/>
  <c r="U419" i="5"/>
  <c r="W419" i="6" s="1"/>
  <c r="AC419" i="5"/>
  <c r="AE419" i="6" s="1"/>
  <c r="K420" i="5"/>
  <c r="M420" i="6" s="1"/>
  <c r="S420" i="5"/>
  <c r="U420" i="6" s="1"/>
  <c r="AE420" i="5"/>
  <c r="AG420" i="6" s="1"/>
  <c r="Q421" i="5"/>
  <c r="S421" i="6" s="1"/>
  <c r="AC421" i="5"/>
  <c r="AE421" i="6" s="1"/>
  <c r="K422" i="5"/>
  <c r="M422" i="6" s="1"/>
  <c r="W422" i="5"/>
  <c r="Y422" i="6" s="1"/>
  <c r="E423" i="5"/>
  <c r="G423" i="6" s="1"/>
  <c r="Q423" i="5"/>
  <c r="S423" i="6" s="1"/>
  <c r="Y423" i="5"/>
  <c r="AA423" i="6" s="1"/>
  <c r="AG423" i="5"/>
  <c r="AI423" i="6" s="1"/>
  <c r="O424" i="5"/>
  <c r="Q424" i="6" s="1"/>
  <c r="AA424" i="5"/>
  <c r="AC424" i="6" s="1"/>
  <c r="I425" i="5"/>
  <c r="K425" i="6" s="1"/>
  <c r="U425" i="5"/>
  <c r="W425" i="6" s="1"/>
  <c r="AG425" i="5"/>
  <c r="AI425" i="6" s="1"/>
  <c r="O426" i="5"/>
  <c r="Q426" i="6" s="1"/>
  <c r="AE426" i="5"/>
  <c r="AG426" i="6" s="1"/>
  <c r="AC427" i="5"/>
  <c r="AE427" i="6" s="1"/>
  <c r="M431" i="5"/>
  <c r="O431" i="6" s="1"/>
  <c r="AC431" i="5"/>
  <c r="AE431" i="6" s="1"/>
  <c r="AE432" i="5"/>
  <c r="AG432" i="6" s="1"/>
  <c r="K436" i="5"/>
  <c r="M436" i="6" s="1"/>
  <c r="S436" i="5"/>
  <c r="U436" i="6" s="1"/>
  <c r="AA436" i="5"/>
  <c r="AC436" i="6" s="1"/>
  <c r="E437" i="5"/>
  <c r="G437" i="6" s="1"/>
  <c r="M437" i="5"/>
  <c r="O437" i="6" s="1"/>
  <c r="Y437" i="5"/>
  <c r="AA437" i="6" s="1"/>
  <c r="AG437" i="5"/>
  <c r="AI437" i="6" s="1"/>
  <c r="K438" i="5"/>
  <c r="M438" i="6" s="1"/>
  <c r="S438" i="5"/>
  <c r="U438" i="6" s="1"/>
  <c r="AA438" i="5"/>
  <c r="AC438" i="6" s="1"/>
  <c r="E439" i="5"/>
  <c r="G439" i="6" s="1"/>
  <c r="M439" i="5"/>
  <c r="O439" i="6" s="1"/>
  <c r="U439" i="5"/>
  <c r="W439" i="6" s="1"/>
  <c r="AC439" i="5"/>
  <c r="AE439" i="6" s="1"/>
  <c r="G440" i="5"/>
  <c r="I440" i="6" s="1"/>
  <c r="S440" i="5"/>
  <c r="U440" i="6" s="1"/>
  <c r="AE440" i="5"/>
  <c r="AG440" i="6" s="1"/>
  <c r="I441" i="5"/>
  <c r="K441" i="6" s="1"/>
  <c r="Y441" i="5"/>
  <c r="AA441" i="6" s="1"/>
  <c r="AG441" i="5"/>
  <c r="AI441" i="6" s="1"/>
  <c r="O442" i="5"/>
  <c r="Q442" i="6" s="1"/>
  <c r="AA442" i="5"/>
  <c r="AC442" i="6" s="1"/>
  <c r="E443" i="5"/>
  <c r="G443" i="6" s="1"/>
  <c r="M443" i="5"/>
  <c r="O443" i="6" s="1"/>
  <c r="U443" i="5"/>
  <c r="W443" i="6" s="1"/>
  <c r="AC443" i="5"/>
  <c r="AE443" i="6" s="1"/>
  <c r="G444" i="5"/>
  <c r="I444" i="6" s="1"/>
  <c r="O444" i="5"/>
  <c r="Q444" i="6" s="1"/>
  <c r="W444" i="5"/>
  <c r="Y444" i="6" s="1"/>
  <c r="E445" i="5"/>
  <c r="G445" i="6" s="1"/>
  <c r="Q445" i="5"/>
  <c r="S445" i="6" s="1"/>
  <c r="AG445" i="5"/>
  <c r="AI445" i="6" s="1"/>
  <c r="O446" i="5"/>
  <c r="Q446" i="6" s="1"/>
  <c r="AA446" i="5"/>
  <c r="AC446" i="6" s="1"/>
  <c r="I447" i="5"/>
  <c r="K447" i="6" s="1"/>
  <c r="U447" i="5"/>
  <c r="W447" i="6" s="1"/>
  <c r="AC447" i="5"/>
  <c r="AE447" i="6" s="1"/>
  <c r="K448" i="5"/>
  <c r="M448" i="6" s="1"/>
  <c r="S448" i="5"/>
  <c r="U448" i="6" s="1"/>
  <c r="AE448" i="5"/>
  <c r="AG448" i="6" s="1"/>
  <c r="I449" i="5"/>
  <c r="K449" i="6" s="1"/>
  <c r="U449" i="5"/>
  <c r="W449" i="6" s="1"/>
  <c r="Y449" i="5"/>
  <c r="AA449" i="6" s="1"/>
  <c r="AG449" i="5"/>
  <c r="AI449" i="6" s="1"/>
  <c r="K450" i="5"/>
  <c r="M450" i="6" s="1"/>
  <c r="S450" i="5"/>
  <c r="U450" i="6" s="1"/>
  <c r="AA450" i="5"/>
  <c r="AC450" i="6" s="1"/>
  <c r="M451" i="5"/>
  <c r="O451" i="6" s="1"/>
  <c r="U451" i="5"/>
  <c r="W451" i="6" s="1"/>
  <c r="AC451" i="5"/>
  <c r="AE451" i="6" s="1"/>
  <c r="G452" i="5"/>
  <c r="I452" i="6" s="1"/>
  <c r="O452" i="5"/>
  <c r="Q452" i="6" s="1"/>
  <c r="W452" i="5"/>
  <c r="Y452" i="6" s="1"/>
  <c r="AE452" i="5"/>
  <c r="AG452" i="6" s="1"/>
  <c r="I453" i="5"/>
  <c r="K453" i="6" s="1"/>
  <c r="Q453" i="5"/>
  <c r="S453" i="6" s="1"/>
  <c r="AC453" i="5"/>
  <c r="AE453" i="6" s="1"/>
  <c r="K454" i="5"/>
  <c r="M454" i="6" s="1"/>
  <c r="S454" i="5"/>
  <c r="U454" i="6" s="1"/>
  <c r="AE454" i="5"/>
  <c r="AG454" i="6" s="1"/>
  <c r="M455" i="5"/>
  <c r="O455" i="6" s="1"/>
  <c r="Y455" i="5"/>
  <c r="AA455" i="6" s="1"/>
  <c r="AG455" i="5"/>
  <c r="AI455" i="6" s="1"/>
  <c r="O456" i="5"/>
  <c r="Q456" i="6" s="1"/>
  <c r="AA456" i="5"/>
  <c r="AC456" i="6" s="1"/>
  <c r="I457" i="5"/>
  <c r="K457" i="6" s="1"/>
  <c r="Q457" i="5"/>
  <c r="S457" i="6" s="1"/>
  <c r="AC457" i="5"/>
  <c r="AE457" i="6" s="1"/>
  <c r="K458" i="5"/>
  <c r="M458" i="6" s="1"/>
  <c r="AA458" i="5"/>
  <c r="AC458" i="6" s="1"/>
  <c r="I459" i="5"/>
  <c r="K459" i="6" s="1"/>
  <c r="G460" i="5"/>
  <c r="I460" i="6" s="1"/>
  <c r="O462" i="5"/>
  <c r="Q462" i="6" s="1"/>
  <c r="AA462" i="5"/>
  <c r="AC462" i="6" s="1"/>
  <c r="I463" i="5"/>
  <c r="K463" i="6" s="1"/>
  <c r="Q463" i="5"/>
  <c r="S463" i="6" s="1"/>
  <c r="Y463" i="5"/>
  <c r="AA463" i="6" s="1"/>
  <c r="AG463" i="5"/>
  <c r="AI463" i="6" s="1"/>
  <c r="W464" i="5"/>
  <c r="Y464" i="6" s="1"/>
  <c r="I467" i="5"/>
  <c r="K467" i="6" s="1"/>
  <c r="Q467" i="5"/>
  <c r="S467" i="6" s="1"/>
  <c r="Y467" i="5"/>
  <c r="AA467" i="6" s="1"/>
  <c r="AG467" i="5"/>
  <c r="AI467" i="6" s="1"/>
  <c r="K468" i="5"/>
  <c r="M468" i="6" s="1"/>
  <c r="S468" i="5"/>
  <c r="U468" i="6" s="1"/>
  <c r="AA468" i="5"/>
  <c r="AC468" i="6" s="1"/>
  <c r="I469" i="5"/>
  <c r="K469" i="6" s="1"/>
  <c r="Q469" i="5"/>
  <c r="S469" i="6" s="1"/>
  <c r="Y469" i="5"/>
  <c r="AA469" i="6" s="1"/>
  <c r="AG469" i="5"/>
  <c r="AI469" i="6" s="1"/>
  <c r="K470" i="5"/>
  <c r="M470" i="6" s="1"/>
  <c r="AA470" i="5"/>
  <c r="AC470" i="6" s="1"/>
  <c r="U473" i="5"/>
  <c r="W473" i="6" s="1"/>
  <c r="O474" i="5"/>
  <c r="Q474" i="6" s="1"/>
  <c r="AA477" i="5"/>
  <c r="AC477" i="6" s="1"/>
  <c r="E478" i="5"/>
  <c r="G478" i="6" s="1"/>
  <c r="M478" i="5"/>
  <c r="O478" i="6" s="1"/>
  <c r="Y478" i="5"/>
  <c r="AA478" i="6" s="1"/>
  <c r="AG478" i="5"/>
  <c r="AI478" i="6" s="1"/>
  <c r="K479" i="5"/>
  <c r="M479" i="6" s="1"/>
  <c r="O479" i="5"/>
  <c r="Q479" i="6" s="1"/>
  <c r="I484" i="5"/>
  <c r="K484" i="6" s="1"/>
  <c r="Y484" i="5"/>
  <c r="AA484" i="6" s="1"/>
  <c r="O489" i="5"/>
  <c r="Q489" i="6" s="1"/>
  <c r="AA489" i="5"/>
  <c r="AC489" i="6" s="1"/>
  <c r="E490" i="5"/>
  <c r="G490" i="6" s="1"/>
  <c r="AC496" i="5"/>
  <c r="AE496" i="6" s="1"/>
  <c r="G497" i="5"/>
  <c r="I497" i="6" s="1"/>
  <c r="K497" i="5"/>
  <c r="M497" i="6" s="1"/>
  <c r="S497" i="5"/>
  <c r="U497" i="6" s="1"/>
  <c r="AE497" i="5"/>
  <c r="AG497" i="6" s="1"/>
  <c r="Q498" i="5"/>
  <c r="S498" i="6" s="1"/>
  <c r="AG500" i="5"/>
  <c r="AI500" i="6" s="1"/>
  <c r="K501" i="5"/>
  <c r="M501" i="6" s="1"/>
  <c r="S501" i="5"/>
  <c r="U501" i="6" s="1"/>
  <c r="AA501" i="5"/>
  <c r="AC501" i="6" s="1"/>
  <c r="M504" i="5"/>
  <c r="O504" i="6" s="1"/>
  <c r="AC504" i="5"/>
  <c r="AE504" i="6" s="1"/>
  <c r="Q506" i="5"/>
  <c r="S506" i="6" s="1"/>
  <c r="U506" i="5"/>
  <c r="W506" i="6" s="1"/>
  <c r="Y506" i="5"/>
  <c r="AA506" i="6" s="1"/>
  <c r="AG506" i="5"/>
  <c r="AI506" i="6" s="1"/>
  <c r="G507" i="5"/>
  <c r="I507" i="6" s="1"/>
  <c r="O507" i="5"/>
  <c r="Q507" i="6" s="1"/>
  <c r="S507" i="5"/>
  <c r="U507" i="6" s="1"/>
  <c r="W507" i="5"/>
  <c r="Y507" i="6" s="1"/>
  <c r="AA507" i="5"/>
  <c r="AC507" i="6" s="1"/>
  <c r="AE507" i="5"/>
  <c r="AG507" i="6" s="1"/>
  <c r="E508" i="5"/>
  <c r="G508" i="6" s="1"/>
  <c r="I508" i="5"/>
  <c r="K508" i="6" s="1"/>
  <c r="Q508" i="5"/>
  <c r="S508" i="6" s="1"/>
  <c r="U508" i="5"/>
  <c r="W508" i="6" s="1"/>
  <c r="AC508" i="5"/>
  <c r="AE508" i="6" s="1"/>
  <c r="AG508" i="5"/>
  <c r="AI508" i="6" s="1"/>
  <c r="G509" i="5"/>
  <c r="I509" i="6" s="1"/>
  <c r="W509" i="5"/>
  <c r="Y509" i="6" s="1"/>
  <c r="AA511" i="5"/>
  <c r="AC511" i="6" s="1"/>
  <c r="AE511" i="5"/>
  <c r="AG511" i="6" s="1"/>
  <c r="E512" i="5"/>
  <c r="G512" i="6" s="1"/>
  <c r="I512" i="5"/>
  <c r="K512" i="6" s="1"/>
  <c r="M512" i="5"/>
  <c r="O512" i="6" s="1"/>
  <c r="Q512" i="5"/>
  <c r="S512" i="6" s="1"/>
  <c r="Y512" i="5"/>
  <c r="AA512" i="6" s="1"/>
  <c r="G513" i="5"/>
  <c r="I513" i="6" s="1"/>
  <c r="O513" i="5"/>
  <c r="Q513" i="6" s="1"/>
  <c r="S513" i="5"/>
  <c r="U513" i="6" s="1"/>
  <c r="AE513" i="5"/>
  <c r="AG513" i="6" s="1"/>
  <c r="M514" i="5"/>
  <c r="O514" i="6" s="1"/>
  <c r="E516" i="5"/>
  <c r="G516" i="6" s="1"/>
  <c r="I516" i="5"/>
  <c r="K516" i="6" s="1"/>
  <c r="M516" i="5"/>
  <c r="O516" i="6" s="1"/>
  <c r="Q516" i="5"/>
  <c r="S516" i="6" s="1"/>
  <c r="U516" i="5"/>
  <c r="W516" i="6" s="1"/>
  <c r="Y516" i="5"/>
  <c r="AA516" i="6" s="1"/>
  <c r="AG516" i="5"/>
  <c r="AI516" i="6" s="1"/>
  <c r="K517" i="5"/>
  <c r="M517" i="6" s="1"/>
  <c r="S517" i="5"/>
  <c r="U517" i="6" s="1"/>
  <c r="AA517" i="5"/>
  <c r="AC517" i="6" s="1"/>
  <c r="E518" i="5"/>
  <c r="G518" i="6" s="1"/>
  <c r="M518" i="5"/>
  <c r="O518" i="6" s="1"/>
  <c r="U518" i="5"/>
  <c r="W518" i="6" s="1"/>
  <c r="AC518" i="5"/>
  <c r="AE518" i="6" s="1"/>
  <c r="U522" i="5"/>
  <c r="W522" i="6" s="1"/>
  <c r="AG522" i="5"/>
  <c r="AI522" i="6" s="1"/>
  <c r="K523" i="5"/>
  <c r="M523" i="6" s="1"/>
  <c r="W523" i="5"/>
  <c r="Y523" i="6" s="1"/>
  <c r="E524" i="5"/>
  <c r="G524" i="6" s="1"/>
  <c r="Q524" i="5"/>
  <c r="S524" i="6" s="1"/>
  <c r="AC524" i="5"/>
  <c r="AE524" i="6" s="1"/>
  <c r="K525" i="5"/>
  <c r="M525" i="6" s="1"/>
  <c r="W525" i="5"/>
  <c r="Y525" i="6" s="1"/>
  <c r="AE525" i="5"/>
  <c r="AG525" i="6" s="1"/>
  <c r="M526" i="5"/>
  <c r="O526" i="6" s="1"/>
  <c r="Y526" i="5"/>
  <c r="AA526" i="6" s="1"/>
  <c r="AG526" i="5"/>
  <c r="AI526" i="6" s="1"/>
  <c r="O527" i="5"/>
  <c r="Q527" i="6" s="1"/>
  <c r="AA527" i="5"/>
  <c r="AC527" i="6" s="1"/>
  <c r="M528" i="5"/>
  <c r="O528" i="6" s="1"/>
  <c r="AC528" i="5"/>
  <c r="AE528" i="6" s="1"/>
  <c r="O529" i="5"/>
  <c r="Q529" i="6" s="1"/>
  <c r="AA529" i="5"/>
  <c r="AC529" i="6" s="1"/>
  <c r="E530" i="5"/>
  <c r="G530" i="6" s="1"/>
  <c r="Q530" i="5"/>
  <c r="S530" i="6" s="1"/>
  <c r="AC530" i="5"/>
  <c r="AE530" i="6" s="1"/>
  <c r="K531" i="5"/>
  <c r="M531" i="6" s="1"/>
  <c r="W531" i="5"/>
  <c r="Y531" i="6" s="1"/>
  <c r="E532" i="5"/>
  <c r="G532" i="6" s="1"/>
  <c r="U532" i="5"/>
  <c r="W532" i="6" s="1"/>
  <c r="AG532" i="5"/>
  <c r="AI532" i="6" s="1"/>
  <c r="O533" i="5"/>
  <c r="Q533" i="6" s="1"/>
  <c r="AA533" i="5"/>
  <c r="AC533" i="6" s="1"/>
  <c r="I534" i="5"/>
  <c r="K534" i="6" s="1"/>
  <c r="U534" i="5"/>
  <c r="W534" i="6" s="1"/>
  <c r="AC534" i="5"/>
  <c r="AE534" i="6" s="1"/>
  <c r="K535" i="5"/>
  <c r="M535" i="6" s="1"/>
  <c r="S535" i="5"/>
  <c r="U535" i="6" s="1"/>
  <c r="E536" i="5"/>
  <c r="G536" i="6" s="1"/>
  <c r="U536" i="5"/>
  <c r="W536" i="6" s="1"/>
  <c r="G537" i="5"/>
  <c r="I537" i="6" s="1"/>
  <c r="O537" i="5"/>
  <c r="Q537" i="6" s="1"/>
  <c r="AA537" i="5"/>
  <c r="AC537" i="6" s="1"/>
  <c r="I538" i="5"/>
  <c r="K538" i="6" s="1"/>
  <c r="Y538" i="5"/>
  <c r="AA538" i="6" s="1"/>
  <c r="AG538" i="5"/>
  <c r="AI538" i="6" s="1"/>
  <c r="O539" i="5"/>
  <c r="Q539" i="6" s="1"/>
  <c r="AA539" i="5"/>
  <c r="AC539" i="6" s="1"/>
  <c r="I540" i="5"/>
  <c r="K540" i="6" s="1"/>
  <c r="Q540" i="5"/>
  <c r="S540" i="6" s="1"/>
  <c r="AG540" i="5"/>
  <c r="AI540" i="6" s="1"/>
  <c r="K541" i="5"/>
  <c r="M541" i="6" s="1"/>
  <c r="W541" i="5"/>
  <c r="Y541" i="6" s="1"/>
  <c r="AE541" i="5"/>
  <c r="AG541" i="6" s="1"/>
  <c r="M542" i="5"/>
  <c r="O542" i="6" s="1"/>
  <c r="Y542" i="5"/>
  <c r="AA542" i="6" s="1"/>
  <c r="G543" i="5"/>
  <c r="I543" i="6" s="1"/>
  <c r="S543" i="5"/>
  <c r="U543" i="6" s="1"/>
  <c r="AE543" i="5"/>
  <c r="AG543" i="6" s="1"/>
  <c r="I544" i="5"/>
  <c r="K544" i="6" s="1"/>
  <c r="Y544" i="5"/>
  <c r="AA544" i="6" s="1"/>
  <c r="G545" i="5"/>
  <c r="I545" i="6" s="1"/>
  <c r="S545" i="5"/>
  <c r="U545" i="6" s="1"/>
  <c r="AE545" i="5"/>
  <c r="AG545" i="6" s="1"/>
  <c r="O548" i="5"/>
  <c r="Q548" i="6" s="1"/>
  <c r="AA548" i="5"/>
  <c r="AC548" i="6" s="1"/>
  <c r="I549" i="5"/>
  <c r="K549" i="6" s="1"/>
  <c r="Y549" i="5"/>
  <c r="AA549" i="6" s="1"/>
  <c r="G550" i="5"/>
  <c r="I550" i="6" s="1"/>
  <c r="W550" i="5"/>
  <c r="Y550" i="6" s="1"/>
  <c r="E551" i="5"/>
  <c r="G551" i="6" s="1"/>
  <c r="Y551" i="5"/>
  <c r="AA551" i="6" s="1"/>
  <c r="K552" i="5"/>
  <c r="M552" i="6" s="1"/>
  <c r="AA552" i="5"/>
  <c r="AC552" i="6" s="1"/>
  <c r="E553" i="5"/>
  <c r="G553" i="6" s="1"/>
  <c r="U553" i="5"/>
  <c r="W553" i="6" s="1"/>
  <c r="AG553" i="5"/>
  <c r="AI553" i="6" s="1"/>
  <c r="S554" i="5"/>
  <c r="U554" i="6" s="1"/>
  <c r="AE554" i="5"/>
  <c r="AG554" i="6" s="1"/>
  <c r="M555" i="5"/>
  <c r="O555" i="6" s="1"/>
  <c r="U555" i="5"/>
  <c r="W555" i="6" s="1"/>
  <c r="AG555" i="5"/>
  <c r="AI555" i="6" s="1"/>
  <c r="O557" i="5"/>
  <c r="Q557" i="6" s="1"/>
  <c r="W557" i="5"/>
  <c r="Y557" i="6" s="1"/>
  <c r="E558" i="5"/>
  <c r="G558" i="6" s="1"/>
  <c r="U558" i="5"/>
  <c r="W558" i="6" s="1"/>
  <c r="G559" i="5"/>
  <c r="I559" i="6" s="1"/>
  <c r="S559" i="5"/>
  <c r="U559" i="6" s="1"/>
  <c r="AA559" i="5"/>
  <c r="AC559" i="6" s="1"/>
  <c r="I560" i="5"/>
  <c r="K560" i="6" s="1"/>
  <c r="E561" i="5"/>
  <c r="G561" i="6" s="1"/>
  <c r="U561" i="5"/>
  <c r="W561" i="6" s="1"/>
  <c r="Q564" i="5"/>
  <c r="S564" i="6" s="1"/>
  <c r="O588" i="5"/>
  <c r="Q588" i="6" s="1"/>
  <c r="S588" i="5"/>
  <c r="U588" i="6" s="1"/>
  <c r="AA588" i="5"/>
  <c r="AC588" i="6" s="1"/>
  <c r="AE588" i="5"/>
  <c r="AG588" i="6" s="1"/>
  <c r="E589" i="5"/>
  <c r="G589" i="6" s="1"/>
  <c r="I589" i="5"/>
  <c r="K589" i="6" s="1"/>
  <c r="M589" i="5"/>
  <c r="O589" i="6" s="1"/>
  <c r="Q589" i="5"/>
  <c r="S589" i="6" s="1"/>
  <c r="U589" i="5"/>
  <c r="W589" i="6" s="1"/>
  <c r="Y589" i="5"/>
  <c r="AA589" i="6" s="1"/>
  <c r="AC589" i="5"/>
  <c r="AE589" i="6" s="1"/>
  <c r="AG589" i="5"/>
  <c r="AI589" i="6" s="1"/>
  <c r="V591" i="5"/>
  <c r="X591" i="6" s="1"/>
  <c r="L592" i="5"/>
  <c r="N592" i="6" s="1"/>
  <c r="AF592" i="5"/>
  <c r="AH592" i="6" s="1"/>
  <c r="L593" i="5"/>
  <c r="N593" i="6" s="1"/>
  <c r="M594" i="5"/>
  <c r="O594" i="6" s="1"/>
  <c r="G597" i="5"/>
  <c r="I597" i="6" s="1"/>
  <c r="O597" i="5"/>
  <c r="Q597" i="6" s="1"/>
  <c r="AA597" i="5"/>
  <c r="AC597" i="6" s="1"/>
  <c r="I598" i="5"/>
  <c r="K598" i="6" s="1"/>
  <c r="U598" i="5"/>
  <c r="W598" i="6" s="1"/>
  <c r="AG598" i="5"/>
  <c r="AI598" i="6" s="1"/>
  <c r="O599" i="5"/>
  <c r="Q599" i="6" s="1"/>
  <c r="W599" i="5"/>
  <c r="Y599" i="6" s="1"/>
  <c r="E600" i="5"/>
  <c r="G600" i="6" s="1"/>
  <c r="Q600" i="5"/>
  <c r="S600" i="6" s="1"/>
  <c r="AC600" i="5"/>
  <c r="AE600" i="6" s="1"/>
  <c r="O601" i="5"/>
  <c r="Q601" i="6" s="1"/>
  <c r="AA601" i="5"/>
  <c r="AC601" i="6" s="1"/>
  <c r="I602" i="5"/>
  <c r="K602" i="6" s="1"/>
  <c r="U602" i="5"/>
  <c r="W602" i="6" s="1"/>
  <c r="G604" i="5"/>
  <c r="I604" i="6" s="1"/>
  <c r="S604" i="5"/>
  <c r="U604" i="6" s="1"/>
  <c r="W604" i="5"/>
  <c r="Y604" i="6" s="1"/>
  <c r="E605" i="5"/>
  <c r="G605" i="6" s="1"/>
  <c r="Q605" i="5"/>
  <c r="S605" i="6" s="1"/>
  <c r="AC605" i="5"/>
  <c r="AE605" i="6" s="1"/>
  <c r="K606" i="5"/>
  <c r="M606" i="6" s="1"/>
  <c r="AA606" i="5"/>
  <c r="AC606" i="6" s="1"/>
  <c r="M607" i="5"/>
  <c r="O607" i="6" s="1"/>
  <c r="AC607" i="5"/>
  <c r="AE607" i="6" s="1"/>
  <c r="D38" i="5"/>
  <c r="F38" i="6" s="1"/>
  <c r="D39" i="5"/>
  <c r="F39" i="6" s="1"/>
  <c r="L40" i="5"/>
  <c r="N40" i="6" s="1"/>
  <c r="E56" i="5"/>
  <c r="G56" i="6" s="1"/>
  <c r="I56" i="5"/>
  <c r="K56" i="6" s="1"/>
  <c r="M56" i="5"/>
  <c r="O56" i="6" s="1"/>
  <c r="Q56" i="5"/>
  <c r="S56" i="6" s="1"/>
  <c r="U56" i="5"/>
  <c r="W56" i="6" s="1"/>
  <c r="Y56" i="5"/>
  <c r="AA56" i="6" s="1"/>
  <c r="AC56" i="5"/>
  <c r="AE56" i="6" s="1"/>
  <c r="AG56" i="5"/>
  <c r="AI56" i="6" s="1"/>
  <c r="G57" i="5"/>
  <c r="I57" i="6" s="1"/>
  <c r="K57" i="5"/>
  <c r="M57" i="6" s="1"/>
  <c r="O57" i="5"/>
  <c r="Q57" i="6" s="1"/>
  <c r="S57" i="5"/>
  <c r="U57" i="6" s="1"/>
  <c r="W57" i="5"/>
  <c r="Y57" i="6" s="1"/>
  <c r="AA57" i="5"/>
  <c r="AC57" i="6" s="1"/>
  <c r="AE57" i="5"/>
  <c r="AG57" i="6" s="1"/>
  <c r="E58" i="5"/>
  <c r="G58" i="6" s="1"/>
  <c r="I58" i="5"/>
  <c r="K58" i="6" s="1"/>
  <c r="M58" i="5"/>
  <c r="O58" i="6" s="1"/>
  <c r="Q58" i="5"/>
  <c r="S58" i="6" s="1"/>
  <c r="U58" i="5"/>
  <c r="W58" i="6" s="1"/>
  <c r="Y58" i="5"/>
  <c r="AA58" i="6" s="1"/>
  <c r="AC58" i="5"/>
  <c r="AE58" i="6" s="1"/>
  <c r="AG58" i="5"/>
  <c r="AI58" i="6" s="1"/>
  <c r="G59" i="5"/>
  <c r="I59" i="6" s="1"/>
  <c r="K59" i="5"/>
  <c r="M59" i="6" s="1"/>
  <c r="O59" i="5"/>
  <c r="Q59" i="6" s="1"/>
  <c r="S59" i="5"/>
  <c r="U59" i="6" s="1"/>
  <c r="W59" i="5"/>
  <c r="Y59" i="6" s="1"/>
  <c r="AA59" i="5"/>
  <c r="AC59" i="6" s="1"/>
  <c r="AE59" i="5"/>
  <c r="AG59" i="6" s="1"/>
  <c r="E60" i="5"/>
  <c r="G60" i="6" s="1"/>
  <c r="I60" i="5"/>
  <c r="K60" i="6" s="1"/>
  <c r="M60" i="5"/>
  <c r="O60" i="6" s="1"/>
  <c r="Q60" i="5"/>
  <c r="S60" i="6" s="1"/>
  <c r="U60" i="5"/>
  <c r="W60" i="6" s="1"/>
  <c r="Y60" i="5"/>
  <c r="AA60" i="6" s="1"/>
  <c r="AC60" i="5"/>
  <c r="AE60" i="6" s="1"/>
  <c r="AG60" i="5"/>
  <c r="AI60" i="6" s="1"/>
  <c r="G61" i="5"/>
  <c r="I61" i="6" s="1"/>
  <c r="K61" i="5"/>
  <c r="M61" i="6" s="1"/>
  <c r="O61" i="5"/>
  <c r="Q61" i="6" s="1"/>
  <c r="S61" i="5"/>
  <c r="U61" i="6" s="1"/>
  <c r="W61" i="5"/>
  <c r="Y61" i="6" s="1"/>
  <c r="AA61" i="5"/>
  <c r="AC61" i="6" s="1"/>
  <c r="AE61" i="5"/>
  <c r="AG61" i="6" s="1"/>
  <c r="E62" i="5"/>
  <c r="G62" i="6" s="1"/>
  <c r="I62" i="5"/>
  <c r="K62" i="6" s="1"/>
  <c r="M62" i="5"/>
  <c r="O62" i="6" s="1"/>
  <c r="E63" i="5"/>
  <c r="G63" i="6" s="1"/>
  <c r="I63" i="5"/>
  <c r="K63" i="6" s="1"/>
  <c r="M63" i="5"/>
  <c r="O63" i="6" s="1"/>
  <c r="Q63" i="5"/>
  <c r="S63" i="6" s="1"/>
  <c r="U63" i="5"/>
  <c r="W63" i="6" s="1"/>
  <c r="Y63" i="5"/>
  <c r="AA63" i="6" s="1"/>
  <c r="AC63" i="5"/>
  <c r="AE63" i="6" s="1"/>
  <c r="AG63" i="5"/>
  <c r="AI63" i="6" s="1"/>
  <c r="G64" i="5"/>
  <c r="I64" i="6" s="1"/>
  <c r="K64" i="5"/>
  <c r="M64" i="6" s="1"/>
  <c r="O64" i="5"/>
  <c r="Q64" i="6" s="1"/>
  <c r="S64" i="5"/>
  <c r="U64" i="6" s="1"/>
  <c r="W64" i="5"/>
  <c r="Y64" i="6" s="1"/>
  <c r="AA64" i="5"/>
  <c r="AC64" i="6" s="1"/>
  <c r="AE64" i="5"/>
  <c r="AG64" i="6" s="1"/>
  <c r="E65" i="5"/>
  <c r="G65" i="6" s="1"/>
  <c r="I65" i="5"/>
  <c r="K65" i="6" s="1"/>
  <c r="M65" i="5"/>
  <c r="O65" i="6" s="1"/>
  <c r="Q65" i="5"/>
  <c r="S65" i="6" s="1"/>
  <c r="U65" i="5"/>
  <c r="W65" i="6" s="1"/>
  <c r="Y65" i="5"/>
  <c r="AA65" i="6" s="1"/>
  <c r="AC65" i="5"/>
  <c r="AE65" i="6" s="1"/>
  <c r="AG65" i="5"/>
  <c r="AI65" i="6" s="1"/>
  <c r="F67" i="5"/>
  <c r="H67" i="6" s="1"/>
  <c r="J67" i="5"/>
  <c r="L67" i="6" s="1"/>
  <c r="F68" i="5"/>
  <c r="H68" i="6" s="1"/>
  <c r="J68" i="5"/>
  <c r="L68" i="6" s="1"/>
  <c r="N68" i="5"/>
  <c r="P68" i="6" s="1"/>
  <c r="R68" i="5"/>
  <c r="T68" i="6" s="1"/>
  <c r="V68" i="5"/>
  <c r="X68" i="6" s="1"/>
  <c r="Z68" i="5"/>
  <c r="AB68" i="6" s="1"/>
  <c r="AD68" i="5"/>
  <c r="AF68" i="6" s="1"/>
  <c r="D69" i="5"/>
  <c r="F69" i="6" s="1"/>
  <c r="H69" i="5"/>
  <c r="J69" i="6" s="1"/>
  <c r="L69" i="5"/>
  <c r="N69" i="6" s="1"/>
  <c r="P69" i="5"/>
  <c r="R69" i="6" s="1"/>
  <c r="T69" i="5"/>
  <c r="V69" i="6" s="1"/>
  <c r="X69" i="5"/>
  <c r="Z69" i="6" s="1"/>
  <c r="AB69" i="5"/>
  <c r="AD69" i="6" s="1"/>
  <c r="AF69" i="5"/>
  <c r="AH69" i="6" s="1"/>
  <c r="F70" i="5"/>
  <c r="H70" i="6" s="1"/>
  <c r="J70" i="5"/>
  <c r="L70" i="6" s="1"/>
  <c r="N70" i="5"/>
  <c r="P70" i="6" s="1"/>
  <c r="R70" i="5"/>
  <c r="T70" i="6" s="1"/>
  <c r="V70" i="5"/>
  <c r="X70" i="6" s="1"/>
  <c r="Z70" i="5"/>
  <c r="AB70" i="6" s="1"/>
  <c r="AD70" i="5"/>
  <c r="AF70" i="6" s="1"/>
  <c r="D72" i="5"/>
  <c r="F72" i="6" s="1"/>
  <c r="H72" i="5"/>
  <c r="J72" i="6" s="1"/>
  <c r="L72" i="5"/>
  <c r="N72" i="6" s="1"/>
  <c r="P72" i="5"/>
  <c r="R72" i="6" s="1"/>
  <c r="T72" i="5"/>
  <c r="V72" i="6" s="1"/>
  <c r="X72" i="5"/>
  <c r="Z72" i="6" s="1"/>
  <c r="AB72" i="5"/>
  <c r="AD72" i="6" s="1"/>
  <c r="AF72" i="5"/>
  <c r="AH72" i="6" s="1"/>
  <c r="F73" i="5"/>
  <c r="H73" i="6" s="1"/>
  <c r="J73" i="5"/>
  <c r="L73" i="6" s="1"/>
  <c r="N73" i="5"/>
  <c r="P73" i="6" s="1"/>
  <c r="R73" i="5"/>
  <c r="T73" i="6" s="1"/>
  <c r="V73" i="5"/>
  <c r="X73" i="6" s="1"/>
  <c r="Z73" i="5"/>
  <c r="AB73" i="6" s="1"/>
  <c r="AD73" i="5"/>
  <c r="AF73" i="6" s="1"/>
  <c r="E130" i="5"/>
  <c r="G130" i="6" s="1"/>
  <c r="I130" i="5"/>
  <c r="K130" i="6" s="1"/>
  <c r="M130" i="5"/>
  <c r="O130" i="6" s="1"/>
  <c r="Q130" i="5"/>
  <c r="S130" i="6" s="1"/>
  <c r="U130" i="5"/>
  <c r="W130" i="6" s="1"/>
  <c r="Y130" i="5"/>
  <c r="AA130" i="6" s="1"/>
  <c r="AC130" i="5"/>
  <c r="AE130" i="6" s="1"/>
  <c r="AG130" i="5"/>
  <c r="AI130" i="6" s="1"/>
  <c r="G132" i="5"/>
  <c r="I132" i="6" s="1"/>
  <c r="K132" i="5"/>
  <c r="M132" i="6" s="1"/>
  <c r="O132" i="5"/>
  <c r="Q132" i="6" s="1"/>
  <c r="S132" i="5"/>
  <c r="U132" i="6" s="1"/>
  <c r="W132" i="5"/>
  <c r="Y132" i="6" s="1"/>
  <c r="AA132" i="5"/>
  <c r="AC132" i="6" s="1"/>
  <c r="AE132" i="5"/>
  <c r="AG132" i="6" s="1"/>
  <c r="G149" i="5"/>
  <c r="I149" i="6" s="1"/>
  <c r="Q149" i="5"/>
  <c r="S149" i="6" s="1"/>
  <c r="AA149" i="5"/>
  <c r="AC149" i="6" s="1"/>
  <c r="G155" i="5"/>
  <c r="I155" i="6" s="1"/>
  <c r="Q155" i="5"/>
  <c r="S155" i="6" s="1"/>
  <c r="AA155" i="5"/>
  <c r="AC155" i="6" s="1"/>
  <c r="G156" i="5"/>
  <c r="I156" i="6" s="1"/>
  <c r="Q156" i="5"/>
  <c r="S156" i="6" s="1"/>
  <c r="AA156" i="5"/>
  <c r="AC156" i="6" s="1"/>
  <c r="G157" i="5"/>
  <c r="I157" i="6" s="1"/>
  <c r="Q157" i="5"/>
  <c r="S157" i="6" s="1"/>
  <c r="AA157" i="5"/>
  <c r="AC157" i="6" s="1"/>
  <c r="G158" i="5"/>
  <c r="I158" i="6" s="1"/>
  <c r="Q158" i="5"/>
  <c r="S158" i="6" s="1"/>
  <c r="AA158" i="5"/>
  <c r="AC158" i="6" s="1"/>
  <c r="G159" i="5"/>
  <c r="I159" i="6" s="1"/>
  <c r="Q159" i="5"/>
  <c r="S159" i="6" s="1"/>
  <c r="AA159" i="5"/>
  <c r="AC159" i="6" s="1"/>
  <c r="G160" i="5"/>
  <c r="I160" i="6" s="1"/>
  <c r="Q160" i="5"/>
  <c r="S160" i="6" s="1"/>
  <c r="AA160" i="5"/>
  <c r="AC160" i="6" s="1"/>
  <c r="G161" i="5"/>
  <c r="I161" i="6" s="1"/>
  <c r="Q161" i="5"/>
  <c r="S161" i="6" s="1"/>
  <c r="AA161" i="5"/>
  <c r="AC161" i="6" s="1"/>
  <c r="G162" i="5"/>
  <c r="I162" i="6" s="1"/>
  <c r="Q162" i="5"/>
  <c r="S162" i="6" s="1"/>
  <c r="AA162" i="5"/>
  <c r="AC162" i="6" s="1"/>
  <c r="G163" i="5"/>
  <c r="I163" i="6" s="1"/>
  <c r="Q163" i="5"/>
  <c r="S163" i="6" s="1"/>
  <c r="AA163" i="5"/>
  <c r="AC163" i="6" s="1"/>
  <c r="G164" i="5"/>
  <c r="I164" i="6" s="1"/>
  <c r="Q164" i="5"/>
  <c r="S164" i="6" s="1"/>
  <c r="AA164" i="5"/>
  <c r="AC164" i="6" s="1"/>
  <c r="G165" i="5"/>
  <c r="I165" i="6" s="1"/>
  <c r="Q165" i="5"/>
  <c r="S165" i="6" s="1"/>
  <c r="AA165" i="5"/>
  <c r="AC165" i="6" s="1"/>
  <c r="G166" i="5"/>
  <c r="I166" i="6" s="1"/>
  <c r="Q166" i="5"/>
  <c r="S166" i="6" s="1"/>
  <c r="AA166" i="5"/>
  <c r="AC166" i="6" s="1"/>
  <c r="G167" i="5"/>
  <c r="I167" i="6" s="1"/>
  <c r="Q167" i="5"/>
  <c r="S167" i="6" s="1"/>
  <c r="AA167" i="5"/>
  <c r="AC167" i="6" s="1"/>
  <c r="G168" i="5"/>
  <c r="I168" i="6" s="1"/>
  <c r="Q168" i="5"/>
  <c r="S168" i="6" s="1"/>
  <c r="AA168" i="5"/>
  <c r="AC168" i="6" s="1"/>
  <c r="G169" i="5"/>
  <c r="I169" i="6" s="1"/>
  <c r="Q169" i="5"/>
  <c r="S169" i="6" s="1"/>
  <c r="AA169" i="5"/>
  <c r="AC169" i="6" s="1"/>
  <c r="G170" i="5"/>
  <c r="I170" i="6" s="1"/>
  <c r="Q170" i="5"/>
  <c r="S170" i="6" s="1"/>
  <c r="AA170" i="5"/>
  <c r="AC170" i="6" s="1"/>
  <c r="G171" i="5"/>
  <c r="I171" i="6" s="1"/>
  <c r="Q171" i="5"/>
  <c r="S171" i="6" s="1"/>
  <c r="AA171" i="5"/>
  <c r="AC171" i="6" s="1"/>
  <c r="F205" i="5"/>
  <c r="H205" i="6" s="1"/>
  <c r="P205" i="5"/>
  <c r="R205" i="6" s="1"/>
  <c r="Z205" i="5"/>
  <c r="AB205" i="6" s="1"/>
  <c r="N241" i="5"/>
  <c r="P241" i="6" s="1"/>
  <c r="R241" i="5"/>
  <c r="T241" i="6" s="1"/>
  <c r="V241" i="5"/>
  <c r="X241" i="6" s="1"/>
  <c r="P243" i="5"/>
  <c r="R243" i="6" s="1"/>
  <c r="T243" i="5"/>
  <c r="V243" i="6" s="1"/>
  <c r="AA248" i="5"/>
  <c r="AC248" i="6" s="1"/>
  <c r="AE248" i="5"/>
  <c r="AG248" i="6" s="1"/>
  <c r="Y254" i="5"/>
  <c r="AA254" i="6" s="1"/>
  <c r="AC254" i="5"/>
  <c r="AE254" i="6" s="1"/>
  <c r="AG254" i="5"/>
  <c r="AI254" i="6" s="1"/>
  <c r="AA255" i="5"/>
  <c r="AC255" i="6" s="1"/>
  <c r="AE255" i="5"/>
  <c r="AG255" i="6" s="1"/>
  <c r="Y257" i="5"/>
  <c r="AA257" i="6" s="1"/>
  <c r="AC257" i="5"/>
  <c r="AE257" i="6" s="1"/>
  <c r="AG257" i="5"/>
  <c r="AI257" i="6" s="1"/>
  <c r="Q258" i="5"/>
  <c r="S258" i="6" s="1"/>
  <c r="U258" i="5"/>
  <c r="W258" i="6" s="1"/>
  <c r="Y258" i="5"/>
  <c r="AA258" i="6" s="1"/>
  <c r="AC258" i="5"/>
  <c r="AE258" i="6" s="1"/>
  <c r="AG258" i="5"/>
  <c r="AI258" i="6" s="1"/>
  <c r="G259" i="5"/>
  <c r="I259" i="6" s="1"/>
  <c r="K259" i="5"/>
  <c r="M259" i="6" s="1"/>
  <c r="O259" i="5"/>
  <c r="Q259" i="6" s="1"/>
  <c r="S259" i="5"/>
  <c r="U259" i="6" s="1"/>
  <c r="W259" i="5"/>
  <c r="Y259" i="6" s="1"/>
  <c r="AA259" i="5"/>
  <c r="AC259" i="6" s="1"/>
  <c r="AE259" i="5"/>
  <c r="AG259" i="6" s="1"/>
  <c r="E260" i="5"/>
  <c r="G260" i="6" s="1"/>
  <c r="I260" i="5"/>
  <c r="K260" i="6" s="1"/>
  <c r="M260" i="5"/>
  <c r="O260" i="6" s="1"/>
  <c r="Q260" i="5"/>
  <c r="S260" i="6" s="1"/>
  <c r="U260" i="5"/>
  <c r="W260" i="6" s="1"/>
  <c r="Y260" i="5"/>
  <c r="AA260" i="6" s="1"/>
  <c r="AC260" i="5"/>
  <c r="AE260" i="6" s="1"/>
  <c r="AG260" i="5"/>
  <c r="AI260" i="6" s="1"/>
  <c r="G261" i="5"/>
  <c r="I261" i="6" s="1"/>
  <c r="K261" i="5"/>
  <c r="M261" i="6" s="1"/>
  <c r="O261" i="5"/>
  <c r="Q261" i="6" s="1"/>
  <c r="S261" i="5"/>
  <c r="U261" i="6" s="1"/>
  <c r="W261" i="5"/>
  <c r="Y261" i="6" s="1"/>
  <c r="AA261" i="5"/>
  <c r="AC261" i="6" s="1"/>
  <c r="AE261" i="5"/>
  <c r="AG261" i="6" s="1"/>
  <c r="E262" i="5"/>
  <c r="G262" i="6" s="1"/>
  <c r="I262" i="5"/>
  <c r="K262" i="6" s="1"/>
  <c r="M262" i="5"/>
  <c r="O262" i="6" s="1"/>
  <c r="Q262" i="5"/>
  <c r="S262" i="6" s="1"/>
  <c r="U262" i="5"/>
  <c r="W262" i="6" s="1"/>
  <c r="Y262" i="5"/>
  <c r="AA262" i="6" s="1"/>
  <c r="AC262" i="5"/>
  <c r="AE262" i="6" s="1"/>
  <c r="AG262" i="5"/>
  <c r="AI262" i="6" s="1"/>
  <c r="Q263" i="5"/>
  <c r="S263" i="6" s="1"/>
  <c r="U263" i="5"/>
  <c r="W263" i="6" s="1"/>
  <c r="Y263" i="5"/>
  <c r="AA263" i="6" s="1"/>
  <c r="AC263" i="5"/>
  <c r="AE263" i="6" s="1"/>
  <c r="AG263" i="5"/>
  <c r="AI263" i="6" s="1"/>
  <c r="G264" i="5"/>
  <c r="I264" i="6" s="1"/>
  <c r="K264" i="5"/>
  <c r="M264" i="6" s="1"/>
  <c r="O264" i="5"/>
  <c r="Q264" i="6" s="1"/>
  <c r="S264" i="5"/>
  <c r="U264" i="6" s="1"/>
  <c r="W264" i="5"/>
  <c r="Y264" i="6" s="1"/>
  <c r="AA264" i="5"/>
  <c r="AC264" i="6" s="1"/>
  <c r="AE264" i="5"/>
  <c r="AG264" i="6" s="1"/>
  <c r="E265" i="5"/>
  <c r="G265" i="6" s="1"/>
  <c r="I265" i="5"/>
  <c r="K265" i="6" s="1"/>
  <c r="M265" i="5"/>
  <c r="O265" i="6" s="1"/>
  <c r="AA265" i="5"/>
  <c r="AC265" i="6" s="1"/>
  <c r="AE265" i="5"/>
  <c r="AG265" i="6" s="1"/>
  <c r="E266" i="5"/>
  <c r="G266" i="6" s="1"/>
  <c r="I266" i="5"/>
  <c r="K266" i="6" s="1"/>
  <c r="M266" i="5"/>
  <c r="O266" i="6" s="1"/>
  <c r="AA266" i="5"/>
  <c r="AC266" i="6" s="1"/>
  <c r="AE266" i="5"/>
  <c r="AG266" i="6" s="1"/>
  <c r="E267" i="5"/>
  <c r="G267" i="6" s="1"/>
  <c r="I267" i="5"/>
  <c r="K267" i="6" s="1"/>
  <c r="M267" i="5"/>
  <c r="O267" i="6" s="1"/>
  <c r="AA267" i="5"/>
  <c r="AC267" i="6" s="1"/>
  <c r="AE267" i="5"/>
  <c r="AG267" i="6" s="1"/>
  <c r="E270" i="5"/>
  <c r="G270" i="6" s="1"/>
  <c r="I270" i="5"/>
  <c r="K270" i="6" s="1"/>
  <c r="M270" i="5"/>
  <c r="O270" i="6" s="1"/>
  <c r="Q270" i="5"/>
  <c r="S270" i="6" s="1"/>
  <c r="U270" i="5"/>
  <c r="W270" i="6" s="1"/>
  <c r="Y270" i="5"/>
  <c r="AA270" i="6" s="1"/>
  <c r="AC270" i="5"/>
  <c r="AE270" i="6" s="1"/>
  <c r="AG270" i="5"/>
  <c r="AI270" i="6" s="1"/>
  <c r="G271" i="5"/>
  <c r="I271" i="6" s="1"/>
  <c r="K271" i="5"/>
  <c r="M271" i="6" s="1"/>
  <c r="O271" i="5"/>
  <c r="Q271" i="6" s="1"/>
  <c r="S271" i="5"/>
  <c r="U271" i="6" s="1"/>
  <c r="W271" i="5"/>
  <c r="Y271" i="6" s="1"/>
  <c r="AA271" i="5"/>
  <c r="AC271" i="6" s="1"/>
  <c r="AE271" i="5"/>
  <c r="AG271" i="6" s="1"/>
  <c r="E273" i="5"/>
  <c r="G273" i="6" s="1"/>
  <c r="I273" i="5"/>
  <c r="K273" i="6" s="1"/>
  <c r="M273" i="5"/>
  <c r="O273" i="6" s="1"/>
  <c r="AA273" i="5"/>
  <c r="AC273" i="6" s="1"/>
  <c r="AE273" i="5"/>
  <c r="AG273" i="6" s="1"/>
  <c r="E283" i="5"/>
  <c r="G283" i="6" s="1"/>
  <c r="I283" i="5"/>
  <c r="K283" i="6" s="1"/>
  <c r="M283" i="5"/>
  <c r="O283" i="6" s="1"/>
  <c r="Q283" i="5"/>
  <c r="S283" i="6" s="1"/>
  <c r="U283" i="5"/>
  <c r="W283" i="6" s="1"/>
  <c r="Y283" i="5"/>
  <c r="AA283" i="6" s="1"/>
  <c r="AC283" i="5"/>
  <c r="AE283" i="6" s="1"/>
  <c r="AG283" i="5"/>
  <c r="AI283" i="6" s="1"/>
  <c r="Q285" i="5"/>
  <c r="S285" i="6" s="1"/>
  <c r="U285" i="5"/>
  <c r="W285" i="6" s="1"/>
  <c r="E288" i="5"/>
  <c r="G288" i="6" s="1"/>
  <c r="I288" i="5"/>
  <c r="K288" i="6" s="1"/>
  <c r="M288" i="5"/>
  <c r="O288" i="6" s="1"/>
  <c r="Q288" i="5"/>
  <c r="S288" i="6" s="1"/>
  <c r="U288" i="5"/>
  <c r="W288" i="6" s="1"/>
  <c r="Y288" i="5"/>
  <c r="AA288" i="6" s="1"/>
  <c r="AC288" i="5"/>
  <c r="AE288" i="6" s="1"/>
  <c r="AG288" i="5"/>
  <c r="AI288" i="6" s="1"/>
  <c r="G289" i="5"/>
  <c r="I289" i="6" s="1"/>
  <c r="K289" i="5"/>
  <c r="M289" i="6" s="1"/>
  <c r="O289" i="5"/>
  <c r="Q289" i="6" s="1"/>
  <c r="S289" i="5"/>
  <c r="U289" i="6" s="1"/>
  <c r="W289" i="5"/>
  <c r="Y289" i="6" s="1"/>
  <c r="AA290" i="5"/>
  <c r="AC290" i="6" s="1"/>
  <c r="AE290" i="5"/>
  <c r="AG290" i="6" s="1"/>
  <c r="E292" i="5"/>
  <c r="G292" i="6" s="1"/>
  <c r="I292" i="5"/>
  <c r="K292" i="6" s="1"/>
  <c r="M292" i="5"/>
  <c r="O292" i="6" s="1"/>
  <c r="Q292" i="5"/>
  <c r="S292" i="6" s="1"/>
  <c r="U292" i="5"/>
  <c r="W292" i="6" s="1"/>
  <c r="Y292" i="5"/>
  <c r="AA292" i="6" s="1"/>
  <c r="AC292" i="5"/>
  <c r="AE292" i="6" s="1"/>
  <c r="AG292" i="5"/>
  <c r="AI292" i="6" s="1"/>
  <c r="L301" i="5"/>
  <c r="N301" i="6" s="1"/>
  <c r="V301" i="5"/>
  <c r="X301" i="6" s="1"/>
  <c r="AF301" i="5"/>
  <c r="AH301" i="6" s="1"/>
  <c r="L302" i="5"/>
  <c r="N302" i="6" s="1"/>
  <c r="V302" i="5"/>
  <c r="X302" i="6" s="1"/>
  <c r="AF302" i="5"/>
  <c r="AH302" i="6" s="1"/>
  <c r="L307" i="5"/>
  <c r="N307" i="6" s="1"/>
  <c r="V307" i="5"/>
  <c r="X307" i="6" s="1"/>
  <c r="AF307" i="5"/>
  <c r="AH307" i="6" s="1"/>
  <c r="V308" i="5"/>
  <c r="X308" i="6" s="1"/>
  <c r="L310" i="5"/>
  <c r="N310" i="6" s="1"/>
  <c r="V310" i="5"/>
  <c r="X310" i="6" s="1"/>
  <c r="AF310" i="5"/>
  <c r="AH310" i="6" s="1"/>
  <c r="L313" i="5"/>
  <c r="N313" i="6" s="1"/>
  <c r="V313" i="5"/>
  <c r="X313" i="6" s="1"/>
  <c r="AF313" i="5"/>
  <c r="AH313" i="6" s="1"/>
  <c r="V314" i="5"/>
  <c r="X314" i="6" s="1"/>
  <c r="AF314" i="5"/>
  <c r="AH314" i="6" s="1"/>
  <c r="V318" i="5"/>
  <c r="X318" i="6" s="1"/>
  <c r="AF318" i="5"/>
  <c r="AH318" i="6" s="1"/>
  <c r="AA324" i="5"/>
  <c r="AC324" i="6" s="1"/>
  <c r="Q325" i="5"/>
  <c r="S325" i="6" s="1"/>
  <c r="AA327" i="5"/>
  <c r="AC327" i="6" s="1"/>
  <c r="S328" i="5"/>
  <c r="U328" i="6" s="1"/>
  <c r="AC328" i="5"/>
  <c r="AE328" i="6" s="1"/>
  <c r="Q333" i="5"/>
  <c r="S333" i="6" s="1"/>
  <c r="G335" i="5"/>
  <c r="I335" i="6" s="1"/>
  <c r="Q335" i="5"/>
  <c r="S335" i="6" s="1"/>
  <c r="Q338" i="5"/>
  <c r="S338" i="6" s="1"/>
  <c r="AB341" i="5"/>
  <c r="AD341" i="6" s="1"/>
  <c r="L343" i="5"/>
  <c r="N343" i="6" s="1"/>
  <c r="V343" i="5"/>
  <c r="X343" i="6" s="1"/>
  <c r="AF343" i="5"/>
  <c r="AH343" i="6" s="1"/>
  <c r="AF347" i="5"/>
  <c r="AH347" i="6" s="1"/>
  <c r="V348" i="5"/>
  <c r="X348" i="6" s="1"/>
  <c r="R350" i="5"/>
  <c r="T350" i="6" s="1"/>
  <c r="AF352" i="5"/>
  <c r="AH352" i="6" s="1"/>
  <c r="R353" i="5"/>
  <c r="T353" i="6" s="1"/>
  <c r="E357" i="5"/>
  <c r="G357" i="6" s="1"/>
  <c r="I357" i="5"/>
  <c r="K357" i="6" s="1"/>
  <c r="M357" i="5"/>
  <c r="O357" i="6" s="1"/>
  <c r="Q357" i="5"/>
  <c r="S357" i="6" s="1"/>
  <c r="U357" i="5"/>
  <c r="W357" i="6" s="1"/>
  <c r="Y357" i="5"/>
  <c r="AA357" i="6" s="1"/>
  <c r="AC357" i="5"/>
  <c r="AE357" i="6" s="1"/>
  <c r="AG357" i="5"/>
  <c r="AI357" i="6" s="1"/>
  <c r="G358" i="5"/>
  <c r="I358" i="6" s="1"/>
  <c r="K358" i="5"/>
  <c r="M358" i="6" s="1"/>
  <c r="O358" i="5"/>
  <c r="Q358" i="6" s="1"/>
  <c r="S358" i="5"/>
  <c r="U358" i="6" s="1"/>
  <c r="W358" i="5"/>
  <c r="Y358" i="6" s="1"/>
  <c r="AA358" i="5"/>
  <c r="AC358" i="6" s="1"/>
  <c r="AE358" i="5"/>
  <c r="AG358" i="6" s="1"/>
  <c r="E359" i="5"/>
  <c r="G359" i="6" s="1"/>
  <c r="I359" i="5"/>
  <c r="K359" i="6" s="1"/>
  <c r="M359" i="5"/>
  <c r="O359" i="6" s="1"/>
  <c r="Q359" i="5"/>
  <c r="S359" i="6" s="1"/>
  <c r="U359" i="5"/>
  <c r="W359" i="6" s="1"/>
  <c r="Y359" i="5"/>
  <c r="AA359" i="6" s="1"/>
  <c r="AC359" i="5"/>
  <c r="AE359" i="6" s="1"/>
  <c r="AG359" i="5"/>
  <c r="AI359" i="6" s="1"/>
  <c r="G360" i="5"/>
  <c r="I360" i="6" s="1"/>
  <c r="K360" i="5"/>
  <c r="M360" i="6" s="1"/>
  <c r="O360" i="5"/>
  <c r="Q360" i="6" s="1"/>
  <c r="S360" i="5"/>
  <c r="U360" i="6" s="1"/>
  <c r="W360" i="5"/>
  <c r="Y360" i="6" s="1"/>
  <c r="AA360" i="5"/>
  <c r="AC360" i="6" s="1"/>
  <c r="AE360" i="5"/>
  <c r="AG360" i="6" s="1"/>
  <c r="E361" i="5"/>
  <c r="G361" i="6" s="1"/>
  <c r="I361" i="5"/>
  <c r="K361" i="6" s="1"/>
  <c r="M361" i="5"/>
  <c r="O361" i="6" s="1"/>
  <c r="Q361" i="5"/>
  <c r="S361" i="6" s="1"/>
  <c r="U361" i="5"/>
  <c r="W361" i="6" s="1"/>
  <c r="Y361" i="5"/>
  <c r="AA361" i="6" s="1"/>
  <c r="AC361" i="5"/>
  <c r="AE361" i="6" s="1"/>
  <c r="AG361" i="5"/>
  <c r="AI361" i="6" s="1"/>
  <c r="G362" i="5"/>
  <c r="I362" i="6" s="1"/>
  <c r="K362" i="5"/>
  <c r="M362" i="6" s="1"/>
  <c r="O362" i="5"/>
  <c r="Q362" i="6" s="1"/>
  <c r="S362" i="5"/>
  <c r="U362" i="6" s="1"/>
  <c r="W362" i="5"/>
  <c r="Y362" i="6" s="1"/>
  <c r="AA362" i="5"/>
  <c r="AC362" i="6" s="1"/>
  <c r="AE362" i="5"/>
  <c r="AG362" i="6" s="1"/>
  <c r="E363" i="5"/>
  <c r="G363" i="6" s="1"/>
  <c r="I363" i="5"/>
  <c r="K363" i="6" s="1"/>
  <c r="M363" i="5"/>
  <c r="O363" i="6" s="1"/>
  <c r="Q363" i="5"/>
  <c r="S363" i="6" s="1"/>
  <c r="U363" i="5"/>
  <c r="W363" i="6" s="1"/>
  <c r="Y363" i="5"/>
  <c r="AA363" i="6" s="1"/>
  <c r="AC363" i="5"/>
  <c r="AE363" i="6" s="1"/>
  <c r="AG363" i="5"/>
  <c r="AI363" i="6" s="1"/>
  <c r="G364" i="5"/>
  <c r="I364" i="6" s="1"/>
  <c r="K364" i="5"/>
  <c r="M364" i="6" s="1"/>
  <c r="O364" i="5"/>
  <c r="Q364" i="6" s="1"/>
  <c r="S364" i="5"/>
  <c r="U364" i="6" s="1"/>
  <c r="W364" i="5"/>
  <c r="Y364" i="6" s="1"/>
  <c r="AA364" i="5"/>
  <c r="AC364" i="6" s="1"/>
  <c r="AE364" i="5"/>
  <c r="AG364" i="6" s="1"/>
  <c r="E365" i="5"/>
  <c r="G365" i="6" s="1"/>
  <c r="I365" i="5"/>
  <c r="K365" i="6" s="1"/>
  <c r="M365" i="5"/>
  <c r="O365" i="6" s="1"/>
  <c r="Q365" i="5"/>
  <c r="S365" i="6" s="1"/>
  <c r="U365" i="5"/>
  <c r="W365" i="6" s="1"/>
  <c r="Y365" i="5"/>
  <c r="AA365" i="6" s="1"/>
  <c r="AC365" i="5"/>
  <c r="AE365" i="6" s="1"/>
  <c r="AG365" i="5"/>
  <c r="AI365" i="6" s="1"/>
  <c r="G366" i="5"/>
  <c r="I366" i="6" s="1"/>
  <c r="K366" i="5"/>
  <c r="M366" i="6" s="1"/>
  <c r="O366" i="5"/>
  <c r="Q366" i="6" s="1"/>
  <c r="S366" i="5"/>
  <c r="U366" i="6" s="1"/>
  <c r="W366" i="5"/>
  <c r="Y366" i="6" s="1"/>
  <c r="AA366" i="5"/>
  <c r="AC366" i="6" s="1"/>
  <c r="AE366" i="5"/>
  <c r="AG366" i="6" s="1"/>
  <c r="E367" i="5"/>
  <c r="G367" i="6" s="1"/>
  <c r="I367" i="5"/>
  <c r="K367" i="6" s="1"/>
  <c r="M367" i="5"/>
  <c r="O367" i="6" s="1"/>
  <c r="Q367" i="5"/>
  <c r="S367" i="6" s="1"/>
  <c r="U367" i="5"/>
  <c r="W367" i="6" s="1"/>
  <c r="Y367" i="5"/>
  <c r="AA367" i="6" s="1"/>
  <c r="AC367" i="5"/>
  <c r="AE367" i="6" s="1"/>
  <c r="AG367" i="5"/>
  <c r="AI367" i="6" s="1"/>
  <c r="G368" i="5"/>
  <c r="I368" i="6" s="1"/>
  <c r="K368" i="5"/>
  <c r="M368" i="6" s="1"/>
  <c r="O368" i="5"/>
  <c r="Q368" i="6" s="1"/>
  <c r="S368" i="5"/>
  <c r="U368" i="6" s="1"/>
  <c r="W368" i="5"/>
  <c r="Y368" i="6" s="1"/>
  <c r="AA368" i="5"/>
  <c r="AC368" i="6" s="1"/>
  <c r="AE368" i="5"/>
  <c r="AG368" i="6" s="1"/>
  <c r="E369" i="5"/>
  <c r="G369" i="6" s="1"/>
  <c r="I369" i="5"/>
  <c r="K369" i="6" s="1"/>
  <c r="M369" i="5"/>
  <c r="O369" i="6" s="1"/>
  <c r="Q369" i="5"/>
  <c r="S369" i="6" s="1"/>
  <c r="U369" i="5"/>
  <c r="W369" i="6" s="1"/>
  <c r="Y369" i="5"/>
  <c r="AA369" i="6" s="1"/>
  <c r="AC369" i="5"/>
  <c r="AE369" i="6" s="1"/>
  <c r="AG369" i="5"/>
  <c r="AI369" i="6" s="1"/>
  <c r="G370" i="5"/>
  <c r="I370" i="6" s="1"/>
  <c r="K370" i="5"/>
  <c r="M370" i="6" s="1"/>
  <c r="O370" i="5"/>
  <c r="Q370" i="6" s="1"/>
  <c r="S370" i="5"/>
  <c r="U370" i="6" s="1"/>
  <c r="W370" i="5"/>
  <c r="Y370" i="6" s="1"/>
  <c r="AA370" i="5"/>
  <c r="AC370" i="6" s="1"/>
  <c r="AE370" i="5"/>
  <c r="AG370" i="6" s="1"/>
  <c r="E371" i="5"/>
  <c r="G371" i="6" s="1"/>
  <c r="I371" i="5"/>
  <c r="K371" i="6" s="1"/>
  <c r="M371" i="5"/>
  <c r="O371" i="6" s="1"/>
  <c r="Q371" i="5"/>
  <c r="S371" i="6" s="1"/>
  <c r="U371" i="5"/>
  <c r="W371" i="6" s="1"/>
  <c r="Y371" i="5"/>
  <c r="AA371" i="6" s="1"/>
  <c r="AC371" i="5"/>
  <c r="AE371" i="6" s="1"/>
  <c r="AG371" i="5"/>
  <c r="AI371" i="6" s="1"/>
  <c r="G372" i="5"/>
  <c r="I372" i="6" s="1"/>
  <c r="K372" i="5"/>
  <c r="M372" i="6" s="1"/>
  <c r="O372" i="5"/>
  <c r="Q372" i="6" s="1"/>
  <c r="S372" i="5"/>
  <c r="U372" i="6" s="1"/>
  <c r="W372" i="5"/>
  <c r="Y372" i="6" s="1"/>
  <c r="AA372" i="5"/>
  <c r="AC372" i="6" s="1"/>
  <c r="AE372" i="5"/>
  <c r="AG372" i="6" s="1"/>
  <c r="E373" i="5"/>
  <c r="G373" i="6" s="1"/>
  <c r="I373" i="5"/>
  <c r="K373" i="6" s="1"/>
  <c r="M373" i="5"/>
  <c r="O373" i="6" s="1"/>
  <c r="Q373" i="5"/>
  <c r="S373" i="6" s="1"/>
  <c r="U373" i="5"/>
  <c r="W373" i="6" s="1"/>
  <c r="Y373" i="5"/>
  <c r="AA373" i="6" s="1"/>
  <c r="AC373" i="5"/>
  <c r="AE373" i="6" s="1"/>
  <c r="AG373" i="5"/>
  <c r="AI373" i="6" s="1"/>
  <c r="G375" i="5"/>
  <c r="I375" i="6" s="1"/>
  <c r="K375" i="5"/>
  <c r="M375" i="6" s="1"/>
  <c r="O375" i="5"/>
  <c r="Q375" i="6" s="1"/>
  <c r="S375" i="5"/>
  <c r="U375" i="6" s="1"/>
  <c r="W375" i="5"/>
  <c r="Y375" i="6" s="1"/>
  <c r="AA375" i="5"/>
  <c r="AC375" i="6" s="1"/>
  <c r="AE375" i="5"/>
  <c r="AG375" i="6" s="1"/>
  <c r="E376" i="5"/>
  <c r="G376" i="6" s="1"/>
  <c r="I376" i="5"/>
  <c r="K376" i="6" s="1"/>
  <c r="M376" i="5"/>
  <c r="O376" i="6" s="1"/>
  <c r="Q376" i="5"/>
  <c r="S376" i="6" s="1"/>
  <c r="U376" i="5"/>
  <c r="W376" i="6" s="1"/>
  <c r="Y376" i="5"/>
  <c r="AA376" i="6" s="1"/>
  <c r="AC376" i="5"/>
  <c r="AE376" i="6" s="1"/>
  <c r="AG376" i="5"/>
  <c r="AI376" i="6" s="1"/>
  <c r="G377" i="5"/>
  <c r="I377" i="6" s="1"/>
  <c r="K377" i="5"/>
  <c r="M377" i="6" s="1"/>
  <c r="O377" i="5"/>
  <c r="Q377" i="6" s="1"/>
  <c r="S377" i="5"/>
  <c r="U377" i="6" s="1"/>
  <c r="W377" i="5"/>
  <c r="Y377" i="6" s="1"/>
  <c r="AA377" i="5"/>
  <c r="AC377" i="6" s="1"/>
  <c r="AE377" i="5"/>
  <c r="AG377" i="6" s="1"/>
  <c r="E378" i="5"/>
  <c r="G378" i="6" s="1"/>
  <c r="I378" i="5"/>
  <c r="K378" i="6" s="1"/>
  <c r="M378" i="5"/>
  <c r="O378" i="6" s="1"/>
  <c r="Q378" i="5"/>
  <c r="S378" i="6" s="1"/>
  <c r="U378" i="5"/>
  <c r="W378" i="6" s="1"/>
  <c r="Y378" i="5"/>
  <c r="AA378" i="6" s="1"/>
  <c r="AC378" i="5"/>
  <c r="AE378" i="6" s="1"/>
  <c r="AG378" i="5"/>
  <c r="AI378" i="6" s="1"/>
  <c r="G379" i="5"/>
  <c r="I379" i="6" s="1"/>
  <c r="K379" i="5"/>
  <c r="M379" i="6" s="1"/>
  <c r="O379" i="5"/>
  <c r="Q379" i="6" s="1"/>
  <c r="S379" i="5"/>
  <c r="U379" i="6" s="1"/>
  <c r="W379" i="5"/>
  <c r="Y379" i="6" s="1"/>
  <c r="AA379" i="5"/>
  <c r="AC379" i="6" s="1"/>
  <c r="AE379" i="5"/>
  <c r="AG379" i="6" s="1"/>
  <c r="E380" i="5"/>
  <c r="G380" i="6" s="1"/>
  <c r="I380" i="5"/>
  <c r="K380" i="6" s="1"/>
  <c r="M380" i="5"/>
  <c r="O380" i="6" s="1"/>
  <c r="Q380" i="5"/>
  <c r="S380" i="6" s="1"/>
  <c r="U380" i="5"/>
  <c r="W380" i="6" s="1"/>
  <c r="Y380" i="5"/>
  <c r="AA380" i="6" s="1"/>
  <c r="AC380" i="5"/>
  <c r="AE380" i="6" s="1"/>
  <c r="AG380" i="5"/>
  <c r="AI380" i="6" s="1"/>
  <c r="G381" i="5"/>
  <c r="I381" i="6" s="1"/>
  <c r="K381" i="5"/>
  <c r="M381" i="6" s="1"/>
  <c r="O381" i="5"/>
  <c r="Q381" i="6" s="1"/>
  <c r="S381" i="5"/>
  <c r="U381" i="6" s="1"/>
  <c r="W381" i="5"/>
  <c r="Y381" i="6" s="1"/>
  <c r="AA381" i="5"/>
  <c r="AC381" i="6" s="1"/>
  <c r="AE381" i="5"/>
  <c r="AG381" i="6" s="1"/>
  <c r="E382" i="5"/>
  <c r="G382" i="6" s="1"/>
  <c r="I382" i="5"/>
  <c r="K382" i="6" s="1"/>
  <c r="M382" i="5"/>
  <c r="O382" i="6" s="1"/>
  <c r="Q382" i="5"/>
  <c r="S382" i="6" s="1"/>
  <c r="U382" i="5"/>
  <c r="W382" i="6" s="1"/>
  <c r="Y382" i="5"/>
  <c r="AA382" i="6" s="1"/>
  <c r="AC382" i="5"/>
  <c r="AE382" i="6" s="1"/>
  <c r="AG382" i="5"/>
  <c r="AI382" i="6" s="1"/>
  <c r="G383" i="5"/>
  <c r="I383" i="6" s="1"/>
  <c r="K383" i="5"/>
  <c r="M383" i="6" s="1"/>
  <c r="O383" i="5"/>
  <c r="Q383" i="6" s="1"/>
  <c r="S383" i="5"/>
  <c r="U383" i="6" s="1"/>
  <c r="W383" i="5"/>
  <c r="Y383" i="6" s="1"/>
  <c r="AA383" i="5"/>
  <c r="AC383" i="6" s="1"/>
  <c r="AE383" i="5"/>
  <c r="AG383" i="6" s="1"/>
  <c r="E384" i="5"/>
  <c r="G384" i="6" s="1"/>
  <c r="I384" i="5"/>
  <c r="K384" i="6" s="1"/>
  <c r="M384" i="5"/>
  <c r="O384" i="6" s="1"/>
  <c r="Q384" i="5"/>
  <c r="S384" i="6" s="1"/>
  <c r="U384" i="5"/>
  <c r="W384" i="6" s="1"/>
  <c r="Y384" i="5"/>
  <c r="AA384" i="6" s="1"/>
  <c r="AC384" i="5"/>
  <c r="AE384" i="6" s="1"/>
  <c r="AG384" i="5"/>
  <c r="AI384" i="6" s="1"/>
  <c r="G385" i="5"/>
  <c r="I385" i="6" s="1"/>
  <c r="K385" i="5"/>
  <c r="M385" i="6" s="1"/>
  <c r="O385" i="5"/>
  <c r="Q385" i="6" s="1"/>
  <c r="S385" i="5"/>
  <c r="U385" i="6" s="1"/>
  <c r="W385" i="5"/>
  <c r="Y385" i="6" s="1"/>
  <c r="AA385" i="5"/>
  <c r="AC385" i="6" s="1"/>
  <c r="AE385" i="5"/>
  <c r="AG385" i="6" s="1"/>
  <c r="E388" i="5"/>
  <c r="G388" i="6" s="1"/>
  <c r="I388" i="5"/>
  <c r="K388" i="6" s="1"/>
  <c r="M388" i="5"/>
  <c r="O388" i="6" s="1"/>
  <c r="Q388" i="5"/>
  <c r="S388" i="6" s="1"/>
  <c r="U388" i="5"/>
  <c r="W388" i="6" s="1"/>
  <c r="Y388" i="5"/>
  <c r="AA388" i="6" s="1"/>
  <c r="AC388" i="5"/>
  <c r="AE388" i="6" s="1"/>
  <c r="AG388" i="5"/>
  <c r="AI388" i="6" s="1"/>
  <c r="G389" i="5"/>
  <c r="I389" i="6" s="1"/>
  <c r="K389" i="5"/>
  <c r="M389" i="6" s="1"/>
  <c r="O389" i="5"/>
  <c r="Q389" i="6" s="1"/>
  <c r="S389" i="5"/>
  <c r="U389" i="6" s="1"/>
  <c r="W389" i="5"/>
  <c r="Y389" i="6" s="1"/>
  <c r="AA389" i="5"/>
  <c r="AC389" i="6" s="1"/>
  <c r="AE389" i="5"/>
  <c r="AG389" i="6" s="1"/>
  <c r="E390" i="5"/>
  <c r="G390" i="6" s="1"/>
  <c r="I390" i="5"/>
  <c r="K390" i="6" s="1"/>
  <c r="M390" i="5"/>
  <c r="O390" i="6" s="1"/>
  <c r="Q390" i="5"/>
  <c r="S390" i="6" s="1"/>
  <c r="U390" i="5"/>
  <c r="W390" i="6" s="1"/>
  <c r="Y390" i="5"/>
  <c r="AA390" i="6" s="1"/>
  <c r="AC390" i="5"/>
  <c r="AE390" i="6" s="1"/>
  <c r="AG390" i="5"/>
  <c r="AI390" i="6" s="1"/>
  <c r="G391" i="5"/>
  <c r="I391" i="6" s="1"/>
  <c r="K391" i="5"/>
  <c r="M391" i="6" s="1"/>
  <c r="O391" i="5"/>
  <c r="Q391" i="6" s="1"/>
  <c r="S391" i="5"/>
  <c r="U391" i="6" s="1"/>
  <c r="W391" i="5"/>
  <c r="Y391" i="6" s="1"/>
  <c r="AA391" i="5"/>
  <c r="AC391" i="6" s="1"/>
  <c r="AE391" i="5"/>
  <c r="AG391" i="6" s="1"/>
  <c r="E392" i="5"/>
  <c r="G392" i="6" s="1"/>
  <c r="I392" i="5"/>
  <c r="K392" i="6" s="1"/>
  <c r="M392" i="5"/>
  <c r="O392" i="6" s="1"/>
  <c r="Q392" i="5"/>
  <c r="S392" i="6" s="1"/>
  <c r="U392" i="5"/>
  <c r="W392" i="6" s="1"/>
  <c r="Y392" i="5"/>
  <c r="AA392" i="6" s="1"/>
  <c r="AC392" i="5"/>
  <c r="AE392" i="6" s="1"/>
  <c r="AG392" i="5"/>
  <c r="AI392" i="6" s="1"/>
  <c r="G393" i="5"/>
  <c r="I393" i="6" s="1"/>
  <c r="K393" i="5"/>
  <c r="M393" i="6" s="1"/>
  <c r="O393" i="5"/>
  <c r="Q393" i="6" s="1"/>
  <c r="S393" i="5"/>
  <c r="U393" i="6" s="1"/>
  <c r="W393" i="5"/>
  <c r="Y393" i="6" s="1"/>
  <c r="AA393" i="5"/>
  <c r="AC393" i="6" s="1"/>
  <c r="AE393" i="5"/>
  <c r="AG393" i="6" s="1"/>
  <c r="E394" i="5"/>
  <c r="G394" i="6" s="1"/>
  <c r="I394" i="5"/>
  <c r="K394" i="6" s="1"/>
  <c r="M394" i="5"/>
  <c r="O394" i="6" s="1"/>
  <c r="Q394" i="5"/>
  <c r="S394" i="6" s="1"/>
  <c r="U394" i="5"/>
  <c r="W394" i="6" s="1"/>
  <c r="Y394" i="5"/>
  <c r="AA394" i="6" s="1"/>
  <c r="AC394" i="5"/>
  <c r="AE394" i="6" s="1"/>
  <c r="AG394" i="5"/>
  <c r="AI394" i="6" s="1"/>
  <c r="G395" i="5"/>
  <c r="I395" i="6" s="1"/>
  <c r="K395" i="5"/>
  <c r="M395" i="6" s="1"/>
  <c r="O395" i="5"/>
  <c r="Q395" i="6" s="1"/>
  <c r="S395" i="5"/>
  <c r="U395" i="6" s="1"/>
  <c r="W395" i="5"/>
  <c r="Y395" i="6" s="1"/>
  <c r="AA395" i="5"/>
  <c r="AC395" i="6" s="1"/>
  <c r="AE395" i="5"/>
  <c r="AG395" i="6" s="1"/>
  <c r="E396" i="5"/>
  <c r="G396" i="6" s="1"/>
  <c r="I396" i="5"/>
  <c r="K396" i="6" s="1"/>
  <c r="M396" i="5"/>
  <c r="O396" i="6" s="1"/>
  <c r="Q396" i="5"/>
  <c r="S396" i="6" s="1"/>
  <c r="U396" i="5"/>
  <c r="W396" i="6" s="1"/>
  <c r="Y396" i="5"/>
  <c r="AA396" i="6" s="1"/>
  <c r="AC396" i="5"/>
  <c r="AE396" i="6" s="1"/>
  <c r="AG396" i="5"/>
  <c r="AI396" i="6" s="1"/>
  <c r="G397" i="5"/>
  <c r="I397" i="6" s="1"/>
  <c r="K397" i="5"/>
  <c r="M397" i="6" s="1"/>
  <c r="O397" i="5"/>
  <c r="Q397" i="6" s="1"/>
  <c r="S397" i="5"/>
  <c r="U397" i="6" s="1"/>
  <c r="W397" i="5"/>
  <c r="Y397" i="6" s="1"/>
  <c r="AA397" i="5"/>
  <c r="AC397" i="6" s="1"/>
  <c r="AE397" i="5"/>
  <c r="AG397" i="6" s="1"/>
  <c r="E398" i="5"/>
  <c r="G398" i="6" s="1"/>
  <c r="I398" i="5"/>
  <c r="K398" i="6" s="1"/>
  <c r="M398" i="5"/>
  <c r="O398" i="6" s="1"/>
  <c r="Q398" i="5"/>
  <c r="S398" i="6" s="1"/>
  <c r="U398" i="5"/>
  <c r="W398" i="6" s="1"/>
  <c r="Y398" i="5"/>
  <c r="AA398" i="6" s="1"/>
  <c r="AC398" i="5"/>
  <c r="AE398" i="6" s="1"/>
  <c r="AG398" i="5"/>
  <c r="AI398" i="6" s="1"/>
  <c r="G399" i="5"/>
  <c r="I399" i="6" s="1"/>
  <c r="K399" i="5"/>
  <c r="M399" i="6" s="1"/>
  <c r="O399" i="5"/>
  <c r="Q399" i="6" s="1"/>
  <c r="S399" i="5"/>
  <c r="U399" i="6" s="1"/>
  <c r="W399" i="5"/>
  <c r="Y399" i="6" s="1"/>
  <c r="AA399" i="5"/>
  <c r="AC399" i="6" s="1"/>
  <c r="AE399" i="5"/>
  <c r="AG399" i="6" s="1"/>
  <c r="E400" i="5"/>
  <c r="G400" i="6" s="1"/>
  <c r="I400" i="5"/>
  <c r="K400" i="6" s="1"/>
  <c r="M400" i="5"/>
  <c r="O400" i="6" s="1"/>
  <c r="Q400" i="5"/>
  <c r="S400" i="6" s="1"/>
  <c r="U400" i="5"/>
  <c r="W400" i="6" s="1"/>
  <c r="Y400" i="5"/>
  <c r="AA400" i="6" s="1"/>
  <c r="AC400" i="5"/>
  <c r="AE400" i="6" s="1"/>
  <c r="AG400" i="5"/>
  <c r="AI400" i="6" s="1"/>
  <c r="G401" i="5"/>
  <c r="I401" i="6" s="1"/>
  <c r="K401" i="5"/>
  <c r="M401" i="6" s="1"/>
  <c r="O401" i="5"/>
  <c r="Q401" i="6" s="1"/>
  <c r="S401" i="5"/>
  <c r="U401" i="6" s="1"/>
  <c r="W401" i="5"/>
  <c r="Y401" i="6" s="1"/>
  <c r="AA401" i="5"/>
  <c r="AC401" i="6" s="1"/>
  <c r="AE401" i="5"/>
  <c r="AG401" i="6" s="1"/>
  <c r="E402" i="5"/>
  <c r="G402" i="6" s="1"/>
  <c r="I402" i="5"/>
  <c r="K402" i="6" s="1"/>
  <c r="M402" i="5"/>
  <c r="O402" i="6" s="1"/>
  <c r="Q402" i="5"/>
  <c r="S402" i="6" s="1"/>
  <c r="U402" i="5"/>
  <c r="W402" i="6" s="1"/>
  <c r="Y402" i="5"/>
  <c r="AA402" i="6" s="1"/>
  <c r="AC402" i="5"/>
  <c r="AE402" i="6" s="1"/>
  <c r="AG402" i="5"/>
  <c r="AI402" i="6" s="1"/>
  <c r="G403" i="5"/>
  <c r="I403" i="6" s="1"/>
  <c r="K403" i="5"/>
  <c r="M403" i="6" s="1"/>
  <c r="O403" i="5"/>
  <c r="Q403" i="6" s="1"/>
  <c r="S403" i="5"/>
  <c r="U403" i="6" s="1"/>
  <c r="W403" i="5"/>
  <c r="Y403" i="6" s="1"/>
  <c r="AA403" i="5"/>
  <c r="AC403" i="6" s="1"/>
  <c r="AE403" i="5"/>
  <c r="AG403" i="6" s="1"/>
  <c r="E404" i="5"/>
  <c r="G404" i="6" s="1"/>
  <c r="I404" i="5"/>
  <c r="K404" i="6" s="1"/>
  <c r="M404" i="5"/>
  <c r="O404" i="6" s="1"/>
  <c r="Q404" i="5"/>
  <c r="S404" i="6" s="1"/>
  <c r="U404" i="5"/>
  <c r="W404" i="6" s="1"/>
  <c r="Y404" i="5"/>
  <c r="AA404" i="6" s="1"/>
  <c r="AC404" i="5"/>
  <c r="AE404" i="6" s="1"/>
  <c r="AG404" i="5"/>
  <c r="AI404" i="6" s="1"/>
  <c r="G405" i="5"/>
  <c r="I405" i="6" s="1"/>
  <c r="K405" i="5"/>
  <c r="M405" i="6" s="1"/>
  <c r="O405" i="5"/>
  <c r="Q405" i="6" s="1"/>
  <c r="S405" i="5"/>
  <c r="U405" i="6" s="1"/>
  <c r="W405" i="5"/>
  <c r="Y405" i="6" s="1"/>
  <c r="AA405" i="5"/>
  <c r="AC405" i="6" s="1"/>
  <c r="AE405" i="5"/>
  <c r="AG405" i="6" s="1"/>
  <c r="E406" i="5"/>
  <c r="G406" i="6" s="1"/>
  <c r="I406" i="5"/>
  <c r="K406" i="6" s="1"/>
  <c r="M406" i="5"/>
  <c r="O406" i="6" s="1"/>
  <c r="Q406" i="5"/>
  <c r="S406" i="6" s="1"/>
  <c r="U406" i="5"/>
  <c r="W406" i="6" s="1"/>
  <c r="Y406" i="5"/>
  <c r="AA406" i="6" s="1"/>
  <c r="AC406" i="5"/>
  <c r="AE406" i="6" s="1"/>
  <c r="AG406" i="5"/>
  <c r="AI406" i="6" s="1"/>
  <c r="G407" i="5"/>
  <c r="I407" i="6" s="1"/>
  <c r="K407" i="5"/>
  <c r="M407" i="6" s="1"/>
  <c r="O407" i="5"/>
  <c r="Q407" i="6" s="1"/>
  <c r="S407" i="5"/>
  <c r="U407" i="6" s="1"/>
  <c r="W407" i="5"/>
  <c r="Y407" i="6" s="1"/>
  <c r="AA407" i="5"/>
  <c r="AC407" i="6" s="1"/>
  <c r="AE407" i="5"/>
  <c r="AG407" i="6" s="1"/>
  <c r="E408" i="5"/>
  <c r="G408" i="6" s="1"/>
  <c r="I408" i="5"/>
  <c r="K408" i="6" s="1"/>
  <c r="M408" i="5"/>
  <c r="O408" i="6" s="1"/>
  <c r="Q408" i="5"/>
  <c r="S408" i="6" s="1"/>
  <c r="U408" i="5"/>
  <c r="W408" i="6" s="1"/>
  <c r="Y408" i="5"/>
  <c r="AA408" i="6" s="1"/>
  <c r="AC408" i="5"/>
  <c r="AE408" i="6" s="1"/>
  <c r="AG408" i="5"/>
  <c r="AI408" i="6" s="1"/>
  <c r="G409" i="5"/>
  <c r="I409" i="6" s="1"/>
  <c r="K409" i="5"/>
  <c r="M409" i="6" s="1"/>
  <c r="O409" i="5"/>
  <c r="Q409" i="6" s="1"/>
  <c r="S409" i="5"/>
  <c r="U409" i="6" s="1"/>
  <c r="W409" i="5"/>
  <c r="Y409" i="6" s="1"/>
  <c r="AE409" i="5"/>
  <c r="AG409" i="6" s="1"/>
  <c r="E410" i="5"/>
  <c r="G410" i="6" s="1"/>
  <c r="I410" i="5"/>
  <c r="K410" i="6" s="1"/>
  <c r="M410" i="5"/>
  <c r="O410" i="6" s="1"/>
  <c r="Q410" i="5"/>
  <c r="S410" i="6" s="1"/>
  <c r="U410" i="5"/>
  <c r="W410" i="6" s="1"/>
  <c r="Y410" i="5"/>
  <c r="AA410" i="6" s="1"/>
  <c r="AC410" i="5"/>
  <c r="AE410" i="6" s="1"/>
  <c r="AG410" i="5"/>
  <c r="AI410" i="6" s="1"/>
  <c r="G411" i="5"/>
  <c r="I411" i="6" s="1"/>
  <c r="K411" i="5"/>
  <c r="M411" i="6" s="1"/>
  <c r="O411" i="5"/>
  <c r="Q411" i="6" s="1"/>
  <c r="S411" i="5"/>
  <c r="U411" i="6" s="1"/>
  <c r="W411" i="5"/>
  <c r="Y411" i="6" s="1"/>
  <c r="AA411" i="5"/>
  <c r="AC411" i="6" s="1"/>
  <c r="AE411" i="5"/>
  <c r="AG411" i="6" s="1"/>
  <c r="E412" i="5"/>
  <c r="G412" i="6" s="1"/>
  <c r="I412" i="5"/>
  <c r="K412" i="6" s="1"/>
  <c r="M412" i="5"/>
  <c r="O412" i="6" s="1"/>
  <c r="Q412" i="5"/>
  <c r="S412" i="6" s="1"/>
  <c r="U412" i="5"/>
  <c r="W412" i="6" s="1"/>
  <c r="Y412" i="5"/>
  <c r="AA412" i="6" s="1"/>
  <c r="AC412" i="5"/>
  <c r="AE412" i="6" s="1"/>
  <c r="AG412" i="5"/>
  <c r="AI412" i="6" s="1"/>
  <c r="G413" i="5"/>
  <c r="I413" i="6" s="1"/>
  <c r="K413" i="5"/>
  <c r="M413" i="6" s="1"/>
  <c r="O413" i="5"/>
  <c r="Q413" i="6" s="1"/>
  <c r="S413" i="5"/>
  <c r="U413" i="6" s="1"/>
  <c r="W413" i="5"/>
  <c r="Y413" i="6" s="1"/>
  <c r="AA413" i="5"/>
  <c r="AC413" i="6" s="1"/>
  <c r="AE413" i="5"/>
  <c r="AG413" i="6" s="1"/>
  <c r="E414" i="5"/>
  <c r="G414" i="6" s="1"/>
  <c r="I414" i="5"/>
  <c r="K414" i="6" s="1"/>
  <c r="M414" i="5"/>
  <c r="O414" i="6" s="1"/>
  <c r="Q414" i="5"/>
  <c r="S414" i="6" s="1"/>
  <c r="U414" i="5"/>
  <c r="W414" i="6" s="1"/>
  <c r="Y414" i="5"/>
  <c r="AA414" i="6" s="1"/>
  <c r="AC414" i="5"/>
  <c r="AE414" i="6" s="1"/>
  <c r="AG414" i="5"/>
  <c r="AI414" i="6" s="1"/>
  <c r="G415" i="5"/>
  <c r="I415" i="6" s="1"/>
  <c r="K415" i="5"/>
  <c r="M415" i="6" s="1"/>
  <c r="O415" i="5"/>
  <c r="Q415" i="6" s="1"/>
  <c r="S415" i="5"/>
  <c r="U415" i="6" s="1"/>
  <c r="W415" i="5"/>
  <c r="Y415" i="6" s="1"/>
  <c r="AA415" i="5"/>
  <c r="AC415" i="6" s="1"/>
  <c r="AE415" i="5"/>
  <c r="AG415" i="6" s="1"/>
  <c r="E416" i="5"/>
  <c r="G416" i="6" s="1"/>
  <c r="I416" i="5"/>
  <c r="K416" i="6" s="1"/>
  <c r="M416" i="5"/>
  <c r="O416" i="6" s="1"/>
  <c r="Q416" i="5"/>
  <c r="S416" i="6" s="1"/>
  <c r="U416" i="5"/>
  <c r="W416" i="6" s="1"/>
  <c r="Y416" i="5"/>
  <c r="AA416" i="6" s="1"/>
  <c r="AC416" i="5"/>
  <c r="AE416" i="6" s="1"/>
  <c r="AG416" i="5"/>
  <c r="AI416" i="6" s="1"/>
  <c r="G417" i="5"/>
  <c r="I417" i="6" s="1"/>
  <c r="K417" i="5"/>
  <c r="M417" i="6" s="1"/>
  <c r="O417" i="5"/>
  <c r="Q417" i="6" s="1"/>
  <c r="S417" i="5"/>
  <c r="U417" i="6" s="1"/>
  <c r="W417" i="5"/>
  <c r="Y417" i="6" s="1"/>
  <c r="AA417" i="5"/>
  <c r="AC417" i="6" s="1"/>
  <c r="AE417" i="5"/>
  <c r="AG417" i="6" s="1"/>
  <c r="E418" i="5"/>
  <c r="G418" i="6" s="1"/>
  <c r="I418" i="5"/>
  <c r="K418" i="6" s="1"/>
  <c r="J38" i="5"/>
  <c r="L38" i="6" s="1"/>
  <c r="G40" i="5"/>
  <c r="I40" i="6" s="1"/>
  <c r="K56" i="5"/>
  <c r="M56" i="6" s="1"/>
  <c r="W56" i="5"/>
  <c r="Y56" i="6" s="1"/>
  <c r="I57" i="5"/>
  <c r="K57" i="6" s="1"/>
  <c r="U57" i="5"/>
  <c r="W57" i="6" s="1"/>
  <c r="AC57" i="5"/>
  <c r="AE57" i="6" s="1"/>
  <c r="K58" i="5"/>
  <c r="M58" i="6" s="1"/>
  <c r="S58" i="5"/>
  <c r="U58" i="6" s="1"/>
  <c r="AA58" i="5"/>
  <c r="AC58" i="6" s="1"/>
  <c r="I59" i="5"/>
  <c r="K59" i="6" s="1"/>
  <c r="M59" i="5"/>
  <c r="O59" i="6" s="1"/>
  <c r="U59" i="5"/>
  <c r="W59" i="6" s="1"/>
  <c r="AC59" i="5"/>
  <c r="AE59" i="6" s="1"/>
  <c r="S60" i="5"/>
  <c r="U60" i="6" s="1"/>
  <c r="E61" i="5"/>
  <c r="G61" i="6" s="1"/>
  <c r="U61" i="5"/>
  <c r="W61" i="6" s="1"/>
  <c r="G62" i="5"/>
  <c r="I62" i="6" s="1"/>
  <c r="K63" i="5"/>
  <c r="M63" i="6" s="1"/>
  <c r="W63" i="5"/>
  <c r="Y63" i="6" s="1"/>
  <c r="E64" i="5"/>
  <c r="G64" i="6" s="1"/>
  <c r="I64" i="5"/>
  <c r="K64" i="6" s="1"/>
  <c r="U64" i="5"/>
  <c r="W64" i="6" s="1"/>
  <c r="AG64" i="5"/>
  <c r="AI64" i="6" s="1"/>
  <c r="S65" i="5"/>
  <c r="U65" i="6" s="1"/>
  <c r="L68" i="5"/>
  <c r="N68" i="6" s="1"/>
  <c r="X68" i="5"/>
  <c r="Z68" i="6" s="1"/>
  <c r="AF68" i="5"/>
  <c r="AH68" i="6" s="1"/>
  <c r="N69" i="5"/>
  <c r="P69" i="6" s="1"/>
  <c r="Z69" i="5"/>
  <c r="AB69" i="6" s="1"/>
  <c r="L70" i="5"/>
  <c r="N70" i="6" s="1"/>
  <c r="AB70" i="5"/>
  <c r="AD70" i="6" s="1"/>
  <c r="F72" i="5"/>
  <c r="H72" i="6" s="1"/>
  <c r="V72" i="5"/>
  <c r="X72" i="6" s="1"/>
  <c r="H73" i="5"/>
  <c r="J73" i="6" s="1"/>
  <c r="P73" i="5"/>
  <c r="R73" i="6" s="1"/>
  <c r="X73" i="5"/>
  <c r="Z73" i="6" s="1"/>
  <c r="AF73" i="5"/>
  <c r="AH73" i="6" s="1"/>
  <c r="K130" i="5"/>
  <c r="M130" i="6" s="1"/>
  <c r="W130" i="5"/>
  <c r="Y130" i="6" s="1"/>
  <c r="E132" i="5"/>
  <c r="G132" i="6" s="1"/>
  <c r="M132" i="5"/>
  <c r="O132" i="6" s="1"/>
  <c r="AC132" i="5"/>
  <c r="AE132" i="6" s="1"/>
  <c r="V149" i="5"/>
  <c r="X149" i="6" s="1"/>
  <c r="V155" i="5"/>
  <c r="X155" i="6" s="1"/>
  <c r="AF156" i="5"/>
  <c r="AH156" i="6" s="1"/>
  <c r="AF157" i="5"/>
  <c r="AH157" i="6" s="1"/>
  <c r="AF158" i="5"/>
  <c r="AH158" i="6" s="1"/>
  <c r="AF159" i="5"/>
  <c r="AH159" i="6" s="1"/>
  <c r="AF160" i="5"/>
  <c r="AH160" i="6" s="1"/>
  <c r="AF161" i="5"/>
  <c r="AH161" i="6" s="1"/>
  <c r="L163" i="5"/>
  <c r="N163" i="6" s="1"/>
  <c r="V164" i="5"/>
  <c r="X164" i="6" s="1"/>
  <c r="L165" i="5"/>
  <c r="N165" i="6" s="1"/>
  <c r="V166" i="5"/>
  <c r="X166" i="6" s="1"/>
  <c r="V167" i="5"/>
  <c r="X167" i="6" s="1"/>
  <c r="V168" i="5"/>
  <c r="X168" i="6" s="1"/>
  <c r="L169" i="5"/>
  <c r="N169" i="6" s="1"/>
  <c r="L170" i="5"/>
  <c r="N170" i="6" s="1"/>
  <c r="L171" i="5"/>
  <c r="N171" i="6" s="1"/>
  <c r="K205" i="5"/>
  <c r="M205" i="6" s="1"/>
  <c r="T241" i="5"/>
  <c r="V241" i="6" s="1"/>
  <c r="Y248" i="5"/>
  <c r="AA248" i="6" s="1"/>
  <c r="AE254" i="5"/>
  <c r="AG254" i="6" s="1"/>
  <c r="AC255" i="5"/>
  <c r="AE255" i="6" s="1"/>
  <c r="O258" i="5"/>
  <c r="Q258" i="6" s="1"/>
  <c r="AE258" i="5"/>
  <c r="AG258" i="6" s="1"/>
  <c r="Q259" i="5"/>
  <c r="S259" i="6" s="1"/>
  <c r="AC259" i="5"/>
  <c r="AE259" i="6" s="1"/>
  <c r="K260" i="5"/>
  <c r="M260" i="6" s="1"/>
  <c r="W260" i="5"/>
  <c r="Y260" i="6" s="1"/>
  <c r="E261" i="5"/>
  <c r="G261" i="6" s="1"/>
  <c r="M261" i="5"/>
  <c r="O261" i="6" s="1"/>
  <c r="Y261" i="5"/>
  <c r="AA261" i="6" s="1"/>
  <c r="K262" i="5"/>
  <c r="M262" i="6" s="1"/>
  <c r="AA262" i="5"/>
  <c r="AC262" i="6" s="1"/>
  <c r="W263" i="5"/>
  <c r="Y263" i="6" s="1"/>
  <c r="E264" i="5"/>
  <c r="G264" i="6" s="1"/>
  <c r="Q264" i="5"/>
  <c r="S264" i="6" s="1"/>
  <c r="Y264" i="5"/>
  <c r="AA264" i="6" s="1"/>
  <c r="K265" i="5"/>
  <c r="M265" i="6" s="1"/>
  <c r="AG265" i="5"/>
  <c r="AI265" i="6" s="1"/>
  <c r="Y266" i="5"/>
  <c r="AA266" i="6" s="1"/>
  <c r="G267" i="5"/>
  <c r="I267" i="6" s="1"/>
  <c r="AC267" i="5"/>
  <c r="AE267" i="6" s="1"/>
  <c r="K270" i="5"/>
  <c r="M270" i="6" s="1"/>
  <c r="W270" i="5"/>
  <c r="Y270" i="6" s="1"/>
  <c r="I271" i="5"/>
  <c r="K271" i="6" s="1"/>
  <c r="Q271" i="5"/>
  <c r="S271" i="6" s="1"/>
  <c r="AC271" i="5"/>
  <c r="AE271" i="6" s="1"/>
  <c r="Y273" i="5"/>
  <c r="AA273" i="6" s="1"/>
  <c r="G283" i="5"/>
  <c r="I283" i="6" s="1"/>
  <c r="S283" i="5"/>
  <c r="U283" i="6" s="1"/>
  <c r="W285" i="5"/>
  <c r="Y285" i="6" s="1"/>
  <c r="S288" i="5"/>
  <c r="U288" i="6" s="1"/>
  <c r="AE288" i="5"/>
  <c r="AG288" i="6" s="1"/>
  <c r="M289" i="5"/>
  <c r="O289" i="6" s="1"/>
  <c r="Y290" i="5"/>
  <c r="AA290" i="6" s="1"/>
  <c r="G292" i="5"/>
  <c r="I292" i="6" s="1"/>
  <c r="AA292" i="5"/>
  <c r="AC292" i="6" s="1"/>
  <c r="Q301" i="5"/>
  <c r="S301" i="6" s="1"/>
  <c r="Q302" i="5"/>
  <c r="S302" i="6" s="1"/>
  <c r="AA307" i="5"/>
  <c r="AC307" i="6" s="1"/>
  <c r="Q310" i="5"/>
  <c r="S310" i="6" s="1"/>
  <c r="Q314" i="5"/>
  <c r="S314" i="6" s="1"/>
  <c r="AA318" i="5"/>
  <c r="AC318" i="6" s="1"/>
  <c r="V325" i="5"/>
  <c r="X325" i="6" s="1"/>
  <c r="AG328" i="5"/>
  <c r="AI328" i="6" s="1"/>
  <c r="V335" i="5"/>
  <c r="X335" i="6" s="1"/>
  <c r="G343" i="5"/>
  <c r="I343" i="6" s="1"/>
  <c r="AA347" i="5"/>
  <c r="AC347" i="6" s="1"/>
  <c r="AA352" i="5"/>
  <c r="AC352" i="6" s="1"/>
  <c r="V353" i="5"/>
  <c r="X353" i="6" s="1"/>
  <c r="O357" i="5"/>
  <c r="Q357" i="6" s="1"/>
  <c r="AA357" i="5"/>
  <c r="AC357" i="6" s="1"/>
  <c r="I358" i="5"/>
  <c r="K358" i="6" s="1"/>
  <c r="U358" i="5"/>
  <c r="W358" i="6" s="1"/>
  <c r="G359" i="5"/>
  <c r="I359" i="6" s="1"/>
  <c r="S359" i="5"/>
  <c r="U359" i="6" s="1"/>
  <c r="AE359" i="5"/>
  <c r="AG359" i="6" s="1"/>
  <c r="I360" i="5"/>
  <c r="K360" i="6" s="1"/>
  <c r="AC360" i="5"/>
  <c r="AE360" i="6" s="1"/>
  <c r="K361" i="5"/>
  <c r="M361" i="6" s="1"/>
  <c r="W361" i="5"/>
  <c r="Y361" i="6" s="1"/>
  <c r="E362" i="5"/>
  <c r="G362" i="6" s="1"/>
  <c r="Q362" i="5"/>
  <c r="S362" i="6" s="1"/>
  <c r="AG362" i="5"/>
  <c r="AI362" i="6" s="1"/>
  <c r="W363" i="5"/>
  <c r="Y363" i="6" s="1"/>
  <c r="Y364" i="5"/>
  <c r="AA364" i="6" s="1"/>
  <c r="G365" i="5"/>
  <c r="I365" i="6" s="1"/>
  <c r="S365" i="5"/>
  <c r="U365" i="6" s="1"/>
  <c r="AA365" i="5"/>
  <c r="AC365" i="6" s="1"/>
  <c r="M366" i="5"/>
  <c r="O366" i="6" s="1"/>
  <c r="Y366" i="5"/>
  <c r="AA366" i="6" s="1"/>
  <c r="G367" i="5"/>
  <c r="I367" i="6" s="1"/>
  <c r="S367" i="5"/>
  <c r="U367" i="6" s="1"/>
  <c r="AE367" i="5"/>
  <c r="AG367" i="6" s="1"/>
  <c r="I368" i="5"/>
  <c r="K368" i="6" s="1"/>
  <c r="Y368" i="5"/>
  <c r="AA368" i="6" s="1"/>
  <c r="G369" i="5"/>
  <c r="I369" i="6" s="1"/>
  <c r="O369" i="5"/>
  <c r="Q369" i="6" s="1"/>
  <c r="AA369" i="5"/>
  <c r="AC369" i="6" s="1"/>
  <c r="I370" i="5"/>
  <c r="K370" i="6" s="1"/>
  <c r="U370" i="5"/>
  <c r="W370" i="6" s="1"/>
  <c r="G371" i="5"/>
  <c r="I371" i="6" s="1"/>
  <c r="S371" i="5"/>
  <c r="U371" i="6" s="1"/>
  <c r="E372" i="5"/>
  <c r="G372" i="6" s="1"/>
  <c r="Q372" i="5"/>
  <c r="S372" i="6" s="1"/>
  <c r="Y372" i="5"/>
  <c r="AA372" i="6" s="1"/>
  <c r="G373" i="5"/>
  <c r="I373" i="6" s="1"/>
  <c r="W373" i="5"/>
  <c r="Y373" i="6" s="1"/>
  <c r="AE373" i="5"/>
  <c r="AG373" i="6" s="1"/>
  <c r="M375" i="5"/>
  <c r="O375" i="6" s="1"/>
  <c r="Y375" i="5"/>
  <c r="AA375" i="6" s="1"/>
  <c r="K376" i="5"/>
  <c r="M376" i="6" s="1"/>
  <c r="W376" i="5"/>
  <c r="Y376" i="6" s="1"/>
  <c r="E377" i="5"/>
  <c r="G377" i="6" s="1"/>
  <c r="Q377" i="5"/>
  <c r="S377" i="6" s="1"/>
  <c r="AC377" i="5"/>
  <c r="AE377" i="6" s="1"/>
  <c r="K378" i="5"/>
  <c r="M378" i="6" s="1"/>
  <c r="S378" i="5"/>
  <c r="U378" i="6" s="1"/>
  <c r="AE378" i="5"/>
  <c r="AG378" i="6" s="1"/>
  <c r="M379" i="5"/>
  <c r="O379" i="6" s="1"/>
  <c r="U379" i="5"/>
  <c r="W379" i="6" s="1"/>
  <c r="AG379" i="5"/>
  <c r="AI379" i="6" s="1"/>
  <c r="O380" i="5"/>
  <c r="Q380" i="6" s="1"/>
  <c r="AA380" i="5"/>
  <c r="AC380" i="6" s="1"/>
  <c r="I381" i="5"/>
  <c r="K381" i="6" s="1"/>
  <c r="Q381" i="5"/>
  <c r="S381" i="6" s="1"/>
  <c r="AC381" i="5"/>
  <c r="AE381" i="6" s="1"/>
  <c r="G382" i="5"/>
  <c r="I382" i="6" s="1"/>
  <c r="O382" i="5"/>
  <c r="Q382" i="6" s="1"/>
  <c r="AA382" i="5"/>
  <c r="AC382" i="6" s="1"/>
  <c r="I383" i="5"/>
  <c r="K383" i="6" s="1"/>
  <c r="U383" i="5"/>
  <c r="W383" i="6" s="1"/>
  <c r="AG383" i="5"/>
  <c r="AI383" i="6" s="1"/>
  <c r="K384" i="5"/>
  <c r="M384" i="6" s="1"/>
  <c r="W384" i="5"/>
  <c r="Y384" i="6" s="1"/>
  <c r="E385" i="5"/>
  <c r="G385" i="6" s="1"/>
  <c r="Q385" i="5"/>
  <c r="S385" i="6" s="1"/>
  <c r="AC385" i="5"/>
  <c r="AE385" i="6" s="1"/>
  <c r="K388" i="5"/>
  <c r="M388" i="6" s="1"/>
  <c r="S388" i="5"/>
  <c r="U388" i="6" s="1"/>
  <c r="AE388" i="5"/>
  <c r="AG388" i="6" s="1"/>
  <c r="M389" i="5"/>
  <c r="O389" i="6" s="1"/>
  <c r="AG389" i="5"/>
  <c r="AI389" i="6" s="1"/>
  <c r="O390" i="5"/>
  <c r="Q390" i="6" s="1"/>
  <c r="AA390" i="5"/>
  <c r="AC390" i="6" s="1"/>
  <c r="I391" i="5"/>
  <c r="K391" i="6" s="1"/>
  <c r="U391" i="5"/>
  <c r="W391" i="6" s="1"/>
  <c r="AC391" i="5"/>
  <c r="AE391" i="6" s="1"/>
  <c r="K392" i="5"/>
  <c r="M392" i="6" s="1"/>
  <c r="W392" i="5"/>
  <c r="Y392" i="6" s="1"/>
  <c r="AE392" i="5"/>
  <c r="AG392" i="6" s="1"/>
  <c r="M393" i="5"/>
  <c r="O393" i="6" s="1"/>
  <c r="Y393" i="5"/>
  <c r="AA393" i="6" s="1"/>
  <c r="K394" i="5"/>
  <c r="M394" i="6" s="1"/>
  <c r="W394" i="5"/>
  <c r="Y394" i="6" s="1"/>
  <c r="AE394" i="5"/>
  <c r="AG394" i="6" s="1"/>
  <c r="E395" i="5"/>
  <c r="G395" i="6" s="1"/>
  <c r="M395" i="5"/>
  <c r="O395" i="6" s="1"/>
  <c r="Y395" i="5"/>
  <c r="AA395" i="6" s="1"/>
  <c r="G396" i="5"/>
  <c r="I396" i="6" s="1"/>
  <c r="S396" i="5"/>
  <c r="U396" i="6" s="1"/>
  <c r="AA396" i="5"/>
  <c r="AC396" i="6" s="1"/>
  <c r="I397" i="5"/>
  <c r="K397" i="6" s="1"/>
  <c r="Q397" i="5"/>
  <c r="S397" i="6" s="1"/>
  <c r="Y397" i="5"/>
  <c r="AA397" i="6" s="1"/>
  <c r="AG397" i="5"/>
  <c r="AI397" i="6" s="1"/>
  <c r="K398" i="5"/>
  <c r="M398" i="6" s="1"/>
  <c r="W398" i="5"/>
  <c r="Y398" i="6" s="1"/>
  <c r="E399" i="5"/>
  <c r="G399" i="6" s="1"/>
  <c r="U399" i="5"/>
  <c r="W399" i="6" s="1"/>
  <c r="AG399" i="5"/>
  <c r="AI399" i="6" s="1"/>
  <c r="O400" i="5"/>
  <c r="Q400" i="6" s="1"/>
  <c r="AE400" i="5"/>
  <c r="AG400" i="6" s="1"/>
  <c r="Q401" i="5"/>
  <c r="S401" i="6" s="1"/>
  <c r="AC401" i="5"/>
  <c r="AE401" i="6" s="1"/>
  <c r="K402" i="5"/>
  <c r="M402" i="6" s="1"/>
  <c r="W402" i="5"/>
  <c r="Y402" i="6" s="1"/>
  <c r="E403" i="5"/>
  <c r="G403" i="6" s="1"/>
  <c r="U403" i="5"/>
  <c r="W403" i="6" s="1"/>
  <c r="AG403" i="5"/>
  <c r="AI403" i="6" s="1"/>
  <c r="O404" i="5"/>
  <c r="Q404" i="6" s="1"/>
  <c r="AA404" i="5"/>
  <c r="AC404" i="6" s="1"/>
  <c r="K405" i="6"/>
  <c r="I405" i="5"/>
  <c r="U405" i="5"/>
  <c r="W405" i="6" s="1"/>
  <c r="G406" i="5"/>
  <c r="I406" i="6" s="1"/>
  <c r="S406" i="5"/>
  <c r="U406" i="6" s="1"/>
  <c r="AG406" i="6"/>
  <c r="AE406" i="5"/>
  <c r="M407" i="5"/>
  <c r="O407" i="6" s="1"/>
  <c r="AC407" i="5"/>
  <c r="AE407" i="6" s="1"/>
  <c r="K408" i="5"/>
  <c r="M408" i="6" s="1"/>
  <c r="Y408" i="6"/>
  <c r="W408" i="5"/>
  <c r="E409" i="5"/>
  <c r="G409" i="6" s="1"/>
  <c r="Q409" i="5"/>
  <c r="S409" i="6" s="1"/>
  <c r="U409" i="5"/>
  <c r="W409" i="6" s="1"/>
  <c r="AI409" i="6"/>
  <c r="AG409" i="5"/>
  <c r="K410" i="5"/>
  <c r="M410" i="6" s="1"/>
  <c r="O410" i="5"/>
  <c r="Q410" i="6" s="1"/>
  <c r="E411" i="5"/>
  <c r="G411" i="6" s="1"/>
  <c r="S411" i="6"/>
  <c r="Q411" i="5"/>
  <c r="Y411" i="5"/>
  <c r="AA411" i="6" s="1"/>
  <c r="G412" i="5"/>
  <c r="I412" i="6" s="1"/>
  <c r="S412" i="5"/>
  <c r="U412" i="6" s="1"/>
  <c r="AC412" i="6"/>
  <c r="AA412" i="5"/>
  <c r="M413" i="5"/>
  <c r="O413" i="6" s="1"/>
  <c r="Y413" i="5"/>
  <c r="AA413" i="6" s="1"/>
  <c r="G414" i="5"/>
  <c r="I414" i="6" s="1"/>
  <c r="U414" i="6"/>
  <c r="S414" i="5"/>
  <c r="AA414" i="5"/>
  <c r="AC414" i="6" s="1"/>
  <c r="I415" i="5"/>
  <c r="K415" i="6" s="1"/>
  <c r="U415" i="5"/>
  <c r="W415" i="6" s="1"/>
  <c r="AI415" i="6"/>
  <c r="AG415" i="5"/>
  <c r="O416" i="5"/>
  <c r="Q416" i="6" s="1"/>
  <c r="AA416" i="5"/>
  <c r="AC416" i="6" s="1"/>
  <c r="E417" i="5"/>
  <c r="G417" i="6" s="1"/>
  <c r="Q417" i="5"/>
  <c r="S417" i="6" s="1"/>
  <c r="AC417" i="5"/>
  <c r="AE417" i="6" s="1"/>
  <c r="O418" i="5"/>
  <c r="Q418" i="6" s="1"/>
  <c r="W418" i="5"/>
  <c r="Y418" i="6" s="1"/>
  <c r="E419" i="5"/>
  <c r="G419" i="6" s="1"/>
  <c r="M419" i="5"/>
  <c r="O419" i="6" s="1"/>
  <c r="Y419" i="5"/>
  <c r="AA419" i="6" s="1"/>
  <c r="G420" i="5"/>
  <c r="I420" i="6" s="1"/>
  <c r="W420" i="5"/>
  <c r="Y420" i="6" s="1"/>
  <c r="E421" i="5"/>
  <c r="G421" i="6" s="1"/>
  <c r="M421" i="5"/>
  <c r="O421" i="6" s="1"/>
  <c r="Y421" i="5"/>
  <c r="AA421" i="6" s="1"/>
  <c r="G422" i="5"/>
  <c r="I422" i="6" s="1"/>
  <c r="S422" i="5"/>
  <c r="U422" i="6" s="1"/>
  <c r="AE422" i="5"/>
  <c r="AG422" i="6" s="1"/>
  <c r="M423" i="5"/>
  <c r="O423" i="6" s="1"/>
  <c r="AC423" i="5"/>
  <c r="AE423" i="6" s="1"/>
  <c r="K424" i="5"/>
  <c r="M424" i="6" s="1"/>
  <c r="W424" i="5"/>
  <c r="Y424" i="6" s="1"/>
  <c r="AE424" i="5"/>
  <c r="AG424" i="6" s="1"/>
  <c r="M425" i="5"/>
  <c r="O425" i="6" s="1"/>
  <c r="Y425" i="5"/>
  <c r="AA425" i="6" s="1"/>
  <c r="G426" i="5"/>
  <c r="I426" i="6" s="1"/>
  <c r="S426" i="5"/>
  <c r="U426" i="6" s="1"/>
  <c r="AA426" i="5"/>
  <c r="AC426" i="6" s="1"/>
  <c r="I427" i="5"/>
  <c r="K427" i="6" s="1"/>
  <c r="U427" i="5"/>
  <c r="W427" i="6" s="1"/>
  <c r="AG427" i="5"/>
  <c r="AI427" i="6" s="1"/>
  <c r="K428" i="5"/>
  <c r="M428" i="6" s="1"/>
  <c r="S428" i="5"/>
  <c r="U428" i="6" s="1"/>
  <c r="AA428" i="5"/>
  <c r="AC428" i="6" s="1"/>
  <c r="E429" i="5"/>
  <c r="G429" i="6" s="1"/>
  <c r="M429" i="5"/>
  <c r="O429" i="6" s="1"/>
  <c r="Y429" i="5"/>
  <c r="AA429" i="6" s="1"/>
  <c r="AG429" i="5"/>
  <c r="AI429" i="6" s="1"/>
  <c r="K430" i="5"/>
  <c r="M430" i="6" s="1"/>
  <c r="S430" i="5"/>
  <c r="U430" i="6" s="1"/>
  <c r="AA430" i="5"/>
  <c r="AC430" i="6" s="1"/>
  <c r="I431" i="5"/>
  <c r="K431" i="6" s="1"/>
  <c r="Q431" i="5"/>
  <c r="S431" i="6" s="1"/>
  <c r="Y431" i="5"/>
  <c r="AA431" i="6" s="1"/>
  <c r="G432" i="5"/>
  <c r="I432" i="6" s="1"/>
  <c r="O432" i="5"/>
  <c r="Q432" i="6" s="1"/>
  <c r="AA432" i="5"/>
  <c r="AC432" i="6" s="1"/>
  <c r="M433" i="5"/>
  <c r="O433" i="6" s="1"/>
  <c r="Y433" i="5"/>
  <c r="AA433" i="6" s="1"/>
  <c r="AG433" i="5"/>
  <c r="AI433" i="6" s="1"/>
  <c r="K434" i="5"/>
  <c r="M434" i="6" s="1"/>
  <c r="S434" i="5"/>
  <c r="U434" i="6" s="1"/>
  <c r="AA434" i="5"/>
  <c r="AC434" i="6" s="1"/>
  <c r="E435" i="5"/>
  <c r="G435" i="6" s="1"/>
  <c r="I435" i="5"/>
  <c r="K435" i="6" s="1"/>
  <c r="Q435" i="5"/>
  <c r="S435" i="6" s="1"/>
  <c r="U435" i="5"/>
  <c r="W435" i="6" s="1"/>
  <c r="Y435" i="5"/>
  <c r="AA435" i="6" s="1"/>
  <c r="G436" i="5"/>
  <c r="I436" i="6" s="1"/>
  <c r="O436" i="5"/>
  <c r="Q436" i="6" s="1"/>
  <c r="W436" i="5"/>
  <c r="Y436" i="6" s="1"/>
  <c r="AE436" i="5"/>
  <c r="AG436" i="6" s="1"/>
  <c r="I437" i="5"/>
  <c r="K437" i="6" s="1"/>
  <c r="Q437" i="5"/>
  <c r="S437" i="6" s="1"/>
  <c r="AC437" i="5"/>
  <c r="AE437" i="6" s="1"/>
  <c r="G438" i="5"/>
  <c r="I438" i="6" s="1"/>
  <c r="O438" i="5"/>
  <c r="Q438" i="6" s="1"/>
  <c r="W438" i="5"/>
  <c r="Y438" i="6" s="1"/>
  <c r="AE438" i="5"/>
  <c r="AG438" i="6" s="1"/>
  <c r="I439" i="5"/>
  <c r="K439" i="6" s="1"/>
  <c r="Q439" i="5"/>
  <c r="S439" i="6" s="1"/>
  <c r="AA439" i="6"/>
  <c r="Y439" i="5"/>
  <c r="AG439" i="5"/>
  <c r="AI439" i="6" s="1"/>
  <c r="Q440" i="6"/>
  <c r="O440" i="5"/>
  <c r="W440" i="5"/>
  <c r="Y440" i="6" s="1"/>
  <c r="E441" i="5"/>
  <c r="G441" i="6" s="1"/>
  <c r="M441" i="5"/>
  <c r="O441" i="6" s="1"/>
  <c r="U441" i="5"/>
  <c r="W441" i="6" s="1"/>
  <c r="AC441" i="5"/>
  <c r="AE441" i="6" s="1"/>
  <c r="I442" i="6"/>
  <c r="G442" i="5"/>
  <c r="K442" i="5"/>
  <c r="M442" i="6" s="1"/>
  <c r="Y442" i="6"/>
  <c r="W442" i="5"/>
  <c r="AE442" i="5"/>
  <c r="AG442" i="6" s="1"/>
  <c r="I443" i="5"/>
  <c r="K443" i="6" s="1"/>
  <c r="Q443" i="5"/>
  <c r="S443" i="6" s="1"/>
  <c r="Y443" i="5"/>
  <c r="AA443" i="6" s="1"/>
  <c r="AG443" i="5"/>
  <c r="AI443" i="6" s="1"/>
  <c r="M444" i="6"/>
  <c r="K444" i="5"/>
  <c r="AA444" i="5"/>
  <c r="AC444" i="6" s="1"/>
  <c r="K445" i="6"/>
  <c r="I445" i="5"/>
  <c r="Y445" i="5"/>
  <c r="AA445" i="6" s="1"/>
  <c r="K446" i="5"/>
  <c r="M446" i="6" s="1"/>
  <c r="W446" i="5"/>
  <c r="Y446" i="6" s="1"/>
  <c r="E447" i="5"/>
  <c r="G447" i="6" s="1"/>
  <c r="M447" i="5"/>
  <c r="O447" i="6" s="1"/>
  <c r="AA447" i="6"/>
  <c r="Y447" i="5"/>
  <c r="G448" i="5"/>
  <c r="I448" i="6" s="1"/>
  <c r="Q448" i="6"/>
  <c r="O448" i="5"/>
  <c r="AA448" i="5"/>
  <c r="AC448" i="6" s="1"/>
  <c r="E449" i="5"/>
  <c r="G449" i="6" s="1"/>
  <c r="M449" i="5"/>
  <c r="O449" i="6" s="1"/>
  <c r="AC449" i="5"/>
  <c r="AE449" i="6" s="1"/>
  <c r="G450" i="5"/>
  <c r="I450" i="6" s="1"/>
  <c r="Q450" i="6"/>
  <c r="O450" i="5"/>
  <c r="W450" i="5"/>
  <c r="Y450" i="6" s="1"/>
  <c r="AG450" i="6"/>
  <c r="AE450" i="5"/>
  <c r="I451" i="5"/>
  <c r="K451" i="6" s="1"/>
  <c r="Q451" i="5"/>
  <c r="S451" i="6" s="1"/>
  <c r="Y451" i="5"/>
  <c r="AA451" i="6" s="1"/>
  <c r="AG451" i="5"/>
  <c r="AI451" i="6" s="1"/>
  <c r="K452" i="5"/>
  <c r="M452" i="6" s="1"/>
  <c r="U452" i="6"/>
  <c r="S452" i="5"/>
  <c r="AA452" i="5"/>
  <c r="AC452" i="6" s="1"/>
  <c r="G453" i="6"/>
  <c r="E453" i="5"/>
  <c r="M453" i="5"/>
  <c r="O453" i="6" s="1"/>
  <c r="Y453" i="5"/>
  <c r="AA453" i="6" s="1"/>
  <c r="G454" i="5"/>
  <c r="I454" i="6" s="1"/>
  <c r="W454" i="5"/>
  <c r="Y454" i="6" s="1"/>
  <c r="E455" i="5"/>
  <c r="G455" i="6" s="1"/>
  <c r="S455" i="6"/>
  <c r="Q455" i="5"/>
  <c r="AC455" i="5"/>
  <c r="AE455" i="6" s="1"/>
  <c r="M456" i="6"/>
  <c r="K456" i="5"/>
  <c r="W456" i="5"/>
  <c r="Y456" i="6" s="1"/>
  <c r="E457" i="5"/>
  <c r="G457" i="6" s="1"/>
  <c r="U457" i="5"/>
  <c r="W457" i="6" s="1"/>
  <c r="AG457" i="5"/>
  <c r="AI457" i="6" s="1"/>
  <c r="O458" i="5"/>
  <c r="Q458" i="6" s="1"/>
  <c r="Y458" i="6"/>
  <c r="W458" i="5"/>
  <c r="AE458" i="5"/>
  <c r="AG458" i="6" s="1"/>
  <c r="O459" i="6"/>
  <c r="M459" i="5"/>
  <c r="U459" i="5"/>
  <c r="W459" i="6" s="1"/>
  <c r="AG459" i="5"/>
  <c r="AI459" i="6" s="1"/>
  <c r="O460" i="5"/>
  <c r="Q460" i="6" s="1"/>
  <c r="W460" i="5"/>
  <c r="Y460" i="6" s="1"/>
  <c r="AE460" i="5"/>
  <c r="AG460" i="6" s="1"/>
  <c r="K461" i="6"/>
  <c r="I461" i="5"/>
  <c r="Q461" i="5"/>
  <c r="S461" i="6" s="1"/>
  <c r="W461" i="6"/>
  <c r="U461" i="5"/>
  <c r="Y461" i="5"/>
  <c r="AA461" i="6" s="1"/>
  <c r="AG461" i="5"/>
  <c r="AI461" i="6" s="1"/>
  <c r="K462" i="5"/>
  <c r="M462" i="6" s="1"/>
  <c r="S462" i="5"/>
  <c r="U462" i="6" s="1"/>
  <c r="W462" i="5"/>
  <c r="Y462" i="6" s="1"/>
  <c r="G463" i="6"/>
  <c r="E463" i="5"/>
  <c r="M463" i="5"/>
  <c r="O463" i="6" s="1"/>
  <c r="W463" i="6"/>
  <c r="U463" i="5"/>
  <c r="AC463" i="5"/>
  <c r="AE463" i="6" s="1"/>
  <c r="G464" i="5"/>
  <c r="I464" i="6" s="1"/>
  <c r="K464" i="5"/>
  <c r="M464" i="6" s="1"/>
  <c r="O464" i="5"/>
  <c r="Q464" i="6" s="1"/>
  <c r="S464" i="5"/>
  <c r="U464" i="6" s="1"/>
  <c r="AG464" i="6"/>
  <c r="AE464" i="5"/>
  <c r="I465" i="5"/>
  <c r="K465" i="6" s="1"/>
  <c r="S465" i="6"/>
  <c r="Q465" i="5"/>
  <c r="U465" i="5"/>
  <c r="W465" i="6" s="1"/>
  <c r="Y465" i="5"/>
  <c r="AA465" i="6" s="1"/>
  <c r="AC465" i="5"/>
  <c r="AE465" i="6" s="1"/>
  <c r="AG465" i="5"/>
  <c r="AI465" i="6" s="1"/>
  <c r="G466" i="5"/>
  <c r="I466" i="6" s="1"/>
  <c r="Q466" i="6"/>
  <c r="O466" i="5"/>
  <c r="S466" i="5"/>
  <c r="U466" i="6" s="1"/>
  <c r="Y466" i="6"/>
  <c r="W466" i="5"/>
  <c r="AA466" i="5"/>
  <c r="AC466" i="6" s="1"/>
  <c r="E467" i="5"/>
  <c r="G467" i="6" s="1"/>
  <c r="M467" i="5"/>
  <c r="O467" i="6" s="1"/>
  <c r="U467" i="5"/>
  <c r="W467" i="6" s="1"/>
  <c r="AC467" i="5"/>
  <c r="AE467" i="6" s="1"/>
  <c r="I468" i="6"/>
  <c r="G468" i="5"/>
  <c r="O468" i="5"/>
  <c r="Q468" i="6" s="1"/>
  <c r="Y468" i="6"/>
  <c r="W468" i="5"/>
  <c r="AE468" i="5"/>
  <c r="AG468" i="6" s="1"/>
  <c r="M469" i="5"/>
  <c r="O469" i="6" s="1"/>
  <c r="U469" i="5"/>
  <c r="W469" i="6" s="1"/>
  <c r="AC469" i="5"/>
  <c r="AE469" i="6" s="1"/>
  <c r="G470" i="5"/>
  <c r="I470" i="6" s="1"/>
  <c r="Q470" i="6"/>
  <c r="O470" i="5"/>
  <c r="S470" i="5"/>
  <c r="U470" i="6" s="1"/>
  <c r="Y470" i="6"/>
  <c r="W470" i="5"/>
  <c r="AE470" i="5"/>
  <c r="AG470" i="6" s="1"/>
  <c r="E471" i="5"/>
  <c r="G471" i="6" s="1"/>
  <c r="M471" i="5"/>
  <c r="O471" i="6" s="1"/>
  <c r="U471" i="5"/>
  <c r="W471" i="6" s="1"/>
  <c r="AC471" i="5"/>
  <c r="AE471" i="6" s="1"/>
  <c r="M472" i="6"/>
  <c r="K472" i="5"/>
  <c r="AE472" i="5"/>
  <c r="AG472" i="6" s="1"/>
  <c r="S476" i="6"/>
  <c r="Q476" i="5"/>
  <c r="U476" i="5"/>
  <c r="W476" i="6" s="1"/>
  <c r="AC476" i="5"/>
  <c r="AE476" i="6" s="1"/>
  <c r="AG476" i="5"/>
  <c r="AI476" i="6" s="1"/>
  <c r="G477" i="5"/>
  <c r="I477" i="6" s="1"/>
  <c r="K477" i="5"/>
  <c r="M477" i="6" s="1"/>
  <c r="U477" i="6"/>
  <c r="S477" i="5"/>
  <c r="W477" i="5"/>
  <c r="Y477" i="6" s="1"/>
  <c r="AG477" i="6"/>
  <c r="AE477" i="5"/>
  <c r="I478" i="5"/>
  <c r="K478" i="6" s="1"/>
  <c r="U478" i="5"/>
  <c r="W478" i="6" s="1"/>
  <c r="G479" i="5"/>
  <c r="I479" i="6" s="1"/>
  <c r="AC480" i="5"/>
  <c r="AE480" i="6" s="1"/>
  <c r="AG480" i="5"/>
  <c r="AI480" i="6" s="1"/>
  <c r="I481" i="6"/>
  <c r="G481" i="5"/>
  <c r="K481" i="5"/>
  <c r="M481" i="6" s="1"/>
  <c r="U481" i="6"/>
  <c r="S481" i="5"/>
  <c r="AA481" i="5"/>
  <c r="AC481" i="6" s="1"/>
  <c r="AE481" i="5"/>
  <c r="AG481" i="6" s="1"/>
  <c r="E482" i="5"/>
  <c r="G482" i="6" s="1"/>
  <c r="I482" i="5"/>
  <c r="K482" i="6" s="1"/>
  <c r="M482" i="5"/>
  <c r="O482" i="6" s="1"/>
  <c r="S482" i="6"/>
  <c r="Q482" i="5"/>
  <c r="U482" i="5"/>
  <c r="W482" i="6" s="1"/>
  <c r="AI482" i="6"/>
  <c r="AG482" i="5"/>
  <c r="O483" i="5"/>
  <c r="Q483" i="6" s="1"/>
  <c r="S483" i="5"/>
  <c r="U483" i="6" s="1"/>
  <c r="AE483" i="5"/>
  <c r="AG483" i="6" s="1"/>
  <c r="M484" i="5"/>
  <c r="O484" i="6" s="1"/>
  <c r="U484" i="5"/>
  <c r="W484" i="6" s="1"/>
  <c r="K486" i="6"/>
  <c r="I486" i="5"/>
  <c r="M486" i="5"/>
  <c r="O486" i="6" s="1"/>
  <c r="S486" i="6"/>
  <c r="Q486" i="5"/>
  <c r="Y486" i="5"/>
  <c r="AA486" i="6" s="1"/>
  <c r="AC486" i="5"/>
  <c r="AE486" i="6" s="1"/>
  <c r="G487" i="5"/>
  <c r="I487" i="6" s="1"/>
  <c r="K487" i="5"/>
  <c r="M487" i="6" s="1"/>
  <c r="O487" i="5"/>
  <c r="Q487" i="6" s="1"/>
  <c r="U487" i="6"/>
  <c r="S487" i="5"/>
  <c r="W487" i="5"/>
  <c r="Y487" i="6" s="1"/>
  <c r="AC487" i="6"/>
  <c r="AA487" i="5"/>
  <c r="AE487" i="5"/>
  <c r="AG487" i="6" s="1"/>
  <c r="I488" i="5"/>
  <c r="K488" i="6" s="1"/>
  <c r="Q488" i="5"/>
  <c r="S488" i="6" s="1"/>
  <c r="Y488" i="5"/>
  <c r="AA488" i="6" s="1"/>
  <c r="AC488" i="5"/>
  <c r="AE488" i="6" s="1"/>
  <c r="M489" i="6"/>
  <c r="K489" i="5"/>
  <c r="S489" i="5"/>
  <c r="U489" i="6" s="1"/>
  <c r="AG489" i="6"/>
  <c r="AE489" i="5"/>
  <c r="S491" i="5"/>
  <c r="U491" i="6" s="1"/>
  <c r="W491" i="5"/>
  <c r="Y491" i="6" s="1"/>
  <c r="AA491" i="5"/>
  <c r="AC491" i="6" s="1"/>
  <c r="E492" i="5"/>
  <c r="G492" i="6" s="1"/>
  <c r="I492" i="5"/>
  <c r="K492" i="6" s="1"/>
  <c r="S492" i="6"/>
  <c r="Q492" i="5"/>
  <c r="U492" i="5"/>
  <c r="W492" i="6" s="1"/>
  <c r="AA492" i="6"/>
  <c r="Y492" i="5"/>
  <c r="AC492" i="5"/>
  <c r="AE492" i="6" s="1"/>
  <c r="AG492" i="5"/>
  <c r="AI492" i="6" s="1"/>
  <c r="G493" i="5"/>
  <c r="I493" i="6" s="1"/>
  <c r="K493" i="5"/>
  <c r="M493" i="6" s="1"/>
  <c r="S493" i="5"/>
  <c r="U493" i="6" s="1"/>
  <c r="AC493" i="6"/>
  <c r="AA493" i="5"/>
  <c r="AE493" i="5"/>
  <c r="AG493" i="6" s="1"/>
  <c r="G494" i="6"/>
  <c r="E494" i="5"/>
  <c r="M494" i="5"/>
  <c r="O494" i="6" s="1"/>
  <c r="U494" i="5"/>
  <c r="W494" i="6" s="1"/>
  <c r="Y494" i="5"/>
  <c r="AA494" i="6" s="1"/>
  <c r="AC494" i="5"/>
  <c r="AE494" i="6" s="1"/>
  <c r="AG494" i="5"/>
  <c r="AI494" i="6" s="1"/>
  <c r="I495" i="6"/>
  <c r="G495" i="5"/>
  <c r="K495" i="5"/>
  <c r="M495" i="6" s="1"/>
  <c r="Q495" i="6"/>
  <c r="O495" i="5"/>
  <c r="W495" i="5"/>
  <c r="Y495" i="6" s="1"/>
  <c r="AA495" i="5"/>
  <c r="AC495" i="6" s="1"/>
  <c r="AE495" i="5"/>
  <c r="AG495" i="6" s="1"/>
  <c r="E496" i="5"/>
  <c r="G496" i="6" s="1"/>
  <c r="M496" i="5"/>
  <c r="O496" i="6" s="1"/>
  <c r="S496" i="6"/>
  <c r="Q496" i="5"/>
  <c r="Y496" i="5"/>
  <c r="AA496" i="6" s="1"/>
  <c r="AI496" i="6"/>
  <c r="AG496" i="5"/>
  <c r="O497" i="5"/>
  <c r="Q497" i="6" s="1"/>
  <c r="AC498" i="5"/>
  <c r="AE498" i="6" s="1"/>
  <c r="AG498" i="5"/>
  <c r="AI498" i="6" s="1"/>
  <c r="G499" i="5"/>
  <c r="I499" i="6" s="1"/>
  <c r="K499" i="5"/>
  <c r="M499" i="6" s="1"/>
  <c r="Q499" i="6"/>
  <c r="O499" i="5"/>
  <c r="S499" i="5"/>
  <c r="U499" i="6" s="1"/>
  <c r="Y499" i="6"/>
  <c r="W499" i="5"/>
  <c r="AE499" i="5"/>
  <c r="AG499" i="6" s="1"/>
  <c r="I500" i="5"/>
  <c r="K500" i="6" s="1"/>
  <c r="Q500" i="5"/>
  <c r="S500" i="6" s="1"/>
  <c r="U500" i="5"/>
  <c r="W500" i="6" s="1"/>
  <c r="G501" i="5"/>
  <c r="I501" i="6" s="1"/>
  <c r="Y501" i="6"/>
  <c r="W501" i="5"/>
  <c r="O503" i="5"/>
  <c r="Q503" i="6" s="1"/>
  <c r="Y503" i="6"/>
  <c r="W503" i="5"/>
  <c r="AE503" i="5"/>
  <c r="AG503" i="6" s="1"/>
  <c r="I504" i="5"/>
  <c r="K504" i="6" s="1"/>
  <c r="U504" i="5"/>
  <c r="W504" i="6" s="1"/>
  <c r="Y504" i="5"/>
  <c r="AA504" i="6" s="1"/>
  <c r="AG504" i="5"/>
  <c r="AI504" i="6" s="1"/>
  <c r="U509" i="6"/>
  <c r="S509" i="5"/>
  <c r="AA509" i="5"/>
  <c r="AC509" i="6" s="1"/>
  <c r="AG509" i="6"/>
  <c r="AE509" i="5"/>
  <c r="E510" i="5"/>
  <c r="G510" i="6" s="1"/>
  <c r="I510" i="5"/>
  <c r="K510" i="6" s="1"/>
  <c r="M510" i="5"/>
  <c r="O510" i="6" s="1"/>
  <c r="W510" i="6"/>
  <c r="U510" i="5"/>
  <c r="Y510" i="5"/>
  <c r="AA510" i="6" s="1"/>
  <c r="AI510" i="6"/>
  <c r="AG510" i="5"/>
  <c r="G511" i="5"/>
  <c r="I511" i="6" s="1"/>
  <c r="M511" i="6"/>
  <c r="K511" i="5"/>
  <c r="W511" i="5"/>
  <c r="Y511" i="6" s="1"/>
  <c r="E514" i="5"/>
  <c r="G514" i="6" s="1"/>
  <c r="I514" i="5"/>
  <c r="K514" i="6" s="1"/>
  <c r="S514" i="6"/>
  <c r="Q514" i="5"/>
  <c r="U514" i="5"/>
  <c r="W514" i="6" s="1"/>
  <c r="AI514" i="6"/>
  <c r="AG514" i="5"/>
  <c r="G517" i="5"/>
  <c r="I517" i="6" s="1"/>
  <c r="Q517" i="6"/>
  <c r="O517" i="5"/>
  <c r="W517" i="5"/>
  <c r="Y517" i="6" s="1"/>
  <c r="I518" i="5"/>
  <c r="K518" i="6" s="1"/>
  <c r="Q518" i="5"/>
  <c r="S518" i="6" s="1"/>
  <c r="AA518" i="6"/>
  <c r="Y518" i="5"/>
  <c r="M520" i="5"/>
  <c r="O520" i="6" s="1"/>
  <c r="AA520" i="6"/>
  <c r="Y520" i="5"/>
  <c r="AG520" i="5"/>
  <c r="AI520" i="6" s="1"/>
  <c r="M521" i="6"/>
  <c r="K521" i="5"/>
  <c r="W521" i="5"/>
  <c r="Y521" i="6" s="1"/>
  <c r="AE521" i="5"/>
  <c r="AG521" i="6" s="1"/>
  <c r="M522" i="5"/>
  <c r="O522" i="6" s="1"/>
  <c r="AA522" i="6"/>
  <c r="Y522" i="5"/>
  <c r="G523" i="5"/>
  <c r="I523" i="6" s="1"/>
  <c r="U523" i="6"/>
  <c r="S523" i="5"/>
  <c r="AE523" i="5"/>
  <c r="AG523" i="6" s="1"/>
  <c r="K524" i="6"/>
  <c r="I524" i="5"/>
  <c r="U524" i="5"/>
  <c r="W524" i="6" s="1"/>
  <c r="AG524" i="5"/>
  <c r="AI524" i="6" s="1"/>
  <c r="O525" i="5"/>
  <c r="Q525" i="6" s="1"/>
  <c r="AC525" i="6"/>
  <c r="AA525" i="5"/>
  <c r="I526" i="5"/>
  <c r="K526" i="6" s="1"/>
  <c r="S526" i="6"/>
  <c r="Q526" i="5"/>
  <c r="AC526" i="5"/>
  <c r="AE526" i="6" s="1"/>
  <c r="M527" i="6"/>
  <c r="K527" i="5"/>
  <c r="W527" i="5"/>
  <c r="Y527" i="6" s="1"/>
  <c r="E528" i="5"/>
  <c r="G528" i="6" s="1"/>
  <c r="U528" i="5"/>
  <c r="W528" i="6" s="1"/>
  <c r="AI528" i="6"/>
  <c r="AG528" i="5"/>
  <c r="K529" i="5"/>
  <c r="M529" i="6" s="1"/>
  <c r="Y529" i="6"/>
  <c r="W529" i="5"/>
  <c r="M530" i="5"/>
  <c r="O530" i="6" s="1"/>
  <c r="W530" i="6"/>
  <c r="U530" i="5"/>
  <c r="AG530" i="5"/>
  <c r="AI530" i="6" s="1"/>
  <c r="O531" i="5"/>
  <c r="Q531" i="6" s="1"/>
  <c r="AA531" i="5"/>
  <c r="AC531" i="6" s="1"/>
  <c r="K532" i="6"/>
  <c r="I532" i="5"/>
  <c r="Q532" i="5"/>
  <c r="S532" i="6" s="1"/>
  <c r="AE532" i="6"/>
  <c r="AC532" i="5"/>
  <c r="K533" i="5"/>
  <c r="M533" i="6" s="1"/>
  <c r="Y533" i="6"/>
  <c r="W533" i="5"/>
  <c r="E534" i="5"/>
  <c r="G534" i="6" s="1"/>
  <c r="M534" i="5"/>
  <c r="O534" i="6" s="1"/>
  <c r="Y534" i="5"/>
  <c r="AA534" i="6" s="1"/>
  <c r="I535" i="6"/>
  <c r="G535" i="5"/>
  <c r="W535" i="5"/>
  <c r="Y535" i="6" s="1"/>
  <c r="K536" i="6"/>
  <c r="I536" i="5"/>
  <c r="Y536" i="5"/>
  <c r="AA536" i="6" s="1"/>
  <c r="AI536" i="6"/>
  <c r="AG536" i="5"/>
  <c r="S537" i="5"/>
  <c r="U537" i="6" s="1"/>
  <c r="AE537" i="5"/>
  <c r="AG537" i="6" s="1"/>
  <c r="M538" i="5"/>
  <c r="O538" i="6" s="1"/>
  <c r="W538" i="6"/>
  <c r="U538" i="5"/>
  <c r="G539" i="5"/>
  <c r="I539" i="6" s="1"/>
  <c r="U539" i="6"/>
  <c r="S539" i="5"/>
  <c r="W539" i="5"/>
  <c r="Y539" i="6" s="1"/>
  <c r="G540" i="6"/>
  <c r="E540" i="5"/>
  <c r="U540" i="5"/>
  <c r="W540" i="6" s="1"/>
  <c r="AC540" i="5"/>
  <c r="AE540" i="6" s="1"/>
  <c r="O541" i="5"/>
  <c r="Q541" i="6" s="1"/>
  <c r="AC541" i="6"/>
  <c r="AA541" i="5"/>
  <c r="E542" i="5"/>
  <c r="G542" i="6" s="1"/>
  <c r="S542" i="6"/>
  <c r="Q542" i="5"/>
  <c r="AC542" i="5"/>
  <c r="AE542" i="6" s="1"/>
  <c r="M543" i="6"/>
  <c r="K543" i="5"/>
  <c r="W543" i="5"/>
  <c r="Y543" i="6" s="1"/>
  <c r="E544" i="5"/>
  <c r="G544" i="6" s="1"/>
  <c r="M544" i="5"/>
  <c r="O544" i="6" s="1"/>
  <c r="W544" i="6"/>
  <c r="U544" i="5"/>
  <c r="AG544" i="5"/>
  <c r="AI544" i="6" s="1"/>
  <c r="Q545" i="6"/>
  <c r="O545" i="5"/>
  <c r="W545" i="5"/>
  <c r="Y545" i="6" s="1"/>
  <c r="I548" i="6"/>
  <c r="G548" i="5"/>
  <c r="W548" i="5"/>
  <c r="Y548" i="6" s="1"/>
  <c r="E549" i="5"/>
  <c r="G549" i="6" s="1"/>
  <c r="Q549" i="5"/>
  <c r="S549" i="6" s="1"/>
  <c r="AI549" i="6"/>
  <c r="AG549" i="5"/>
  <c r="O550" i="5"/>
  <c r="Q550" i="6" s="1"/>
  <c r="AC550" i="6"/>
  <c r="AA550" i="5"/>
  <c r="M551" i="5"/>
  <c r="O551" i="6" s="1"/>
  <c r="AE551" i="6"/>
  <c r="AC551" i="5"/>
  <c r="O552" i="5"/>
  <c r="Q552" i="6" s="1"/>
  <c r="W552" i="5"/>
  <c r="Y552" i="6" s="1"/>
  <c r="I553" i="5"/>
  <c r="K553" i="6" s="1"/>
  <c r="S553" i="6"/>
  <c r="Q553" i="5"/>
  <c r="AC553" i="5"/>
  <c r="AE553" i="6" s="1"/>
  <c r="M554" i="6"/>
  <c r="K554" i="5"/>
  <c r="AA554" i="5"/>
  <c r="AC554" i="6" s="1"/>
  <c r="G555" i="6"/>
  <c r="E555" i="5"/>
  <c r="Q555" i="5"/>
  <c r="S555" i="6" s="1"/>
  <c r="AC555" i="5"/>
  <c r="AE555" i="6" s="1"/>
  <c r="K557" i="5"/>
  <c r="M557" i="6" s="1"/>
  <c r="AC557" i="6"/>
  <c r="AA557" i="5"/>
  <c r="Q558" i="5"/>
  <c r="S558" i="6" s="1"/>
  <c r="AI558" i="6"/>
  <c r="AG558" i="5"/>
  <c r="K559" i="5"/>
  <c r="M559" i="6" s="1"/>
  <c r="Y559" i="6"/>
  <c r="W559" i="5"/>
  <c r="E560" i="5"/>
  <c r="G560" i="6" s="1"/>
  <c r="M560" i="5"/>
  <c r="O560" i="6" s="1"/>
  <c r="U560" i="5"/>
  <c r="W560" i="6" s="1"/>
  <c r="S561" i="6"/>
  <c r="Q561" i="5"/>
  <c r="AG561" i="5"/>
  <c r="AI561" i="6" s="1"/>
  <c r="M562" i="6"/>
  <c r="K562" i="5"/>
  <c r="S562" i="5"/>
  <c r="U562" i="6" s="1"/>
  <c r="AG562" i="6"/>
  <c r="AE562" i="5"/>
  <c r="AA564" i="5"/>
  <c r="AC564" i="6" s="1"/>
  <c r="AA565" i="5"/>
  <c r="AC565" i="6" s="1"/>
  <c r="Q566" i="5"/>
  <c r="S566" i="6" s="1"/>
  <c r="I567" i="6"/>
  <c r="G567" i="5"/>
  <c r="AA567" i="5"/>
  <c r="AC567" i="6" s="1"/>
  <c r="K569" i="6"/>
  <c r="I569" i="5"/>
  <c r="I585" i="5"/>
  <c r="K585" i="6" s="1"/>
  <c r="AA585" i="6"/>
  <c r="Y585" i="5"/>
  <c r="G586" i="5"/>
  <c r="I586" i="6" s="1"/>
  <c r="S586" i="5"/>
  <c r="U586" i="6" s="1"/>
  <c r="AA586" i="5"/>
  <c r="AC586" i="6" s="1"/>
  <c r="G587" i="6"/>
  <c r="E587" i="5"/>
  <c r="M587" i="5"/>
  <c r="O587" i="6" s="1"/>
  <c r="W587" i="6"/>
  <c r="U587" i="5"/>
  <c r="AC587" i="5"/>
  <c r="AE587" i="6" s="1"/>
  <c r="AI587" i="6"/>
  <c r="AG587" i="5"/>
  <c r="K588" i="5"/>
  <c r="M588" i="6" s="1"/>
  <c r="AF591" i="5"/>
  <c r="AH591" i="6" s="1"/>
  <c r="AE54" i="11" s="1"/>
  <c r="V592" i="5"/>
  <c r="X592" i="6" s="1"/>
  <c r="X593" i="6"/>
  <c r="V593" i="5"/>
  <c r="W594" i="5"/>
  <c r="Y594" i="6" s="1"/>
  <c r="Y595" i="6"/>
  <c r="W595" i="5"/>
  <c r="K597" i="5"/>
  <c r="M597" i="6" s="1"/>
  <c r="Y597" i="6"/>
  <c r="W597" i="5"/>
  <c r="E598" i="5"/>
  <c r="G598" i="6" s="1"/>
  <c r="Q598" i="5"/>
  <c r="S598" i="6" s="1"/>
  <c r="AC598" i="5"/>
  <c r="AE598" i="6" s="1"/>
  <c r="I599" i="6"/>
  <c r="G599" i="5"/>
  <c r="S599" i="5"/>
  <c r="U599" i="6" s="1"/>
  <c r="AG599" i="6"/>
  <c r="AE599" i="5"/>
  <c r="M600" i="5"/>
  <c r="O600" i="6" s="1"/>
  <c r="W600" i="6"/>
  <c r="U600" i="5"/>
  <c r="AG600" i="5"/>
  <c r="AI600" i="6" s="1"/>
  <c r="K601" i="5"/>
  <c r="M601" i="6" s="1"/>
  <c r="W601" i="5"/>
  <c r="Y601" i="6" s="1"/>
  <c r="G602" i="6"/>
  <c r="E602" i="5"/>
  <c r="Q602" i="5"/>
  <c r="S602" i="6" s="1"/>
  <c r="AE602" i="6"/>
  <c r="AC602" i="5"/>
  <c r="K604" i="5"/>
  <c r="M604" i="6" s="1"/>
  <c r="AC604" i="6"/>
  <c r="AA604" i="5"/>
  <c r="I605" i="5"/>
  <c r="K605" i="6" s="1"/>
  <c r="U605" i="5"/>
  <c r="W605" i="6" s="1"/>
  <c r="AG605" i="5"/>
  <c r="AI605" i="6" s="1"/>
  <c r="Q606" i="6"/>
  <c r="O606" i="5"/>
  <c r="W606" i="5"/>
  <c r="Y606" i="6" s="1"/>
  <c r="G607" i="6"/>
  <c r="E607" i="5"/>
  <c r="Y607" i="5"/>
  <c r="AA607" i="6" s="1"/>
  <c r="I38" i="6"/>
  <c r="G38" i="5"/>
  <c r="G39" i="5"/>
  <c r="I39" i="6" s="1"/>
  <c r="D40" i="5"/>
  <c r="F40" i="6" s="1"/>
  <c r="C21" i="11" s="1"/>
  <c r="F56" i="5"/>
  <c r="H56" i="6" s="1"/>
  <c r="L56" i="6"/>
  <c r="J56" i="5"/>
  <c r="N56" i="5"/>
  <c r="P56" i="6" s="1"/>
  <c r="T56" i="6"/>
  <c r="R56" i="5"/>
  <c r="V56" i="5"/>
  <c r="X56" i="6" s="1"/>
  <c r="AB56" i="6"/>
  <c r="Z56" i="5"/>
  <c r="AD56" i="5"/>
  <c r="AF56" i="6" s="1"/>
  <c r="D57" i="5"/>
  <c r="F57" i="6" s="1"/>
  <c r="H57" i="5"/>
  <c r="J57" i="6" s="1"/>
  <c r="N57" i="6"/>
  <c r="L57" i="5"/>
  <c r="P57" i="5"/>
  <c r="R57" i="6" s="1"/>
  <c r="V57" i="6"/>
  <c r="T57" i="5"/>
  <c r="X57" i="5"/>
  <c r="Z57" i="6" s="1"/>
  <c r="AD57" i="6"/>
  <c r="AB57" i="5"/>
  <c r="AF57" i="5"/>
  <c r="AH57" i="6" s="1"/>
  <c r="F58" i="5"/>
  <c r="H58" i="6" s="1"/>
  <c r="J58" i="5"/>
  <c r="L58" i="6" s="1"/>
  <c r="P58" i="6"/>
  <c r="N58" i="5"/>
  <c r="R58" i="5"/>
  <c r="T58" i="6" s="1"/>
  <c r="X58" i="6"/>
  <c r="V58" i="5"/>
  <c r="Z58" i="5"/>
  <c r="AB58" i="6" s="1"/>
  <c r="AF58" i="6"/>
  <c r="AD58" i="5"/>
  <c r="D59" i="5"/>
  <c r="F59" i="6" s="1"/>
  <c r="H59" i="5"/>
  <c r="J59" i="6" s="1"/>
  <c r="L59" i="5"/>
  <c r="N59" i="6" s="1"/>
  <c r="R59" i="6"/>
  <c r="P59" i="5"/>
  <c r="T59" i="5"/>
  <c r="V59" i="6" s="1"/>
  <c r="Z59" i="6"/>
  <c r="X59" i="5"/>
  <c r="AB59" i="5"/>
  <c r="AD59" i="6" s="1"/>
  <c r="AH59" i="6"/>
  <c r="AF59" i="5"/>
  <c r="F60" i="5"/>
  <c r="H60" i="6" s="1"/>
  <c r="J60" i="5"/>
  <c r="L60" i="6" s="1"/>
  <c r="N60" i="5"/>
  <c r="P60" i="6" s="1"/>
  <c r="T60" i="6"/>
  <c r="R60" i="5"/>
  <c r="V60" i="5"/>
  <c r="X60" i="6" s="1"/>
  <c r="AB60" i="6"/>
  <c r="Z60" i="5"/>
  <c r="AD60" i="5"/>
  <c r="AF60" i="6" s="1"/>
  <c r="F61" i="6"/>
  <c r="D61" i="5"/>
  <c r="H61" i="5"/>
  <c r="J61" i="6" s="1"/>
  <c r="L61" i="5"/>
  <c r="N61" i="6" s="1"/>
  <c r="P61" i="5"/>
  <c r="R61" i="6" s="1"/>
  <c r="V61" i="6"/>
  <c r="T61" i="5"/>
  <c r="X61" i="5"/>
  <c r="Z61" i="6" s="1"/>
  <c r="AD61" i="6"/>
  <c r="AB61" i="5"/>
  <c r="AF61" i="5"/>
  <c r="AH61" i="6" s="1"/>
  <c r="H62" i="6"/>
  <c r="F62" i="5"/>
  <c r="J62" i="5"/>
  <c r="L62" i="6" s="1"/>
  <c r="X62" i="5"/>
  <c r="Z62" i="6" s="1"/>
  <c r="F63" i="5"/>
  <c r="H63" i="6" s="1"/>
  <c r="L63" i="6"/>
  <c r="J63" i="5"/>
  <c r="N63" i="5"/>
  <c r="P63" i="6" s="1"/>
  <c r="T63" i="6"/>
  <c r="R63" i="5"/>
  <c r="V63" i="5"/>
  <c r="X63" i="6" s="1"/>
  <c r="AB63" i="6"/>
  <c r="Z63" i="5"/>
  <c r="AD63" i="5"/>
  <c r="AF63" i="6" s="1"/>
  <c r="D64" i="5"/>
  <c r="F64" i="6" s="1"/>
  <c r="H64" i="5"/>
  <c r="J64" i="6" s="1"/>
  <c r="N64" i="6"/>
  <c r="L64" i="5"/>
  <c r="P64" i="5"/>
  <c r="R64" i="6" s="1"/>
  <c r="V64" i="6"/>
  <c r="T64" i="5"/>
  <c r="X64" i="5"/>
  <c r="Z64" i="6" s="1"/>
  <c r="AD64" i="6"/>
  <c r="AB64" i="5"/>
  <c r="AF64" i="5"/>
  <c r="AH64" i="6" s="1"/>
  <c r="F65" i="5"/>
  <c r="H65" i="6" s="1"/>
  <c r="J65" i="5"/>
  <c r="L65" i="6" s="1"/>
  <c r="P65" i="6"/>
  <c r="N65" i="5"/>
  <c r="R65" i="5"/>
  <c r="T65" i="6" s="1"/>
  <c r="X65" i="6"/>
  <c r="V65" i="5"/>
  <c r="Z65" i="5"/>
  <c r="AB65" i="6" s="1"/>
  <c r="AF65" i="6"/>
  <c r="AD65" i="5"/>
  <c r="G67" i="5"/>
  <c r="I67" i="6" s="1"/>
  <c r="K67" i="5"/>
  <c r="M67" i="6" s="1"/>
  <c r="G68" i="5"/>
  <c r="I68" i="6" s="1"/>
  <c r="M68" i="6"/>
  <c r="K68" i="5"/>
  <c r="O68" i="5"/>
  <c r="Q68" i="6" s="1"/>
  <c r="U68" i="6"/>
  <c r="S68" i="5"/>
  <c r="W68" i="5"/>
  <c r="Y68" i="6" s="1"/>
  <c r="AC68" i="6"/>
  <c r="AA68" i="5"/>
  <c r="AE68" i="5"/>
  <c r="AG68" i="6" s="1"/>
  <c r="E69" i="5"/>
  <c r="G69" i="6" s="1"/>
  <c r="I69" i="5"/>
  <c r="K69" i="6" s="1"/>
  <c r="O69" i="6"/>
  <c r="M69" i="5"/>
  <c r="Q69" i="5"/>
  <c r="S69" i="6" s="1"/>
  <c r="W69" i="6"/>
  <c r="U69" i="5"/>
  <c r="Y69" i="5"/>
  <c r="AA69" i="6" s="1"/>
  <c r="AE69" i="6"/>
  <c r="AC69" i="5"/>
  <c r="AG69" i="5"/>
  <c r="AI69" i="6" s="1"/>
  <c r="G70" i="5"/>
  <c r="I70" i="6" s="1"/>
  <c r="K70" i="5"/>
  <c r="M70" i="6" s="1"/>
  <c r="Q70" i="6"/>
  <c r="O70" i="5"/>
  <c r="S70" i="5"/>
  <c r="U70" i="6" s="1"/>
  <c r="Y70" i="6"/>
  <c r="W70" i="5"/>
  <c r="AA70" i="5"/>
  <c r="AC70" i="6" s="1"/>
  <c r="AG70" i="6"/>
  <c r="AE70" i="5"/>
  <c r="E72" i="5"/>
  <c r="G72" i="6" s="1"/>
  <c r="I72" i="5"/>
  <c r="K72" i="6" s="1"/>
  <c r="M72" i="5"/>
  <c r="O72" i="6" s="1"/>
  <c r="S72" i="6"/>
  <c r="Q72" i="5"/>
  <c r="U72" i="5"/>
  <c r="W72" i="6" s="1"/>
  <c r="Y72" i="5"/>
  <c r="AA72" i="6" s="1"/>
  <c r="AC72" i="5"/>
  <c r="AE72" i="6" s="1"/>
  <c r="AI72" i="6"/>
  <c r="AG72" i="5"/>
  <c r="G73" i="5"/>
  <c r="I73" i="6" s="1"/>
  <c r="K73" i="5"/>
  <c r="M73" i="6" s="1"/>
  <c r="O73" i="5"/>
  <c r="Q73" i="6" s="1"/>
  <c r="U73" i="6"/>
  <c r="S73" i="5"/>
  <c r="W73" i="5"/>
  <c r="Y73" i="6" s="1"/>
  <c r="AA73" i="5"/>
  <c r="AC73" i="6" s="1"/>
  <c r="AE73" i="5"/>
  <c r="AG73" i="6" s="1"/>
  <c r="H130" i="6"/>
  <c r="F130" i="5"/>
  <c r="J130" i="5"/>
  <c r="L130" i="6" s="1"/>
  <c r="N130" i="5"/>
  <c r="P130" i="6" s="1"/>
  <c r="R130" i="5"/>
  <c r="T130" i="6" s="1"/>
  <c r="X130" i="6"/>
  <c r="V130" i="5"/>
  <c r="Z130" i="5"/>
  <c r="AB130" i="6" s="1"/>
  <c r="AD130" i="5"/>
  <c r="AF130" i="6" s="1"/>
  <c r="D132" i="5"/>
  <c r="F132" i="6" s="1"/>
  <c r="J132" i="6"/>
  <c r="H132" i="5"/>
  <c r="L132" i="5"/>
  <c r="N132" i="6" s="1"/>
  <c r="P132" i="5"/>
  <c r="R132" i="6" s="1"/>
  <c r="T132" i="5"/>
  <c r="V132" i="6" s="1"/>
  <c r="Z132" i="6"/>
  <c r="X132" i="5"/>
  <c r="AB132" i="5"/>
  <c r="AD132" i="6" s="1"/>
  <c r="AF132" i="5"/>
  <c r="AH132" i="6" s="1"/>
  <c r="J149" i="5"/>
  <c r="L149" i="6" s="1"/>
  <c r="V149" i="6"/>
  <c r="T149" i="5"/>
  <c r="AD149" i="5"/>
  <c r="AF149" i="6" s="1"/>
  <c r="J155" i="5"/>
  <c r="L155" i="6" s="1"/>
  <c r="T155" i="5"/>
  <c r="V155" i="6" s="1"/>
  <c r="AF155" i="6"/>
  <c r="AD155" i="5"/>
  <c r="J156" i="5"/>
  <c r="L156" i="6" s="1"/>
  <c r="T156" i="5"/>
  <c r="V156" i="6" s="1"/>
  <c r="AD156" i="5"/>
  <c r="AF156" i="6" s="1"/>
  <c r="L157" i="6"/>
  <c r="J157" i="5"/>
  <c r="T157" i="5"/>
  <c r="V157" i="6" s="1"/>
  <c r="AD157" i="5"/>
  <c r="AF157" i="6" s="1"/>
  <c r="J158" i="5"/>
  <c r="L158" i="6" s="1"/>
  <c r="V158" i="6"/>
  <c r="T158" i="5"/>
  <c r="AD158" i="5"/>
  <c r="AF158" i="6" s="1"/>
  <c r="J159" i="5"/>
  <c r="L159" i="6" s="1"/>
  <c r="T159" i="5"/>
  <c r="V159" i="6" s="1"/>
  <c r="AF159" i="6"/>
  <c r="AD159" i="5"/>
  <c r="J160" i="5"/>
  <c r="L160" i="6" s="1"/>
  <c r="T160" i="5"/>
  <c r="V160" i="6" s="1"/>
  <c r="AD160" i="5"/>
  <c r="AF160" i="6" s="1"/>
  <c r="L161" i="6"/>
  <c r="J161" i="5"/>
  <c r="T161" i="5"/>
  <c r="V161" i="6" s="1"/>
  <c r="AD161" i="5"/>
  <c r="AF161" i="6" s="1"/>
  <c r="J162" i="5"/>
  <c r="L162" i="6" s="1"/>
  <c r="V162" i="6"/>
  <c r="T162" i="5"/>
  <c r="AD162" i="5"/>
  <c r="AF162" i="6" s="1"/>
  <c r="J163" i="5"/>
  <c r="L163" i="6" s="1"/>
  <c r="T163" i="5"/>
  <c r="V163" i="6" s="1"/>
  <c r="AF163" i="6"/>
  <c r="AD163" i="5"/>
  <c r="J164" i="5"/>
  <c r="L164" i="6" s="1"/>
  <c r="T164" i="5"/>
  <c r="V164" i="6" s="1"/>
  <c r="AD164" i="5"/>
  <c r="AF164" i="6" s="1"/>
  <c r="L165" i="6"/>
  <c r="J165" i="5"/>
  <c r="T165" i="5"/>
  <c r="V165" i="6" s="1"/>
  <c r="AD165" i="5"/>
  <c r="AF165" i="6" s="1"/>
  <c r="J166" i="5"/>
  <c r="L166" i="6" s="1"/>
  <c r="V166" i="6"/>
  <c r="T166" i="5"/>
  <c r="AD166" i="5"/>
  <c r="AF166" i="6" s="1"/>
  <c r="J167" i="5"/>
  <c r="L167" i="6" s="1"/>
  <c r="T167" i="5"/>
  <c r="V167" i="6" s="1"/>
  <c r="AF167" i="6"/>
  <c r="AD167" i="5"/>
  <c r="J168" i="5"/>
  <c r="L168" i="6" s="1"/>
  <c r="T168" i="5"/>
  <c r="V168" i="6" s="1"/>
  <c r="AD168" i="5"/>
  <c r="AF168" i="6" s="1"/>
  <c r="L169" i="6"/>
  <c r="J169" i="5"/>
  <c r="T169" i="5"/>
  <c r="V169" i="6" s="1"/>
  <c r="AD169" i="5"/>
  <c r="AF169" i="6" s="1"/>
  <c r="J170" i="5"/>
  <c r="L170" i="6" s="1"/>
  <c r="V170" i="6"/>
  <c r="T170" i="5"/>
  <c r="AD170" i="5"/>
  <c r="AF170" i="6" s="1"/>
  <c r="J171" i="5"/>
  <c r="L171" i="6" s="1"/>
  <c r="T171" i="5"/>
  <c r="V171" i="6" s="1"/>
  <c r="AF171" i="6"/>
  <c r="AD171" i="5"/>
  <c r="I205" i="5"/>
  <c r="K205" i="6" s="1"/>
  <c r="S205" i="5"/>
  <c r="U205" i="6" s="1"/>
  <c r="AC205" i="5"/>
  <c r="AE205" i="6" s="1"/>
  <c r="Q241" i="6"/>
  <c r="O241" i="5"/>
  <c r="S241" i="5"/>
  <c r="U241" i="6" s="1"/>
  <c r="W241" i="5"/>
  <c r="Y241" i="6" s="1"/>
  <c r="Q243" i="5"/>
  <c r="S243" i="6" s="1"/>
  <c r="W243" i="6"/>
  <c r="U243" i="5"/>
  <c r="X248" i="5"/>
  <c r="Z248" i="6" s="1"/>
  <c r="AB248" i="5"/>
  <c r="AD248" i="6" s="1"/>
  <c r="AF248" i="5"/>
  <c r="AH248" i="6" s="1"/>
  <c r="AB254" i="6"/>
  <c r="Z254" i="5"/>
  <c r="AD254" i="5"/>
  <c r="AF254" i="6" s="1"/>
  <c r="X255" i="5"/>
  <c r="Z255" i="6" s="1"/>
  <c r="AB255" i="5"/>
  <c r="AD255" i="6" s="1"/>
  <c r="AH255" i="6"/>
  <c r="AF255" i="5"/>
  <c r="Z257" i="5"/>
  <c r="AB257" i="6" s="1"/>
  <c r="AD257" i="5"/>
  <c r="AF257" i="6" s="1"/>
  <c r="N258" i="5"/>
  <c r="P258" i="6" s="1"/>
  <c r="T258" i="6"/>
  <c r="R258" i="5"/>
  <c r="V258" i="5"/>
  <c r="X258" i="6" s="1"/>
  <c r="Z258" i="5"/>
  <c r="AB258" i="6" s="1"/>
  <c r="AD258" i="5"/>
  <c r="AF258" i="6" s="1"/>
  <c r="F259" i="6"/>
  <c r="D259" i="5"/>
  <c r="H259" i="5"/>
  <c r="J259" i="6" s="1"/>
  <c r="L259" i="5"/>
  <c r="N259" i="6" s="1"/>
  <c r="P259" i="5"/>
  <c r="R259" i="6" s="1"/>
  <c r="V259" i="6"/>
  <c r="T259" i="5"/>
  <c r="X259" i="5"/>
  <c r="Z259" i="6" s="1"/>
  <c r="AB259" i="5"/>
  <c r="AD259" i="6" s="1"/>
  <c r="AF259" i="5"/>
  <c r="AH259" i="6" s="1"/>
  <c r="H260" i="6"/>
  <c r="F260" i="5"/>
  <c r="J260" i="5"/>
  <c r="L260" i="6" s="1"/>
  <c r="N260" i="5"/>
  <c r="P260" i="6" s="1"/>
  <c r="R260" i="5"/>
  <c r="T260" i="6" s="1"/>
  <c r="X260" i="6"/>
  <c r="V260" i="5"/>
  <c r="Z260" i="5"/>
  <c r="AB260" i="6" s="1"/>
  <c r="AD260" i="5"/>
  <c r="AF260" i="6" s="1"/>
  <c r="D261" i="5"/>
  <c r="F261" i="6" s="1"/>
  <c r="J261" i="6"/>
  <c r="H261" i="5"/>
  <c r="L261" i="5"/>
  <c r="N261" i="6" s="1"/>
  <c r="P261" i="5"/>
  <c r="R261" i="6" s="1"/>
  <c r="T261" i="5"/>
  <c r="V261" i="6" s="1"/>
  <c r="Z261" i="6"/>
  <c r="X261" i="5"/>
  <c r="AB261" i="5"/>
  <c r="AD261" i="6" s="1"/>
  <c r="AF261" i="5"/>
  <c r="AH261" i="6" s="1"/>
  <c r="F262" i="5"/>
  <c r="H262" i="6" s="1"/>
  <c r="L262" i="6"/>
  <c r="J262" i="5"/>
  <c r="N262" i="5"/>
  <c r="P262" i="6" s="1"/>
  <c r="R262" i="5"/>
  <c r="T262" i="6" s="1"/>
  <c r="V262" i="5"/>
  <c r="X262" i="6" s="1"/>
  <c r="AB262" i="6"/>
  <c r="Z262" i="5"/>
  <c r="AD262" i="5"/>
  <c r="AF262" i="6" s="1"/>
  <c r="N263" i="5"/>
  <c r="P263" i="6" s="1"/>
  <c r="R263" i="5"/>
  <c r="T263" i="6" s="1"/>
  <c r="X263" i="6"/>
  <c r="V263" i="5"/>
  <c r="Z263" i="5"/>
  <c r="AB263" i="6" s="1"/>
  <c r="AD263" i="5"/>
  <c r="AF263" i="6" s="1"/>
  <c r="D264" i="5"/>
  <c r="F264" i="6" s="1"/>
  <c r="J264" i="6"/>
  <c r="H264" i="5"/>
  <c r="L264" i="5"/>
  <c r="N264" i="6" s="1"/>
  <c r="P264" i="5"/>
  <c r="R264" i="6" s="1"/>
  <c r="T264" i="5"/>
  <c r="V264" i="6" s="1"/>
  <c r="Z264" i="6"/>
  <c r="X264" i="5"/>
  <c r="AB264" i="5"/>
  <c r="AD264" i="6" s="1"/>
  <c r="AF264" i="5"/>
  <c r="AH264" i="6" s="1"/>
  <c r="F265" i="5"/>
  <c r="H265" i="6" s="1"/>
  <c r="L265" i="6"/>
  <c r="J265" i="5"/>
  <c r="X265" i="5"/>
  <c r="Z265" i="6" s="1"/>
  <c r="AB265" i="5"/>
  <c r="AD265" i="6" s="1"/>
  <c r="AF265" i="5"/>
  <c r="AH265" i="6" s="1"/>
  <c r="H266" i="6"/>
  <c r="F266" i="5"/>
  <c r="J266" i="5"/>
  <c r="L266" i="6" s="1"/>
  <c r="X266" i="5"/>
  <c r="Z266" i="6" s="1"/>
  <c r="AB266" i="5"/>
  <c r="AD266" i="6" s="1"/>
  <c r="AH266" i="6"/>
  <c r="AF266" i="5"/>
  <c r="F267" i="5"/>
  <c r="H267" i="6" s="1"/>
  <c r="J267" i="5"/>
  <c r="L267" i="6" s="1"/>
  <c r="X267" i="5"/>
  <c r="Z267" i="6" s="1"/>
  <c r="AD267" i="6"/>
  <c r="AB267" i="5"/>
  <c r="AF267" i="5"/>
  <c r="AH267" i="6" s="1"/>
  <c r="F270" i="5"/>
  <c r="H270" i="6" s="1"/>
  <c r="J270" i="5"/>
  <c r="L270" i="6" s="1"/>
  <c r="P270" i="6"/>
  <c r="N270" i="5"/>
  <c r="R270" i="5"/>
  <c r="T270" i="6" s="1"/>
  <c r="V270" i="5"/>
  <c r="X270" i="6" s="1"/>
  <c r="Z270" i="5"/>
  <c r="AB270" i="6" s="1"/>
  <c r="AF270" i="6"/>
  <c r="AD270" i="5"/>
  <c r="D271" i="5"/>
  <c r="F271" i="6" s="1"/>
  <c r="H271" i="5"/>
  <c r="J271" i="6" s="1"/>
  <c r="L271" i="5"/>
  <c r="N271" i="6" s="1"/>
  <c r="R271" i="6"/>
  <c r="P271" i="5"/>
  <c r="T271" i="5"/>
  <c r="V271" i="6" s="1"/>
  <c r="X271" i="5"/>
  <c r="Z271" i="6" s="1"/>
  <c r="AB271" i="5"/>
  <c r="AD271" i="6" s="1"/>
  <c r="AH271" i="6"/>
  <c r="AF271" i="5"/>
  <c r="F273" i="5"/>
  <c r="H273" i="6" s="1"/>
  <c r="J273" i="5"/>
  <c r="L273" i="6" s="1"/>
  <c r="X273" i="5"/>
  <c r="Z273" i="6" s="1"/>
  <c r="AD273" i="6"/>
  <c r="AB273" i="5"/>
  <c r="AF273" i="5"/>
  <c r="AH273" i="6" s="1"/>
  <c r="F283" i="5"/>
  <c r="H283" i="6" s="1"/>
  <c r="J283" i="5"/>
  <c r="L283" i="6" s="1"/>
  <c r="P283" i="6"/>
  <c r="N283" i="5"/>
  <c r="R283" i="5"/>
  <c r="T283" i="6" s="1"/>
  <c r="V283" i="5"/>
  <c r="X283" i="6" s="1"/>
  <c r="Z283" i="5"/>
  <c r="AB283" i="6" s="1"/>
  <c r="AF283" i="6"/>
  <c r="AD283" i="5"/>
  <c r="N285" i="5"/>
  <c r="P285" i="6" s="1"/>
  <c r="R285" i="5"/>
  <c r="T285" i="6" s="1"/>
  <c r="V285" i="5"/>
  <c r="X285" i="6" s="1"/>
  <c r="H288" i="6"/>
  <c r="F288" i="5"/>
  <c r="J288" i="5"/>
  <c r="L288" i="6" s="1"/>
  <c r="N288" i="5"/>
  <c r="P288" i="6" s="1"/>
  <c r="R288" i="5"/>
  <c r="T288" i="6" s="1"/>
  <c r="X288" i="6"/>
  <c r="V288" i="5"/>
  <c r="Z288" i="5"/>
  <c r="AB288" i="6" s="1"/>
  <c r="AD288" i="5"/>
  <c r="AF288" i="6" s="1"/>
  <c r="D289" i="5"/>
  <c r="F289" i="6" s="1"/>
  <c r="J289" i="6"/>
  <c r="H289" i="5"/>
  <c r="L289" i="5"/>
  <c r="N289" i="6" s="1"/>
  <c r="P289" i="5"/>
  <c r="R289" i="6" s="1"/>
  <c r="T289" i="5"/>
  <c r="V289" i="6" s="1"/>
  <c r="Z290" i="6"/>
  <c r="X290" i="5"/>
  <c r="AB290" i="5"/>
  <c r="AD290" i="6" s="1"/>
  <c r="AF290" i="5"/>
  <c r="AH290" i="6" s="1"/>
  <c r="F292" i="5"/>
  <c r="H292" i="6" s="1"/>
  <c r="L292" i="6"/>
  <c r="J292" i="5"/>
  <c r="N292" i="5"/>
  <c r="P292" i="6" s="1"/>
  <c r="R292" i="5"/>
  <c r="T292" i="6" s="1"/>
  <c r="V292" i="5"/>
  <c r="X292" i="6" s="1"/>
  <c r="AB292" i="6"/>
  <c r="Z292" i="5"/>
  <c r="AD292" i="5"/>
  <c r="AF292" i="6" s="1"/>
  <c r="D301" i="5"/>
  <c r="F301" i="6" s="1"/>
  <c r="N301" i="5"/>
  <c r="P301" i="6" s="1"/>
  <c r="Z301" i="6"/>
  <c r="X301" i="5"/>
  <c r="D302" i="5"/>
  <c r="F302" i="6" s="1"/>
  <c r="N302" i="5"/>
  <c r="P302" i="6" s="1"/>
  <c r="X302" i="5"/>
  <c r="Z302" i="6" s="1"/>
  <c r="F307" i="6"/>
  <c r="D307" i="5"/>
  <c r="N307" i="5"/>
  <c r="P307" i="6" s="1"/>
  <c r="X307" i="5"/>
  <c r="Z307" i="6" s="1"/>
  <c r="N308" i="5"/>
  <c r="P308" i="6" s="1"/>
  <c r="F310" i="6"/>
  <c r="D310" i="5"/>
  <c r="N310" i="5"/>
  <c r="P310" i="6" s="1"/>
  <c r="X310" i="5"/>
  <c r="Z310" i="6" s="1"/>
  <c r="D313" i="5"/>
  <c r="F313" i="6" s="1"/>
  <c r="P313" i="6"/>
  <c r="N313" i="5"/>
  <c r="X313" i="5"/>
  <c r="Z313" i="6" s="1"/>
  <c r="N314" i="5"/>
  <c r="P314" i="6" s="1"/>
  <c r="X314" i="5"/>
  <c r="Z314" i="6" s="1"/>
  <c r="P318" i="6"/>
  <c r="N318" i="5"/>
  <c r="X318" i="5"/>
  <c r="Z318" i="6" s="1"/>
  <c r="O321" i="5"/>
  <c r="Q321" i="6" s="1"/>
  <c r="AD324" i="5"/>
  <c r="AF324" i="6" s="1"/>
  <c r="V325" i="6"/>
  <c r="T325" i="5"/>
  <c r="AD327" i="5"/>
  <c r="AF327" i="6" s="1"/>
  <c r="U328" i="5"/>
  <c r="W328" i="6" s="1"/>
  <c r="AE328" i="5"/>
  <c r="AG328" i="6" s="1"/>
  <c r="V333" i="6"/>
  <c r="T333" i="5"/>
  <c r="J335" i="5"/>
  <c r="L335" i="6" s="1"/>
  <c r="T335" i="5"/>
  <c r="V335" i="6" s="1"/>
  <c r="T338" i="5"/>
  <c r="V338" i="6" s="1"/>
  <c r="F343" i="6"/>
  <c r="D343" i="5"/>
  <c r="N343" i="5"/>
  <c r="P343" i="6" s="1"/>
  <c r="X343" i="5"/>
  <c r="Z343" i="6" s="1"/>
  <c r="X347" i="5"/>
  <c r="Z347" i="6" s="1"/>
  <c r="P348" i="6"/>
  <c r="N348" i="5"/>
  <c r="E350" i="5"/>
  <c r="G350" i="6" s="1"/>
  <c r="X352" i="5"/>
  <c r="Z352" i="6" s="1"/>
  <c r="N353" i="5"/>
  <c r="P353" i="6" s="1"/>
  <c r="V353" i="6"/>
  <c r="T353" i="5"/>
  <c r="F357" i="5"/>
  <c r="H357" i="6" s="1"/>
  <c r="J357" i="5"/>
  <c r="L357" i="6" s="1"/>
  <c r="N357" i="5"/>
  <c r="P357" i="6" s="1"/>
  <c r="T357" i="6"/>
  <c r="R357" i="5"/>
  <c r="V357" i="5"/>
  <c r="X357" i="6" s="1"/>
  <c r="Z357" i="5"/>
  <c r="AB357" i="6" s="1"/>
  <c r="AD357" i="5"/>
  <c r="AF357" i="6" s="1"/>
  <c r="F358" i="6"/>
  <c r="D358" i="5"/>
  <c r="H358" i="5"/>
  <c r="J358" i="6" s="1"/>
  <c r="L358" i="5"/>
  <c r="N358" i="6" s="1"/>
  <c r="P358" i="5"/>
  <c r="R358" i="6" s="1"/>
  <c r="V358" i="6"/>
  <c r="T358" i="5"/>
  <c r="X358" i="5"/>
  <c r="Z358" i="6" s="1"/>
  <c r="AB358" i="5"/>
  <c r="AD358" i="6" s="1"/>
  <c r="AF358" i="5"/>
  <c r="AH358" i="6" s="1"/>
  <c r="H359" i="6"/>
  <c r="F359" i="5"/>
  <c r="J359" i="5"/>
  <c r="L359" i="6" s="1"/>
  <c r="N359" i="5"/>
  <c r="P359" i="6" s="1"/>
  <c r="R359" i="5"/>
  <c r="T359" i="6" s="1"/>
  <c r="X359" i="6"/>
  <c r="V359" i="5"/>
  <c r="Z359" i="5"/>
  <c r="AB359" i="6" s="1"/>
  <c r="AD359" i="5"/>
  <c r="AF359" i="6" s="1"/>
  <c r="D360" i="5"/>
  <c r="F360" i="6" s="1"/>
  <c r="J360" i="6"/>
  <c r="H360" i="5"/>
  <c r="L360" i="5"/>
  <c r="N360" i="6" s="1"/>
  <c r="P360" i="5"/>
  <c r="R360" i="6" s="1"/>
  <c r="T360" i="5"/>
  <c r="V360" i="6" s="1"/>
  <c r="Z360" i="6"/>
  <c r="X360" i="5"/>
  <c r="AB360" i="5"/>
  <c r="AD360" i="6" s="1"/>
  <c r="AF360" i="5"/>
  <c r="AH360" i="6" s="1"/>
  <c r="F361" i="5"/>
  <c r="H361" i="6" s="1"/>
  <c r="L361" i="6"/>
  <c r="J361" i="5"/>
  <c r="N361" i="5"/>
  <c r="P361" i="6" s="1"/>
  <c r="R361" i="5"/>
  <c r="T361" i="6" s="1"/>
  <c r="V361" i="5"/>
  <c r="X361" i="6" s="1"/>
  <c r="AB361" i="6"/>
  <c r="Z361" i="5"/>
  <c r="AD361" i="5"/>
  <c r="AF361" i="6" s="1"/>
  <c r="D362" i="5"/>
  <c r="F362" i="6" s="1"/>
  <c r="H362" i="5"/>
  <c r="J362" i="6" s="1"/>
  <c r="N362" i="6"/>
  <c r="L362" i="5"/>
  <c r="P362" i="5"/>
  <c r="R362" i="6" s="1"/>
  <c r="T362" i="5"/>
  <c r="V362" i="6" s="1"/>
  <c r="X362" i="5"/>
  <c r="Z362" i="6" s="1"/>
  <c r="AD362" i="6"/>
  <c r="AB362" i="5"/>
  <c r="AF362" i="5"/>
  <c r="AH362" i="6" s="1"/>
  <c r="F363" i="5"/>
  <c r="H363" i="6" s="1"/>
  <c r="J363" i="5"/>
  <c r="L363" i="6" s="1"/>
  <c r="P363" i="6"/>
  <c r="N363" i="5"/>
  <c r="R363" i="5"/>
  <c r="T363" i="6" s="1"/>
  <c r="V363" i="5"/>
  <c r="X363" i="6" s="1"/>
  <c r="Z363" i="5"/>
  <c r="AB363" i="6" s="1"/>
  <c r="AF363" i="6"/>
  <c r="AD363" i="5"/>
  <c r="D364" i="5"/>
  <c r="F364" i="6" s="1"/>
  <c r="H364" i="5"/>
  <c r="J364" i="6" s="1"/>
  <c r="L364" i="5"/>
  <c r="N364" i="6" s="1"/>
  <c r="R364" i="6"/>
  <c r="P364" i="5"/>
  <c r="T364" i="5"/>
  <c r="V364" i="6" s="1"/>
  <c r="X364" i="5"/>
  <c r="Z364" i="6" s="1"/>
  <c r="AB364" i="5"/>
  <c r="AD364" i="6" s="1"/>
  <c r="AH364" i="6"/>
  <c r="AF364" i="5"/>
  <c r="F365" i="5"/>
  <c r="H365" i="6" s="1"/>
  <c r="J365" i="5"/>
  <c r="L365" i="6" s="1"/>
  <c r="N365" i="5"/>
  <c r="P365" i="6" s="1"/>
  <c r="T365" i="6"/>
  <c r="R365" i="5"/>
  <c r="V365" i="5"/>
  <c r="X365" i="6" s="1"/>
  <c r="Z365" i="5"/>
  <c r="AB365" i="6" s="1"/>
  <c r="AD365" i="5"/>
  <c r="AF365" i="6" s="1"/>
  <c r="F366" i="6"/>
  <c r="D366" i="5"/>
  <c r="H366" i="5"/>
  <c r="J366" i="6" s="1"/>
  <c r="L366" i="5"/>
  <c r="N366" i="6" s="1"/>
  <c r="P366" i="5"/>
  <c r="R366" i="6" s="1"/>
  <c r="V366" i="6"/>
  <c r="T366" i="5"/>
  <c r="X366" i="5"/>
  <c r="Z366" i="6" s="1"/>
  <c r="AB366" i="5"/>
  <c r="AD366" i="6" s="1"/>
  <c r="AF366" i="5"/>
  <c r="AH366" i="6" s="1"/>
  <c r="H367" i="6"/>
  <c r="F367" i="5"/>
  <c r="J367" i="5"/>
  <c r="L367" i="6" s="1"/>
  <c r="N367" i="5"/>
  <c r="P367" i="6" s="1"/>
  <c r="R367" i="5"/>
  <c r="T367" i="6" s="1"/>
  <c r="X367" i="6"/>
  <c r="V367" i="5"/>
  <c r="Z367" i="5"/>
  <c r="AB367" i="6" s="1"/>
  <c r="AD367" i="5"/>
  <c r="AF367" i="6" s="1"/>
  <c r="D368" i="5"/>
  <c r="F368" i="6" s="1"/>
  <c r="J368" i="6"/>
  <c r="H368" i="5"/>
  <c r="L368" i="5"/>
  <c r="N368" i="6" s="1"/>
  <c r="P368" i="5"/>
  <c r="R368" i="6" s="1"/>
  <c r="T368" i="5"/>
  <c r="V368" i="6" s="1"/>
  <c r="Z368" i="6"/>
  <c r="X368" i="5"/>
  <c r="AB368" i="5"/>
  <c r="AD368" i="6" s="1"/>
  <c r="AF368" i="5"/>
  <c r="AH368" i="6" s="1"/>
  <c r="F369" i="5"/>
  <c r="H369" i="6" s="1"/>
  <c r="L369" i="6"/>
  <c r="J369" i="5"/>
  <c r="N369" i="5"/>
  <c r="P369" i="6" s="1"/>
  <c r="R369" i="5"/>
  <c r="T369" i="6" s="1"/>
  <c r="V369" i="5"/>
  <c r="X369" i="6" s="1"/>
  <c r="AB369" i="6"/>
  <c r="Z369" i="5"/>
  <c r="AD369" i="5"/>
  <c r="AF369" i="6" s="1"/>
  <c r="D370" i="5"/>
  <c r="F370" i="6" s="1"/>
  <c r="H370" i="5"/>
  <c r="J370" i="6" s="1"/>
  <c r="N370" i="6"/>
  <c r="L370" i="5"/>
  <c r="P370" i="5"/>
  <c r="R370" i="6" s="1"/>
  <c r="T370" i="5"/>
  <c r="V370" i="6" s="1"/>
  <c r="X370" i="5"/>
  <c r="Z370" i="6" s="1"/>
  <c r="AD370" i="6"/>
  <c r="AB370" i="5"/>
  <c r="AF370" i="5"/>
  <c r="AH370" i="6" s="1"/>
  <c r="F371" i="5"/>
  <c r="H371" i="6" s="1"/>
  <c r="J371" i="5"/>
  <c r="L371" i="6" s="1"/>
  <c r="P371" i="6"/>
  <c r="N371" i="5"/>
  <c r="R371" i="5"/>
  <c r="T371" i="6" s="1"/>
  <c r="V371" i="5"/>
  <c r="X371" i="6" s="1"/>
  <c r="Z371" i="5"/>
  <c r="AB371" i="6" s="1"/>
  <c r="AF371" i="6"/>
  <c r="AD371" i="5"/>
  <c r="D372" i="5"/>
  <c r="F372" i="6" s="1"/>
  <c r="H372" i="5"/>
  <c r="J372" i="6" s="1"/>
  <c r="L372" i="5"/>
  <c r="N372" i="6" s="1"/>
  <c r="R372" i="6"/>
  <c r="P372" i="5"/>
  <c r="T372" i="5"/>
  <c r="V372" i="6" s="1"/>
  <c r="X372" i="5"/>
  <c r="Z372" i="6" s="1"/>
  <c r="AB372" i="5"/>
  <c r="AD372" i="6" s="1"/>
  <c r="AH372" i="6"/>
  <c r="AF372" i="5"/>
  <c r="F373" i="5"/>
  <c r="H373" i="6" s="1"/>
  <c r="J373" i="5"/>
  <c r="L373" i="6" s="1"/>
  <c r="N373" i="5"/>
  <c r="P373" i="6" s="1"/>
  <c r="T373" i="6"/>
  <c r="R373" i="5"/>
  <c r="V373" i="5"/>
  <c r="X373" i="6" s="1"/>
  <c r="Z373" i="5"/>
  <c r="AB373" i="6" s="1"/>
  <c r="AD373" i="5"/>
  <c r="AF373" i="6" s="1"/>
  <c r="F375" i="6"/>
  <c r="D375" i="5"/>
  <c r="H375" i="5"/>
  <c r="J375" i="6" s="1"/>
  <c r="L375" i="5"/>
  <c r="N375" i="6" s="1"/>
  <c r="P375" i="5"/>
  <c r="R375" i="6" s="1"/>
  <c r="V375" i="6"/>
  <c r="T375" i="5"/>
  <c r="X375" i="5"/>
  <c r="Z375" i="6" s="1"/>
  <c r="AB375" i="5"/>
  <c r="AD375" i="6" s="1"/>
  <c r="AF375" i="5"/>
  <c r="AH375" i="6" s="1"/>
  <c r="H376" i="6"/>
  <c r="F376" i="5"/>
  <c r="J376" i="5"/>
  <c r="L376" i="6" s="1"/>
  <c r="N376" i="5"/>
  <c r="P376" i="6" s="1"/>
  <c r="R376" i="5"/>
  <c r="T376" i="6" s="1"/>
  <c r="X376" i="6"/>
  <c r="V376" i="5"/>
  <c r="Z376" i="5"/>
  <c r="AB376" i="6" s="1"/>
  <c r="AD376" i="5"/>
  <c r="AF376" i="6" s="1"/>
  <c r="D377" i="5"/>
  <c r="F377" i="6" s="1"/>
  <c r="J377" i="6"/>
  <c r="H377" i="5"/>
  <c r="L377" i="5"/>
  <c r="N377" i="6" s="1"/>
  <c r="P377" i="5"/>
  <c r="R377" i="6" s="1"/>
  <c r="T377" i="5"/>
  <c r="V377" i="6" s="1"/>
  <c r="Z377" i="6"/>
  <c r="X377" i="5"/>
  <c r="AB377" i="5"/>
  <c r="AD377" i="6" s="1"/>
  <c r="AF377" i="5"/>
  <c r="AH377" i="6" s="1"/>
  <c r="F378" i="5"/>
  <c r="H378" i="6" s="1"/>
  <c r="L378" i="6"/>
  <c r="J378" i="5"/>
  <c r="N378" i="5"/>
  <c r="P378" i="6" s="1"/>
  <c r="R378" i="5"/>
  <c r="T378" i="6" s="1"/>
  <c r="V378" i="5"/>
  <c r="X378" i="6" s="1"/>
  <c r="AB378" i="6"/>
  <c r="Z378" i="5"/>
  <c r="AD378" i="5"/>
  <c r="AF378" i="6" s="1"/>
  <c r="D379" i="5"/>
  <c r="F379" i="6" s="1"/>
  <c r="H379" i="5"/>
  <c r="J379" i="6" s="1"/>
  <c r="N379" i="6"/>
  <c r="L379" i="5"/>
  <c r="P379" i="5"/>
  <c r="R379" i="6" s="1"/>
  <c r="T379" i="5"/>
  <c r="V379" i="6" s="1"/>
  <c r="X379" i="5"/>
  <c r="Z379" i="6" s="1"/>
  <c r="AD379" i="6"/>
  <c r="AB379" i="5"/>
  <c r="AF379" i="5"/>
  <c r="AH379" i="6" s="1"/>
  <c r="F380" i="5"/>
  <c r="H380" i="6" s="1"/>
  <c r="J380" i="5"/>
  <c r="L380" i="6" s="1"/>
  <c r="P380" i="6"/>
  <c r="N380" i="5"/>
  <c r="R380" i="5"/>
  <c r="T380" i="6" s="1"/>
  <c r="V380" i="5"/>
  <c r="X380" i="6" s="1"/>
  <c r="Z380" i="5"/>
  <c r="AB380" i="6" s="1"/>
  <c r="AF380" i="6"/>
  <c r="AD380" i="5"/>
  <c r="D381" i="5"/>
  <c r="F381" i="6" s="1"/>
  <c r="H381" i="5"/>
  <c r="J381" i="6" s="1"/>
  <c r="L381" i="5"/>
  <c r="N381" i="6" s="1"/>
  <c r="R381" i="6"/>
  <c r="P381" i="5"/>
  <c r="T381" i="5"/>
  <c r="V381" i="6" s="1"/>
  <c r="X381" i="5"/>
  <c r="Z381" i="6" s="1"/>
  <c r="AB381" i="5"/>
  <c r="AD381" i="6" s="1"/>
  <c r="AH381" i="6"/>
  <c r="AF381" i="5"/>
  <c r="F382" i="5"/>
  <c r="H382" i="6" s="1"/>
  <c r="J382" i="5"/>
  <c r="L382" i="6" s="1"/>
  <c r="N382" i="5"/>
  <c r="P382" i="6" s="1"/>
  <c r="T382" i="6"/>
  <c r="R382" i="5"/>
  <c r="V382" i="5"/>
  <c r="X382" i="6" s="1"/>
  <c r="Z382" i="5"/>
  <c r="AB382" i="6" s="1"/>
  <c r="AD382" i="5"/>
  <c r="AF382" i="6" s="1"/>
  <c r="F383" i="6"/>
  <c r="D383" i="5"/>
  <c r="H383" i="5"/>
  <c r="J383" i="6" s="1"/>
  <c r="L383" i="5"/>
  <c r="N383" i="6" s="1"/>
  <c r="P383" i="5"/>
  <c r="R383" i="6" s="1"/>
  <c r="V383" i="6"/>
  <c r="T383" i="5"/>
  <c r="X383" i="5"/>
  <c r="Z383" i="6" s="1"/>
  <c r="AB383" i="5"/>
  <c r="AD383" i="6" s="1"/>
  <c r="AF383" i="5"/>
  <c r="AH383" i="6" s="1"/>
  <c r="H384" i="6"/>
  <c r="F384" i="5"/>
  <c r="J384" i="5"/>
  <c r="L384" i="6" s="1"/>
  <c r="N384" i="5"/>
  <c r="P384" i="6" s="1"/>
  <c r="R384" i="5"/>
  <c r="T384" i="6" s="1"/>
  <c r="X384" i="6"/>
  <c r="V384" i="5"/>
  <c r="Z384" i="5"/>
  <c r="AB384" i="6" s="1"/>
  <c r="AD384" i="5"/>
  <c r="AF384" i="6" s="1"/>
  <c r="D385" i="5"/>
  <c r="F385" i="6" s="1"/>
  <c r="J385" i="6"/>
  <c r="H385" i="5"/>
  <c r="L385" i="5"/>
  <c r="N385" i="6" s="1"/>
  <c r="P385" i="5"/>
  <c r="R385" i="6" s="1"/>
  <c r="T385" i="5"/>
  <c r="V385" i="6" s="1"/>
  <c r="Z385" i="6"/>
  <c r="X385" i="5"/>
  <c r="AB385" i="5"/>
  <c r="AD385" i="6" s="1"/>
  <c r="AF385" i="5"/>
  <c r="AH385" i="6" s="1"/>
  <c r="F388" i="5"/>
  <c r="H388" i="6" s="1"/>
  <c r="L388" i="6"/>
  <c r="J388" i="5"/>
  <c r="N388" i="5"/>
  <c r="P388" i="6" s="1"/>
  <c r="R388" i="5"/>
  <c r="T388" i="6" s="1"/>
  <c r="V388" i="5"/>
  <c r="X388" i="6" s="1"/>
  <c r="AB388" i="6"/>
  <c r="Z388" i="5"/>
  <c r="AD388" i="5"/>
  <c r="AF388" i="6" s="1"/>
  <c r="D389" i="5"/>
  <c r="F389" i="6" s="1"/>
  <c r="H389" i="5"/>
  <c r="J389" i="6" s="1"/>
  <c r="N389" i="6"/>
  <c r="L389" i="5"/>
  <c r="P389" i="5"/>
  <c r="R389" i="6" s="1"/>
  <c r="T389" i="5"/>
  <c r="V389" i="6" s="1"/>
  <c r="X389" i="5"/>
  <c r="Z389" i="6" s="1"/>
  <c r="AD389" i="6"/>
  <c r="AB389" i="5"/>
  <c r="AF389" i="5"/>
  <c r="AH389" i="6" s="1"/>
  <c r="F390" i="5"/>
  <c r="H390" i="6" s="1"/>
  <c r="J390" i="5"/>
  <c r="L390" i="6" s="1"/>
  <c r="P390" i="6"/>
  <c r="N390" i="5"/>
  <c r="R390" i="5"/>
  <c r="T390" i="6" s="1"/>
  <c r="V390" i="5"/>
  <c r="X390" i="6" s="1"/>
  <c r="Z390" i="5"/>
  <c r="AB390" i="6" s="1"/>
  <c r="AF390" i="6"/>
  <c r="AD390" i="5"/>
  <c r="D391" i="5"/>
  <c r="F391" i="6" s="1"/>
  <c r="H391" i="5"/>
  <c r="J391" i="6" s="1"/>
  <c r="L391" i="5"/>
  <c r="N391" i="6" s="1"/>
  <c r="R391" i="6"/>
  <c r="P391" i="5"/>
  <c r="T391" i="5"/>
  <c r="V391" i="6" s="1"/>
  <c r="X391" i="5"/>
  <c r="Z391" i="6" s="1"/>
  <c r="AB391" i="5"/>
  <c r="AD391" i="6" s="1"/>
  <c r="AH391" i="6"/>
  <c r="AF391" i="5"/>
  <c r="F392" i="5"/>
  <c r="H392" i="6" s="1"/>
  <c r="J392" i="5"/>
  <c r="L392" i="6" s="1"/>
  <c r="N392" i="5"/>
  <c r="P392" i="6" s="1"/>
  <c r="T392" i="6"/>
  <c r="R392" i="5"/>
  <c r="V392" i="5"/>
  <c r="X392" i="6" s="1"/>
  <c r="Z392" i="5"/>
  <c r="AB392" i="6" s="1"/>
  <c r="AD392" i="5"/>
  <c r="AF392" i="6" s="1"/>
  <c r="F393" i="6"/>
  <c r="D393" i="5"/>
  <c r="H393" i="5"/>
  <c r="J393" i="6" s="1"/>
  <c r="L393" i="5"/>
  <c r="N393" i="6" s="1"/>
  <c r="P393" i="5"/>
  <c r="R393" i="6" s="1"/>
  <c r="V393" i="6"/>
  <c r="T393" i="5"/>
  <c r="X393" i="5"/>
  <c r="Z393" i="6" s="1"/>
  <c r="AB393" i="5"/>
  <c r="AD393" i="6" s="1"/>
  <c r="AF393" i="5"/>
  <c r="AH393" i="6" s="1"/>
  <c r="H394" i="6"/>
  <c r="F394" i="5"/>
  <c r="J394" i="5"/>
  <c r="L394" i="6" s="1"/>
  <c r="N394" i="5"/>
  <c r="P394" i="6" s="1"/>
  <c r="R394" i="5"/>
  <c r="T394" i="6" s="1"/>
  <c r="X394" i="6"/>
  <c r="V394" i="5"/>
  <c r="Z394" i="5"/>
  <c r="AB394" i="6" s="1"/>
  <c r="AD394" i="5"/>
  <c r="AF394" i="6" s="1"/>
  <c r="D395" i="5"/>
  <c r="F395" i="6" s="1"/>
  <c r="J395" i="6"/>
  <c r="H395" i="5"/>
  <c r="L395" i="5"/>
  <c r="N395" i="6" s="1"/>
  <c r="P395" i="5"/>
  <c r="R395" i="6" s="1"/>
  <c r="T395" i="5"/>
  <c r="V395" i="6" s="1"/>
  <c r="Z395" i="6"/>
  <c r="X395" i="5"/>
  <c r="AB395" i="5"/>
  <c r="AD395" i="6" s="1"/>
  <c r="AF395" i="5"/>
  <c r="AH395" i="6" s="1"/>
  <c r="F396" i="5"/>
  <c r="H396" i="6" s="1"/>
  <c r="L396" i="6"/>
  <c r="J396" i="5"/>
  <c r="N396" i="5"/>
  <c r="P396" i="6" s="1"/>
  <c r="R396" i="5"/>
  <c r="T396" i="6" s="1"/>
  <c r="V396" i="5"/>
  <c r="X396" i="6" s="1"/>
  <c r="AB396" i="6"/>
  <c r="Z396" i="5"/>
  <c r="AD396" i="5"/>
  <c r="AF396" i="6" s="1"/>
  <c r="D397" i="5"/>
  <c r="F397" i="6" s="1"/>
  <c r="H397" i="5"/>
  <c r="J397" i="6" s="1"/>
  <c r="N397" i="6"/>
  <c r="L397" i="5"/>
  <c r="P397" i="5"/>
  <c r="R397" i="6" s="1"/>
  <c r="T397" i="5"/>
  <c r="V397" i="6" s="1"/>
  <c r="X397" i="5"/>
  <c r="Z397" i="6" s="1"/>
  <c r="AD397" i="6"/>
  <c r="AB397" i="5"/>
  <c r="AF397" i="5"/>
  <c r="AH397" i="6" s="1"/>
  <c r="F398" i="5"/>
  <c r="H398" i="6" s="1"/>
  <c r="J398" i="5"/>
  <c r="L398" i="6" s="1"/>
  <c r="P398" i="6"/>
  <c r="N398" i="5"/>
  <c r="R398" i="5"/>
  <c r="T398" i="6" s="1"/>
  <c r="V398" i="5"/>
  <c r="X398" i="6" s="1"/>
  <c r="Z398" i="5"/>
  <c r="AB398" i="6" s="1"/>
  <c r="AF398" i="6"/>
  <c r="AD398" i="5"/>
  <c r="D399" i="5"/>
  <c r="F399" i="6" s="1"/>
  <c r="H399" i="5"/>
  <c r="J399" i="6" s="1"/>
  <c r="L399" i="5"/>
  <c r="N399" i="6" s="1"/>
  <c r="R399" i="6"/>
  <c r="P399" i="5"/>
  <c r="T399" i="5"/>
  <c r="V399" i="6" s="1"/>
  <c r="X399" i="5"/>
  <c r="Z399" i="6" s="1"/>
  <c r="AB399" i="5"/>
  <c r="AD399" i="6" s="1"/>
  <c r="AH399" i="6"/>
  <c r="AF399" i="5"/>
  <c r="F400" i="5"/>
  <c r="H400" i="6" s="1"/>
  <c r="J400" i="5"/>
  <c r="L400" i="6" s="1"/>
  <c r="N400" i="5"/>
  <c r="P400" i="6" s="1"/>
  <c r="T400" i="6"/>
  <c r="R400" i="5"/>
  <c r="V400" i="5"/>
  <c r="X400" i="6" s="1"/>
  <c r="Z400" i="5"/>
  <c r="AB400" i="6" s="1"/>
  <c r="AD400" i="5"/>
  <c r="AF400" i="6" s="1"/>
  <c r="F401" i="6"/>
  <c r="D401" i="5"/>
  <c r="H401" i="5"/>
  <c r="J401" i="6" s="1"/>
  <c r="L401" i="5"/>
  <c r="N401" i="6" s="1"/>
  <c r="P401" i="5"/>
  <c r="R401" i="6" s="1"/>
  <c r="V401" i="6"/>
  <c r="T401" i="5"/>
  <c r="X401" i="5"/>
  <c r="Z401" i="6" s="1"/>
  <c r="AB401" i="5"/>
  <c r="AD401" i="6" s="1"/>
  <c r="AF401" i="5"/>
  <c r="AH401" i="6" s="1"/>
  <c r="H402" i="6"/>
  <c r="F402" i="5"/>
  <c r="J402" i="5"/>
  <c r="L402" i="6" s="1"/>
  <c r="N402" i="5"/>
  <c r="P402" i="6" s="1"/>
  <c r="R402" i="5"/>
  <c r="T402" i="6" s="1"/>
  <c r="X402" i="6"/>
  <c r="V402" i="5"/>
  <c r="Z402" i="5"/>
  <c r="AB402" i="6" s="1"/>
  <c r="AD402" i="5"/>
  <c r="AF402" i="6" s="1"/>
  <c r="D403" i="5"/>
  <c r="F403" i="6" s="1"/>
  <c r="J403" i="6"/>
  <c r="H403" i="5"/>
  <c r="L403" i="5"/>
  <c r="N403" i="6" s="1"/>
  <c r="P403" i="5"/>
  <c r="R403" i="6" s="1"/>
  <c r="T403" i="5"/>
  <c r="V403" i="6" s="1"/>
  <c r="Z403" i="6"/>
  <c r="X403" i="5"/>
  <c r="AB403" i="5"/>
  <c r="AD403" i="6" s="1"/>
  <c r="AF403" i="5"/>
  <c r="AH403" i="6" s="1"/>
  <c r="F404" i="5"/>
  <c r="H404" i="6" s="1"/>
  <c r="L404" i="6"/>
  <c r="J404" i="5"/>
  <c r="N404" i="5"/>
  <c r="P404" i="6" s="1"/>
  <c r="R404" i="5"/>
  <c r="T404" i="6" s="1"/>
  <c r="V404" i="5"/>
  <c r="X404" i="6" s="1"/>
  <c r="AB404" i="6"/>
  <c r="Z404" i="5"/>
  <c r="AD404" i="5"/>
  <c r="AF404" i="6" s="1"/>
  <c r="D405" i="5"/>
  <c r="F405" i="6" s="1"/>
  <c r="H405" i="5"/>
  <c r="J405" i="6" s="1"/>
  <c r="N405" i="6"/>
  <c r="L405" i="5"/>
  <c r="P405" i="5"/>
  <c r="R405" i="6" s="1"/>
  <c r="T405" i="5"/>
  <c r="V405" i="6" s="1"/>
  <c r="AB371" i="5"/>
  <c r="AD371" i="6" s="1"/>
  <c r="AH371" i="6"/>
  <c r="AF371" i="5"/>
  <c r="F372" i="5"/>
  <c r="H372" i="6" s="1"/>
  <c r="J372" i="5"/>
  <c r="L372" i="6" s="1"/>
  <c r="N372" i="5"/>
  <c r="P372" i="6" s="1"/>
  <c r="T372" i="6"/>
  <c r="R372" i="5"/>
  <c r="V372" i="5"/>
  <c r="X372" i="6" s="1"/>
  <c r="Z372" i="5"/>
  <c r="AB372" i="6" s="1"/>
  <c r="AD372" i="5"/>
  <c r="AF372" i="6" s="1"/>
  <c r="F373" i="6"/>
  <c r="D373" i="5"/>
  <c r="H373" i="5"/>
  <c r="J373" i="6" s="1"/>
  <c r="L373" i="5"/>
  <c r="N373" i="6" s="1"/>
  <c r="P373" i="5"/>
  <c r="R373" i="6" s="1"/>
  <c r="V373" i="6"/>
  <c r="T373" i="5"/>
  <c r="X373" i="5"/>
  <c r="Z373" i="6" s="1"/>
  <c r="AB373" i="5"/>
  <c r="AD373" i="6" s="1"/>
  <c r="AF373" i="5"/>
  <c r="AH373" i="6" s="1"/>
  <c r="H375" i="6"/>
  <c r="F375" i="5"/>
  <c r="J375" i="5"/>
  <c r="L375" i="6" s="1"/>
  <c r="N375" i="5"/>
  <c r="P375" i="6" s="1"/>
  <c r="R375" i="5"/>
  <c r="T375" i="6" s="1"/>
  <c r="X375" i="6"/>
  <c r="V375" i="5"/>
  <c r="Z375" i="5"/>
  <c r="AB375" i="6" s="1"/>
  <c r="AD375" i="5"/>
  <c r="AF375" i="6" s="1"/>
  <c r="D376" i="5"/>
  <c r="F376" i="6" s="1"/>
  <c r="J376" i="6"/>
  <c r="H376" i="5"/>
  <c r="L376" i="5"/>
  <c r="N376" i="6" s="1"/>
  <c r="P376" i="5"/>
  <c r="R376" i="6" s="1"/>
  <c r="T376" i="5"/>
  <c r="V376" i="6" s="1"/>
  <c r="Z376" i="6"/>
  <c r="X376" i="5"/>
  <c r="AB376" i="5"/>
  <c r="AD376" i="6" s="1"/>
  <c r="AF376" i="5"/>
  <c r="AH376" i="6" s="1"/>
  <c r="F377" i="5"/>
  <c r="H377" i="6" s="1"/>
  <c r="L377" i="6"/>
  <c r="J377" i="5"/>
  <c r="N377" i="5"/>
  <c r="P377" i="6" s="1"/>
  <c r="R377" i="5"/>
  <c r="T377" i="6" s="1"/>
  <c r="V377" i="5"/>
  <c r="X377" i="6" s="1"/>
  <c r="AB377" i="6"/>
  <c r="Z377" i="5"/>
  <c r="AD377" i="5"/>
  <c r="AF377" i="6" s="1"/>
  <c r="D378" i="5"/>
  <c r="F378" i="6" s="1"/>
  <c r="H378" i="5"/>
  <c r="J378" i="6" s="1"/>
  <c r="N378" i="6"/>
  <c r="L378" i="5"/>
  <c r="P378" i="5"/>
  <c r="R378" i="6" s="1"/>
  <c r="T378" i="5"/>
  <c r="V378" i="6" s="1"/>
  <c r="X378" i="5"/>
  <c r="Z378" i="6" s="1"/>
  <c r="AD378" i="6"/>
  <c r="AB378" i="5"/>
  <c r="AF378" i="5"/>
  <c r="AH378" i="6" s="1"/>
  <c r="F379" i="5"/>
  <c r="H379" i="6" s="1"/>
  <c r="J379" i="5"/>
  <c r="L379" i="6" s="1"/>
  <c r="P379" i="6"/>
  <c r="N379" i="5"/>
  <c r="R379" i="5"/>
  <c r="T379" i="6" s="1"/>
  <c r="V379" i="5"/>
  <c r="X379" i="6" s="1"/>
  <c r="Z379" i="5"/>
  <c r="AB379" i="6" s="1"/>
  <c r="AF379" i="6"/>
  <c r="AD379" i="5"/>
  <c r="D380" i="5"/>
  <c r="F380" i="6" s="1"/>
  <c r="H380" i="5"/>
  <c r="J380" i="6" s="1"/>
  <c r="L380" i="5"/>
  <c r="N380" i="6" s="1"/>
  <c r="R380" i="6"/>
  <c r="P380" i="5"/>
  <c r="T380" i="5"/>
  <c r="V380" i="6" s="1"/>
  <c r="X380" i="5"/>
  <c r="Z380" i="6" s="1"/>
  <c r="AB380" i="5"/>
  <c r="AD380" i="6" s="1"/>
  <c r="AH380" i="6"/>
  <c r="AF380" i="5"/>
  <c r="F381" i="5"/>
  <c r="H381" i="6" s="1"/>
  <c r="J381" i="5"/>
  <c r="L381" i="6" s="1"/>
  <c r="N381" i="5"/>
  <c r="P381" i="6" s="1"/>
  <c r="T381" i="6"/>
  <c r="R381" i="5"/>
  <c r="V381" i="5"/>
  <c r="X381" i="6" s="1"/>
  <c r="Z381" i="5"/>
  <c r="AB381" i="6" s="1"/>
  <c r="AD381" i="5"/>
  <c r="AF381" i="6" s="1"/>
  <c r="F382" i="6"/>
  <c r="D382" i="5"/>
  <c r="H382" i="5"/>
  <c r="J382" i="6" s="1"/>
  <c r="L382" i="5"/>
  <c r="N382" i="6" s="1"/>
  <c r="P382" i="5"/>
  <c r="R382" i="6" s="1"/>
  <c r="V382" i="6"/>
  <c r="T382" i="5"/>
  <c r="X382" i="5"/>
  <c r="Z382" i="6" s="1"/>
  <c r="AB382" i="5"/>
  <c r="AD382" i="6" s="1"/>
  <c r="AF382" i="5"/>
  <c r="AH382" i="6" s="1"/>
  <c r="H383" i="6"/>
  <c r="F383" i="5"/>
  <c r="J383" i="5"/>
  <c r="L383" i="6" s="1"/>
  <c r="N383" i="5"/>
  <c r="P383" i="6" s="1"/>
  <c r="R383" i="5"/>
  <c r="T383" i="6" s="1"/>
  <c r="X383" i="6"/>
  <c r="V383" i="5"/>
  <c r="Z383" i="5"/>
  <c r="AB383" i="6" s="1"/>
  <c r="AD383" i="5"/>
  <c r="AF383" i="6" s="1"/>
  <c r="D384" i="5"/>
  <c r="F384" i="6" s="1"/>
  <c r="J384" i="6"/>
  <c r="H384" i="5"/>
  <c r="L384" i="5"/>
  <c r="N384" i="6" s="1"/>
  <c r="P384" i="5"/>
  <c r="R384" i="6" s="1"/>
  <c r="T384" i="5"/>
  <c r="V384" i="6" s="1"/>
  <c r="Z384" i="6"/>
  <c r="X384" i="5"/>
  <c r="AB384" i="5"/>
  <c r="AD384" i="6" s="1"/>
  <c r="AF384" i="5"/>
  <c r="AH384" i="6" s="1"/>
  <c r="F385" i="5"/>
  <c r="H385" i="6" s="1"/>
  <c r="L385" i="6"/>
  <c r="J385" i="5"/>
  <c r="N385" i="5"/>
  <c r="P385" i="6" s="1"/>
  <c r="R385" i="5"/>
  <c r="T385" i="6" s="1"/>
  <c r="V385" i="5"/>
  <c r="X385" i="6" s="1"/>
  <c r="AB385" i="6"/>
  <c r="Z385" i="5"/>
  <c r="AD385" i="5"/>
  <c r="AF385" i="6" s="1"/>
  <c r="D388" i="5"/>
  <c r="F388" i="6" s="1"/>
  <c r="H388" i="5"/>
  <c r="J388" i="6" s="1"/>
  <c r="N388" i="6"/>
  <c r="L388" i="5"/>
  <c r="P388" i="5"/>
  <c r="R388" i="6" s="1"/>
  <c r="T388" i="5"/>
  <c r="V388" i="6" s="1"/>
  <c r="X388" i="5"/>
  <c r="Z388" i="6" s="1"/>
  <c r="AD388" i="6"/>
  <c r="AB388" i="5"/>
  <c r="AF388" i="5"/>
  <c r="AH388" i="6" s="1"/>
  <c r="F389" i="5"/>
  <c r="H389" i="6" s="1"/>
  <c r="J389" i="5"/>
  <c r="L389" i="6" s="1"/>
  <c r="P389" i="6"/>
  <c r="N389" i="5"/>
  <c r="R389" i="5"/>
  <c r="T389" i="6" s="1"/>
  <c r="V389" i="5"/>
  <c r="X389" i="6" s="1"/>
  <c r="Z389" i="5"/>
  <c r="AB389" i="6" s="1"/>
  <c r="AF389" i="6"/>
  <c r="AD389" i="5"/>
  <c r="D390" i="5"/>
  <c r="F390" i="6" s="1"/>
  <c r="H390" i="5"/>
  <c r="J390" i="6" s="1"/>
  <c r="L390" i="5"/>
  <c r="N390" i="6" s="1"/>
  <c r="R390" i="6"/>
  <c r="P390" i="5"/>
  <c r="T390" i="5"/>
  <c r="V390" i="6" s="1"/>
  <c r="X390" i="5"/>
  <c r="Z390" i="6" s="1"/>
  <c r="AB390" i="5"/>
  <c r="AD390" i="6" s="1"/>
  <c r="AH390" i="6"/>
  <c r="AF390" i="5"/>
  <c r="F391" i="5"/>
  <c r="H391" i="6" s="1"/>
  <c r="J391" i="5"/>
  <c r="L391" i="6" s="1"/>
  <c r="N391" i="5"/>
  <c r="P391" i="6" s="1"/>
  <c r="T391" i="6"/>
  <c r="R391" i="5"/>
  <c r="V391" i="5"/>
  <c r="X391" i="6" s="1"/>
  <c r="Z391" i="5"/>
  <c r="AB391" i="6" s="1"/>
  <c r="AD391" i="5"/>
  <c r="AF391" i="6" s="1"/>
  <c r="F392" i="6"/>
  <c r="D392" i="5"/>
  <c r="H392" i="5"/>
  <c r="J392" i="6" s="1"/>
  <c r="L392" i="5"/>
  <c r="N392" i="6" s="1"/>
  <c r="P392" i="5"/>
  <c r="R392" i="6" s="1"/>
  <c r="V392" i="6"/>
  <c r="T392" i="5"/>
  <c r="X392" i="5"/>
  <c r="Z392" i="6" s="1"/>
  <c r="AB392" i="5"/>
  <c r="AD392" i="6" s="1"/>
  <c r="AF392" i="5"/>
  <c r="AH392" i="6" s="1"/>
  <c r="H393" i="6"/>
  <c r="F393" i="5"/>
  <c r="J393" i="5"/>
  <c r="L393" i="6" s="1"/>
  <c r="N393" i="5"/>
  <c r="P393" i="6" s="1"/>
  <c r="R393" i="5"/>
  <c r="T393" i="6" s="1"/>
  <c r="X393" i="6"/>
  <c r="V393" i="5"/>
  <c r="Z393" i="5"/>
  <c r="AB393" i="6" s="1"/>
  <c r="AD393" i="5"/>
  <c r="AF393" i="6" s="1"/>
  <c r="D394" i="5"/>
  <c r="F394" i="6" s="1"/>
  <c r="J394" i="6"/>
  <c r="H394" i="5"/>
  <c r="L394" i="5"/>
  <c r="N394" i="6" s="1"/>
  <c r="P394" i="5"/>
  <c r="R394" i="6" s="1"/>
  <c r="T394" i="5"/>
  <c r="V394" i="6" s="1"/>
  <c r="Z394" i="6"/>
  <c r="X394" i="5"/>
  <c r="AB394" i="5"/>
  <c r="AD394" i="6" s="1"/>
  <c r="AF394" i="5"/>
  <c r="AH394" i="6" s="1"/>
  <c r="F395" i="5"/>
  <c r="H395" i="6" s="1"/>
  <c r="L395" i="6"/>
  <c r="J395" i="5"/>
  <c r="N395" i="5"/>
  <c r="P395" i="6" s="1"/>
  <c r="R395" i="5"/>
  <c r="T395" i="6" s="1"/>
  <c r="V395" i="5"/>
  <c r="X395" i="6" s="1"/>
  <c r="AB395" i="6"/>
  <c r="Z395" i="5"/>
  <c r="AD395" i="5"/>
  <c r="AF395" i="6" s="1"/>
  <c r="D396" i="5"/>
  <c r="F396" i="6" s="1"/>
  <c r="H396" i="5"/>
  <c r="J396" i="6" s="1"/>
  <c r="N396" i="6"/>
  <c r="L396" i="5"/>
  <c r="P396" i="5"/>
  <c r="R396" i="6" s="1"/>
  <c r="T396" i="5"/>
  <c r="V396" i="6" s="1"/>
  <c r="X396" i="5"/>
  <c r="Z396" i="6" s="1"/>
  <c r="AD396" i="6"/>
  <c r="AB396" i="5"/>
  <c r="AF396" i="5"/>
  <c r="AH396" i="6" s="1"/>
  <c r="F397" i="5"/>
  <c r="H397" i="6" s="1"/>
  <c r="J397" i="5"/>
  <c r="L397" i="6" s="1"/>
  <c r="P397" i="6"/>
  <c r="N397" i="5"/>
  <c r="R397" i="5"/>
  <c r="T397" i="6" s="1"/>
  <c r="V397" i="5"/>
  <c r="X397" i="6" s="1"/>
  <c r="Z397" i="5"/>
  <c r="AB397" i="6" s="1"/>
  <c r="AF397" i="6"/>
  <c r="AD397" i="5"/>
  <c r="D398" i="5"/>
  <c r="F398" i="6" s="1"/>
  <c r="H398" i="5"/>
  <c r="J398" i="6" s="1"/>
  <c r="L398" i="5"/>
  <c r="N398" i="6" s="1"/>
  <c r="R398" i="6"/>
  <c r="P398" i="5"/>
  <c r="T398" i="5"/>
  <c r="V398" i="6" s="1"/>
  <c r="X398" i="5"/>
  <c r="Z398" i="6" s="1"/>
  <c r="AB398" i="5"/>
  <c r="AD398" i="6" s="1"/>
  <c r="AH398" i="6"/>
  <c r="AF398" i="5"/>
  <c r="F399" i="5"/>
  <c r="H399" i="6" s="1"/>
  <c r="J399" i="5"/>
  <c r="L399" i="6" s="1"/>
  <c r="N399" i="5"/>
  <c r="P399" i="6" s="1"/>
  <c r="T399" i="6"/>
  <c r="R399" i="5"/>
  <c r="V399" i="5"/>
  <c r="X399" i="6" s="1"/>
  <c r="Z399" i="5"/>
  <c r="AB399" i="6" s="1"/>
  <c r="AD399" i="5"/>
  <c r="AF399" i="6" s="1"/>
  <c r="F400" i="6"/>
  <c r="D400" i="5"/>
  <c r="H400" i="5"/>
  <c r="J400" i="6" s="1"/>
  <c r="L400" i="5"/>
  <c r="N400" i="6" s="1"/>
  <c r="P400" i="5"/>
  <c r="R400" i="6" s="1"/>
  <c r="V400" i="6"/>
  <c r="T400" i="5"/>
  <c r="X400" i="5"/>
  <c r="Z400" i="6" s="1"/>
  <c r="AB400" i="5"/>
  <c r="AD400" i="6" s="1"/>
  <c r="AF400" i="5"/>
  <c r="AH400" i="6" s="1"/>
  <c r="H401" i="6"/>
  <c r="F401" i="5"/>
  <c r="J401" i="5"/>
  <c r="L401" i="6" s="1"/>
  <c r="N401" i="5"/>
  <c r="P401" i="6" s="1"/>
  <c r="R401" i="5"/>
  <c r="T401" i="6" s="1"/>
  <c r="X401" i="6"/>
  <c r="V401" i="5"/>
  <c r="Z401" i="5"/>
  <c r="AB401" i="6" s="1"/>
  <c r="AD401" i="5"/>
  <c r="AF401" i="6" s="1"/>
  <c r="D402" i="5"/>
  <c r="F402" i="6" s="1"/>
  <c r="J402" i="6"/>
  <c r="H402" i="5"/>
  <c r="L402" i="5"/>
  <c r="N402" i="6" s="1"/>
  <c r="P402" i="5"/>
  <c r="R402" i="6" s="1"/>
  <c r="T402" i="5"/>
  <c r="V402" i="6" s="1"/>
  <c r="Z402" i="6"/>
  <c r="X402" i="5"/>
  <c r="AB402" i="5"/>
  <c r="AD402" i="6" s="1"/>
  <c r="AF402" i="5"/>
  <c r="AH402" i="6" s="1"/>
  <c r="F403" i="5"/>
  <c r="H403" i="6" s="1"/>
  <c r="L403" i="6"/>
  <c r="J403" i="5"/>
  <c r="N403" i="5"/>
  <c r="P403" i="6" s="1"/>
  <c r="R403" i="5"/>
  <c r="T403" i="6" s="1"/>
  <c r="V403" i="5"/>
  <c r="X403" i="6" s="1"/>
  <c r="AB403" i="6"/>
  <c r="Z403" i="5"/>
  <c r="AD403" i="5"/>
  <c r="AF403" i="6" s="1"/>
  <c r="D404" i="5"/>
  <c r="F404" i="6" s="1"/>
  <c r="H404" i="5"/>
  <c r="J404" i="6" s="1"/>
  <c r="N404" i="6"/>
  <c r="L404" i="5"/>
  <c r="P404" i="5"/>
  <c r="R404" i="6" s="1"/>
  <c r="T404" i="5"/>
  <c r="V404" i="6" s="1"/>
  <c r="X404" i="5"/>
  <c r="Z404" i="6" s="1"/>
  <c r="AD404" i="6"/>
  <c r="AB404" i="5"/>
  <c r="AF404" i="5"/>
  <c r="AH404" i="6" s="1"/>
  <c r="F405" i="5"/>
  <c r="H405" i="6" s="1"/>
  <c r="J405" i="5"/>
  <c r="L405" i="6" s="1"/>
  <c r="P405" i="6"/>
  <c r="N405" i="5"/>
  <c r="R405" i="5"/>
  <c r="T405" i="6" s="1"/>
  <c r="V405" i="5"/>
  <c r="X405" i="6" s="1"/>
  <c r="Z405" i="5"/>
  <c r="AB405" i="6" s="1"/>
  <c r="AF405" i="6"/>
  <c r="AD405" i="5"/>
  <c r="D406" i="5"/>
  <c r="F406" i="6" s="1"/>
  <c r="H406" i="5"/>
  <c r="J406" i="6" s="1"/>
  <c r="L406" i="5"/>
  <c r="N406" i="6" s="1"/>
  <c r="R406" i="6"/>
  <c r="P406" i="5"/>
  <c r="T406" i="5"/>
  <c r="V406" i="6" s="1"/>
  <c r="X406" i="5"/>
  <c r="Z406" i="6" s="1"/>
  <c r="AB406" i="5"/>
  <c r="AD406" i="6" s="1"/>
  <c r="AH406" i="6"/>
  <c r="AF406" i="5"/>
  <c r="F407" i="5"/>
  <c r="H407" i="6" s="1"/>
  <c r="J407" i="5"/>
  <c r="L407" i="6" s="1"/>
  <c r="N407" i="5"/>
  <c r="P407" i="6" s="1"/>
  <c r="T407" i="6"/>
  <c r="R407" i="5"/>
  <c r="V407" i="5"/>
  <c r="X407" i="6" s="1"/>
  <c r="Z407" i="5"/>
  <c r="AB407" i="6" s="1"/>
  <c r="AD407" i="5"/>
  <c r="AF407" i="6" s="1"/>
  <c r="F408" i="6"/>
  <c r="D408" i="5"/>
  <c r="H408" i="5"/>
  <c r="J408" i="6" s="1"/>
  <c r="L408" i="5"/>
  <c r="N408" i="6" s="1"/>
  <c r="P408" i="5"/>
  <c r="R408" i="6" s="1"/>
  <c r="V408" i="6"/>
  <c r="T408" i="5"/>
  <c r="X408" i="5"/>
  <c r="Z408" i="6" s="1"/>
  <c r="AB408" i="5"/>
  <c r="AD408" i="6" s="1"/>
  <c r="AF408" i="5"/>
  <c r="AH408" i="6" s="1"/>
  <c r="H409" i="6"/>
  <c r="F409" i="5"/>
  <c r="J409" i="5"/>
  <c r="L409" i="6" s="1"/>
  <c r="N409" i="5"/>
  <c r="P409" i="6" s="1"/>
  <c r="R409" i="5"/>
  <c r="T409" i="6" s="1"/>
  <c r="X409" i="6"/>
  <c r="V409" i="5"/>
  <c r="Z409" i="5"/>
  <c r="AB409" i="6" s="1"/>
  <c r="AD409" i="5"/>
  <c r="AF409" i="6" s="1"/>
  <c r="D410" i="5"/>
  <c r="F410" i="6" s="1"/>
  <c r="J410" i="6"/>
  <c r="H410" i="5"/>
  <c r="L410" i="5"/>
  <c r="N410" i="6" s="1"/>
  <c r="P410" i="5"/>
  <c r="R410" i="6" s="1"/>
  <c r="T410" i="5"/>
  <c r="V410" i="6" s="1"/>
  <c r="Z410" i="6"/>
  <c r="X410" i="5"/>
  <c r="AB410" i="5"/>
  <c r="AD410" i="6" s="1"/>
  <c r="AF410" i="5"/>
  <c r="AH410" i="6" s="1"/>
  <c r="F411" i="5"/>
  <c r="H411" i="6" s="1"/>
  <c r="L411" i="6"/>
  <c r="J411" i="5"/>
  <c r="N411" i="5"/>
  <c r="P411" i="6" s="1"/>
  <c r="R411" i="5"/>
  <c r="T411" i="6" s="1"/>
  <c r="V411" i="5"/>
  <c r="X411" i="6" s="1"/>
  <c r="AB411" i="6"/>
  <c r="Z411" i="5"/>
  <c r="AD411" i="5"/>
  <c r="AF411" i="6" s="1"/>
  <c r="D412" i="5"/>
  <c r="F412" i="6" s="1"/>
  <c r="H412" i="5"/>
  <c r="J412" i="6" s="1"/>
  <c r="N412" i="6"/>
  <c r="L412" i="5"/>
  <c r="P412" i="5"/>
  <c r="R412" i="6" s="1"/>
  <c r="T412" i="5"/>
  <c r="V412" i="6" s="1"/>
  <c r="X412" i="5"/>
  <c r="Z412" i="6" s="1"/>
  <c r="AD412" i="6"/>
  <c r="AB412" i="5"/>
  <c r="AF412" i="5"/>
  <c r="AH412" i="6" s="1"/>
  <c r="F413" i="5"/>
  <c r="H413" i="6" s="1"/>
  <c r="J413" i="5"/>
  <c r="L413" i="6" s="1"/>
  <c r="P413" i="6"/>
  <c r="N413" i="5"/>
  <c r="R413" i="5"/>
  <c r="T413" i="6" s="1"/>
  <c r="V413" i="5"/>
  <c r="X413" i="6" s="1"/>
  <c r="Z413" i="5"/>
  <c r="AB413" i="6" s="1"/>
  <c r="AF413" i="6"/>
  <c r="AD413" i="5"/>
  <c r="D414" i="5"/>
  <c r="F414" i="6" s="1"/>
  <c r="H414" i="5"/>
  <c r="J414" i="6" s="1"/>
  <c r="L414" i="5"/>
  <c r="N414" i="6" s="1"/>
  <c r="R414" i="6"/>
  <c r="P414" i="5"/>
  <c r="T414" i="5"/>
  <c r="V414" i="6" s="1"/>
  <c r="X414" i="5"/>
  <c r="Z414" i="6" s="1"/>
  <c r="AB414" i="5"/>
  <c r="AD414" i="6" s="1"/>
  <c r="AH414" i="6"/>
  <c r="AF414" i="5"/>
  <c r="F415" i="5"/>
  <c r="H415" i="6" s="1"/>
  <c r="J415" i="5"/>
  <c r="L415" i="6" s="1"/>
  <c r="N415" i="5"/>
  <c r="P415" i="6" s="1"/>
  <c r="T415" i="6"/>
  <c r="R415" i="5"/>
  <c r="V415" i="5"/>
  <c r="X415" i="6" s="1"/>
  <c r="Z415" i="5"/>
  <c r="AB415" i="6" s="1"/>
  <c r="AD415" i="5"/>
  <c r="AF415" i="6" s="1"/>
  <c r="F416" i="6"/>
  <c r="D416" i="5"/>
  <c r="H416" i="5"/>
  <c r="J416" i="6" s="1"/>
  <c r="L416" i="5"/>
  <c r="N416" i="6" s="1"/>
  <c r="P416" i="5"/>
  <c r="R416" i="6" s="1"/>
  <c r="V416" i="6"/>
  <c r="T416" i="5"/>
  <c r="X416" i="5"/>
  <c r="Z416" i="6" s="1"/>
  <c r="AB416" i="5"/>
  <c r="AD416" i="6" s="1"/>
  <c r="AF416" i="5"/>
  <c r="AH416" i="6" s="1"/>
  <c r="H417" i="6"/>
  <c r="F417" i="5"/>
  <c r="J417" i="5"/>
  <c r="L417" i="6" s="1"/>
  <c r="N417" i="5"/>
  <c r="P417" i="6" s="1"/>
  <c r="R417" i="5"/>
  <c r="T417" i="6" s="1"/>
  <c r="X417" i="6"/>
  <c r="V417" i="5"/>
  <c r="Z417" i="5"/>
  <c r="AB417" i="6" s="1"/>
  <c r="AD417" i="5"/>
  <c r="AF417" i="6" s="1"/>
  <c r="D418" i="5"/>
  <c r="F418" i="6" s="1"/>
  <c r="J418" i="6"/>
  <c r="H418" i="5"/>
  <c r="L418" i="5"/>
  <c r="N418" i="6" s="1"/>
  <c r="P418" i="5"/>
  <c r="R418" i="6" s="1"/>
  <c r="T418" i="5"/>
  <c r="V418" i="6" s="1"/>
  <c r="Z418" i="6"/>
  <c r="X418" i="5"/>
  <c r="AB418" i="5"/>
  <c r="AD418" i="6" s="1"/>
  <c r="AF418" i="5"/>
  <c r="AH418" i="6" s="1"/>
  <c r="F419" i="5"/>
  <c r="H419" i="6" s="1"/>
  <c r="L419" i="6"/>
  <c r="J419" i="5"/>
  <c r="N419" i="5"/>
  <c r="P419" i="6" s="1"/>
  <c r="R419" i="5"/>
  <c r="T419" i="6" s="1"/>
  <c r="V419" i="5"/>
  <c r="X419" i="6" s="1"/>
  <c r="AB419" i="6"/>
  <c r="Z419" i="5"/>
  <c r="AD419" i="5"/>
  <c r="AF419" i="6" s="1"/>
  <c r="D420" i="5"/>
  <c r="F420" i="6" s="1"/>
  <c r="H420" i="5"/>
  <c r="J420" i="6" s="1"/>
  <c r="N420" i="6"/>
  <c r="L420" i="5"/>
  <c r="P420" i="5"/>
  <c r="R420" i="6" s="1"/>
  <c r="T420" i="5"/>
  <c r="V420" i="6" s="1"/>
  <c r="X420" i="5"/>
  <c r="Z420" i="6" s="1"/>
  <c r="AD420" i="6"/>
  <c r="AB420" i="5"/>
  <c r="AF420" i="5"/>
  <c r="AH420" i="6" s="1"/>
  <c r="F421" i="5"/>
  <c r="H421" i="6" s="1"/>
  <c r="J421" i="5"/>
  <c r="L421" i="6" s="1"/>
  <c r="P421" i="6"/>
  <c r="N421" i="5"/>
  <c r="R421" i="5"/>
  <c r="T421" i="6" s="1"/>
  <c r="V421" i="5"/>
  <c r="X421" i="6" s="1"/>
  <c r="Z421" i="5"/>
  <c r="AB421" i="6" s="1"/>
  <c r="AF421" i="6"/>
  <c r="AD421" i="5"/>
  <c r="D422" i="5"/>
  <c r="F422" i="6" s="1"/>
  <c r="H422" i="5"/>
  <c r="J422" i="6" s="1"/>
  <c r="L422" i="5"/>
  <c r="N422" i="6" s="1"/>
  <c r="R422" i="6"/>
  <c r="P422" i="5"/>
  <c r="T422" i="5"/>
  <c r="V422" i="6" s="1"/>
  <c r="X422" i="5"/>
  <c r="Z422" i="6" s="1"/>
  <c r="AB422" i="5"/>
  <c r="AD422" i="6" s="1"/>
  <c r="AH422" i="6"/>
  <c r="AF422" i="5"/>
  <c r="F423" i="5"/>
  <c r="H423" i="6" s="1"/>
  <c r="J423" i="5"/>
  <c r="L423" i="6" s="1"/>
  <c r="N423" i="5"/>
  <c r="P423" i="6" s="1"/>
  <c r="T423" i="6"/>
  <c r="R423" i="5"/>
  <c r="V423" i="5"/>
  <c r="X423" i="6" s="1"/>
  <c r="Z423" i="5"/>
  <c r="AB423" i="6" s="1"/>
  <c r="AD423" i="5"/>
  <c r="AF423" i="6" s="1"/>
  <c r="F424" i="6"/>
  <c r="D424" i="5"/>
  <c r="H424" i="5"/>
  <c r="J424" i="6" s="1"/>
  <c r="L424" i="5"/>
  <c r="N424" i="6" s="1"/>
  <c r="P424" i="5"/>
  <c r="R424" i="6" s="1"/>
  <c r="V424" i="6"/>
  <c r="T424" i="5"/>
  <c r="X424" i="5"/>
  <c r="Z424" i="6" s="1"/>
  <c r="AB424" i="5"/>
  <c r="AD424" i="6" s="1"/>
  <c r="AF424" i="5"/>
  <c r="AH424" i="6" s="1"/>
  <c r="H425" i="6"/>
  <c r="F425" i="5"/>
  <c r="J425" i="5"/>
  <c r="L425" i="6" s="1"/>
  <c r="N425" i="5"/>
  <c r="P425" i="6" s="1"/>
  <c r="R425" i="5"/>
  <c r="T425" i="6" s="1"/>
  <c r="X425" i="6"/>
  <c r="V425" i="5"/>
  <c r="Z425" i="5"/>
  <c r="AB425" i="6" s="1"/>
  <c r="AD425" i="5"/>
  <c r="AF425" i="6" s="1"/>
  <c r="D426" i="5"/>
  <c r="F426" i="6" s="1"/>
  <c r="J426" i="6"/>
  <c r="H426" i="5"/>
  <c r="L426" i="5"/>
  <c r="N426" i="6" s="1"/>
  <c r="P426" i="5"/>
  <c r="R426" i="6" s="1"/>
  <c r="T426" i="5"/>
  <c r="V426" i="6" s="1"/>
  <c r="Z426" i="6"/>
  <c r="X426" i="5"/>
  <c r="AB426" i="5"/>
  <c r="AD426" i="6" s="1"/>
  <c r="AF426" i="5"/>
  <c r="AH426" i="6" s="1"/>
  <c r="F427" i="5"/>
  <c r="H427" i="6" s="1"/>
  <c r="L427" i="6"/>
  <c r="J427" i="5"/>
  <c r="N427" i="5"/>
  <c r="P427" i="6" s="1"/>
  <c r="R427" i="5"/>
  <c r="T427" i="6" s="1"/>
  <c r="V427" i="5"/>
  <c r="X427" i="6" s="1"/>
  <c r="AB427" i="6"/>
  <c r="Z427" i="5"/>
  <c r="AD427" i="5"/>
  <c r="AF427" i="6" s="1"/>
  <c r="D428" i="5"/>
  <c r="F428" i="6" s="1"/>
  <c r="H428" i="5"/>
  <c r="J428" i="6" s="1"/>
  <c r="N428" i="6"/>
  <c r="L428" i="5"/>
  <c r="P428" i="5"/>
  <c r="R428" i="6" s="1"/>
  <c r="T428" i="5"/>
  <c r="V428" i="6" s="1"/>
  <c r="X428" i="5"/>
  <c r="Z428" i="6" s="1"/>
  <c r="AD428" i="6"/>
  <c r="AB428" i="5"/>
  <c r="AF428" i="5"/>
  <c r="AH428" i="6" s="1"/>
  <c r="F429" i="5"/>
  <c r="H429" i="6" s="1"/>
  <c r="J429" i="5"/>
  <c r="L429" i="6" s="1"/>
  <c r="P429" i="6"/>
  <c r="N429" i="5"/>
  <c r="R429" i="5"/>
  <c r="T429" i="6" s="1"/>
  <c r="V429" i="5"/>
  <c r="X429" i="6" s="1"/>
  <c r="Z429" i="5"/>
  <c r="AB429" i="6" s="1"/>
  <c r="AF429" i="6"/>
  <c r="AD429" i="5"/>
  <c r="D430" i="5"/>
  <c r="F430" i="6" s="1"/>
  <c r="H430" i="5"/>
  <c r="J430" i="6" s="1"/>
  <c r="L430" i="5"/>
  <c r="N430" i="6" s="1"/>
  <c r="R430" i="6"/>
  <c r="P430" i="5"/>
  <c r="T430" i="5"/>
  <c r="V430" i="6" s="1"/>
  <c r="X430" i="5"/>
  <c r="Z430" i="6" s="1"/>
  <c r="AB430" i="5"/>
  <c r="AD430" i="6" s="1"/>
  <c r="AH430" i="6"/>
  <c r="AF430" i="5"/>
  <c r="F431" i="5"/>
  <c r="H431" i="6" s="1"/>
  <c r="J431" i="5"/>
  <c r="L431" i="6" s="1"/>
  <c r="N431" i="5"/>
  <c r="P431" i="6" s="1"/>
  <c r="T431" i="6"/>
  <c r="R431" i="5"/>
  <c r="V431" i="5"/>
  <c r="X431" i="6" s="1"/>
  <c r="Z431" i="5"/>
  <c r="AB431" i="6" s="1"/>
  <c r="AD431" i="5"/>
  <c r="AF431" i="6" s="1"/>
  <c r="F432" i="6"/>
  <c r="D432" i="5"/>
  <c r="H432" i="5"/>
  <c r="J432" i="6" s="1"/>
  <c r="L432" i="5"/>
  <c r="N432" i="6" s="1"/>
  <c r="P432" i="5"/>
  <c r="R432" i="6" s="1"/>
  <c r="V432" i="6"/>
  <c r="T432" i="5"/>
  <c r="X432" i="5"/>
  <c r="Z432" i="6" s="1"/>
  <c r="AB432" i="5"/>
  <c r="AD432" i="6" s="1"/>
  <c r="AF432" i="5"/>
  <c r="AH432" i="6" s="1"/>
  <c r="H433" i="6"/>
  <c r="F433" i="5"/>
  <c r="J433" i="5"/>
  <c r="L433" i="6" s="1"/>
  <c r="N433" i="5"/>
  <c r="P433" i="6" s="1"/>
  <c r="R433" i="5"/>
  <c r="T433" i="6" s="1"/>
  <c r="X433" i="6"/>
  <c r="V433" i="5"/>
  <c r="Z433" i="5"/>
  <c r="AB433" i="6" s="1"/>
  <c r="AD433" i="5"/>
  <c r="AF433" i="6" s="1"/>
  <c r="D434" i="5"/>
  <c r="F434" i="6" s="1"/>
  <c r="J434" i="6"/>
  <c r="H434" i="5"/>
  <c r="L434" i="5"/>
  <c r="N434" i="6" s="1"/>
  <c r="P434" i="5"/>
  <c r="R434" i="6" s="1"/>
  <c r="T434" i="5"/>
  <c r="V434" i="6" s="1"/>
  <c r="Z434" i="6"/>
  <c r="X434" i="5"/>
  <c r="AB434" i="5"/>
  <c r="AD434" i="6" s="1"/>
  <c r="AF434" i="5"/>
  <c r="AH434" i="6" s="1"/>
  <c r="F435" i="5"/>
  <c r="H435" i="6" s="1"/>
  <c r="L435" i="6"/>
  <c r="J435" i="5"/>
  <c r="N435" i="5"/>
  <c r="P435" i="6" s="1"/>
  <c r="R435" i="5"/>
  <c r="T435" i="6" s="1"/>
  <c r="V435" i="5"/>
  <c r="X435" i="6" s="1"/>
  <c r="AB435" i="6"/>
  <c r="Z435" i="5"/>
  <c r="AD435" i="5"/>
  <c r="AF435" i="6" s="1"/>
  <c r="D436" i="5"/>
  <c r="F436" i="6" s="1"/>
  <c r="H436" i="5"/>
  <c r="J436" i="6" s="1"/>
  <c r="N436" i="6"/>
  <c r="L436" i="5"/>
  <c r="P436" i="5"/>
  <c r="R436" i="6" s="1"/>
  <c r="T436" i="5"/>
  <c r="V436" i="6" s="1"/>
  <c r="X436" i="5"/>
  <c r="Z436" i="6" s="1"/>
  <c r="AD436" i="6"/>
  <c r="AB436" i="5"/>
  <c r="AF436" i="5"/>
  <c r="AH436" i="6" s="1"/>
  <c r="F437" i="5"/>
  <c r="H437" i="6" s="1"/>
  <c r="J437" i="5"/>
  <c r="L437" i="6" s="1"/>
  <c r="P437" i="6"/>
  <c r="N437" i="5"/>
  <c r="R437" i="5"/>
  <c r="T437" i="6" s="1"/>
  <c r="V437" i="5"/>
  <c r="X437" i="6" s="1"/>
  <c r="Z437" i="5"/>
  <c r="AB437" i="6" s="1"/>
  <c r="AF437" i="6"/>
  <c r="AD437" i="5"/>
  <c r="D438" i="5"/>
  <c r="F438" i="6" s="1"/>
  <c r="H438" i="5"/>
  <c r="J438" i="6" s="1"/>
  <c r="L438" i="5"/>
  <c r="N438" i="6" s="1"/>
  <c r="R438" i="6"/>
  <c r="P438" i="5"/>
  <c r="T438" i="5"/>
  <c r="V438" i="6" s="1"/>
  <c r="X438" i="5"/>
  <c r="Z438" i="6" s="1"/>
  <c r="AB438" i="5"/>
  <c r="AD438" i="6" s="1"/>
  <c r="AH438" i="6"/>
  <c r="AF438" i="5"/>
  <c r="F439" i="5"/>
  <c r="H439" i="6" s="1"/>
  <c r="J439" i="5"/>
  <c r="L439" i="6" s="1"/>
  <c r="N439" i="5"/>
  <c r="P439" i="6" s="1"/>
  <c r="T439" i="6"/>
  <c r="R439" i="5"/>
  <c r="V439" i="5"/>
  <c r="X439" i="6" s="1"/>
  <c r="Z439" i="5"/>
  <c r="AB439" i="6" s="1"/>
  <c r="AD439" i="5"/>
  <c r="AF439" i="6" s="1"/>
  <c r="F440" i="6"/>
  <c r="D440" i="5"/>
  <c r="H440" i="5"/>
  <c r="J440" i="6" s="1"/>
  <c r="L440" i="5"/>
  <c r="N440" i="6" s="1"/>
  <c r="P440" i="5"/>
  <c r="R440" i="6" s="1"/>
  <c r="V440" i="6"/>
  <c r="T440" i="5"/>
  <c r="X440" i="5"/>
  <c r="Z440" i="6" s="1"/>
  <c r="AB440" i="5"/>
  <c r="AD440" i="6" s="1"/>
  <c r="AF440" i="5"/>
  <c r="AH440" i="6" s="1"/>
  <c r="H441" i="6"/>
  <c r="F441" i="5"/>
  <c r="J441" i="5"/>
  <c r="L441" i="6" s="1"/>
  <c r="N441" i="5"/>
  <c r="P441" i="6" s="1"/>
  <c r="R441" i="5"/>
  <c r="T441" i="6" s="1"/>
  <c r="X441" i="6"/>
  <c r="V441" i="5"/>
  <c r="Z441" i="5"/>
  <c r="AB441" i="6" s="1"/>
  <c r="AD441" i="5"/>
  <c r="AF441" i="6" s="1"/>
  <c r="D442" i="5"/>
  <c r="F442" i="6" s="1"/>
  <c r="J442" i="6"/>
  <c r="H442" i="5"/>
  <c r="L442" i="5"/>
  <c r="N442" i="6" s="1"/>
  <c r="P442" i="5"/>
  <c r="R442" i="6" s="1"/>
  <c r="T442" i="5"/>
  <c r="V442" i="6" s="1"/>
  <c r="Z442" i="6"/>
  <c r="X442" i="5"/>
  <c r="AB442" i="5"/>
  <c r="AD442" i="6" s="1"/>
  <c r="AF442" i="5"/>
  <c r="AH442" i="6" s="1"/>
  <c r="F443" i="5"/>
  <c r="H443" i="6" s="1"/>
  <c r="L443" i="6"/>
  <c r="J443" i="5"/>
  <c r="N443" i="5"/>
  <c r="P443" i="6" s="1"/>
  <c r="R443" i="5"/>
  <c r="T443" i="6" s="1"/>
  <c r="V443" i="5"/>
  <c r="X443" i="6" s="1"/>
  <c r="AB443" i="6"/>
  <c r="Z443" i="5"/>
  <c r="AD443" i="5"/>
  <c r="AF443" i="6" s="1"/>
  <c r="D444" i="5"/>
  <c r="F444" i="6" s="1"/>
  <c r="H444" i="5"/>
  <c r="J444" i="6" s="1"/>
  <c r="N444" i="6"/>
  <c r="L444" i="5"/>
  <c r="P444" i="5"/>
  <c r="R444" i="6" s="1"/>
  <c r="T444" i="5"/>
  <c r="V444" i="6" s="1"/>
  <c r="X444" i="5"/>
  <c r="Z444" i="6" s="1"/>
  <c r="AD444" i="6"/>
  <c r="AB444" i="5"/>
  <c r="AF444" i="5"/>
  <c r="AH444" i="6" s="1"/>
  <c r="F445" i="5"/>
  <c r="H445" i="6" s="1"/>
  <c r="J445" i="5"/>
  <c r="L445" i="6" s="1"/>
  <c r="P445" i="6"/>
  <c r="N445" i="5"/>
  <c r="R445" i="5"/>
  <c r="T445" i="6" s="1"/>
  <c r="V445" i="5"/>
  <c r="X445" i="6" s="1"/>
  <c r="Z445" i="5"/>
  <c r="AB445" i="6" s="1"/>
  <c r="AF445" i="6"/>
  <c r="AD445" i="5"/>
  <c r="D446" i="5"/>
  <c r="F446" i="6" s="1"/>
  <c r="H446" i="5"/>
  <c r="J446" i="6" s="1"/>
  <c r="L446" i="5"/>
  <c r="N446" i="6" s="1"/>
  <c r="R446" i="6"/>
  <c r="P446" i="5"/>
  <c r="T446" i="5"/>
  <c r="V446" i="6" s="1"/>
  <c r="X446" i="5"/>
  <c r="Z446" i="6" s="1"/>
  <c r="AB446" i="5"/>
  <c r="AD446" i="6" s="1"/>
  <c r="AH446" i="6"/>
  <c r="AF446" i="5"/>
  <c r="F447" i="5"/>
  <c r="H447" i="6" s="1"/>
  <c r="J447" i="5"/>
  <c r="L447" i="6" s="1"/>
  <c r="N447" i="5"/>
  <c r="P447" i="6" s="1"/>
  <c r="T447" i="6"/>
  <c r="R447" i="5"/>
  <c r="V447" i="5"/>
  <c r="X447" i="6" s="1"/>
  <c r="Z447" i="5"/>
  <c r="AB447" i="6" s="1"/>
  <c r="D448" i="5"/>
  <c r="F448" i="6" s="1"/>
  <c r="J448" i="6"/>
  <c r="H448" i="5"/>
  <c r="L448" i="5"/>
  <c r="N448" i="6" s="1"/>
  <c r="P448" i="5"/>
  <c r="R448" i="6" s="1"/>
  <c r="T448" i="5"/>
  <c r="V448" i="6" s="1"/>
  <c r="Z448" i="6"/>
  <c r="X448" i="5"/>
  <c r="AB448" i="5"/>
  <c r="AD448" i="6" s="1"/>
  <c r="AF448" i="5"/>
  <c r="AH448" i="6" s="1"/>
  <c r="F449" i="5"/>
  <c r="H449" i="6" s="1"/>
  <c r="L449" i="6"/>
  <c r="J449" i="5"/>
  <c r="N449" i="5"/>
  <c r="P449" i="6" s="1"/>
  <c r="R449" i="5"/>
  <c r="T449" i="6" s="1"/>
  <c r="V449" i="5"/>
  <c r="X449" i="6" s="1"/>
  <c r="AB449" i="6"/>
  <c r="Z449" i="5"/>
  <c r="AD449" i="5"/>
  <c r="AF449" i="6" s="1"/>
  <c r="D450" i="5"/>
  <c r="F450" i="6" s="1"/>
  <c r="H450" i="5"/>
  <c r="J450" i="6" s="1"/>
  <c r="N450" i="6"/>
  <c r="L450" i="5"/>
  <c r="P450" i="5"/>
  <c r="R450" i="6" s="1"/>
  <c r="T450" i="5"/>
  <c r="V450" i="6" s="1"/>
  <c r="X450" i="5"/>
  <c r="Z450" i="6" s="1"/>
  <c r="AD450" i="6"/>
  <c r="AB450" i="5"/>
  <c r="AF450" i="5"/>
  <c r="AH450" i="6" s="1"/>
  <c r="F451" i="5"/>
  <c r="H451" i="6" s="1"/>
  <c r="J451" i="5"/>
  <c r="L451" i="6" s="1"/>
  <c r="P451" i="6"/>
  <c r="N451" i="5"/>
  <c r="R451" i="5"/>
  <c r="T451" i="6" s="1"/>
  <c r="V451" i="5"/>
  <c r="X451" i="6" s="1"/>
  <c r="Z451" i="5"/>
  <c r="AB451" i="6" s="1"/>
  <c r="AF451" i="6"/>
  <c r="AD451" i="5"/>
  <c r="D452" i="5"/>
  <c r="F452" i="6" s="1"/>
  <c r="H452" i="5"/>
  <c r="J452" i="6" s="1"/>
  <c r="L452" i="5"/>
  <c r="N452" i="6" s="1"/>
  <c r="R452" i="6"/>
  <c r="P452" i="5"/>
  <c r="T452" i="5"/>
  <c r="V452" i="6" s="1"/>
  <c r="X452" i="5"/>
  <c r="Z452" i="6" s="1"/>
  <c r="AB452" i="5"/>
  <c r="AD452" i="6" s="1"/>
  <c r="AH452" i="6"/>
  <c r="AF452" i="5"/>
  <c r="F453" i="5"/>
  <c r="H453" i="6" s="1"/>
  <c r="J453" i="5"/>
  <c r="L453" i="6" s="1"/>
  <c r="N453" i="5"/>
  <c r="P453" i="6" s="1"/>
  <c r="T453" i="6"/>
  <c r="R453" i="5"/>
  <c r="V453" i="5"/>
  <c r="X453" i="6" s="1"/>
  <c r="Z453" i="5"/>
  <c r="AB453" i="6" s="1"/>
  <c r="AD453" i="5"/>
  <c r="AF453" i="6" s="1"/>
  <c r="F454" i="6"/>
  <c r="D454" i="5"/>
  <c r="H454" i="5"/>
  <c r="J454" i="6" s="1"/>
  <c r="L454" i="5"/>
  <c r="N454" i="6" s="1"/>
  <c r="P454" i="5"/>
  <c r="R454" i="6" s="1"/>
  <c r="V454" i="6"/>
  <c r="T454" i="5"/>
  <c r="X454" i="5"/>
  <c r="Z454" i="6" s="1"/>
  <c r="AB454" i="5"/>
  <c r="AD454" i="6" s="1"/>
  <c r="AF454" i="5"/>
  <c r="AH454" i="6" s="1"/>
  <c r="H455" i="6"/>
  <c r="F455" i="5"/>
  <c r="J455" i="5"/>
  <c r="L455" i="6" s="1"/>
  <c r="N455" i="5"/>
  <c r="P455" i="6" s="1"/>
  <c r="R455" i="5"/>
  <c r="T455" i="6" s="1"/>
  <c r="X455" i="6"/>
  <c r="V455" i="5"/>
  <c r="Z455" i="5"/>
  <c r="AB455" i="6" s="1"/>
  <c r="AD455" i="5"/>
  <c r="AF455" i="6" s="1"/>
  <c r="D456" i="5"/>
  <c r="F456" i="6" s="1"/>
  <c r="J456" i="6"/>
  <c r="H456" i="5"/>
  <c r="L456" i="5"/>
  <c r="N456" i="6" s="1"/>
  <c r="T456" i="5"/>
  <c r="V456" i="6" s="1"/>
  <c r="X456" i="5"/>
  <c r="Z456" i="6" s="1"/>
  <c r="AD456" i="6"/>
  <c r="AB456" i="5"/>
  <c r="AF456" i="5"/>
  <c r="AH456" i="6" s="1"/>
  <c r="F457" i="5"/>
  <c r="H457" i="6" s="1"/>
  <c r="J457" i="5"/>
  <c r="L457" i="6" s="1"/>
  <c r="P457" i="6"/>
  <c r="N457" i="5"/>
  <c r="R457" i="5"/>
  <c r="T457" i="6" s="1"/>
  <c r="V457" i="5"/>
  <c r="X457" i="6" s="1"/>
  <c r="Z457" i="5"/>
  <c r="AB457" i="6" s="1"/>
  <c r="AF457" i="6"/>
  <c r="AD457" i="5"/>
  <c r="D458" i="5"/>
  <c r="F458" i="6" s="1"/>
  <c r="H458" i="5"/>
  <c r="J458" i="6" s="1"/>
  <c r="L458" i="5"/>
  <c r="N458" i="6" s="1"/>
  <c r="R458" i="6"/>
  <c r="P458" i="5"/>
  <c r="T458" i="5"/>
  <c r="V458" i="6" s="1"/>
  <c r="X458" i="5"/>
  <c r="Z458" i="6" s="1"/>
  <c r="AB458" i="5"/>
  <c r="AD458" i="6" s="1"/>
  <c r="AH458" i="6"/>
  <c r="AF458" i="5"/>
  <c r="F459" i="5"/>
  <c r="H459" i="6" s="1"/>
  <c r="J459" i="5"/>
  <c r="L459" i="6" s="1"/>
  <c r="N459" i="5"/>
  <c r="P459" i="6" s="1"/>
  <c r="T459" i="6"/>
  <c r="R459" i="5"/>
  <c r="V459" i="5"/>
  <c r="X459" i="6" s="1"/>
  <c r="Z459" i="5"/>
  <c r="AB459" i="6" s="1"/>
  <c r="AD459" i="5"/>
  <c r="AF459" i="6" s="1"/>
  <c r="F460" i="6"/>
  <c r="D460" i="5"/>
  <c r="H460" i="5"/>
  <c r="J460" i="6" s="1"/>
  <c r="L460" i="5"/>
  <c r="N460" i="6" s="1"/>
  <c r="P460" i="5"/>
  <c r="R460" i="6" s="1"/>
  <c r="V460" i="6"/>
  <c r="T460" i="5"/>
  <c r="X460" i="5"/>
  <c r="Z460" i="6" s="1"/>
  <c r="AB460" i="5"/>
  <c r="AD460" i="6" s="1"/>
  <c r="AF460" i="5"/>
  <c r="AH460" i="6" s="1"/>
  <c r="H461" i="6"/>
  <c r="F461" i="5"/>
  <c r="J461" i="5"/>
  <c r="L461" i="6" s="1"/>
  <c r="N461" i="5"/>
  <c r="P461" i="6" s="1"/>
  <c r="R461" i="5"/>
  <c r="T461" i="6" s="1"/>
  <c r="X461" i="6"/>
  <c r="V461" i="5"/>
  <c r="Z461" i="5"/>
  <c r="AB461" i="6" s="1"/>
  <c r="AD461" i="5"/>
  <c r="AF461" i="6" s="1"/>
  <c r="D462" i="5"/>
  <c r="F462" i="6" s="1"/>
  <c r="J462" i="6"/>
  <c r="H462" i="5"/>
  <c r="L462" i="5"/>
  <c r="N462" i="6" s="1"/>
  <c r="P462" i="5"/>
  <c r="R462" i="6" s="1"/>
  <c r="T462" i="5"/>
  <c r="V462" i="6" s="1"/>
  <c r="Z462" i="6"/>
  <c r="X462" i="5"/>
  <c r="AB462" i="5"/>
  <c r="AD462" i="6" s="1"/>
  <c r="AF462" i="5"/>
  <c r="AH462" i="6" s="1"/>
  <c r="F463" i="5"/>
  <c r="H463" i="6" s="1"/>
  <c r="L463" i="6"/>
  <c r="J463" i="5"/>
  <c r="N463" i="5"/>
  <c r="P463" i="6" s="1"/>
  <c r="R463" i="5"/>
  <c r="T463" i="6" s="1"/>
  <c r="V463" i="5"/>
  <c r="X463" i="6" s="1"/>
  <c r="AB463" i="6"/>
  <c r="Z463" i="5"/>
  <c r="AD463" i="5"/>
  <c r="AF463" i="6" s="1"/>
  <c r="D464" i="5"/>
  <c r="F464" i="6" s="1"/>
  <c r="H464" i="5"/>
  <c r="J464" i="6" s="1"/>
  <c r="N464" i="6"/>
  <c r="L464" i="5"/>
  <c r="P464" i="5"/>
  <c r="R464" i="6" s="1"/>
  <c r="T464" i="5"/>
  <c r="V464" i="6" s="1"/>
  <c r="X464" i="5"/>
  <c r="Z464" i="6" s="1"/>
  <c r="AD464" i="6"/>
  <c r="AB464" i="5"/>
  <c r="AF464" i="5"/>
  <c r="AH464" i="6" s="1"/>
  <c r="F465" i="5"/>
  <c r="H465" i="6" s="1"/>
  <c r="J465" i="5"/>
  <c r="L465" i="6" s="1"/>
  <c r="P465" i="6"/>
  <c r="N465" i="5"/>
  <c r="R465" i="5"/>
  <c r="T465" i="6" s="1"/>
  <c r="V465" i="5"/>
  <c r="X465" i="6" s="1"/>
  <c r="Z465" i="5"/>
  <c r="AB465" i="6" s="1"/>
  <c r="AF465" i="6"/>
  <c r="AD465" i="5"/>
  <c r="D466" i="5"/>
  <c r="F466" i="6" s="1"/>
  <c r="H466" i="5"/>
  <c r="J466" i="6" s="1"/>
  <c r="L466" i="5"/>
  <c r="N466" i="6" s="1"/>
  <c r="R466" i="6"/>
  <c r="P466" i="5"/>
  <c r="T466" i="5"/>
  <c r="V466" i="6" s="1"/>
  <c r="X466" i="5"/>
  <c r="Z466" i="6" s="1"/>
  <c r="AB466" i="5"/>
  <c r="AD466" i="6" s="1"/>
  <c r="AH466" i="6"/>
  <c r="AF466" i="5"/>
  <c r="F467" i="5"/>
  <c r="H467" i="6" s="1"/>
  <c r="J467" i="5"/>
  <c r="L467" i="6" s="1"/>
  <c r="N467" i="5"/>
  <c r="P467" i="6" s="1"/>
  <c r="T467" i="6"/>
  <c r="R467" i="5"/>
  <c r="V467" i="5"/>
  <c r="X467" i="6" s="1"/>
  <c r="Z467" i="5"/>
  <c r="AB467" i="6" s="1"/>
  <c r="AD467" i="5"/>
  <c r="AF467" i="6" s="1"/>
  <c r="F468" i="6"/>
  <c r="D468" i="5"/>
  <c r="H468" i="5"/>
  <c r="J468" i="6" s="1"/>
  <c r="L468" i="5"/>
  <c r="N468" i="6" s="1"/>
  <c r="P468" i="5"/>
  <c r="R468" i="6" s="1"/>
  <c r="V468" i="6"/>
  <c r="T468" i="5"/>
  <c r="X468" i="5"/>
  <c r="Z468" i="6" s="1"/>
  <c r="AB468" i="5"/>
  <c r="AD468" i="6" s="1"/>
  <c r="AF468" i="5"/>
  <c r="AH468" i="6" s="1"/>
  <c r="H469" i="6"/>
  <c r="F469" i="5"/>
  <c r="J469" i="5"/>
  <c r="L469" i="6" s="1"/>
  <c r="N469" i="5"/>
  <c r="P469" i="6" s="1"/>
  <c r="R469" i="5"/>
  <c r="T469" i="6" s="1"/>
  <c r="X469" i="6"/>
  <c r="V469" i="5"/>
  <c r="Z469" i="5"/>
  <c r="AB469" i="6" s="1"/>
  <c r="AD469" i="5"/>
  <c r="AF469" i="6" s="1"/>
  <c r="D470" i="5"/>
  <c r="F470" i="6" s="1"/>
  <c r="J470" i="6"/>
  <c r="H470" i="5"/>
  <c r="L470" i="5"/>
  <c r="N470" i="6" s="1"/>
  <c r="P470" i="5"/>
  <c r="R470" i="6" s="1"/>
  <c r="T470" i="5"/>
  <c r="V470" i="6" s="1"/>
  <c r="Z470" i="6"/>
  <c r="X470" i="5"/>
  <c r="AB470" i="5"/>
  <c r="AD470" i="6" s="1"/>
  <c r="AF470" i="5"/>
  <c r="AH470" i="6" s="1"/>
  <c r="F471" i="5"/>
  <c r="H471" i="6" s="1"/>
  <c r="L471" i="6"/>
  <c r="J471" i="5"/>
  <c r="N471" i="5"/>
  <c r="P471" i="6" s="1"/>
  <c r="R471" i="5"/>
  <c r="T471" i="6" s="1"/>
  <c r="V471" i="5"/>
  <c r="X471" i="6" s="1"/>
  <c r="AB471" i="6"/>
  <c r="Z471" i="5"/>
  <c r="AD471" i="5"/>
  <c r="AF471" i="6" s="1"/>
  <c r="D472" i="5"/>
  <c r="F472" i="6" s="1"/>
  <c r="H472" i="5"/>
  <c r="J472" i="6" s="1"/>
  <c r="N472" i="6"/>
  <c r="L472" i="5"/>
  <c r="P472" i="5"/>
  <c r="R472" i="6" s="1"/>
  <c r="T472" i="5"/>
  <c r="V472" i="6" s="1"/>
  <c r="X472" i="5"/>
  <c r="Z472" i="6" s="1"/>
  <c r="AD472" i="6"/>
  <c r="AB472" i="5"/>
  <c r="AF472" i="5"/>
  <c r="AH472" i="6" s="1"/>
  <c r="F473" i="5"/>
  <c r="H473" i="6" s="1"/>
  <c r="J473" i="5"/>
  <c r="L473" i="6" s="1"/>
  <c r="P473" i="6"/>
  <c r="N473" i="5"/>
  <c r="R473" i="5"/>
  <c r="T473" i="6" s="1"/>
  <c r="V473" i="5"/>
  <c r="X473" i="6" s="1"/>
  <c r="Z473" i="5"/>
  <c r="AB473" i="6" s="1"/>
  <c r="AF473" i="6"/>
  <c r="AD473" i="5"/>
  <c r="D474" i="5"/>
  <c r="F474" i="6" s="1"/>
  <c r="H474" i="5"/>
  <c r="J474" i="6" s="1"/>
  <c r="L474" i="5"/>
  <c r="N474" i="6" s="1"/>
  <c r="R474" i="6"/>
  <c r="P474" i="5"/>
  <c r="T474" i="5"/>
  <c r="V474" i="6" s="1"/>
  <c r="X474" i="5"/>
  <c r="Z474" i="6" s="1"/>
  <c r="AB474" i="5"/>
  <c r="AD474" i="6" s="1"/>
  <c r="AH474" i="6"/>
  <c r="AF474" i="5"/>
  <c r="F476" i="5"/>
  <c r="H476" i="6" s="1"/>
  <c r="J476" i="5"/>
  <c r="L476" i="6" s="1"/>
  <c r="N476" i="5"/>
  <c r="P476" i="6" s="1"/>
  <c r="T476" i="6"/>
  <c r="R476" i="5"/>
  <c r="V476" i="5"/>
  <c r="X476" i="6" s="1"/>
  <c r="Z476" i="5"/>
  <c r="AB476" i="6" s="1"/>
  <c r="AD476" i="5"/>
  <c r="AF476" i="6" s="1"/>
  <c r="F477" i="6"/>
  <c r="D477" i="5"/>
  <c r="H477" i="5"/>
  <c r="J477" i="6" s="1"/>
  <c r="L477" i="5"/>
  <c r="N477" i="6" s="1"/>
  <c r="P477" i="5"/>
  <c r="R477" i="6" s="1"/>
  <c r="V477" i="6"/>
  <c r="T477" i="5"/>
  <c r="X477" i="5"/>
  <c r="Z477" i="6" s="1"/>
  <c r="AB477" i="5"/>
  <c r="AD477" i="6" s="1"/>
  <c r="AF477" i="5"/>
  <c r="AH477" i="6" s="1"/>
  <c r="H478" i="6"/>
  <c r="F478" i="5"/>
  <c r="J478" i="5"/>
  <c r="L478" i="6" s="1"/>
  <c r="N478" i="5"/>
  <c r="P478" i="6" s="1"/>
  <c r="R478" i="5"/>
  <c r="T478" i="6" s="1"/>
  <c r="X478" i="6"/>
  <c r="V478" i="5"/>
  <c r="Z478" i="5"/>
  <c r="AB478" i="6" s="1"/>
  <c r="AD478" i="5"/>
  <c r="AF478" i="6" s="1"/>
  <c r="D479" i="5"/>
  <c r="F479" i="6" s="1"/>
  <c r="J479" i="6"/>
  <c r="H479" i="5"/>
  <c r="L479" i="5"/>
  <c r="N479" i="6" s="1"/>
  <c r="P479" i="5"/>
  <c r="R479" i="6" s="1"/>
  <c r="T479" i="5"/>
  <c r="V479" i="6" s="1"/>
  <c r="Z479" i="6"/>
  <c r="X479" i="5"/>
  <c r="AB479" i="5"/>
  <c r="AD479" i="6" s="1"/>
  <c r="AF479" i="5"/>
  <c r="AH479" i="6" s="1"/>
  <c r="F480" i="5"/>
  <c r="H480" i="6" s="1"/>
  <c r="L480" i="6"/>
  <c r="J480" i="5"/>
  <c r="N480" i="5"/>
  <c r="P480" i="6" s="1"/>
  <c r="R480" i="5"/>
  <c r="T480" i="6" s="1"/>
  <c r="V480" i="5"/>
  <c r="X480" i="6" s="1"/>
  <c r="AB480" i="6"/>
  <c r="Z480" i="5"/>
  <c r="AD480" i="5"/>
  <c r="AF480" i="6" s="1"/>
  <c r="D481" i="5"/>
  <c r="F481" i="6" s="1"/>
  <c r="H481" i="5"/>
  <c r="J481" i="6" s="1"/>
  <c r="N481" i="6"/>
  <c r="L481" i="5"/>
  <c r="P481" i="5"/>
  <c r="R481" i="6" s="1"/>
  <c r="T481" i="5"/>
  <c r="V481" i="6" s="1"/>
  <c r="X481" i="5"/>
  <c r="Z481" i="6" s="1"/>
  <c r="AD481" i="6"/>
  <c r="AB481" i="5"/>
  <c r="AF481" i="5"/>
  <c r="AH481" i="6" s="1"/>
  <c r="F482" i="5"/>
  <c r="H482" i="6" s="1"/>
  <c r="J482" i="5"/>
  <c r="L482" i="6" s="1"/>
  <c r="P482" i="6"/>
  <c r="N482" i="5"/>
  <c r="R482" i="5"/>
  <c r="T482" i="6" s="1"/>
  <c r="V482" i="5"/>
  <c r="X482" i="6" s="1"/>
  <c r="Z482" i="5"/>
  <c r="AB482" i="6" s="1"/>
  <c r="AF482" i="6"/>
  <c r="AD482" i="5"/>
  <c r="D483" i="5"/>
  <c r="F483" i="6" s="1"/>
  <c r="H483" i="5"/>
  <c r="J483" i="6" s="1"/>
  <c r="L483" i="5"/>
  <c r="N483" i="6" s="1"/>
  <c r="R483" i="6"/>
  <c r="P483" i="5"/>
  <c r="T483" i="5"/>
  <c r="V483" i="6" s="1"/>
  <c r="X483" i="5"/>
  <c r="Z483" i="6" s="1"/>
  <c r="AB483" i="5"/>
  <c r="AD483" i="6" s="1"/>
  <c r="AH483" i="6"/>
  <c r="AF483" i="5"/>
  <c r="F484" i="5"/>
  <c r="H484" i="6" s="1"/>
  <c r="J484" i="5"/>
  <c r="L484" i="6" s="1"/>
  <c r="N484" i="5"/>
  <c r="P484" i="6" s="1"/>
  <c r="T484" i="6"/>
  <c r="R484" i="5"/>
  <c r="V484" i="5"/>
  <c r="X484" i="6" s="1"/>
  <c r="Z484" i="5"/>
  <c r="AB484" i="6" s="1"/>
  <c r="AD484" i="5"/>
  <c r="AF484" i="6" s="1"/>
  <c r="F485" i="6"/>
  <c r="D485" i="5"/>
  <c r="H485" i="5"/>
  <c r="J485" i="6" s="1"/>
  <c r="L485" i="5"/>
  <c r="N485" i="6" s="1"/>
  <c r="P485" i="5"/>
  <c r="R485" i="6" s="1"/>
  <c r="V485" i="6"/>
  <c r="T485" i="5"/>
  <c r="X485" i="5"/>
  <c r="Z485" i="6" s="1"/>
  <c r="AB485" i="5"/>
  <c r="AD485" i="6" s="1"/>
  <c r="AF485" i="5"/>
  <c r="AH485" i="6" s="1"/>
  <c r="H486" i="6"/>
  <c r="F486" i="5"/>
  <c r="J486" i="5"/>
  <c r="L486" i="6" s="1"/>
  <c r="N486" i="5"/>
  <c r="P486" i="6" s="1"/>
  <c r="R486" i="5"/>
  <c r="T486" i="6" s="1"/>
  <c r="X486" i="6"/>
  <c r="V486" i="5"/>
  <c r="Z486" i="5"/>
  <c r="AB486" i="6" s="1"/>
  <c r="AD486" i="5"/>
  <c r="AF486" i="6" s="1"/>
  <c r="D487" i="5"/>
  <c r="F487" i="6" s="1"/>
  <c r="J487" i="6"/>
  <c r="H487" i="5"/>
  <c r="L487" i="5"/>
  <c r="N487" i="6" s="1"/>
  <c r="P487" i="5"/>
  <c r="R487" i="6" s="1"/>
  <c r="T487" i="5"/>
  <c r="V487" i="6" s="1"/>
  <c r="Z487" i="6"/>
  <c r="X487" i="5"/>
  <c r="AB487" i="5"/>
  <c r="AD487" i="6" s="1"/>
  <c r="AF487" i="5"/>
  <c r="AH487" i="6" s="1"/>
  <c r="F488" i="5"/>
  <c r="H488" i="6" s="1"/>
  <c r="L488" i="6"/>
  <c r="J488" i="5"/>
  <c r="N488" i="5"/>
  <c r="P488" i="6" s="1"/>
  <c r="R488" i="5"/>
  <c r="T488" i="6" s="1"/>
  <c r="V488" i="5"/>
  <c r="X488" i="6" s="1"/>
  <c r="AB488" i="6"/>
  <c r="Z488" i="5"/>
  <c r="AD488" i="5"/>
  <c r="AF488" i="6" s="1"/>
  <c r="D489" i="5"/>
  <c r="F489" i="6" s="1"/>
  <c r="H489" i="5"/>
  <c r="J489" i="6" s="1"/>
  <c r="N489" i="6"/>
  <c r="L489" i="5"/>
  <c r="P489" i="5"/>
  <c r="R489" i="6" s="1"/>
  <c r="T489" i="5"/>
  <c r="V489" i="6" s="1"/>
  <c r="X489" i="5"/>
  <c r="Z489" i="6" s="1"/>
  <c r="AD489" i="6"/>
  <c r="AB489" i="5"/>
  <c r="AF489" i="5"/>
  <c r="AH489" i="6" s="1"/>
  <c r="F490" i="5"/>
  <c r="H490" i="6" s="1"/>
  <c r="J490" i="5"/>
  <c r="L490" i="6" s="1"/>
  <c r="P490" i="6"/>
  <c r="N490" i="5"/>
  <c r="R490" i="5"/>
  <c r="T490" i="6" s="1"/>
  <c r="V490" i="5"/>
  <c r="X490" i="6" s="1"/>
  <c r="Z490" i="5"/>
  <c r="AB490" i="6" s="1"/>
  <c r="AF490" i="6"/>
  <c r="AD490" i="5"/>
  <c r="D491" i="5"/>
  <c r="F491" i="6" s="1"/>
  <c r="H491" i="5"/>
  <c r="J491" i="6" s="1"/>
  <c r="L491" i="5"/>
  <c r="N491" i="6" s="1"/>
  <c r="R491" i="6"/>
  <c r="P491" i="5"/>
  <c r="T491" i="5"/>
  <c r="V491" i="6" s="1"/>
  <c r="X491" i="5"/>
  <c r="Z491" i="6" s="1"/>
  <c r="AB491" i="5"/>
  <c r="AD491" i="6" s="1"/>
  <c r="AH491" i="6"/>
  <c r="AF491" i="5"/>
  <c r="F492" i="5"/>
  <c r="H492" i="6" s="1"/>
  <c r="J492" i="5"/>
  <c r="L492" i="6" s="1"/>
  <c r="N492" i="5"/>
  <c r="P492" i="6" s="1"/>
  <c r="T492" i="6"/>
  <c r="R492" i="5"/>
  <c r="V492" i="5"/>
  <c r="X492" i="6" s="1"/>
  <c r="Z492" i="5"/>
  <c r="AB492" i="6" s="1"/>
  <c r="AD492" i="5"/>
  <c r="AF492" i="6" s="1"/>
  <c r="F493" i="6"/>
  <c r="D493" i="5"/>
  <c r="H493" i="5"/>
  <c r="J493" i="6" s="1"/>
  <c r="L493" i="5"/>
  <c r="N493" i="6" s="1"/>
  <c r="P493" i="5"/>
  <c r="R493" i="6" s="1"/>
  <c r="V493" i="6"/>
  <c r="T493" i="5"/>
  <c r="X493" i="5"/>
  <c r="Z493" i="6" s="1"/>
  <c r="AB493" i="5"/>
  <c r="AD493" i="6" s="1"/>
  <c r="AF493" i="5"/>
  <c r="AH493" i="6" s="1"/>
  <c r="H494" i="6"/>
  <c r="F494" i="5"/>
  <c r="J494" i="5"/>
  <c r="L494" i="6" s="1"/>
  <c r="N494" i="5"/>
  <c r="P494" i="6" s="1"/>
  <c r="R494" i="5"/>
  <c r="T494" i="6" s="1"/>
  <c r="X494" i="6"/>
  <c r="V494" i="5"/>
  <c r="Z494" i="5"/>
  <c r="AB494" i="6" s="1"/>
  <c r="AD494" i="5"/>
  <c r="AF494" i="6" s="1"/>
  <c r="D495" i="5"/>
  <c r="F495" i="6" s="1"/>
  <c r="J495" i="6"/>
  <c r="H495" i="5"/>
  <c r="L495" i="5"/>
  <c r="N495" i="6" s="1"/>
  <c r="P495" i="5"/>
  <c r="R495" i="6" s="1"/>
  <c r="T495" i="5"/>
  <c r="V495" i="6" s="1"/>
  <c r="Z495" i="6"/>
  <c r="X495" i="5"/>
  <c r="AB495" i="5"/>
  <c r="AD495" i="6" s="1"/>
  <c r="AF495" i="5"/>
  <c r="AH495" i="6" s="1"/>
  <c r="F496" i="5"/>
  <c r="H496" i="6" s="1"/>
  <c r="L496" i="6"/>
  <c r="J496" i="5"/>
  <c r="N496" i="5"/>
  <c r="P496" i="6" s="1"/>
  <c r="R496" i="5"/>
  <c r="T496" i="6" s="1"/>
  <c r="V496" i="5"/>
  <c r="X496" i="6" s="1"/>
  <c r="AB496" i="6"/>
  <c r="Z496" i="5"/>
  <c r="AD496" i="5"/>
  <c r="AF496" i="6" s="1"/>
  <c r="D497" i="5"/>
  <c r="F497" i="6" s="1"/>
  <c r="H497" i="5"/>
  <c r="J497" i="6" s="1"/>
  <c r="N497" i="6"/>
  <c r="L497" i="5"/>
  <c r="P497" i="5"/>
  <c r="R497" i="6" s="1"/>
  <c r="T497" i="5"/>
  <c r="V497" i="6" s="1"/>
  <c r="X497" i="5"/>
  <c r="Z497" i="6" s="1"/>
  <c r="AD497" i="6"/>
  <c r="AB497" i="5"/>
  <c r="AF497" i="5"/>
  <c r="AH497" i="6" s="1"/>
  <c r="F498" i="5"/>
  <c r="H498" i="6" s="1"/>
  <c r="J498" i="5"/>
  <c r="L498" i="6" s="1"/>
  <c r="P498" i="6"/>
  <c r="N498" i="5"/>
  <c r="R498" i="5"/>
  <c r="T498" i="6" s="1"/>
  <c r="V498" i="5"/>
  <c r="X498" i="6" s="1"/>
  <c r="Z498" i="5"/>
  <c r="AB498" i="6" s="1"/>
  <c r="AF498" i="6"/>
  <c r="AD498" i="5"/>
  <c r="D499" i="5"/>
  <c r="F499" i="6" s="1"/>
  <c r="H499" i="5"/>
  <c r="J499" i="6" s="1"/>
  <c r="L499" i="5"/>
  <c r="N499" i="6" s="1"/>
  <c r="R499" i="6"/>
  <c r="P499" i="5"/>
  <c r="T499" i="5"/>
  <c r="V499" i="6" s="1"/>
  <c r="X499" i="5"/>
  <c r="Z499" i="6" s="1"/>
  <c r="AB499" i="5"/>
  <c r="AD499" i="6" s="1"/>
  <c r="AH499" i="6"/>
  <c r="AF499" i="5"/>
  <c r="F500" i="5"/>
  <c r="H500" i="6" s="1"/>
  <c r="J500" i="5"/>
  <c r="L500" i="6" s="1"/>
  <c r="N500" i="5"/>
  <c r="P500" i="6" s="1"/>
  <c r="T500" i="6"/>
  <c r="R500" i="5"/>
  <c r="V500" i="5"/>
  <c r="X500" i="6" s="1"/>
  <c r="Z500" i="5"/>
  <c r="AB500" i="6" s="1"/>
  <c r="AD500" i="5"/>
  <c r="AF500" i="6" s="1"/>
  <c r="F501" i="6"/>
  <c r="D501" i="5"/>
  <c r="H501" i="5"/>
  <c r="J501" i="6" s="1"/>
  <c r="L501" i="5"/>
  <c r="N501" i="6" s="1"/>
  <c r="P501" i="5"/>
  <c r="R501" i="6" s="1"/>
  <c r="V501" i="6"/>
  <c r="T501" i="5"/>
  <c r="X501" i="5"/>
  <c r="Z501" i="6" s="1"/>
  <c r="AB501" i="5"/>
  <c r="AD501" i="6" s="1"/>
  <c r="AF501" i="5"/>
  <c r="AH501" i="6" s="1"/>
  <c r="H502" i="6"/>
  <c r="F502" i="5"/>
  <c r="J502" i="5"/>
  <c r="L502" i="6" s="1"/>
  <c r="N502" i="5"/>
  <c r="P502" i="6" s="1"/>
  <c r="R502" i="5"/>
  <c r="T502" i="6" s="1"/>
  <c r="X502" i="6"/>
  <c r="V502" i="5"/>
  <c r="Z502" i="5"/>
  <c r="AB502" i="6" s="1"/>
  <c r="AD502" i="5"/>
  <c r="AF502" i="6" s="1"/>
  <c r="D503" i="5"/>
  <c r="F503" i="6" s="1"/>
  <c r="J503" i="6"/>
  <c r="H503" i="5"/>
  <c r="L503" i="5"/>
  <c r="N503" i="6" s="1"/>
  <c r="P503" i="5"/>
  <c r="R503" i="6" s="1"/>
  <c r="T503" i="5"/>
  <c r="V503" i="6" s="1"/>
  <c r="Z503" i="6"/>
  <c r="X503" i="5"/>
  <c r="AB503" i="5"/>
  <c r="AD503" i="6" s="1"/>
  <c r="AF503" i="5"/>
  <c r="AH503" i="6" s="1"/>
  <c r="F504" i="5"/>
  <c r="H504" i="6" s="1"/>
  <c r="L504" i="6"/>
  <c r="J504" i="5"/>
  <c r="N504" i="5"/>
  <c r="P504" i="6" s="1"/>
  <c r="R504" i="5"/>
  <c r="T504" i="6" s="1"/>
  <c r="V504" i="5"/>
  <c r="X504" i="6" s="1"/>
  <c r="AB504" i="6"/>
  <c r="Z504" i="5"/>
  <c r="AD504" i="5"/>
  <c r="AF504" i="6" s="1"/>
  <c r="D505" i="5"/>
  <c r="F505" i="6" s="1"/>
  <c r="H505" i="5"/>
  <c r="J505" i="6" s="1"/>
  <c r="N505" i="6"/>
  <c r="L505" i="5"/>
  <c r="P505" i="5"/>
  <c r="R505" i="6" s="1"/>
  <c r="T505" i="5"/>
  <c r="V505" i="6" s="1"/>
  <c r="X505" i="5"/>
  <c r="Z505" i="6" s="1"/>
  <c r="AD505" i="6"/>
  <c r="AB505" i="5"/>
  <c r="AF505" i="5"/>
  <c r="AH505" i="6" s="1"/>
  <c r="F506" i="5"/>
  <c r="H506" i="6" s="1"/>
  <c r="J506" i="5"/>
  <c r="L506" i="6" s="1"/>
  <c r="P506" i="6"/>
  <c r="N506" i="5"/>
  <c r="R506" i="5"/>
  <c r="T506" i="6" s="1"/>
  <c r="V506" i="5"/>
  <c r="X506" i="6" s="1"/>
  <c r="Z506" i="5"/>
  <c r="AB506" i="6" s="1"/>
  <c r="AF506" i="6"/>
  <c r="AD506" i="5"/>
  <c r="D507" i="5"/>
  <c r="F507" i="6" s="1"/>
  <c r="H507" i="5"/>
  <c r="J507" i="6" s="1"/>
  <c r="L507" i="5"/>
  <c r="N507" i="6" s="1"/>
  <c r="R507" i="6"/>
  <c r="P507" i="5"/>
  <c r="T507" i="5"/>
  <c r="V507" i="6" s="1"/>
  <c r="X507" i="5"/>
  <c r="Z507" i="6" s="1"/>
  <c r="AB507" i="5"/>
  <c r="AD507" i="6" s="1"/>
  <c r="AH507" i="6"/>
  <c r="AF507" i="5"/>
  <c r="F508" i="5"/>
  <c r="H508" i="6" s="1"/>
  <c r="J508" i="5"/>
  <c r="L508" i="6" s="1"/>
  <c r="N508" i="5"/>
  <c r="P508" i="6" s="1"/>
  <c r="T508" i="6"/>
  <c r="R508" i="5"/>
  <c r="V508" i="5"/>
  <c r="X508" i="6" s="1"/>
  <c r="Z508" i="5"/>
  <c r="AB508" i="6" s="1"/>
  <c r="AD508" i="5"/>
  <c r="AF508" i="6" s="1"/>
  <c r="F509" i="6"/>
  <c r="D509" i="5"/>
  <c r="H509" i="5"/>
  <c r="J509" i="6" s="1"/>
  <c r="L509" i="5"/>
  <c r="N509" i="6" s="1"/>
  <c r="P509" i="5"/>
  <c r="R509" i="6" s="1"/>
  <c r="V509" i="6"/>
  <c r="T509" i="5"/>
  <c r="X509" i="5"/>
  <c r="Z509" i="6" s="1"/>
  <c r="AB509" i="5"/>
  <c r="AD509" i="6" s="1"/>
  <c r="AF509" i="5"/>
  <c r="AH509" i="6" s="1"/>
  <c r="H510" i="6"/>
  <c r="F510" i="5"/>
  <c r="J510" i="5"/>
  <c r="L510" i="6" s="1"/>
  <c r="N510" i="5"/>
  <c r="P510" i="6" s="1"/>
  <c r="R510" i="5"/>
  <c r="T510" i="6" s="1"/>
  <c r="X510" i="6"/>
  <c r="V510" i="5"/>
  <c r="Z510" i="5"/>
  <c r="AB510" i="6" s="1"/>
  <c r="AD510" i="5"/>
  <c r="AF510" i="6" s="1"/>
  <c r="D511" i="5"/>
  <c r="F511" i="6" s="1"/>
  <c r="J511" i="6"/>
  <c r="H511" i="5"/>
  <c r="L511" i="5"/>
  <c r="N511" i="6" s="1"/>
  <c r="P511" i="5"/>
  <c r="R511" i="6" s="1"/>
  <c r="T511" i="5"/>
  <c r="V511" i="6" s="1"/>
  <c r="Z511" i="6"/>
  <c r="X511" i="5"/>
  <c r="AB511" i="5"/>
  <c r="AD511" i="6" s="1"/>
  <c r="AF511" i="5"/>
  <c r="AH511" i="6" s="1"/>
  <c r="F512" i="5"/>
  <c r="H512" i="6" s="1"/>
  <c r="L512" i="6"/>
  <c r="J512" i="5"/>
  <c r="N512" i="5"/>
  <c r="P512" i="6" s="1"/>
  <c r="R512" i="5"/>
  <c r="T512" i="6" s="1"/>
  <c r="V512" i="5"/>
  <c r="X512" i="6" s="1"/>
  <c r="AB512" i="6"/>
  <c r="Z512" i="5"/>
  <c r="AD512" i="5"/>
  <c r="AF512" i="6" s="1"/>
  <c r="D513" i="5"/>
  <c r="F513" i="6" s="1"/>
  <c r="H513" i="5"/>
  <c r="J513" i="6" s="1"/>
  <c r="N513" i="6"/>
  <c r="L513" i="5"/>
  <c r="P513" i="5"/>
  <c r="R513" i="6" s="1"/>
  <c r="T513" i="5"/>
  <c r="V513" i="6" s="1"/>
  <c r="X513" i="5"/>
  <c r="Z513" i="6" s="1"/>
  <c r="AD513" i="6"/>
  <c r="AB513" i="5"/>
  <c r="AF513" i="5"/>
  <c r="AH513" i="6" s="1"/>
  <c r="F514" i="5"/>
  <c r="H514" i="6" s="1"/>
  <c r="J514" i="5"/>
  <c r="L514" i="6" s="1"/>
  <c r="P514" i="6"/>
  <c r="N514" i="5"/>
  <c r="R514" i="5"/>
  <c r="T514" i="6" s="1"/>
  <c r="V514" i="5"/>
  <c r="X514" i="6" s="1"/>
  <c r="Z514" i="5"/>
  <c r="AB514" i="6" s="1"/>
  <c r="AF514" i="6"/>
  <c r="AD514" i="5"/>
  <c r="D515" i="5"/>
  <c r="F515" i="6" s="1"/>
  <c r="H515" i="5"/>
  <c r="J515" i="6" s="1"/>
  <c r="L515" i="5"/>
  <c r="N515" i="6" s="1"/>
  <c r="R515" i="6"/>
  <c r="P515" i="5"/>
  <c r="T515" i="5"/>
  <c r="V515" i="6" s="1"/>
  <c r="X515" i="5"/>
  <c r="Z515" i="6" s="1"/>
  <c r="AB515" i="5"/>
  <c r="AD515" i="6" s="1"/>
  <c r="AH515" i="6"/>
  <c r="AF515" i="5"/>
  <c r="F516" i="5"/>
  <c r="H516" i="6" s="1"/>
  <c r="J516" i="5"/>
  <c r="L516" i="6" s="1"/>
  <c r="N516" i="5"/>
  <c r="P516" i="6" s="1"/>
  <c r="T516" i="6"/>
  <c r="R516" i="5"/>
  <c r="V516" i="5"/>
  <c r="X516" i="6" s="1"/>
  <c r="Z516" i="5"/>
  <c r="AB516" i="6" s="1"/>
  <c r="AD516" i="5"/>
  <c r="AF516" i="6" s="1"/>
  <c r="F517" i="6"/>
  <c r="D517" i="5"/>
  <c r="H517" i="5"/>
  <c r="J517" i="6" s="1"/>
  <c r="L517" i="5"/>
  <c r="N517" i="6" s="1"/>
  <c r="P517" i="5"/>
  <c r="R517" i="6" s="1"/>
  <c r="V517" i="6"/>
  <c r="T517" i="5"/>
  <c r="X517" i="5"/>
  <c r="Z517" i="6" s="1"/>
  <c r="AB517" i="5"/>
  <c r="AD517" i="6" s="1"/>
  <c r="AF517" i="5"/>
  <c r="AH517" i="6" s="1"/>
  <c r="H518" i="6"/>
  <c r="F518" i="5"/>
  <c r="J518" i="5"/>
  <c r="L518" i="6" s="1"/>
  <c r="N518" i="5"/>
  <c r="P518" i="6" s="1"/>
  <c r="R518" i="5"/>
  <c r="T518" i="6" s="1"/>
  <c r="X518" i="6"/>
  <c r="V518" i="5"/>
  <c r="Z518" i="5"/>
  <c r="AB518" i="6" s="1"/>
  <c r="AD518" i="5"/>
  <c r="AF518" i="6" s="1"/>
  <c r="D519" i="5"/>
  <c r="F519" i="6" s="1"/>
  <c r="J519" i="6"/>
  <c r="H519" i="5"/>
  <c r="L519" i="5"/>
  <c r="N519" i="6" s="1"/>
  <c r="P519" i="5"/>
  <c r="R519" i="6" s="1"/>
  <c r="T519" i="5"/>
  <c r="V519" i="6" s="1"/>
  <c r="Z519" i="6"/>
  <c r="X519" i="5"/>
  <c r="AB519" i="5"/>
  <c r="AD519" i="6" s="1"/>
  <c r="AF519" i="5"/>
  <c r="AH519" i="6" s="1"/>
  <c r="F520" i="5"/>
  <c r="H520" i="6" s="1"/>
  <c r="L520" i="6"/>
  <c r="J520" i="5"/>
  <c r="N520" i="5"/>
  <c r="P520" i="6" s="1"/>
  <c r="R520" i="5"/>
  <c r="T520" i="6" s="1"/>
  <c r="V520" i="5"/>
  <c r="X520" i="6" s="1"/>
  <c r="AF520" i="6"/>
  <c r="AD520" i="5"/>
  <c r="D521" i="5"/>
  <c r="F521" i="6" s="1"/>
  <c r="H521" i="5"/>
  <c r="J521" i="6" s="1"/>
  <c r="L521" i="5"/>
  <c r="N521" i="6" s="1"/>
  <c r="R521" i="6"/>
  <c r="P521" i="5"/>
  <c r="T521" i="5"/>
  <c r="V521" i="6" s="1"/>
  <c r="X521" i="5"/>
  <c r="Z521" i="6" s="1"/>
  <c r="AB521" i="5"/>
  <c r="AD521" i="6" s="1"/>
  <c r="AH521" i="6"/>
  <c r="AF521" i="5"/>
  <c r="F522" i="5"/>
  <c r="H522" i="6" s="1"/>
  <c r="J522" i="5"/>
  <c r="L522" i="6" s="1"/>
  <c r="N522" i="5"/>
  <c r="P522" i="6" s="1"/>
  <c r="T522" i="6"/>
  <c r="R522" i="5"/>
  <c r="V522" i="5"/>
  <c r="X522" i="6" s="1"/>
  <c r="Z522" i="5"/>
  <c r="AB522" i="6" s="1"/>
  <c r="D523" i="5"/>
  <c r="F523" i="6" s="1"/>
  <c r="J523" i="6"/>
  <c r="H523" i="5"/>
  <c r="L523" i="5"/>
  <c r="N523" i="6" s="1"/>
  <c r="P523" i="5"/>
  <c r="R523" i="6" s="1"/>
  <c r="T523" i="5"/>
  <c r="V523" i="6" s="1"/>
  <c r="Z523" i="6"/>
  <c r="X523" i="5"/>
  <c r="AB523" i="5"/>
  <c r="AD523" i="6" s="1"/>
  <c r="AF523" i="5"/>
  <c r="AH523" i="6" s="1"/>
  <c r="F524" i="5"/>
  <c r="H524" i="6" s="1"/>
  <c r="L524" i="6"/>
  <c r="J524" i="5"/>
  <c r="N524" i="5"/>
  <c r="P524" i="6" s="1"/>
  <c r="R524" i="5"/>
  <c r="T524" i="6" s="1"/>
  <c r="V524" i="5"/>
  <c r="X524" i="6" s="1"/>
  <c r="AB524" i="6"/>
  <c r="Z524" i="5"/>
  <c r="AD524" i="5"/>
  <c r="AF524" i="6" s="1"/>
  <c r="D525" i="5"/>
  <c r="F525" i="6" s="1"/>
  <c r="H525" i="5"/>
  <c r="J525" i="6" s="1"/>
  <c r="N525" i="6"/>
  <c r="L525" i="5"/>
  <c r="P525" i="5"/>
  <c r="R525" i="6" s="1"/>
  <c r="T525" i="5"/>
  <c r="V525" i="6" s="1"/>
  <c r="X525" i="5"/>
  <c r="Z525" i="6" s="1"/>
  <c r="AD525" i="6"/>
  <c r="AB525" i="5"/>
  <c r="AF525" i="5"/>
  <c r="AH525" i="6" s="1"/>
  <c r="F526" i="5"/>
  <c r="H526" i="6" s="1"/>
  <c r="J526" i="5"/>
  <c r="L526" i="6" s="1"/>
  <c r="P526" i="6"/>
  <c r="N526" i="5"/>
  <c r="R526" i="5"/>
  <c r="T526" i="6" s="1"/>
  <c r="V526" i="5"/>
  <c r="X526" i="6" s="1"/>
  <c r="Z526" i="5"/>
  <c r="AB526" i="6" s="1"/>
  <c r="AF526" i="6"/>
  <c r="AD526" i="5"/>
  <c r="D527" i="5"/>
  <c r="F527" i="6" s="1"/>
  <c r="H527" i="5"/>
  <c r="J527" i="6" s="1"/>
  <c r="L527" i="5"/>
  <c r="N527" i="6" s="1"/>
  <c r="R527" i="6"/>
  <c r="P527" i="5"/>
  <c r="T527" i="5"/>
  <c r="V527" i="6" s="1"/>
  <c r="X527" i="5"/>
  <c r="Z527" i="6" s="1"/>
  <c r="AB527" i="5"/>
  <c r="AD527" i="6" s="1"/>
  <c r="AH527" i="6"/>
  <c r="AF527" i="5"/>
  <c r="F528" i="5"/>
  <c r="H528" i="6" s="1"/>
  <c r="J528" i="5"/>
  <c r="L528" i="6" s="1"/>
  <c r="N528" i="5"/>
  <c r="P528" i="6" s="1"/>
  <c r="T528" i="6"/>
  <c r="R528" i="5"/>
  <c r="V528" i="5"/>
  <c r="X528" i="6" s="1"/>
  <c r="Z528" i="5"/>
  <c r="AB528" i="6" s="1"/>
  <c r="AD528" i="5"/>
  <c r="AF528" i="6" s="1"/>
  <c r="F529" i="6"/>
  <c r="D529" i="5"/>
  <c r="H529" i="5"/>
  <c r="J529" i="6" s="1"/>
  <c r="L529" i="5"/>
  <c r="N529" i="6" s="1"/>
  <c r="P529" i="5"/>
  <c r="R529" i="6" s="1"/>
  <c r="V529" i="6"/>
  <c r="T529" i="5"/>
  <c r="X529" i="5"/>
  <c r="Z529" i="6" s="1"/>
  <c r="AB529" i="5"/>
  <c r="AD529" i="6" s="1"/>
  <c r="AF529" i="5"/>
  <c r="AH529" i="6" s="1"/>
  <c r="H530" i="6"/>
  <c r="F530" i="5"/>
  <c r="J530" i="5"/>
  <c r="L530" i="6" s="1"/>
  <c r="N530" i="5"/>
  <c r="P530" i="6" s="1"/>
  <c r="R530" i="5"/>
  <c r="T530" i="6" s="1"/>
  <c r="X530" i="6"/>
  <c r="V530" i="5"/>
  <c r="Z530" i="5"/>
  <c r="AB530" i="6" s="1"/>
  <c r="AD530" i="5"/>
  <c r="AF530" i="6" s="1"/>
  <c r="D531" i="5"/>
  <c r="F531" i="6" s="1"/>
  <c r="J531" i="6"/>
  <c r="H531" i="5"/>
  <c r="L531" i="5"/>
  <c r="N531" i="6" s="1"/>
  <c r="P531" i="5"/>
  <c r="R531" i="6" s="1"/>
  <c r="T531" i="5"/>
  <c r="V531" i="6" s="1"/>
  <c r="Z531" i="6"/>
  <c r="X531" i="5"/>
  <c r="AB531" i="5"/>
  <c r="AD531" i="6" s="1"/>
  <c r="AF531" i="5"/>
  <c r="AH531" i="6" s="1"/>
  <c r="F532" i="5"/>
  <c r="H532" i="6" s="1"/>
  <c r="L532" i="6"/>
  <c r="J532" i="5"/>
  <c r="N532" i="5"/>
  <c r="P532" i="6" s="1"/>
  <c r="R532" i="5"/>
  <c r="T532" i="6" s="1"/>
  <c r="V532" i="5"/>
  <c r="X532" i="6" s="1"/>
  <c r="AB532" i="6"/>
  <c r="Z532" i="5"/>
  <c r="AD532" i="5"/>
  <c r="AF532" i="6" s="1"/>
  <c r="D533" i="5"/>
  <c r="F533" i="6" s="1"/>
  <c r="H533" i="5"/>
  <c r="J533" i="6" s="1"/>
  <c r="N533" i="6"/>
  <c r="L533" i="5"/>
  <c r="P533" i="5"/>
  <c r="R533" i="6" s="1"/>
  <c r="T533" i="5"/>
  <c r="V533" i="6" s="1"/>
  <c r="X533" i="5"/>
  <c r="Z533" i="6" s="1"/>
  <c r="AD533" i="6"/>
  <c r="AB533" i="5"/>
  <c r="AF533" i="5"/>
  <c r="AH533" i="6" s="1"/>
  <c r="F534" i="5"/>
  <c r="H534" i="6" s="1"/>
  <c r="J534" i="5"/>
  <c r="L534" i="6" s="1"/>
  <c r="P534" i="6"/>
  <c r="N534" i="5"/>
  <c r="R534" i="5"/>
  <c r="T534" i="6" s="1"/>
  <c r="V534" i="5"/>
  <c r="X534" i="6" s="1"/>
  <c r="Z534" i="5"/>
  <c r="AB534" i="6" s="1"/>
  <c r="AF534" i="6"/>
  <c r="AD534" i="5"/>
  <c r="D535" i="5"/>
  <c r="F535" i="6" s="1"/>
  <c r="H535" i="5"/>
  <c r="J535" i="6" s="1"/>
  <c r="L535" i="5"/>
  <c r="N535" i="6" s="1"/>
  <c r="R535" i="6"/>
  <c r="P535" i="5"/>
  <c r="T535" i="5"/>
  <c r="V535" i="6" s="1"/>
  <c r="X535" i="5"/>
  <c r="Z535" i="6" s="1"/>
  <c r="AB535" i="5"/>
  <c r="AD535" i="6" s="1"/>
  <c r="AH535" i="6"/>
  <c r="AF535" i="5"/>
  <c r="F536" i="5"/>
  <c r="H536" i="6" s="1"/>
  <c r="J536" i="5"/>
  <c r="L536" i="6" s="1"/>
  <c r="N536" i="5"/>
  <c r="P536" i="6" s="1"/>
  <c r="T536" i="6"/>
  <c r="R536" i="5"/>
  <c r="V536" i="5"/>
  <c r="X536" i="6" s="1"/>
  <c r="Z536" i="5"/>
  <c r="AB536" i="6" s="1"/>
  <c r="AD536" i="5"/>
  <c r="AF536" i="6" s="1"/>
  <c r="F537" i="6"/>
  <c r="D537" i="5"/>
  <c r="H537" i="5"/>
  <c r="J537" i="6" s="1"/>
  <c r="L537" i="5"/>
  <c r="N537" i="6" s="1"/>
  <c r="P537" i="5"/>
  <c r="R537" i="6" s="1"/>
  <c r="V537" i="6"/>
  <c r="T537" i="5"/>
  <c r="X537" i="5"/>
  <c r="Z537" i="6" s="1"/>
  <c r="AB537" i="5"/>
  <c r="AD537" i="6" s="1"/>
  <c r="AF537" i="5"/>
  <c r="AH537" i="6" s="1"/>
  <c r="H538" i="6"/>
  <c r="F538" i="5"/>
  <c r="J538" i="5"/>
  <c r="L538" i="6" s="1"/>
  <c r="N538" i="5"/>
  <c r="P538" i="6" s="1"/>
  <c r="R538" i="5"/>
  <c r="T538" i="6" s="1"/>
  <c r="X538" i="6"/>
  <c r="V538" i="5"/>
  <c r="Z538" i="5"/>
  <c r="AB538" i="6" s="1"/>
  <c r="AD538" i="5"/>
  <c r="AF538" i="6" s="1"/>
  <c r="D539" i="5"/>
  <c r="F539" i="6" s="1"/>
  <c r="J539" i="6"/>
  <c r="H539" i="5"/>
  <c r="L539" i="5"/>
  <c r="N539" i="6" s="1"/>
  <c r="P539" i="5"/>
  <c r="R539" i="6" s="1"/>
  <c r="T539" i="5"/>
  <c r="V539" i="6" s="1"/>
  <c r="Z539" i="6"/>
  <c r="X539" i="5"/>
  <c r="AB539" i="5"/>
  <c r="AD539" i="6" s="1"/>
  <c r="AF539" i="5"/>
  <c r="AH539" i="6" s="1"/>
  <c r="F540" i="5"/>
  <c r="H540" i="6" s="1"/>
  <c r="L540" i="6"/>
  <c r="J540" i="5"/>
  <c r="N540" i="5"/>
  <c r="P540" i="6" s="1"/>
  <c r="R540" i="5"/>
  <c r="T540" i="6" s="1"/>
  <c r="V540" i="5"/>
  <c r="X540" i="6" s="1"/>
  <c r="AB540" i="6"/>
  <c r="Z540" i="5"/>
  <c r="AD540" i="5"/>
  <c r="AF540" i="6" s="1"/>
  <c r="D541" i="5"/>
  <c r="F541" i="6" s="1"/>
  <c r="H541" i="5"/>
  <c r="J541" i="6" s="1"/>
  <c r="N541" i="6"/>
  <c r="L541" i="5"/>
  <c r="P541" i="5"/>
  <c r="R541" i="6" s="1"/>
  <c r="T541" i="5"/>
  <c r="V541" i="6" s="1"/>
  <c r="X541" i="5"/>
  <c r="Z541" i="6" s="1"/>
  <c r="AD541" i="6"/>
  <c r="AB541" i="5"/>
  <c r="AF541" i="5"/>
  <c r="AH541" i="6" s="1"/>
  <c r="F542" i="5"/>
  <c r="H542" i="6" s="1"/>
  <c r="J542" i="5"/>
  <c r="L542" i="6" s="1"/>
  <c r="P542" i="6"/>
  <c r="N542" i="5"/>
  <c r="R542" i="5"/>
  <c r="T542" i="6" s="1"/>
  <c r="V542" i="5"/>
  <c r="X542" i="6" s="1"/>
  <c r="Z542" i="5"/>
  <c r="AB542" i="6" s="1"/>
  <c r="AF542" i="6"/>
  <c r="AD542" i="5"/>
  <c r="D543" i="5"/>
  <c r="F543" i="6" s="1"/>
  <c r="H543" i="5"/>
  <c r="J543" i="6" s="1"/>
  <c r="L543" i="5"/>
  <c r="N543" i="6" s="1"/>
  <c r="R543" i="6"/>
  <c r="P543" i="5"/>
  <c r="T543" i="5"/>
  <c r="V543" i="6" s="1"/>
  <c r="X543" i="5"/>
  <c r="Z543" i="6" s="1"/>
  <c r="AB543" i="5"/>
  <c r="AD543" i="6" s="1"/>
  <c r="AH543" i="6"/>
  <c r="AF543" i="5"/>
  <c r="F544" i="5"/>
  <c r="H544" i="6" s="1"/>
  <c r="J544" i="5"/>
  <c r="L544" i="6" s="1"/>
  <c r="N544" i="5"/>
  <c r="P544" i="6" s="1"/>
  <c r="T544" i="6"/>
  <c r="R544" i="5"/>
  <c r="V544" i="5"/>
  <c r="X544" i="6" s="1"/>
  <c r="Z544" i="5"/>
  <c r="AB544" i="6" s="1"/>
  <c r="AD544" i="5"/>
  <c r="AF544" i="6" s="1"/>
  <c r="F545" i="6"/>
  <c r="D545" i="5"/>
  <c r="H545" i="5"/>
  <c r="J545" i="6" s="1"/>
  <c r="L545" i="5"/>
  <c r="N545" i="6" s="1"/>
  <c r="P545" i="5"/>
  <c r="R545" i="6" s="1"/>
  <c r="V545" i="6"/>
  <c r="T545" i="5"/>
  <c r="X545" i="5"/>
  <c r="Z545" i="6" s="1"/>
  <c r="AB545" i="5"/>
  <c r="AD545" i="6" s="1"/>
  <c r="AF545" i="5"/>
  <c r="AH545" i="6" s="1"/>
  <c r="L548" i="6"/>
  <c r="J548" i="5"/>
  <c r="P548" i="5"/>
  <c r="R548" i="6" s="1"/>
  <c r="T548" i="5"/>
  <c r="V548" i="6" s="1"/>
  <c r="X548" i="5"/>
  <c r="Z548" i="6" s="1"/>
  <c r="AD548" i="6"/>
  <c r="AB548" i="5"/>
  <c r="AF548" i="5"/>
  <c r="AH548" i="6" s="1"/>
  <c r="F549" i="5"/>
  <c r="H549" i="6" s="1"/>
  <c r="J549" i="5"/>
  <c r="L549" i="6" s="1"/>
  <c r="P549" i="6"/>
  <c r="N549" i="5"/>
  <c r="R549" i="5"/>
  <c r="T549" i="6" s="1"/>
  <c r="V549" i="5"/>
  <c r="X549" i="6" s="1"/>
  <c r="Z549" i="5"/>
  <c r="AB549" i="6" s="1"/>
  <c r="AF549" i="6"/>
  <c r="AD549" i="5"/>
  <c r="D550" i="5"/>
  <c r="F550" i="6" s="1"/>
  <c r="H550" i="5"/>
  <c r="J550" i="6" s="1"/>
  <c r="L550" i="5"/>
  <c r="N550" i="6" s="1"/>
  <c r="R550" i="6"/>
  <c r="P550" i="5"/>
  <c r="T550" i="5"/>
  <c r="V550" i="6" s="1"/>
  <c r="X550" i="5"/>
  <c r="Z550" i="6" s="1"/>
  <c r="AB550" i="5"/>
  <c r="AD550" i="6" s="1"/>
  <c r="AH550" i="6"/>
  <c r="AF550" i="5"/>
  <c r="F551" i="5"/>
  <c r="H551" i="6" s="1"/>
  <c r="J551" i="5"/>
  <c r="L551" i="6" s="1"/>
  <c r="N551" i="5"/>
  <c r="P551" i="6" s="1"/>
  <c r="T551" i="6"/>
  <c r="R551" i="5"/>
  <c r="V551" i="5"/>
  <c r="X551" i="6" s="1"/>
  <c r="Z551" i="5"/>
  <c r="AB551" i="6" s="1"/>
  <c r="AD551" i="5"/>
  <c r="AF551" i="6" s="1"/>
  <c r="F552" i="6"/>
  <c r="D552" i="5"/>
  <c r="H552" i="5"/>
  <c r="J552" i="6" s="1"/>
  <c r="L552" i="5"/>
  <c r="N552" i="6" s="1"/>
  <c r="P552" i="5"/>
  <c r="R552" i="6" s="1"/>
  <c r="V552" i="6"/>
  <c r="T552" i="5"/>
  <c r="X552" i="5"/>
  <c r="Z552" i="6" s="1"/>
  <c r="AB552" i="5"/>
  <c r="AD552" i="6" s="1"/>
  <c r="AF552" i="5"/>
  <c r="AH552" i="6" s="1"/>
  <c r="H553" i="6"/>
  <c r="F553" i="5"/>
  <c r="J553" i="5"/>
  <c r="L553" i="6" s="1"/>
  <c r="N553" i="5"/>
  <c r="P553" i="6" s="1"/>
  <c r="R553" i="5"/>
  <c r="T553" i="6" s="1"/>
  <c r="X553" i="6"/>
  <c r="V553" i="5"/>
  <c r="Z553" i="5"/>
  <c r="AB553" i="6" s="1"/>
  <c r="AD553" i="5"/>
  <c r="AF553" i="6" s="1"/>
  <c r="D554" i="5"/>
  <c r="F554" i="6" s="1"/>
  <c r="J554" i="6"/>
  <c r="H554" i="5"/>
  <c r="L554" i="5"/>
  <c r="N554" i="6" s="1"/>
  <c r="P554" i="5"/>
  <c r="R554" i="6" s="1"/>
  <c r="T554" i="5"/>
  <c r="V554" i="6" s="1"/>
  <c r="Z554" i="6"/>
  <c r="X554" i="5"/>
  <c r="AB554" i="5"/>
  <c r="AD554" i="6" s="1"/>
  <c r="AF554" i="5"/>
  <c r="AH554" i="6" s="1"/>
  <c r="F555" i="5"/>
  <c r="H555" i="6" s="1"/>
  <c r="L555" i="6"/>
  <c r="J555" i="5"/>
  <c r="N555" i="5"/>
  <c r="P555" i="6" s="1"/>
  <c r="R555" i="5"/>
  <c r="T555" i="6" s="1"/>
  <c r="V555" i="5"/>
  <c r="X555" i="6" s="1"/>
  <c r="AB555" i="6"/>
  <c r="Z555" i="5"/>
  <c r="AD555" i="5"/>
  <c r="AF555" i="6" s="1"/>
  <c r="D557" i="5"/>
  <c r="F557" i="6" s="1"/>
  <c r="H557" i="5"/>
  <c r="J557" i="6" s="1"/>
  <c r="N557" i="6"/>
  <c r="L557" i="5"/>
  <c r="P557" i="5"/>
  <c r="R557" i="6" s="1"/>
  <c r="T557" i="5"/>
  <c r="V557" i="6" s="1"/>
  <c r="X557" i="5"/>
  <c r="Z557" i="6" s="1"/>
  <c r="AD557" i="6"/>
  <c r="AB557" i="5"/>
  <c r="AF557" i="5"/>
  <c r="AH557" i="6" s="1"/>
  <c r="F558" i="5"/>
  <c r="H558" i="6" s="1"/>
  <c r="J558" i="5"/>
  <c r="L558" i="6" s="1"/>
  <c r="P558" i="6"/>
  <c r="N558" i="5"/>
  <c r="R558" i="5"/>
  <c r="T558" i="6" s="1"/>
  <c r="V558" i="5"/>
  <c r="X558" i="6" s="1"/>
  <c r="Z558" i="5"/>
  <c r="AB558" i="6" s="1"/>
  <c r="AF558" i="6"/>
  <c r="AD558" i="5"/>
  <c r="D559" i="5"/>
  <c r="F559" i="6" s="1"/>
  <c r="H559" i="5"/>
  <c r="J559" i="6" s="1"/>
  <c r="L559" i="5"/>
  <c r="N559" i="6" s="1"/>
  <c r="R559" i="6"/>
  <c r="P559" i="5"/>
  <c r="T559" i="5"/>
  <c r="V559" i="6" s="1"/>
  <c r="X559" i="5"/>
  <c r="Z559" i="6" s="1"/>
  <c r="AB559" i="5"/>
  <c r="AD559" i="6" s="1"/>
  <c r="AH559" i="6"/>
  <c r="AF559" i="5"/>
  <c r="F560" i="5"/>
  <c r="H560" i="6" s="1"/>
  <c r="J560" i="5"/>
  <c r="L560" i="6" s="1"/>
  <c r="N560" i="5"/>
  <c r="P560" i="6" s="1"/>
  <c r="T560" i="6"/>
  <c r="R560" i="5"/>
  <c r="V560" i="5"/>
  <c r="X560" i="6" s="1"/>
  <c r="F561" i="5"/>
  <c r="H561" i="6" s="1"/>
  <c r="J561" i="5"/>
  <c r="L561" i="6" s="1"/>
  <c r="P561" i="6"/>
  <c r="N561" i="5"/>
  <c r="R561" i="5"/>
  <c r="T561" i="6" s="1"/>
  <c r="V561" i="5"/>
  <c r="X561" i="6" s="1"/>
  <c r="Z561" i="5"/>
  <c r="AB561" i="6" s="1"/>
  <c r="AF561" i="6"/>
  <c r="AD561" i="5"/>
  <c r="D562" i="5"/>
  <c r="F562" i="6" s="1"/>
  <c r="H562" i="5"/>
  <c r="J562" i="6" s="1"/>
  <c r="L562" i="5"/>
  <c r="N562" i="6" s="1"/>
  <c r="R562" i="6"/>
  <c r="P562" i="5"/>
  <c r="T562" i="5"/>
  <c r="V562" i="6" s="1"/>
  <c r="X562" i="5"/>
  <c r="Z562" i="6" s="1"/>
  <c r="AB562" i="5"/>
  <c r="AD562" i="6" s="1"/>
  <c r="AH562" i="6"/>
  <c r="AF562" i="5"/>
  <c r="J564" i="5"/>
  <c r="L564" i="6" s="1"/>
  <c r="T564" i="5"/>
  <c r="V564" i="6" s="1"/>
  <c r="AD564" i="5"/>
  <c r="AF564" i="6" s="1"/>
  <c r="L565" i="6"/>
  <c r="J565" i="5"/>
  <c r="T565" i="5"/>
  <c r="V565" i="6" s="1"/>
  <c r="J566" i="5"/>
  <c r="L566" i="6" s="1"/>
  <c r="T566" i="5"/>
  <c r="V566" i="6" s="1"/>
  <c r="AF566" i="6"/>
  <c r="AD566" i="5"/>
  <c r="J567" i="5"/>
  <c r="L567" i="6" s="1"/>
  <c r="T567" i="5"/>
  <c r="V567" i="6" s="1"/>
  <c r="AD567" i="5"/>
  <c r="AF567" i="6" s="1"/>
  <c r="M568" i="6"/>
  <c r="K568" i="5"/>
  <c r="U568" i="5"/>
  <c r="W568" i="6" s="1"/>
  <c r="AE568" i="5"/>
  <c r="AG568" i="6" s="1"/>
  <c r="K569" i="5"/>
  <c r="M569" i="6" s="1"/>
  <c r="W569" i="6"/>
  <c r="U569" i="5"/>
  <c r="AE569" i="5"/>
  <c r="AG569" i="6" s="1"/>
  <c r="F585" i="5"/>
  <c r="H585" i="6" s="1"/>
  <c r="J585" i="5"/>
  <c r="L585" i="6" s="1"/>
  <c r="P585" i="6"/>
  <c r="N585" i="5"/>
  <c r="V585" i="5"/>
  <c r="X585" i="6" s="1"/>
  <c r="Z585" i="5"/>
  <c r="AB585" i="6" s="1"/>
  <c r="AD585" i="5"/>
  <c r="AF585" i="6" s="1"/>
  <c r="J586" i="6"/>
  <c r="H586" i="5"/>
  <c r="L586" i="5"/>
  <c r="N586" i="6" s="1"/>
  <c r="P586" i="5"/>
  <c r="R586" i="6" s="1"/>
  <c r="X586" i="5"/>
  <c r="Z586" i="6" s="1"/>
  <c r="AD586" i="6"/>
  <c r="AB586" i="5"/>
  <c r="AF586" i="5"/>
  <c r="AH586" i="6" s="1"/>
  <c r="J587" i="5"/>
  <c r="L587" i="6" s="1"/>
  <c r="N587" i="5"/>
  <c r="P587" i="6" s="1"/>
  <c r="T587" i="6"/>
  <c r="R587" i="5"/>
  <c r="Z587" i="5"/>
  <c r="AB587" i="6" s="1"/>
  <c r="AD587" i="5"/>
  <c r="AF587" i="6" s="1"/>
  <c r="D588" i="5"/>
  <c r="F588" i="6" s="1"/>
  <c r="N588" i="6"/>
  <c r="L588" i="5"/>
  <c r="P588" i="5"/>
  <c r="R588" i="6" s="1"/>
  <c r="T588" i="5"/>
  <c r="V588" i="6" s="1"/>
  <c r="AB588" i="5"/>
  <c r="AD588" i="6" s="1"/>
  <c r="AH588" i="6"/>
  <c r="AF588" i="5"/>
  <c r="F589" i="5"/>
  <c r="H589" i="6" s="1"/>
  <c r="N589" i="5"/>
  <c r="P589" i="6" s="1"/>
  <c r="R589" i="5"/>
  <c r="T589" i="6" s="1"/>
  <c r="X589" i="6"/>
  <c r="V589" i="5"/>
  <c r="AD589" i="5"/>
  <c r="AF589" i="6" s="1"/>
  <c r="D591" i="5"/>
  <c r="F591" i="6" s="1"/>
  <c r="N591" i="5"/>
  <c r="P591" i="6" s="1"/>
  <c r="Z591" i="6"/>
  <c r="X591" i="5"/>
  <c r="D592" i="5"/>
  <c r="F592" i="6" s="1"/>
  <c r="X592" i="5"/>
  <c r="Z592" i="6" s="1"/>
  <c r="D593" i="5"/>
  <c r="F593" i="6" s="1"/>
  <c r="P593" i="6"/>
  <c r="N593" i="5"/>
  <c r="X593" i="5"/>
  <c r="Z593" i="6" s="1"/>
  <c r="P594" i="5"/>
  <c r="R594" i="6" s="1"/>
  <c r="Z594" i="5"/>
  <c r="AB594" i="6" s="1"/>
  <c r="R595" i="6"/>
  <c r="P595" i="5"/>
  <c r="D597" i="5"/>
  <c r="F597" i="6" s="1"/>
  <c r="H597" i="5"/>
  <c r="J597" i="6" s="1"/>
  <c r="L597" i="5"/>
  <c r="N597" i="6" s="1"/>
  <c r="R597" i="6"/>
  <c r="P597" i="5"/>
  <c r="T597" i="5"/>
  <c r="V597" i="6" s="1"/>
  <c r="X597" i="5"/>
  <c r="Z597" i="6" s="1"/>
  <c r="AB597" i="5"/>
  <c r="AD597" i="6" s="1"/>
  <c r="AH597" i="6"/>
  <c r="AF597" i="5"/>
  <c r="F598" i="5"/>
  <c r="H598" i="6" s="1"/>
  <c r="J598" i="5"/>
  <c r="L598" i="6" s="1"/>
  <c r="N598" i="5"/>
  <c r="P598" i="6" s="1"/>
  <c r="T598" i="6"/>
  <c r="R598" i="5"/>
  <c r="V598" i="5"/>
  <c r="X598" i="6" s="1"/>
  <c r="Z598" i="5"/>
  <c r="AB598" i="6" s="1"/>
  <c r="AD598" i="5"/>
  <c r="AF598" i="6" s="1"/>
  <c r="F599" i="6"/>
  <c r="D599" i="5"/>
  <c r="H599" i="5"/>
  <c r="J599" i="6" s="1"/>
  <c r="L599" i="5"/>
  <c r="N599" i="6" s="1"/>
  <c r="P599" i="5"/>
  <c r="R599" i="6" s="1"/>
  <c r="V599" i="6"/>
  <c r="T599" i="5"/>
  <c r="X599" i="5"/>
  <c r="Z599" i="6" s="1"/>
  <c r="AB599" i="5"/>
  <c r="AD599" i="6" s="1"/>
  <c r="AF599" i="5"/>
  <c r="AH599" i="6" s="1"/>
  <c r="H600" i="6"/>
  <c r="F600" i="5"/>
  <c r="J600" i="5"/>
  <c r="L600" i="6" s="1"/>
  <c r="N600" i="5"/>
  <c r="P600" i="6" s="1"/>
  <c r="V600" i="5"/>
  <c r="X600" i="6" s="1"/>
  <c r="AF600" i="6"/>
  <c r="AD600" i="5"/>
  <c r="H601" i="5"/>
  <c r="J601" i="6" s="1"/>
  <c r="P601" i="5"/>
  <c r="R601" i="6" s="1"/>
  <c r="X601" i="5"/>
  <c r="Z601" i="6" s="1"/>
  <c r="AD601" i="6"/>
  <c r="AB601" i="5"/>
  <c r="AF601" i="5"/>
  <c r="AH601" i="6" s="1"/>
  <c r="J602" i="5"/>
  <c r="L602" i="6" s="1"/>
  <c r="N602" i="5"/>
  <c r="P602" i="6" s="1"/>
  <c r="T602" i="6"/>
  <c r="R602" i="5"/>
  <c r="Z602" i="5"/>
  <c r="AB602" i="6" s="1"/>
  <c r="AD602" i="5"/>
  <c r="AF602" i="6" s="1"/>
  <c r="D604" i="5"/>
  <c r="F604" i="6" s="1"/>
  <c r="N604" i="6"/>
  <c r="L604" i="5"/>
  <c r="P604" i="5"/>
  <c r="R604" i="6" s="1"/>
  <c r="T604" i="5"/>
  <c r="V604" i="6" s="1"/>
  <c r="AB604" i="5"/>
  <c r="AD604" i="6" s="1"/>
  <c r="AH604" i="6"/>
  <c r="AF604" i="5"/>
  <c r="F605" i="5"/>
  <c r="H605" i="6" s="1"/>
  <c r="N605" i="5"/>
  <c r="P605" i="6" s="1"/>
  <c r="R605" i="5"/>
  <c r="T605" i="6" s="1"/>
  <c r="X605" i="6"/>
  <c r="V605" i="5"/>
  <c r="AD605" i="5"/>
  <c r="AF605" i="6" s="1"/>
  <c r="D606" i="5"/>
  <c r="F606" i="6" s="1"/>
  <c r="H606" i="5"/>
  <c r="J606" i="6" s="1"/>
  <c r="R606" i="6"/>
  <c r="P606" i="5"/>
  <c r="T606" i="5"/>
  <c r="V606" i="6" s="1"/>
  <c r="X606" i="5"/>
  <c r="Z606" i="6" s="1"/>
  <c r="AF606" i="5"/>
  <c r="AH606" i="6" s="1"/>
  <c r="H607" i="6"/>
  <c r="F607" i="5"/>
  <c r="J607" i="5"/>
  <c r="L607" i="6" s="1"/>
  <c r="R607" i="5"/>
  <c r="T607" i="6" s="1"/>
  <c r="V607" i="5"/>
  <c r="X607" i="6" s="1"/>
  <c r="AB607" i="6"/>
  <c r="Z607" i="5"/>
  <c r="D608" i="5"/>
  <c r="F608" i="6" s="1"/>
  <c r="H608" i="5"/>
  <c r="J608" i="6" s="1"/>
  <c r="L608" i="5"/>
  <c r="N608" i="6" s="1"/>
  <c r="R608" i="6"/>
  <c r="P608" i="5"/>
  <c r="T608" i="5"/>
  <c r="V608" i="6" s="1"/>
  <c r="X608" i="5"/>
  <c r="Z608" i="6" s="1"/>
  <c r="AB608" i="5"/>
  <c r="AD608" i="6" s="1"/>
  <c r="AH608" i="6"/>
  <c r="AF608" i="5"/>
  <c r="F609" i="5"/>
  <c r="H609" i="6" s="1"/>
  <c r="J609" i="5"/>
  <c r="L609" i="6" s="1"/>
  <c r="N609" i="5"/>
  <c r="P609" i="6" s="1"/>
  <c r="T609" i="6"/>
  <c r="R609" i="5"/>
  <c r="V609" i="5"/>
  <c r="X609" i="6" s="1"/>
  <c r="Z609" i="5"/>
  <c r="AB609" i="6" s="1"/>
  <c r="AD609" i="5"/>
  <c r="AF609" i="6" s="1"/>
  <c r="F610" i="6"/>
  <c r="D610" i="5"/>
  <c r="H610" i="5"/>
  <c r="J610" i="6" s="1"/>
  <c r="L610" i="5"/>
  <c r="N610" i="6" s="1"/>
  <c r="P610" i="5"/>
  <c r="R610" i="6" s="1"/>
  <c r="V610" i="6"/>
  <c r="T610" i="5"/>
  <c r="X610" i="5"/>
  <c r="Z610" i="6" s="1"/>
  <c r="AB610" i="5"/>
  <c r="AD610" i="6" s="1"/>
  <c r="AF610" i="5"/>
  <c r="AH610" i="6" s="1"/>
  <c r="H611" i="6"/>
  <c r="F611" i="5"/>
  <c r="J611" i="5"/>
  <c r="L611" i="6" s="1"/>
  <c r="N611" i="5"/>
  <c r="P611" i="6" s="1"/>
  <c r="R611" i="5"/>
  <c r="T611" i="6" s="1"/>
  <c r="X611" i="6"/>
  <c r="V611" i="5"/>
  <c r="Z611" i="5"/>
  <c r="AB611" i="6" s="1"/>
  <c r="AD611" i="5"/>
  <c r="AF611" i="6" s="1"/>
  <c r="D612" i="5"/>
  <c r="F612" i="6" s="1"/>
  <c r="J612" i="6"/>
  <c r="H612" i="5"/>
  <c r="L612" i="5"/>
  <c r="N612" i="6" s="1"/>
  <c r="P612" i="5"/>
  <c r="R612" i="6" s="1"/>
  <c r="T612" i="5"/>
  <c r="V612" i="6" s="1"/>
  <c r="Z612" i="6"/>
  <c r="X612" i="5"/>
  <c r="AB612" i="5"/>
  <c r="AD612" i="6" s="1"/>
  <c r="AF612" i="5"/>
  <c r="AH612" i="6" s="1"/>
  <c r="F613" i="5"/>
  <c r="H613" i="6" s="1"/>
  <c r="L613" i="6"/>
  <c r="J613" i="5"/>
  <c r="N613" i="5"/>
  <c r="P613" i="6" s="1"/>
  <c r="R613" i="5"/>
  <c r="T613" i="6" s="1"/>
  <c r="V613" i="5"/>
  <c r="X613" i="6" s="1"/>
  <c r="AB613" i="6"/>
  <c r="Z613" i="5"/>
  <c r="AD613" i="5"/>
  <c r="AF613" i="6" s="1"/>
  <c r="D614" i="5"/>
  <c r="F614" i="6" s="1"/>
  <c r="H614" i="5"/>
  <c r="J614" i="6" s="1"/>
  <c r="N614" i="6"/>
  <c r="L614" i="5"/>
  <c r="P614" i="5"/>
  <c r="R614" i="6" s="1"/>
  <c r="T614" i="5"/>
  <c r="V614" i="6" s="1"/>
  <c r="X614" i="5"/>
  <c r="Z614" i="6" s="1"/>
  <c r="AD614" i="6"/>
  <c r="AB614" i="5"/>
  <c r="AF614" i="5"/>
  <c r="AH614" i="6" s="1"/>
  <c r="F615" i="5"/>
  <c r="H615" i="6" s="1"/>
  <c r="J615" i="5"/>
  <c r="L615" i="6" s="1"/>
  <c r="P615" i="6"/>
  <c r="N615" i="5"/>
  <c r="R615" i="5"/>
  <c r="T615" i="6" s="1"/>
  <c r="V615" i="5"/>
  <c r="X615" i="6" s="1"/>
  <c r="Z615" i="5"/>
  <c r="AB615" i="6" s="1"/>
  <c r="AF615" i="6"/>
  <c r="AD615" i="5"/>
  <c r="D616" i="5"/>
  <c r="F616" i="6" s="1"/>
  <c r="H616" i="5"/>
  <c r="J616" i="6" s="1"/>
  <c r="L616" i="5"/>
  <c r="N616" i="6" s="1"/>
  <c r="R616" i="6"/>
  <c r="P616" i="5"/>
  <c r="T616" i="5"/>
  <c r="V616" i="6" s="1"/>
  <c r="X616" i="5"/>
  <c r="Z616" i="6" s="1"/>
  <c r="AB616" i="5"/>
  <c r="AD616" i="6" s="1"/>
  <c r="AH616" i="6"/>
  <c r="AF616" i="5"/>
  <c r="F617" i="5"/>
  <c r="H617" i="6" s="1"/>
  <c r="J617" i="5"/>
  <c r="L617" i="6" s="1"/>
  <c r="N617" i="5"/>
  <c r="P617" i="6" s="1"/>
  <c r="T617" i="6"/>
  <c r="R617" i="5"/>
  <c r="V617" i="5"/>
  <c r="X617" i="6" s="1"/>
  <c r="Z617" i="5"/>
  <c r="AB617" i="6" s="1"/>
  <c r="AD617" i="5"/>
  <c r="AF617" i="6" s="1"/>
  <c r="F618" i="6"/>
  <c r="D618" i="5"/>
  <c r="H618" i="5"/>
  <c r="J618" i="6" s="1"/>
  <c r="L618" i="5"/>
  <c r="N618" i="6" s="1"/>
  <c r="P618" i="5"/>
  <c r="R618" i="6" s="1"/>
  <c r="V618" i="6"/>
  <c r="T618" i="5"/>
  <c r="X618" i="5"/>
  <c r="Z618" i="6" s="1"/>
  <c r="AB618" i="5"/>
  <c r="AD618" i="6" s="1"/>
  <c r="AF618" i="5"/>
  <c r="AH618" i="6" s="1"/>
  <c r="F619" i="5"/>
  <c r="H619" i="6" s="1"/>
  <c r="J619" i="5"/>
  <c r="L619" i="6" s="1"/>
  <c r="N619" i="5"/>
  <c r="P619" i="6" s="1"/>
  <c r="R619" i="5"/>
  <c r="T619" i="6" s="1"/>
  <c r="V619" i="5"/>
  <c r="X619" i="6" s="1"/>
  <c r="Z619" i="5"/>
  <c r="AB619" i="6" s="1"/>
  <c r="AD619" i="5"/>
  <c r="AF619" i="6" s="1"/>
  <c r="D620" i="5"/>
  <c r="F620" i="6" s="1"/>
  <c r="H620" i="5"/>
  <c r="J620" i="6" s="1"/>
  <c r="L620" i="5"/>
  <c r="N620" i="6" s="1"/>
  <c r="P620" i="5"/>
  <c r="R620" i="6" s="1"/>
  <c r="T620" i="5"/>
  <c r="V620" i="6" s="1"/>
  <c r="X620" i="5"/>
  <c r="Z620" i="6" s="1"/>
  <c r="AB620" i="5"/>
  <c r="AD620" i="6" s="1"/>
  <c r="AF620" i="5"/>
  <c r="AH620" i="6" s="1"/>
  <c r="F621" i="5"/>
  <c r="H621" i="6" s="1"/>
  <c r="J621" i="5"/>
  <c r="L621" i="6" s="1"/>
  <c r="N621" i="5"/>
  <c r="P621" i="6" s="1"/>
  <c r="R621" i="5"/>
  <c r="T621" i="6" s="1"/>
  <c r="V621" i="5"/>
  <c r="X621" i="6" s="1"/>
  <c r="Z621" i="5"/>
  <c r="AB621" i="6" s="1"/>
  <c r="AD621" i="5"/>
  <c r="AF621" i="6" s="1"/>
  <c r="D622" i="5"/>
  <c r="F622" i="6" s="1"/>
  <c r="H622" i="5"/>
  <c r="J622" i="6" s="1"/>
  <c r="L622" i="5"/>
  <c r="N622" i="6" s="1"/>
  <c r="P622" i="5"/>
  <c r="R622" i="6" s="1"/>
  <c r="T622" i="5"/>
  <c r="V622" i="6" s="1"/>
  <c r="X622" i="5"/>
  <c r="Z622" i="6" s="1"/>
  <c r="AB622" i="5"/>
  <c r="AD622" i="6" s="1"/>
  <c r="AF622" i="5"/>
  <c r="AH622" i="6" s="1"/>
  <c r="F623" i="5"/>
  <c r="H623" i="6" s="1"/>
  <c r="J623" i="5"/>
  <c r="L623" i="6" s="1"/>
  <c r="N623" i="5"/>
  <c r="P623" i="6" s="1"/>
  <c r="R623" i="5"/>
  <c r="T623" i="6" s="1"/>
  <c r="V623" i="5"/>
  <c r="X623" i="6" s="1"/>
  <c r="Z623" i="5"/>
  <c r="AB623" i="6" s="1"/>
  <c r="AD623" i="5"/>
  <c r="AF623" i="6" s="1"/>
  <c r="D624" i="5"/>
  <c r="F624" i="6" s="1"/>
  <c r="H624" i="5"/>
  <c r="J624" i="6" s="1"/>
  <c r="L624" i="5"/>
  <c r="N624" i="6" s="1"/>
  <c r="P624" i="5"/>
  <c r="R624" i="6" s="1"/>
  <c r="T624" i="5"/>
  <c r="V624" i="6" s="1"/>
  <c r="X624" i="5"/>
  <c r="Z624" i="6" s="1"/>
  <c r="AB624" i="5"/>
  <c r="AD624" i="6" s="1"/>
  <c r="AF624" i="5"/>
  <c r="AH624" i="6" s="1"/>
  <c r="F625" i="5"/>
  <c r="H625" i="6" s="1"/>
  <c r="J625" i="5"/>
  <c r="L625" i="6" s="1"/>
  <c r="N625" i="5"/>
  <c r="P625" i="6" s="1"/>
  <c r="R625" i="5"/>
  <c r="T625" i="6" s="1"/>
  <c r="V625" i="5"/>
  <c r="X625" i="6" s="1"/>
  <c r="Z625" i="5"/>
  <c r="AB625" i="6" s="1"/>
  <c r="AD625" i="5"/>
  <c r="AF625" i="6" s="1"/>
  <c r="D626" i="5"/>
  <c r="F626" i="6" s="1"/>
  <c r="H626" i="5"/>
  <c r="J626" i="6" s="1"/>
  <c r="L626" i="5"/>
  <c r="N626" i="6" s="1"/>
  <c r="P626" i="5"/>
  <c r="R626" i="6" s="1"/>
  <c r="T626" i="5"/>
  <c r="V626" i="6" s="1"/>
  <c r="X626" i="5"/>
  <c r="Z626" i="6" s="1"/>
  <c r="AB626" i="5"/>
  <c r="AD626" i="6" s="1"/>
  <c r="AF626" i="5"/>
  <c r="AH626" i="6" s="1"/>
  <c r="F627" i="5"/>
  <c r="H627" i="6" s="1"/>
  <c r="J627" i="5"/>
  <c r="L627" i="6" s="1"/>
  <c r="N627" i="5"/>
  <c r="P627" i="6" s="1"/>
  <c r="R627" i="5"/>
  <c r="T627" i="6" s="1"/>
  <c r="V627" i="5"/>
  <c r="X627" i="6" s="1"/>
  <c r="Z627" i="5"/>
  <c r="AB627" i="6" s="1"/>
  <c r="AD627" i="5"/>
  <c r="AF627" i="6" s="1"/>
  <c r="D628" i="5"/>
  <c r="F628" i="6" s="1"/>
  <c r="H628" i="5"/>
  <c r="J628" i="6" s="1"/>
  <c r="L628" i="5"/>
  <c r="N628" i="6" s="1"/>
  <c r="P628" i="5"/>
  <c r="R628" i="6" s="1"/>
  <c r="T628" i="5"/>
  <c r="V628" i="6" s="1"/>
  <c r="X628" i="5"/>
  <c r="Z628" i="6" s="1"/>
  <c r="AB628" i="5"/>
  <c r="AD628" i="6" s="1"/>
  <c r="AF628" i="5"/>
  <c r="AH628" i="6" s="1"/>
  <c r="F629" i="5"/>
  <c r="H629" i="6" s="1"/>
  <c r="J629" i="5"/>
  <c r="L629" i="6" s="1"/>
  <c r="N629" i="5"/>
  <c r="P629" i="6" s="1"/>
  <c r="R629" i="5"/>
  <c r="T629" i="6" s="1"/>
  <c r="V629" i="5"/>
  <c r="X629" i="6" s="1"/>
  <c r="Z629" i="5"/>
  <c r="AB629" i="6" s="1"/>
  <c r="AD629" i="5"/>
  <c r="AF629" i="6" s="1"/>
  <c r="D630" i="5"/>
  <c r="F630" i="6" s="1"/>
  <c r="H630" i="5"/>
  <c r="J630" i="6" s="1"/>
  <c r="L630" i="5"/>
  <c r="N630" i="6" s="1"/>
  <c r="P630" i="5"/>
  <c r="R630" i="6" s="1"/>
  <c r="T630" i="5"/>
  <c r="V630" i="6" s="1"/>
  <c r="X630" i="5"/>
  <c r="Z630" i="6" s="1"/>
  <c r="AB630" i="5"/>
  <c r="AD630" i="6" s="1"/>
  <c r="AF630" i="5"/>
  <c r="AH630" i="6" s="1"/>
  <c r="F631" i="5"/>
  <c r="H631" i="6" s="1"/>
  <c r="J631" i="5"/>
  <c r="L631" i="6" s="1"/>
  <c r="N631" i="5"/>
  <c r="P631" i="6" s="1"/>
  <c r="R631" i="5"/>
  <c r="T631" i="6" s="1"/>
  <c r="V631" i="5"/>
  <c r="X631" i="6" s="1"/>
  <c r="Z631" i="5"/>
  <c r="AB631" i="6" s="1"/>
  <c r="AD631" i="5"/>
  <c r="AF631" i="6" s="1"/>
  <c r="D632" i="5"/>
  <c r="F632" i="6" s="1"/>
  <c r="H632" i="5"/>
  <c r="J632" i="6" s="1"/>
  <c r="L632" i="5"/>
  <c r="N632" i="6" s="1"/>
  <c r="P632" i="5"/>
  <c r="R632" i="6" s="1"/>
  <c r="T632" i="5"/>
  <c r="V632" i="6" s="1"/>
  <c r="X632" i="5"/>
  <c r="Z632" i="6" s="1"/>
  <c r="AB632" i="5"/>
  <c r="AD632" i="6" s="1"/>
  <c r="AF632" i="5"/>
  <c r="AH632" i="6" s="1"/>
  <c r="F633" i="5"/>
  <c r="H633" i="6" s="1"/>
  <c r="J633" i="5"/>
  <c r="L633" i="6" s="1"/>
  <c r="N633" i="5"/>
  <c r="P633" i="6" s="1"/>
  <c r="R633" i="5"/>
  <c r="T633" i="6" s="1"/>
  <c r="V633" i="5"/>
  <c r="X633" i="6" s="1"/>
  <c r="Z633" i="5"/>
  <c r="AB633" i="6" s="1"/>
  <c r="AD633" i="5"/>
  <c r="AF633" i="6" s="1"/>
  <c r="D634" i="5"/>
  <c r="F634" i="6" s="1"/>
  <c r="H634" i="5"/>
  <c r="J634" i="6" s="1"/>
  <c r="L634" i="5"/>
  <c r="N634" i="6" s="1"/>
  <c r="P634" i="5"/>
  <c r="R634" i="6" s="1"/>
  <c r="T634" i="5"/>
  <c r="V634" i="6" s="1"/>
  <c r="X634" i="5"/>
  <c r="Z634" i="6" s="1"/>
  <c r="AB634" i="5"/>
  <c r="AD634" i="6" s="1"/>
  <c r="AF634" i="5"/>
  <c r="AH634" i="6" s="1"/>
  <c r="F635" i="5"/>
  <c r="H635" i="6" s="1"/>
  <c r="J635" i="5"/>
  <c r="L635" i="6" s="1"/>
  <c r="N635" i="5"/>
  <c r="P635" i="6" s="1"/>
  <c r="R635" i="5"/>
  <c r="T635" i="6" s="1"/>
  <c r="V635" i="5"/>
  <c r="X635" i="6" s="1"/>
  <c r="Z635" i="5"/>
  <c r="AB635" i="6" s="1"/>
  <c r="AD635" i="5"/>
  <c r="AF635" i="6" s="1"/>
  <c r="D636" i="5"/>
  <c r="F636" i="6" s="1"/>
  <c r="H636" i="5"/>
  <c r="J636" i="6" s="1"/>
  <c r="L636" i="5"/>
  <c r="N636" i="6" s="1"/>
  <c r="P636" i="5"/>
  <c r="R636" i="6" s="1"/>
  <c r="T636" i="5"/>
  <c r="V636" i="6" s="1"/>
  <c r="X636" i="5"/>
  <c r="Z636" i="6" s="1"/>
  <c r="AB636" i="5"/>
  <c r="AD636" i="6" s="1"/>
  <c r="AF636" i="5"/>
  <c r="AH636" i="6" s="1"/>
  <c r="F637" i="5"/>
  <c r="H637" i="6" s="1"/>
  <c r="J637" i="5"/>
  <c r="L637" i="6" s="1"/>
  <c r="N637" i="5"/>
  <c r="P637" i="6" s="1"/>
  <c r="R637" i="5"/>
  <c r="T637" i="6" s="1"/>
  <c r="V637" i="5"/>
  <c r="X637" i="6" s="1"/>
  <c r="Z637" i="5"/>
  <c r="AB637" i="6" s="1"/>
  <c r="AD637" i="5"/>
  <c r="AF637" i="6" s="1"/>
  <c r="D638" i="5"/>
  <c r="F638" i="6" s="1"/>
  <c r="H638" i="5"/>
  <c r="J638" i="6" s="1"/>
  <c r="L638" i="5"/>
  <c r="N638" i="6" s="1"/>
  <c r="P638" i="5"/>
  <c r="R638" i="6" s="1"/>
  <c r="T638" i="5"/>
  <c r="V638" i="6" s="1"/>
  <c r="X638" i="5"/>
  <c r="Z638" i="6" s="1"/>
  <c r="AB638" i="5"/>
  <c r="AD638" i="6" s="1"/>
  <c r="AF638" i="5"/>
  <c r="AH638" i="6" s="1"/>
  <c r="F639" i="5"/>
  <c r="H639" i="6" s="1"/>
  <c r="J639" i="5"/>
  <c r="L639" i="6" s="1"/>
  <c r="N639" i="5"/>
  <c r="P639" i="6" s="1"/>
  <c r="R639" i="5"/>
  <c r="T639" i="6" s="1"/>
  <c r="V639" i="5"/>
  <c r="X639" i="6" s="1"/>
  <c r="Z639" i="5"/>
  <c r="AB639" i="6" s="1"/>
  <c r="AD639" i="5"/>
  <c r="AF639" i="6" s="1"/>
  <c r="D640" i="5"/>
  <c r="F640" i="6" s="1"/>
  <c r="H640" i="5"/>
  <c r="J640" i="6" s="1"/>
  <c r="L640" i="5"/>
  <c r="N640" i="6" s="1"/>
  <c r="P640" i="5"/>
  <c r="R640" i="6" s="1"/>
  <c r="T640" i="5"/>
  <c r="V640" i="6" s="1"/>
  <c r="X640" i="5"/>
  <c r="Z640" i="6" s="1"/>
  <c r="AB640" i="5"/>
  <c r="AD640" i="6" s="1"/>
  <c r="AF640" i="5"/>
  <c r="AH640" i="6" s="1"/>
  <c r="F641" i="5"/>
  <c r="H641" i="6" s="1"/>
  <c r="J641" i="5"/>
  <c r="L641" i="6" s="1"/>
  <c r="N641" i="5"/>
  <c r="P641" i="6" s="1"/>
  <c r="R641" i="5"/>
  <c r="T641" i="6" s="1"/>
  <c r="V641" i="5"/>
  <c r="X641" i="6" s="1"/>
  <c r="Z641" i="5"/>
  <c r="AB641" i="6" s="1"/>
  <c r="AD641" i="5"/>
  <c r="AF641" i="6" s="1"/>
  <c r="D642" i="5"/>
  <c r="F642" i="6" s="1"/>
  <c r="H642" i="5"/>
  <c r="J642" i="6" s="1"/>
  <c r="L642" i="5"/>
  <c r="N642" i="6" s="1"/>
  <c r="P642" i="5"/>
  <c r="R642" i="6" s="1"/>
  <c r="T642" i="5"/>
  <c r="V642" i="6" s="1"/>
  <c r="X642" i="5"/>
  <c r="Z642" i="6" s="1"/>
  <c r="AB642" i="5"/>
  <c r="AD642" i="6" s="1"/>
  <c r="AF642" i="5"/>
  <c r="AH642" i="6" s="1"/>
  <c r="F643" i="5"/>
  <c r="H643" i="6" s="1"/>
  <c r="J643" i="5"/>
  <c r="L643" i="6" s="1"/>
  <c r="N643" i="5"/>
  <c r="P643" i="6" s="1"/>
  <c r="R643" i="5"/>
  <c r="T643" i="6" s="1"/>
  <c r="V643" i="5"/>
  <c r="X643" i="6" s="1"/>
  <c r="Z643" i="5"/>
  <c r="AB643" i="6" s="1"/>
  <c r="AD643" i="5"/>
  <c r="AF643" i="6" s="1"/>
  <c r="D644" i="5"/>
  <c r="F644" i="6" s="1"/>
  <c r="H644" i="5"/>
  <c r="J644" i="6" s="1"/>
  <c r="L644" i="5"/>
  <c r="N644" i="6" s="1"/>
  <c r="P644" i="5"/>
  <c r="R644" i="6" s="1"/>
  <c r="T644" i="5"/>
  <c r="V644" i="6" s="1"/>
  <c r="X644" i="5"/>
  <c r="Z644" i="6" s="1"/>
  <c r="AB644" i="5"/>
  <c r="AD644" i="6" s="1"/>
  <c r="AF644" i="5"/>
  <c r="AH644" i="6" s="1"/>
  <c r="F645" i="5"/>
  <c r="H645" i="6" s="1"/>
  <c r="J645" i="5"/>
  <c r="L645" i="6" s="1"/>
  <c r="N645" i="5"/>
  <c r="P645" i="6" s="1"/>
  <c r="R645" i="5"/>
  <c r="T645" i="6" s="1"/>
  <c r="V645" i="5"/>
  <c r="X645" i="6" s="1"/>
  <c r="Z645" i="5"/>
  <c r="AB645" i="6" s="1"/>
  <c r="AD645" i="5"/>
  <c r="AF645" i="6" s="1"/>
  <c r="D646" i="5"/>
  <c r="F646" i="6" s="1"/>
  <c r="H646" i="5"/>
  <c r="J646" i="6" s="1"/>
  <c r="L646" i="5"/>
  <c r="N646" i="6" s="1"/>
  <c r="P646" i="5"/>
  <c r="R646" i="6" s="1"/>
  <c r="T646" i="5"/>
  <c r="V646" i="6" s="1"/>
  <c r="X646" i="5"/>
  <c r="Z646" i="6" s="1"/>
  <c r="AB646" i="5"/>
  <c r="AD646" i="6" s="1"/>
  <c r="AF646" i="5"/>
  <c r="AH646" i="6" s="1"/>
  <c r="F647" i="5"/>
  <c r="H647" i="6" s="1"/>
  <c r="J647" i="5"/>
  <c r="L647" i="6" s="1"/>
  <c r="N647" i="5"/>
  <c r="P647" i="6" s="1"/>
  <c r="R647" i="5"/>
  <c r="T647" i="6" s="1"/>
  <c r="V647" i="5"/>
  <c r="X647" i="6" s="1"/>
  <c r="Z647" i="5"/>
  <c r="AB647" i="6" s="1"/>
  <c r="AD647" i="5"/>
  <c r="AF647" i="6" s="1"/>
  <c r="D648" i="5"/>
  <c r="F648" i="6" s="1"/>
  <c r="H648" i="5"/>
  <c r="J648" i="6" s="1"/>
  <c r="L648" i="5"/>
  <c r="N648" i="6" s="1"/>
  <c r="P648" i="5"/>
  <c r="R648" i="6" s="1"/>
  <c r="T648" i="5"/>
  <c r="V648" i="6" s="1"/>
  <c r="X648" i="5"/>
  <c r="Z648" i="6" s="1"/>
  <c r="AB648" i="5"/>
  <c r="AD648" i="6" s="1"/>
  <c r="AF648" i="5"/>
  <c r="AH648" i="6" s="1"/>
  <c r="F649" i="5"/>
  <c r="H649" i="6" s="1"/>
  <c r="J649" i="5"/>
  <c r="L649" i="6" s="1"/>
  <c r="N649" i="5"/>
  <c r="P649" i="6" s="1"/>
  <c r="R649" i="5"/>
  <c r="T649" i="6" s="1"/>
  <c r="V649" i="5"/>
  <c r="X649" i="6" s="1"/>
  <c r="Z649" i="5"/>
  <c r="AB649" i="6" s="1"/>
  <c r="AD649" i="5"/>
  <c r="AF649" i="6" s="1"/>
  <c r="D650" i="5"/>
  <c r="F650" i="6" s="1"/>
  <c r="H650" i="5"/>
  <c r="J650" i="6" s="1"/>
  <c r="L650" i="5"/>
  <c r="N650" i="6" s="1"/>
  <c r="P650" i="5"/>
  <c r="R650" i="6" s="1"/>
  <c r="T650" i="5"/>
  <c r="V650" i="6" s="1"/>
  <c r="X650" i="5"/>
  <c r="Z650" i="6" s="1"/>
  <c r="AB650" i="5"/>
  <c r="AD650" i="6" s="1"/>
  <c r="AF650" i="5"/>
  <c r="AH650" i="6" s="1"/>
  <c r="F651" i="5"/>
  <c r="H651" i="6" s="1"/>
  <c r="J651" i="5"/>
  <c r="L651" i="6" s="1"/>
  <c r="N651" i="5"/>
  <c r="P651" i="6" s="1"/>
  <c r="R651" i="5"/>
  <c r="T651" i="6" s="1"/>
  <c r="V651" i="5"/>
  <c r="X651" i="6" s="1"/>
  <c r="Z651" i="5"/>
  <c r="AB651" i="6" s="1"/>
  <c r="AD651" i="5"/>
  <c r="AF651" i="6" s="1"/>
  <c r="D652" i="5"/>
  <c r="F652" i="6" s="1"/>
  <c r="H652" i="5"/>
  <c r="J652" i="6" s="1"/>
  <c r="L652" i="5"/>
  <c r="N652" i="6" s="1"/>
  <c r="P652" i="5"/>
  <c r="R652" i="6" s="1"/>
  <c r="T652" i="5"/>
  <c r="V652" i="6" s="1"/>
  <c r="X652" i="5"/>
  <c r="Z652" i="6" s="1"/>
  <c r="AB652" i="5"/>
  <c r="AD652" i="6" s="1"/>
  <c r="AF652" i="5"/>
  <c r="AH652" i="6" s="1"/>
  <c r="F653" i="5"/>
  <c r="H653" i="6" s="1"/>
  <c r="J653" i="5"/>
  <c r="L653" i="6" s="1"/>
  <c r="N653" i="5"/>
  <c r="P653" i="6" s="1"/>
  <c r="R653" i="5"/>
  <c r="T653" i="6" s="1"/>
  <c r="V653" i="5"/>
  <c r="X653" i="6" s="1"/>
  <c r="Z653" i="5"/>
  <c r="AB653" i="6" s="1"/>
  <c r="AD653" i="5"/>
  <c r="AF653" i="6" s="1"/>
  <c r="D654" i="5"/>
  <c r="F654" i="6" s="1"/>
  <c r="H654" i="5"/>
  <c r="J654" i="6" s="1"/>
  <c r="L654" i="5"/>
  <c r="N654" i="6" s="1"/>
  <c r="P654" i="5"/>
  <c r="R654" i="6" s="1"/>
  <c r="T654" i="5"/>
  <c r="V654" i="6" s="1"/>
  <c r="X654" i="5"/>
  <c r="Z654" i="6" s="1"/>
  <c r="AB654" i="5"/>
  <c r="AD654" i="6" s="1"/>
  <c r="AF654" i="5"/>
  <c r="AH654" i="6" s="1"/>
  <c r="F655" i="5"/>
  <c r="H655" i="6" s="1"/>
  <c r="J655" i="5"/>
  <c r="L655" i="6" s="1"/>
  <c r="N655" i="5"/>
  <c r="P655" i="6" s="1"/>
  <c r="R655" i="5"/>
  <c r="T655" i="6" s="1"/>
  <c r="V655" i="5"/>
  <c r="X655" i="6" s="1"/>
  <c r="Z655" i="5"/>
  <c r="AB655" i="6" s="1"/>
  <c r="AD655" i="5"/>
  <c r="AF655" i="6" s="1"/>
  <c r="D656" i="5"/>
  <c r="F656" i="6" s="1"/>
  <c r="H656" i="5"/>
  <c r="J656" i="6" s="1"/>
  <c r="L656" i="5"/>
  <c r="N656" i="6" s="1"/>
  <c r="P656" i="5"/>
  <c r="R656" i="6" s="1"/>
  <c r="T656" i="5"/>
  <c r="V656" i="6" s="1"/>
  <c r="X656" i="5"/>
  <c r="Z656" i="6" s="1"/>
  <c r="AB656" i="5"/>
  <c r="AD656" i="6" s="1"/>
  <c r="AF656" i="5"/>
  <c r="AH656" i="6" s="1"/>
  <c r="F657" i="5"/>
  <c r="H657" i="6" s="1"/>
  <c r="J657" i="5"/>
  <c r="L657" i="6" s="1"/>
  <c r="N657" i="5"/>
  <c r="P657" i="6" s="1"/>
  <c r="R657" i="5"/>
  <c r="T657" i="6" s="1"/>
  <c r="V657" i="5"/>
  <c r="X657" i="6" s="1"/>
  <c r="Z657" i="5"/>
  <c r="AB657" i="6" s="1"/>
  <c r="AD657" i="5"/>
  <c r="AF657" i="6" s="1"/>
  <c r="D658" i="5"/>
  <c r="F658" i="6" s="1"/>
  <c r="H658" i="5"/>
  <c r="J658" i="6" s="1"/>
  <c r="L658" i="5"/>
  <c r="N658" i="6" s="1"/>
  <c r="P658" i="5"/>
  <c r="R658" i="6" s="1"/>
  <c r="T658" i="5"/>
  <c r="V658" i="6" s="1"/>
  <c r="X658" i="5"/>
  <c r="Z658" i="6" s="1"/>
  <c r="AB658" i="5"/>
  <c r="AD658" i="6" s="1"/>
  <c r="AF658" i="5"/>
  <c r="AH658" i="6" s="1"/>
  <c r="F659" i="5"/>
  <c r="H659" i="6" s="1"/>
  <c r="J659" i="5"/>
  <c r="L659" i="6" s="1"/>
  <c r="N659" i="5"/>
  <c r="P659" i="6" s="1"/>
  <c r="R659" i="5"/>
  <c r="T659" i="6" s="1"/>
  <c r="V659" i="5"/>
  <c r="X659" i="6" s="1"/>
  <c r="Z659" i="5"/>
  <c r="AB659" i="6" s="1"/>
  <c r="AD659" i="5"/>
  <c r="AF659" i="6" s="1"/>
  <c r="D660" i="5"/>
  <c r="F660" i="6" s="1"/>
  <c r="H660" i="5"/>
  <c r="J660" i="6" s="1"/>
  <c r="L660" i="5"/>
  <c r="N660" i="6" s="1"/>
  <c r="P660" i="5"/>
  <c r="R660" i="6" s="1"/>
  <c r="T660" i="5"/>
  <c r="V660" i="6" s="1"/>
  <c r="X660" i="5"/>
  <c r="Z660" i="6" s="1"/>
  <c r="AB660" i="5"/>
  <c r="AD660" i="6" s="1"/>
  <c r="AF660" i="5"/>
  <c r="AH660" i="6" s="1"/>
  <c r="F661" i="5"/>
  <c r="H661" i="6" s="1"/>
  <c r="J661" i="5"/>
  <c r="L661" i="6" s="1"/>
  <c r="N661" i="5"/>
  <c r="P661" i="6" s="1"/>
  <c r="R661" i="5"/>
  <c r="T661" i="6" s="1"/>
  <c r="V661" i="5"/>
  <c r="X661" i="6" s="1"/>
  <c r="Z661" i="5"/>
  <c r="AB661" i="6" s="1"/>
  <c r="AD661" i="5"/>
  <c r="AF661" i="6" s="1"/>
  <c r="D662" i="5"/>
  <c r="F662" i="6" s="1"/>
  <c r="H662" i="5"/>
  <c r="J662" i="6" s="1"/>
  <c r="L662" i="5"/>
  <c r="N662" i="6" s="1"/>
  <c r="P662" i="5"/>
  <c r="R662" i="6" s="1"/>
  <c r="T662" i="5"/>
  <c r="V662" i="6" s="1"/>
  <c r="X662" i="5"/>
  <c r="Z662" i="6" s="1"/>
  <c r="AB662" i="5"/>
  <c r="AD662" i="6" s="1"/>
  <c r="AF662" i="5"/>
  <c r="AH662" i="6" s="1"/>
  <c r="F663" i="5"/>
  <c r="H663" i="6" s="1"/>
  <c r="J663" i="5"/>
  <c r="L663" i="6" s="1"/>
  <c r="N663" i="5"/>
  <c r="P663" i="6" s="1"/>
  <c r="R663" i="5"/>
  <c r="T663" i="6" s="1"/>
  <c r="V663" i="5"/>
  <c r="X663" i="6" s="1"/>
  <c r="Z663" i="5"/>
  <c r="AB663" i="6" s="1"/>
  <c r="AD663" i="5"/>
  <c r="AF663" i="6" s="1"/>
  <c r="D664" i="5"/>
  <c r="F664" i="6" s="1"/>
  <c r="H664" i="5"/>
  <c r="J664" i="6" s="1"/>
  <c r="L664" i="5"/>
  <c r="N664" i="6" s="1"/>
  <c r="P664" i="5"/>
  <c r="R664" i="6" s="1"/>
  <c r="T664" i="5"/>
  <c r="V664" i="6" s="1"/>
  <c r="X664" i="5"/>
  <c r="Z664" i="6" s="1"/>
  <c r="AB664" i="5"/>
  <c r="AD664" i="6" s="1"/>
  <c r="AF664" i="5"/>
  <c r="AH664" i="6" s="1"/>
  <c r="F665" i="5"/>
  <c r="H665" i="6" s="1"/>
  <c r="J665" i="5"/>
  <c r="L665" i="6" s="1"/>
  <c r="N665" i="5"/>
  <c r="P665" i="6" s="1"/>
  <c r="R665" i="5"/>
  <c r="T665" i="6" s="1"/>
  <c r="V665" i="5"/>
  <c r="X665" i="6" s="1"/>
  <c r="Z665" i="5"/>
  <c r="AB665" i="6" s="1"/>
  <c r="AD665" i="5"/>
  <c r="AF665" i="6" s="1"/>
  <c r="D666" i="5"/>
  <c r="F666" i="6" s="1"/>
  <c r="H666" i="5"/>
  <c r="J666" i="6" s="1"/>
  <c r="L666" i="5"/>
  <c r="N666" i="6" s="1"/>
  <c r="P666" i="5"/>
  <c r="R666" i="6" s="1"/>
  <c r="T666" i="5"/>
  <c r="V666" i="6" s="1"/>
  <c r="X666" i="5"/>
  <c r="Z666" i="6" s="1"/>
  <c r="AB666" i="5"/>
  <c r="AD666" i="6" s="1"/>
  <c r="AF666" i="5"/>
  <c r="AH666" i="6" s="1"/>
  <c r="F667" i="5"/>
  <c r="H667" i="6" s="1"/>
  <c r="J667" i="5"/>
  <c r="L667" i="6" s="1"/>
  <c r="N667" i="5"/>
  <c r="P667" i="6" s="1"/>
  <c r="R667" i="5"/>
  <c r="T667" i="6" s="1"/>
  <c r="V667" i="5"/>
  <c r="X667" i="6" s="1"/>
  <c r="Z667" i="5"/>
  <c r="AB667" i="6" s="1"/>
  <c r="AD667" i="5"/>
  <c r="AF667" i="6" s="1"/>
  <c r="D668" i="5"/>
  <c r="F668" i="6" s="1"/>
  <c r="H668" i="5"/>
  <c r="J668" i="6" s="1"/>
  <c r="L668" i="5"/>
  <c r="N668" i="6" s="1"/>
  <c r="P668" i="5"/>
  <c r="R668" i="6" s="1"/>
  <c r="T668" i="5"/>
  <c r="V668" i="6" s="1"/>
  <c r="X668" i="5"/>
  <c r="Z668" i="6" s="1"/>
  <c r="AB668" i="5"/>
  <c r="AD668" i="6" s="1"/>
  <c r="AF668" i="5"/>
  <c r="AH668" i="6" s="1"/>
  <c r="F669" i="5"/>
  <c r="H669" i="6" s="1"/>
  <c r="J669" i="5"/>
  <c r="L669" i="6" s="1"/>
  <c r="N669" i="5"/>
  <c r="P669" i="6" s="1"/>
  <c r="R669" i="5"/>
  <c r="T669" i="6" s="1"/>
  <c r="V669" i="5"/>
  <c r="X669" i="6" s="1"/>
  <c r="Z669" i="5"/>
  <c r="AB669" i="6" s="1"/>
  <c r="AD669" i="5"/>
  <c r="AF669" i="6" s="1"/>
  <c r="D670" i="5"/>
  <c r="F670" i="6" s="1"/>
  <c r="H670" i="5"/>
  <c r="J670" i="6" s="1"/>
  <c r="L670" i="5"/>
  <c r="N670" i="6" s="1"/>
  <c r="P670" i="5"/>
  <c r="R670" i="6" s="1"/>
  <c r="T670" i="5"/>
  <c r="V670" i="6" s="1"/>
  <c r="X670" i="5"/>
  <c r="Z670" i="6" s="1"/>
  <c r="AB670" i="5"/>
  <c r="AD670" i="6" s="1"/>
  <c r="AF670" i="5"/>
  <c r="AH670" i="6" s="1"/>
  <c r="F671" i="5"/>
  <c r="H671" i="6" s="1"/>
  <c r="J671" i="5"/>
  <c r="L671" i="6" s="1"/>
  <c r="N671" i="5"/>
  <c r="P671" i="6" s="1"/>
  <c r="R671" i="5"/>
  <c r="T671" i="6" s="1"/>
  <c r="V671" i="5"/>
  <c r="X671" i="6" s="1"/>
  <c r="Z671" i="5"/>
  <c r="AB671" i="6" s="1"/>
  <c r="AD671" i="5"/>
  <c r="AF671" i="6" s="1"/>
  <c r="D672" i="5"/>
  <c r="F672" i="6" s="1"/>
  <c r="H672" i="5"/>
  <c r="J672" i="6" s="1"/>
  <c r="L672" i="5"/>
  <c r="N672" i="6" s="1"/>
  <c r="P672" i="5"/>
  <c r="R672" i="6" s="1"/>
  <c r="T672" i="5"/>
  <c r="V672" i="6" s="1"/>
  <c r="X672" i="5"/>
  <c r="Z672" i="6" s="1"/>
  <c r="AB672" i="5"/>
  <c r="AD672" i="6" s="1"/>
  <c r="AF672" i="5"/>
  <c r="AH672" i="6" s="1"/>
  <c r="F673" i="5"/>
  <c r="H673" i="6" s="1"/>
  <c r="J673" i="5"/>
  <c r="L673" i="6" s="1"/>
  <c r="N673" i="5"/>
  <c r="P673" i="6" s="1"/>
  <c r="R673" i="5"/>
  <c r="T673" i="6" s="1"/>
  <c r="V673" i="5"/>
  <c r="X673" i="6" s="1"/>
  <c r="Z673" i="5"/>
  <c r="AB673" i="6" s="1"/>
  <c r="AD673" i="5"/>
  <c r="AF673" i="6" s="1"/>
  <c r="D674" i="5"/>
  <c r="F674" i="6" s="1"/>
  <c r="H674" i="5"/>
  <c r="J674" i="6" s="1"/>
  <c r="L674" i="5"/>
  <c r="N674" i="6" s="1"/>
  <c r="P674" i="5"/>
  <c r="R674" i="6" s="1"/>
  <c r="T674" i="5"/>
  <c r="V674" i="6" s="1"/>
  <c r="X674" i="5"/>
  <c r="Z674" i="6" s="1"/>
  <c r="AB674" i="5"/>
  <c r="AD674" i="6" s="1"/>
  <c r="AF674" i="5"/>
  <c r="AH674" i="6" s="1"/>
  <c r="F675" i="5"/>
  <c r="H675" i="6" s="1"/>
  <c r="J675" i="5"/>
  <c r="L675" i="6" s="1"/>
  <c r="N675" i="5"/>
  <c r="P675" i="6" s="1"/>
  <c r="R675" i="5"/>
  <c r="T675" i="6" s="1"/>
  <c r="V675" i="5"/>
  <c r="X675" i="6" s="1"/>
  <c r="Z675" i="5"/>
  <c r="AB675" i="6" s="1"/>
  <c r="AD675" i="5"/>
  <c r="AF675" i="6" s="1"/>
  <c r="D676" i="5"/>
  <c r="F676" i="6" s="1"/>
  <c r="H676" i="5"/>
  <c r="J676" i="6" s="1"/>
  <c r="L676" i="5"/>
  <c r="N676" i="6" s="1"/>
  <c r="P676" i="5"/>
  <c r="R676" i="6" s="1"/>
  <c r="T676" i="5"/>
  <c r="V676" i="6" s="1"/>
  <c r="X676" i="5"/>
  <c r="Z676" i="6" s="1"/>
  <c r="AB676" i="5"/>
  <c r="AD676" i="6" s="1"/>
  <c r="AF676" i="5"/>
  <c r="AH676" i="6" s="1"/>
  <c r="F677" i="5"/>
  <c r="H677" i="6" s="1"/>
  <c r="J677" i="5"/>
  <c r="L677" i="6" s="1"/>
  <c r="N677" i="5"/>
  <c r="P677" i="6" s="1"/>
  <c r="R677" i="5"/>
  <c r="T677" i="6" s="1"/>
  <c r="V677" i="5"/>
  <c r="X677" i="6" s="1"/>
  <c r="Z677" i="5"/>
  <c r="AB677" i="6" s="1"/>
  <c r="AD677" i="5"/>
  <c r="AF677" i="6" s="1"/>
  <c r="D678" i="5"/>
  <c r="F678" i="6" s="1"/>
  <c r="H678" i="5"/>
  <c r="J678" i="6" s="1"/>
  <c r="L678" i="5"/>
  <c r="N678" i="6" s="1"/>
  <c r="P678" i="5"/>
  <c r="R678" i="6" s="1"/>
  <c r="T678" i="5"/>
  <c r="V678" i="6" s="1"/>
  <c r="X678" i="5"/>
  <c r="Z678" i="6" s="1"/>
  <c r="AB678" i="5"/>
  <c r="AD678" i="6" s="1"/>
  <c r="AF678" i="5"/>
  <c r="AH678" i="6" s="1"/>
  <c r="F679" i="5"/>
  <c r="H679" i="6" s="1"/>
  <c r="J679" i="5"/>
  <c r="L679" i="6" s="1"/>
  <c r="N679" i="5"/>
  <c r="P679" i="6" s="1"/>
  <c r="R679" i="5"/>
  <c r="T679" i="6" s="1"/>
  <c r="V679" i="5"/>
  <c r="X679" i="6" s="1"/>
  <c r="Z679" i="5"/>
  <c r="AB679" i="6" s="1"/>
  <c r="AD679" i="5"/>
  <c r="AF679" i="6" s="1"/>
  <c r="D680" i="5"/>
  <c r="F680" i="6" s="1"/>
  <c r="H680" i="5"/>
  <c r="J680" i="6" s="1"/>
  <c r="L680" i="5"/>
  <c r="N680" i="6" s="1"/>
  <c r="P680" i="5"/>
  <c r="R680" i="6" s="1"/>
  <c r="T680" i="5"/>
  <c r="V680" i="6" s="1"/>
  <c r="X680" i="5"/>
  <c r="Z680" i="6" s="1"/>
  <c r="AB680" i="5"/>
  <c r="AD680" i="6" s="1"/>
  <c r="AF680" i="5"/>
  <c r="AH680" i="6" s="1"/>
  <c r="F681" i="5"/>
  <c r="H681" i="6" s="1"/>
  <c r="J681" i="5"/>
  <c r="L681" i="6" s="1"/>
  <c r="N681" i="5"/>
  <c r="P681" i="6" s="1"/>
  <c r="R681" i="5"/>
  <c r="T681" i="6" s="1"/>
  <c r="V681" i="5"/>
  <c r="X681" i="6" s="1"/>
  <c r="Z681" i="5"/>
  <c r="AB681" i="6" s="1"/>
  <c r="AD681" i="5"/>
  <c r="AF681" i="6" s="1"/>
  <c r="D682" i="5"/>
  <c r="F682" i="6" s="1"/>
  <c r="H682" i="5"/>
  <c r="J682" i="6" s="1"/>
  <c r="L682" i="5"/>
  <c r="N682" i="6" s="1"/>
  <c r="P682" i="5"/>
  <c r="R682" i="6" s="1"/>
  <c r="T682" i="5"/>
  <c r="V682" i="6" s="1"/>
  <c r="X682" i="5"/>
  <c r="Z682" i="6" s="1"/>
  <c r="AB682" i="5"/>
  <c r="AD682" i="6" s="1"/>
  <c r="AF682" i="5"/>
  <c r="AH682" i="6" s="1"/>
  <c r="F683" i="5"/>
  <c r="H683" i="6" s="1"/>
  <c r="J683" i="5"/>
  <c r="L683" i="6" s="1"/>
  <c r="N683" i="5"/>
  <c r="P683" i="6" s="1"/>
  <c r="R683" i="5"/>
  <c r="T683" i="6" s="1"/>
  <c r="V683" i="5"/>
  <c r="X683" i="6" s="1"/>
  <c r="Z683" i="5"/>
  <c r="AB683" i="6" s="1"/>
  <c r="AD683" i="5"/>
  <c r="AF683" i="6" s="1"/>
  <c r="D684" i="5"/>
  <c r="F684" i="6" s="1"/>
  <c r="H684" i="5"/>
  <c r="J684" i="6" s="1"/>
  <c r="L684" i="5"/>
  <c r="N684" i="6" s="1"/>
  <c r="P684" i="5"/>
  <c r="R684" i="6" s="1"/>
  <c r="T684" i="5"/>
  <c r="V684" i="6" s="1"/>
  <c r="X684" i="5"/>
  <c r="Z684" i="6" s="1"/>
  <c r="AB684" i="5"/>
  <c r="AD684" i="6" s="1"/>
  <c r="AF684" i="5"/>
  <c r="AH684" i="6" s="1"/>
  <c r="F685" i="5"/>
  <c r="H685" i="6" s="1"/>
  <c r="J685" i="5"/>
  <c r="L685" i="6" s="1"/>
  <c r="N685" i="5"/>
  <c r="P685" i="6" s="1"/>
  <c r="R685" i="5"/>
  <c r="T685" i="6" s="1"/>
  <c r="V685" i="5"/>
  <c r="X685" i="6" s="1"/>
  <c r="Z685" i="5"/>
  <c r="AB685" i="6" s="1"/>
  <c r="AD685" i="5"/>
  <c r="AF685" i="6" s="1"/>
  <c r="D686" i="5"/>
  <c r="F686" i="6" s="1"/>
  <c r="H686" i="5"/>
  <c r="J686" i="6" s="1"/>
  <c r="L686" i="5"/>
  <c r="N686" i="6" s="1"/>
  <c r="P686" i="5"/>
  <c r="R686" i="6" s="1"/>
  <c r="T686" i="5"/>
  <c r="V686" i="6" s="1"/>
  <c r="X686" i="5"/>
  <c r="Z686" i="6" s="1"/>
  <c r="AB686" i="5"/>
  <c r="AD686" i="6" s="1"/>
  <c r="AF686" i="5"/>
  <c r="AH686" i="6" s="1"/>
  <c r="F687" i="5"/>
  <c r="H687" i="6" s="1"/>
  <c r="J687" i="5"/>
  <c r="L687" i="6" s="1"/>
  <c r="N687" i="5"/>
  <c r="P687" i="6" s="1"/>
  <c r="R687" i="5"/>
  <c r="T687" i="6" s="1"/>
  <c r="V687" i="5"/>
  <c r="X687" i="6" s="1"/>
  <c r="Z687" i="5"/>
  <c r="AB687" i="6" s="1"/>
  <c r="AD687" i="5"/>
  <c r="AF687" i="6" s="1"/>
  <c r="M418" i="5"/>
  <c r="O418" i="6" s="1"/>
  <c r="Q418" i="5"/>
  <c r="S418" i="6" s="1"/>
  <c r="U418" i="5"/>
  <c r="W418" i="6" s="1"/>
  <c r="Y418" i="5"/>
  <c r="AA418" i="6" s="1"/>
  <c r="AC418" i="5"/>
  <c r="AE418" i="6" s="1"/>
  <c r="AG418" i="5"/>
  <c r="AI418" i="6" s="1"/>
  <c r="G419" i="5"/>
  <c r="I419" i="6" s="1"/>
  <c r="K419" i="5"/>
  <c r="M419" i="6" s="1"/>
  <c r="O419" i="5"/>
  <c r="Q419" i="6" s="1"/>
  <c r="S419" i="5"/>
  <c r="U419" i="6" s="1"/>
  <c r="W419" i="5"/>
  <c r="Y419" i="6" s="1"/>
  <c r="AA419" i="5"/>
  <c r="AC419" i="6" s="1"/>
  <c r="AE419" i="5"/>
  <c r="AG419" i="6" s="1"/>
  <c r="E420" i="5"/>
  <c r="G420" i="6" s="1"/>
  <c r="I420" i="5"/>
  <c r="K420" i="6" s="1"/>
  <c r="M420" i="5"/>
  <c r="O420" i="6" s="1"/>
  <c r="Q420" i="5"/>
  <c r="S420" i="6" s="1"/>
  <c r="U420" i="5"/>
  <c r="W420" i="6" s="1"/>
  <c r="Y420" i="5"/>
  <c r="AA420" i="6" s="1"/>
  <c r="AC420" i="5"/>
  <c r="AE420" i="6" s="1"/>
  <c r="AG420" i="5"/>
  <c r="AI420" i="6" s="1"/>
  <c r="G421" i="5"/>
  <c r="I421" i="6" s="1"/>
  <c r="K421" i="5"/>
  <c r="M421" i="6" s="1"/>
  <c r="O421" i="5"/>
  <c r="Q421" i="6" s="1"/>
  <c r="S421" i="5"/>
  <c r="U421" i="6" s="1"/>
  <c r="W421" i="5"/>
  <c r="Y421" i="6" s="1"/>
  <c r="AA421" i="5"/>
  <c r="AC421" i="6" s="1"/>
  <c r="AE421" i="5"/>
  <c r="AG421" i="6" s="1"/>
  <c r="E422" i="5"/>
  <c r="G422" i="6" s="1"/>
  <c r="I422" i="5"/>
  <c r="K422" i="6" s="1"/>
  <c r="M422" i="5"/>
  <c r="O422" i="6" s="1"/>
  <c r="Q422" i="5"/>
  <c r="S422" i="6" s="1"/>
  <c r="U422" i="5"/>
  <c r="W422" i="6" s="1"/>
  <c r="Y422" i="5"/>
  <c r="AA422" i="6" s="1"/>
  <c r="AC422" i="5"/>
  <c r="AE422" i="6" s="1"/>
  <c r="AG422" i="5"/>
  <c r="AI422" i="6" s="1"/>
  <c r="G423" i="5"/>
  <c r="I423" i="6" s="1"/>
  <c r="K423" i="5"/>
  <c r="M423" i="6" s="1"/>
  <c r="O423" i="5"/>
  <c r="Q423" i="6" s="1"/>
  <c r="S423" i="5"/>
  <c r="U423" i="6" s="1"/>
  <c r="W423" i="5"/>
  <c r="Y423" i="6" s="1"/>
  <c r="AA423" i="5"/>
  <c r="AC423" i="6" s="1"/>
  <c r="AE423" i="5"/>
  <c r="AG423" i="6" s="1"/>
  <c r="E424" i="5"/>
  <c r="G424" i="6" s="1"/>
  <c r="I424" i="5"/>
  <c r="K424" i="6" s="1"/>
  <c r="M424" i="5"/>
  <c r="O424" i="6" s="1"/>
  <c r="Q424" i="5"/>
  <c r="S424" i="6" s="1"/>
  <c r="U424" i="5"/>
  <c r="W424" i="6" s="1"/>
  <c r="Y424" i="5"/>
  <c r="AA424" i="6" s="1"/>
  <c r="AC424" i="5"/>
  <c r="AE424" i="6" s="1"/>
  <c r="AG424" i="5"/>
  <c r="AI424" i="6" s="1"/>
  <c r="G425" i="5"/>
  <c r="I425" i="6" s="1"/>
  <c r="O425" i="5"/>
  <c r="Q425" i="6" s="1"/>
  <c r="S425" i="5"/>
  <c r="U425" i="6" s="1"/>
  <c r="W425" i="5"/>
  <c r="Y425" i="6" s="1"/>
  <c r="AA425" i="5"/>
  <c r="AC425" i="6" s="1"/>
  <c r="AE425" i="5"/>
  <c r="AG425" i="6" s="1"/>
  <c r="E426" i="5"/>
  <c r="G426" i="6" s="1"/>
  <c r="I426" i="5"/>
  <c r="K426" i="6" s="1"/>
  <c r="M426" i="5"/>
  <c r="O426" i="6" s="1"/>
  <c r="Q426" i="5"/>
  <c r="S426" i="6" s="1"/>
  <c r="U426" i="5"/>
  <c r="W426" i="6" s="1"/>
  <c r="Y426" i="5"/>
  <c r="AA426" i="6" s="1"/>
  <c r="AC426" i="5"/>
  <c r="AE426" i="6" s="1"/>
  <c r="AG426" i="5"/>
  <c r="AI426" i="6" s="1"/>
  <c r="G427" i="5"/>
  <c r="I427" i="6" s="1"/>
  <c r="K427" i="5"/>
  <c r="M427" i="6" s="1"/>
  <c r="O427" i="5"/>
  <c r="Q427" i="6" s="1"/>
  <c r="S427" i="5"/>
  <c r="U427" i="6" s="1"/>
  <c r="W427" i="5"/>
  <c r="Y427" i="6" s="1"/>
  <c r="AA427" i="5"/>
  <c r="AC427" i="6" s="1"/>
  <c r="AE427" i="5"/>
  <c r="AG427" i="6" s="1"/>
  <c r="E428" i="5"/>
  <c r="G428" i="6" s="1"/>
  <c r="I428" i="5"/>
  <c r="K428" i="6" s="1"/>
  <c r="M428" i="5"/>
  <c r="O428" i="6" s="1"/>
  <c r="Q428" i="5"/>
  <c r="S428" i="6" s="1"/>
  <c r="U428" i="5"/>
  <c r="W428" i="6" s="1"/>
  <c r="Y428" i="5"/>
  <c r="AA428" i="6" s="1"/>
  <c r="AC428" i="5"/>
  <c r="AE428" i="6" s="1"/>
  <c r="AG428" i="5"/>
  <c r="AI428" i="6" s="1"/>
  <c r="G429" i="5"/>
  <c r="I429" i="6" s="1"/>
  <c r="K429" i="5"/>
  <c r="M429" i="6" s="1"/>
  <c r="O429" i="5"/>
  <c r="Q429" i="6" s="1"/>
  <c r="S429" i="5"/>
  <c r="U429" i="6" s="1"/>
  <c r="W429" i="5"/>
  <c r="Y429" i="6" s="1"/>
  <c r="AA429" i="5"/>
  <c r="AC429" i="6" s="1"/>
  <c r="AE429" i="5"/>
  <c r="AG429" i="6" s="1"/>
  <c r="E430" i="5"/>
  <c r="G430" i="6" s="1"/>
  <c r="I430" i="5"/>
  <c r="K430" i="6" s="1"/>
  <c r="M430" i="5"/>
  <c r="O430" i="6" s="1"/>
  <c r="Q430" i="5"/>
  <c r="S430" i="6" s="1"/>
  <c r="U430" i="5"/>
  <c r="W430" i="6" s="1"/>
  <c r="Y430" i="5"/>
  <c r="AA430" i="6" s="1"/>
  <c r="AC430" i="5"/>
  <c r="AE430" i="6" s="1"/>
  <c r="AG430" i="5"/>
  <c r="AI430" i="6" s="1"/>
  <c r="G431" i="5"/>
  <c r="I431" i="6" s="1"/>
  <c r="K431" i="5"/>
  <c r="M431" i="6" s="1"/>
  <c r="O431" i="5"/>
  <c r="Q431" i="6" s="1"/>
  <c r="S431" i="5"/>
  <c r="U431" i="6" s="1"/>
  <c r="W431" i="5"/>
  <c r="Y431" i="6" s="1"/>
  <c r="AA431" i="5"/>
  <c r="AC431" i="6" s="1"/>
  <c r="AE431" i="5"/>
  <c r="AG431" i="6" s="1"/>
  <c r="E432" i="5"/>
  <c r="G432" i="6" s="1"/>
  <c r="I432" i="5"/>
  <c r="K432" i="6" s="1"/>
  <c r="M432" i="5"/>
  <c r="O432" i="6" s="1"/>
  <c r="Q432" i="5"/>
  <c r="S432" i="6" s="1"/>
  <c r="U432" i="5"/>
  <c r="W432" i="6" s="1"/>
  <c r="Y432" i="5"/>
  <c r="AA432" i="6" s="1"/>
  <c r="AC432" i="5"/>
  <c r="AE432" i="6" s="1"/>
  <c r="AG432" i="5"/>
  <c r="AI432" i="6" s="1"/>
  <c r="G433" i="5"/>
  <c r="I433" i="6" s="1"/>
  <c r="K433" i="5"/>
  <c r="M433" i="6" s="1"/>
  <c r="O433" i="5"/>
  <c r="Q433" i="6" s="1"/>
  <c r="S433" i="5"/>
  <c r="U433" i="6" s="1"/>
  <c r="W433" i="5"/>
  <c r="Y433" i="6" s="1"/>
  <c r="AA433" i="5"/>
  <c r="AC433" i="6" s="1"/>
  <c r="AE433" i="5"/>
  <c r="AG433" i="6" s="1"/>
  <c r="E434" i="5"/>
  <c r="G434" i="6" s="1"/>
  <c r="I434" i="5"/>
  <c r="K434" i="6" s="1"/>
  <c r="M434" i="5"/>
  <c r="O434" i="6" s="1"/>
  <c r="Q434" i="5"/>
  <c r="S434" i="6" s="1"/>
  <c r="U434" i="5"/>
  <c r="W434" i="6" s="1"/>
  <c r="Y434" i="5"/>
  <c r="AA434" i="6" s="1"/>
  <c r="AC434" i="5"/>
  <c r="AE434" i="6" s="1"/>
  <c r="AG434" i="5"/>
  <c r="AI434" i="6" s="1"/>
  <c r="G435" i="5"/>
  <c r="I435" i="6" s="1"/>
  <c r="K435" i="5"/>
  <c r="M435" i="6" s="1"/>
  <c r="O435" i="5"/>
  <c r="Q435" i="6" s="1"/>
  <c r="S435" i="5"/>
  <c r="U435" i="6" s="1"/>
  <c r="W435" i="5"/>
  <c r="Y435" i="6" s="1"/>
  <c r="AA435" i="5"/>
  <c r="AC435" i="6" s="1"/>
  <c r="AE435" i="5"/>
  <c r="AG435" i="6" s="1"/>
  <c r="E436" i="5"/>
  <c r="G436" i="6" s="1"/>
  <c r="I436" i="5"/>
  <c r="K436" i="6" s="1"/>
  <c r="M436" i="5"/>
  <c r="O436" i="6" s="1"/>
  <c r="Q436" i="5"/>
  <c r="S436" i="6" s="1"/>
  <c r="U436" i="5"/>
  <c r="W436" i="6" s="1"/>
  <c r="Y436" i="5"/>
  <c r="AA436" i="6" s="1"/>
  <c r="AC436" i="5"/>
  <c r="AE436" i="6" s="1"/>
  <c r="AG436" i="5"/>
  <c r="AI436" i="6" s="1"/>
  <c r="G437" i="5"/>
  <c r="I437" i="6" s="1"/>
  <c r="K437" i="5"/>
  <c r="M437" i="6" s="1"/>
  <c r="O437" i="5"/>
  <c r="Q437" i="6" s="1"/>
  <c r="S437" i="5"/>
  <c r="U437" i="6" s="1"/>
  <c r="W437" i="5"/>
  <c r="Y437" i="6" s="1"/>
  <c r="AA437" i="5"/>
  <c r="AC437" i="6" s="1"/>
  <c r="AE437" i="5"/>
  <c r="AG437" i="6" s="1"/>
  <c r="E438" i="5"/>
  <c r="G438" i="6" s="1"/>
  <c r="I438" i="5"/>
  <c r="K438" i="6" s="1"/>
  <c r="M438" i="5"/>
  <c r="O438" i="6" s="1"/>
  <c r="Q438" i="5"/>
  <c r="S438" i="6" s="1"/>
  <c r="U438" i="5"/>
  <c r="W438" i="6" s="1"/>
  <c r="Y438" i="5"/>
  <c r="AA438" i="6" s="1"/>
  <c r="AC438" i="5"/>
  <c r="AE438" i="6" s="1"/>
  <c r="AG438" i="5"/>
  <c r="AI438" i="6" s="1"/>
  <c r="G439" i="5"/>
  <c r="I439" i="6" s="1"/>
  <c r="K439" i="5"/>
  <c r="M439" i="6" s="1"/>
  <c r="O439" i="5"/>
  <c r="Q439" i="6" s="1"/>
  <c r="S439" i="5"/>
  <c r="U439" i="6" s="1"/>
  <c r="W439" i="5"/>
  <c r="Y439" i="6" s="1"/>
  <c r="AA439" i="5"/>
  <c r="AC439" i="6" s="1"/>
  <c r="AE439" i="5"/>
  <c r="AG439" i="6" s="1"/>
  <c r="E440" i="5"/>
  <c r="G440" i="6" s="1"/>
  <c r="I440" i="5"/>
  <c r="K440" i="6" s="1"/>
  <c r="M440" i="5"/>
  <c r="O440" i="6" s="1"/>
  <c r="Q440" i="5"/>
  <c r="S440" i="6" s="1"/>
  <c r="U440" i="5"/>
  <c r="W440" i="6" s="1"/>
  <c r="Y440" i="5"/>
  <c r="AA440" i="6" s="1"/>
  <c r="AC440" i="5"/>
  <c r="AE440" i="6" s="1"/>
  <c r="AG440" i="5"/>
  <c r="AI440" i="6" s="1"/>
  <c r="G441" i="5"/>
  <c r="I441" i="6" s="1"/>
  <c r="K441" i="5"/>
  <c r="M441" i="6" s="1"/>
  <c r="O441" i="5"/>
  <c r="Q441" i="6" s="1"/>
  <c r="S441" i="5"/>
  <c r="U441" i="6" s="1"/>
  <c r="W441" i="5"/>
  <c r="Y441" i="6" s="1"/>
  <c r="AA441" i="5"/>
  <c r="AC441" i="6" s="1"/>
  <c r="AE441" i="5"/>
  <c r="AG441" i="6" s="1"/>
  <c r="E442" i="5"/>
  <c r="G442" i="6" s="1"/>
  <c r="I442" i="5"/>
  <c r="K442" i="6" s="1"/>
  <c r="M442" i="5"/>
  <c r="O442" i="6" s="1"/>
  <c r="Q442" i="5"/>
  <c r="S442" i="6" s="1"/>
  <c r="U442" i="5"/>
  <c r="W442" i="6" s="1"/>
  <c r="Y442" i="5"/>
  <c r="AA442" i="6" s="1"/>
  <c r="AC442" i="5"/>
  <c r="AE442" i="6" s="1"/>
  <c r="AG442" i="5"/>
  <c r="AI442" i="6" s="1"/>
  <c r="G443" i="5"/>
  <c r="I443" i="6" s="1"/>
  <c r="K443" i="5"/>
  <c r="M443" i="6" s="1"/>
  <c r="O443" i="5"/>
  <c r="Q443" i="6" s="1"/>
  <c r="S443" i="5"/>
  <c r="U443" i="6" s="1"/>
  <c r="W443" i="5"/>
  <c r="Y443" i="6" s="1"/>
  <c r="AA443" i="5"/>
  <c r="AC443" i="6" s="1"/>
  <c r="AE443" i="5"/>
  <c r="AG443" i="6" s="1"/>
  <c r="E444" i="5"/>
  <c r="G444" i="6" s="1"/>
  <c r="I444" i="5"/>
  <c r="K444" i="6" s="1"/>
  <c r="M444" i="5"/>
  <c r="O444" i="6" s="1"/>
  <c r="Q444" i="5"/>
  <c r="S444" i="6" s="1"/>
  <c r="U444" i="5"/>
  <c r="W444" i="6" s="1"/>
  <c r="Y444" i="5"/>
  <c r="AA444" i="6" s="1"/>
  <c r="AC444" i="5"/>
  <c r="AE444" i="6" s="1"/>
  <c r="AG444" i="5"/>
  <c r="AI444" i="6" s="1"/>
  <c r="G445" i="5"/>
  <c r="I445" i="6" s="1"/>
  <c r="K445" i="5"/>
  <c r="M445" i="6" s="1"/>
  <c r="O445" i="5"/>
  <c r="Q445" i="6" s="1"/>
  <c r="S445" i="5"/>
  <c r="U445" i="6" s="1"/>
  <c r="W445" i="5"/>
  <c r="Y445" i="6" s="1"/>
  <c r="AA445" i="5"/>
  <c r="AC445" i="6" s="1"/>
  <c r="AE445" i="5"/>
  <c r="AG445" i="6" s="1"/>
  <c r="E446" i="5"/>
  <c r="G446" i="6" s="1"/>
  <c r="I446" i="5"/>
  <c r="K446" i="6" s="1"/>
  <c r="M446" i="5"/>
  <c r="O446" i="6" s="1"/>
  <c r="Q446" i="5"/>
  <c r="S446" i="6" s="1"/>
  <c r="U446" i="5"/>
  <c r="W446" i="6" s="1"/>
  <c r="Y446" i="5"/>
  <c r="AA446" i="6" s="1"/>
  <c r="AC446" i="5"/>
  <c r="AE446" i="6" s="1"/>
  <c r="AG446" i="5"/>
  <c r="AI446" i="6" s="1"/>
  <c r="G447" i="5"/>
  <c r="I447" i="6" s="1"/>
  <c r="K447" i="5"/>
  <c r="M447" i="6" s="1"/>
  <c r="O447" i="5"/>
  <c r="Q447" i="6" s="1"/>
  <c r="S447" i="5"/>
  <c r="U447" i="6" s="1"/>
  <c r="W447" i="5"/>
  <c r="Y447" i="6" s="1"/>
  <c r="AA447" i="5"/>
  <c r="AC447" i="6" s="1"/>
  <c r="AE447" i="5"/>
  <c r="AG447" i="6" s="1"/>
  <c r="E448" i="5"/>
  <c r="G448" i="6" s="1"/>
  <c r="I448" i="5"/>
  <c r="K448" i="6" s="1"/>
  <c r="M448" i="5"/>
  <c r="O448" i="6" s="1"/>
  <c r="Q448" i="5"/>
  <c r="S448" i="6" s="1"/>
  <c r="U448" i="5"/>
  <c r="W448" i="6" s="1"/>
  <c r="Y448" i="5"/>
  <c r="AA448" i="6" s="1"/>
  <c r="AC448" i="5"/>
  <c r="AE448" i="6" s="1"/>
  <c r="AG448" i="5"/>
  <c r="AI448" i="6" s="1"/>
  <c r="G449" i="5"/>
  <c r="I449" i="6" s="1"/>
  <c r="K449" i="5"/>
  <c r="M449" i="6" s="1"/>
  <c r="O449" i="5"/>
  <c r="Q449" i="6" s="1"/>
  <c r="S449" i="5"/>
  <c r="U449" i="6" s="1"/>
  <c r="W449" i="5"/>
  <c r="Y449" i="6" s="1"/>
  <c r="AA449" i="5"/>
  <c r="AC449" i="6" s="1"/>
  <c r="AE449" i="5"/>
  <c r="AG449" i="6" s="1"/>
  <c r="E450" i="5"/>
  <c r="G450" i="6" s="1"/>
  <c r="I450" i="5"/>
  <c r="K450" i="6" s="1"/>
  <c r="M450" i="5"/>
  <c r="O450" i="6" s="1"/>
  <c r="Q450" i="5"/>
  <c r="S450" i="6" s="1"/>
  <c r="U450" i="5"/>
  <c r="W450" i="6" s="1"/>
  <c r="Y450" i="5"/>
  <c r="AA450" i="6" s="1"/>
  <c r="AC450" i="5"/>
  <c r="AE450" i="6" s="1"/>
  <c r="AG450" i="5"/>
  <c r="AI450" i="6" s="1"/>
  <c r="G451" i="5"/>
  <c r="I451" i="6" s="1"/>
  <c r="K451" i="5"/>
  <c r="M451" i="6" s="1"/>
  <c r="O451" i="5"/>
  <c r="Q451" i="6" s="1"/>
  <c r="S451" i="5"/>
  <c r="U451" i="6" s="1"/>
  <c r="W451" i="5"/>
  <c r="Y451" i="6" s="1"/>
  <c r="AA451" i="5"/>
  <c r="AC451" i="6" s="1"/>
  <c r="AE451" i="5"/>
  <c r="AG451" i="6" s="1"/>
  <c r="E452" i="5"/>
  <c r="G452" i="6" s="1"/>
  <c r="I452" i="5"/>
  <c r="K452" i="6" s="1"/>
  <c r="M452" i="5"/>
  <c r="O452" i="6" s="1"/>
  <c r="Q452" i="5"/>
  <c r="S452" i="6" s="1"/>
  <c r="U452" i="5"/>
  <c r="W452" i="6" s="1"/>
  <c r="Y452" i="5"/>
  <c r="AA452" i="6" s="1"/>
  <c r="AC452" i="5"/>
  <c r="AE452" i="6" s="1"/>
  <c r="AG452" i="5"/>
  <c r="AI452" i="6" s="1"/>
  <c r="G453" i="5"/>
  <c r="I453" i="6" s="1"/>
  <c r="K453" i="5"/>
  <c r="M453" i="6" s="1"/>
  <c r="O453" i="5"/>
  <c r="Q453" i="6" s="1"/>
  <c r="S453" i="5"/>
  <c r="U453" i="6" s="1"/>
  <c r="W453" i="5"/>
  <c r="Y453" i="6" s="1"/>
  <c r="AA453" i="5"/>
  <c r="AC453" i="6" s="1"/>
  <c r="AE453" i="5"/>
  <c r="AG453" i="6" s="1"/>
  <c r="E454" i="5"/>
  <c r="G454" i="6" s="1"/>
  <c r="I454" i="5"/>
  <c r="K454" i="6" s="1"/>
  <c r="M454" i="5"/>
  <c r="O454" i="6" s="1"/>
  <c r="Q454" i="5"/>
  <c r="S454" i="6" s="1"/>
  <c r="U454" i="5"/>
  <c r="W454" i="6" s="1"/>
  <c r="Y454" i="5"/>
  <c r="AA454" i="6" s="1"/>
  <c r="AC454" i="5"/>
  <c r="AE454" i="6" s="1"/>
  <c r="AG454" i="5"/>
  <c r="AI454" i="6" s="1"/>
  <c r="G455" i="5"/>
  <c r="I455" i="6" s="1"/>
  <c r="K455" i="5"/>
  <c r="M455" i="6" s="1"/>
  <c r="O455" i="5"/>
  <c r="Q455" i="6" s="1"/>
  <c r="S455" i="5"/>
  <c r="U455" i="6" s="1"/>
  <c r="W455" i="5"/>
  <c r="Y455" i="6" s="1"/>
  <c r="AA455" i="5"/>
  <c r="AC455" i="6" s="1"/>
  <c r="AE455" i="5"/>
  <c r="AG455" i="6" s="1"/>
  <c r="E456" i="5"/>
  <c r="G456" i="6" s="1"/>
  <c r="I456" i="5"/>
  <c r="K456" i="6" s="1"/>
  <c r="M456" i="5"/>
  <c r="O456" i="6" s="1"/>
  <c r="Q456" i="5"/>
  <c r="S456" i="6" s="1"/>
  <c r="U456" i="5"/>
  <c r="W456" i="6" s="1"/>
  <c r="Y456" i="5"/>
  <c r="AA456" i="6" s="1"/>
  <c r="AC456" i="5"/>
  <c r="AE456" i="6" s="1"/>
  <c r="AG456" i="5"/>
  <c r="AI456" i="6" s="1"/>
  <c r="G457" i="5"/>
  <c r="I457" i="6" s="1"/>
  <c r="K457" i="5"/>
  <c r="M457" i="6" s="1"/>
  <c r="O457" i="5"/>
  <c r="Q457" i="6" s="1"/>
  <c r="S457" i="5"/>
  <c r="U457" i="6" s="1"/>
  <c r="W457" i="5"/>
  <c r="Y457" i="6" s="1"/>
  <c r="AA457" i="5"/>
  <c r="AC457" i="6" s="1"/>
  <c r="AE457" i="5"/>
  <c r="AG457" i="6" s="1"/>
  <c r="E458" i="5"/>
  <c r="G458" i="6" s="1"/>
  <c r="I458" i="5"/>
  <c r="K458" i="6" s="1"/>
  <c r="M458" i="5"/>
  <c r="O458" i="6" s="1"/>
  <c r="Q458" i="5"/>
  <c r="S458" i="6" s="1"/>
  <c r="U458" i="5"/>
  <c r="W458" i="6" s="1"/>
  <c r="Y458" i="5"/>
  <c r="AA458" i="6" s="1"/>
  <c r="AC458" i="5"/>
  <c r="AE458" i="6" s="1"/>
  <c r="AG458" i="5"/>
  <c r="AI458" i="6" s="1"/>
  <c r="G459" i="5"/>
  <c r="I459" i="6" s="1"/>
  <c r="K459" i="5"/>
  <c r="M459" i="6" s="1"/>
  <c r="O459" i="5"/>
  <c r="Q459" i="6" s="1"/>
  <c r="S459" i="5"/>
  <c r="U459" i="6" s="1"/>
  <c r="W459" i="5"/>
  <c r="Y459" i="6" s="1"/>
  <c r="AA459" i="5"/>
  <c r="AC459" i="6" s="1"/>
  <c r="AE459" i="5"/>
  <c r="AG459" i="6" s="1"/>
  <c r="E460" i="5"/>
  <c r="G460" i="6" s="1"/>
  <c r="I460" i="5"/>
  <c r="K460" i="6" s="1"/>
  <c r="M460" i="5"/>
  <c r="O460" i="6" s="1"/>
  <c r="Q460" i="5"/>
  <c r="S460" i="6" s="1"/>
  <c r="U460" i="5"/>
  <c r="W460" i="6" s="1"/>
  <c r="Y460" i="5"/>
  <c r="AA460" i="6" s="1"/>
  <c r="AC460" i="5"/>
  <c r="AE460" i="6" s="1"/>
  <c r="AG460" i="5"/>
  <c r="AI460" i="6" s="1"/>
  <c r="G461" i="5"/>
  <c r="I461" i="6" s="1"/>
  <c r="K461" i="5"/>
  <c r="M461" i="6" s="1"/>
  <c r="O461" i="5"/>
  <c r="Q461" i="6" s="1"/>
  <c r="S461" i="5"/>
  <c r="U461" i="6" s="1"/>
  <c r="W461" i="5"/>
  <c r="Y461" i="6" s="1"/>
  <c r="AA461" i="5"/>
  <c r="AC461" i="6" s="1"/>
  <c r="AE461" i="5"/>
  <c r="AG461" i="6" s="1"/>
  <c r="E462" i="5"/>
  <c r="G462" i="6" s="1"/>
  <c r="I462" i="5"/>
  <c r="K462" i="6" s="1"/>
  <c r="M462" i="5"/>
  <c r="O462" i="6" s="1"/>
  <c r="Q462" i="5"/>
  <c r="S462" i="6" s="1"/>
  <c r="U462" i="5"/>
  <c r="W462" i="6" s="1"/>
  <c r="Y462" i="5"/>
  <c r="AA462" i="6" s="1"/>
  <c r="AC462" i="5"/>
  <c r="AE462" i="6" s="1"/>
  <c r="AG462" i="5"/>
  <c r="AI462" i="6" s="1"/>
  <c r="G463" i="5"/>
  <c r="I463" i="6" s="1"/>
  <c r="K463" i="5"/>
  <c r="M463" i="6" s="1"/>
  <c r="O463" i="5"/>
  <c r="Q463" i="6" s="1"/>
  <c r="S463" i="5"/>
  <c r="U463" i="6" s="1"/>
  <c r="W463" i="5"/>
  <c r="Y463" i="6" s="1"/>
  <c r="AA463" i="5"/>
  <c r="AC463" i="6" s="1"/>
  <c r="AE463" i="5"/>
  <c r="AG463" i="6" s="1"/>
  <c r="E464" i="5"/>
  <c r="G464" i="6" s="1"/>
  <c r="I464" i="5"/>
  <c r="K464" i="6" s="1"/>
  <c r="M464" i="5"/>
  <c r="O464" i="6" s="1"/>
  <c r="Q464" i="5"/>
  <c r="S464" i="6" s="1"/>
  <c r="U464" i="5"/>
  <c r="W464" i="6" s="1"/>
  <c r="Y464" i="5"/>
  <c r="AA464" i="6" s="1"/>
  <c r="AC464" i="5"/>
  <c r="AE464" i="6" s="1"/>
  <c r="AG464" i="5"/>
  <c r="AI464" i="6" s="1"/>
  <c r="G465" i="5"/>
  <c r="I465" i="6" s="1"/>
  <c r="K465" i="5"/>
  <c r="M465" i="6" s="1"/>
  <c r="O465" i="5"/>
  <c r="Q465" i="6" s="1"/>
  <c r="S465" i="5"/>
  <c r="U465" i="6" s="1"/>
  <c r="W465" i="5"/>
  <c r="Y465" i="6" s="1"/>
  <c r="AA465" i="5"/>
  <c r="AC465" i="6" s="1"/>
  <c r="AE465" i="5"/>
  <c r="AG465" i="6" s="1"/>
  <c r="E466" i="5"/>
  <c r="G466" i="6" s="1"/>
  <c r="I466" i="5"/>
  <c r="K466" i="6" s="1"/>
  <c r="M466" i="5"/>
  <c r="O466" i="6" s="1"/>
  <c r="Q466" i="5"/>
  <c r="S466" i="6" s="1"/>
  <c r="U466" i="5"/>
  <c r="W466" i="6" s="1"/>
  <c r="Y466" i="5"/>
  <c r="AA466" i="6" s="1"/>
  <c r="AC466" i="5"/>
  <c r="AE466" i="6" s="1"/>
  <c r="AG466" i="5"/>
  <c r="AI466" i="6" s="1"/>
  <c r="G467" i="5"/>
  <c r="I467" i="6" s="1"/>
  <c r="K467" i="5"/>
  <c r="M467" i="6" s="1"/>
  <c r="O467" i="5"/>
  <c r="Q467" i="6" s="1"/>
  <c r="S467" i="5"/>
  <c r="U467" i="6" s="1"/>
  <c r="W467" i="5"/>
  <c r="Y467" i="6" s="1"/>
  <c r="AA467" i="5"/>
  <c r="AC467" i="6" s="1"/>
  <c r="AE467" i="5"/>
  <c r="AG467" i="6" s="1"/>
  <c r="E468" i="5"/>
  <c r="G468" i="6" s="1"/>
  <c r="I468" i="5"/>
  <c r="K468" i="6" s="1"/>
  <c r="M468" i="5"/>
  <c r="O468" i="6" s="1"/>
  <c r="Q468" i="5"/>
  <c r="S468" i="6" s="1"/>
  <c r="U468" i="5"/>
  <c r="W468" i="6" s="1"/>
  <c r="Y468" i="5"/>
  <c r="AA468" i="6" s="1"/>
  <c r="AC468" i="5"/>
  <c r="AE468" i="6" s="1"/>
  <c r="AG468" i="5"/>
  <c r="AI468" i="6" s="1"/>
  <c r="G469" i="5"/>
  <c r="I469" i="6" s="1"/>
  <c r="K469" i="5"/>
  <c r="M469" i="6" s="1"/>
  <c r="O469" i="5"/>
  <c r="Q469" i="6" s="1"/>
  <c r="S469" i="5"/>
  <c r="U469" i="6" s="1"/>
  <c r="W469" i="5"/>
  <c r="Y469" i="6" s="1"/>
  <c r="AA469" i="5"/>
  <c r="AC469" i="6" s="1"/>
  <c r="AE469" i="5"/>
  <c r="AG469" i="6" s="1"/>
  <c r="E470" i="5"/>
  <c r="G470" i="6" s="1"/>
  <c r="I470" i="5"/>
  <c r="K470" i="6" s="1"/>
  <c r="M470" i="5"/>
  <c r="O470" i="6" s="1"/>
  <c r="Q470" i="5"/>
  <c r="S470" i="6" s="1"/>
  <c r="U470" i="5"/>
  <c r="W470" i="6" s="1"/>
  <c r="Y470" i="5"/>
  <c r="AA470" i="6" s="1"/>
  <c r="AC470" i="5"/>
  <c r="AE470" i="6" s="1"/>
  <c r="AG470" i="5"/>
  <c r="AI470" i="6" s="1"/>
  <c r="G471" i="5"/>
  <c r="I471" i="6" s="1"/>
  <c r="K471" i="5"/>
  <c r="M471" i="6" s="1"/>
  <c r="O471" i="5"/>
  <c r="Q471" i="6" s="1"/>
  <c r="S471" i="5"/>
  <c r="U471" i="6" s="1"/>
  <c r="W471" i="5"/>
  <c r="Y471" i="6" s="1"/>
  <c r="AA471" i="5"/>
  <c r="AC471" i="6" s="1"/>
  <c r="AE471" i="5"/>
  <c r="AG471" i="6" s="1"/>
  <c r="E472" i="5"/>
  <c r="G472" i="6" s="1"/>
  <c r="I472" i="5"/>
  <c r="K472" i="6" s="1"/>
  <c r="M472" i="5"/>
  <c r="O472" i="6" s="1"/>
  <c r="Q472" i="5"/>
  <c r="S472" i="6" s="1"/>
  <c r="U472" i="5"/>
  <c r="W472" i="6" s="1"/>
  <c r="Y472" i="5"/>
  <c r="AA472" i="6" s="1"/>
  <c r="AC472" i="5"/>
  <c r="AE472" i="6" s="1"/>
  <c r="AG472" i="5"/>
  <c r="AI472" i="6" s="1"/>
  <c r="G473" i="5"/>
  <c r="I473" i="6" s="1"/>
  <c r="K473" i="5"/>
  <c r="M473" i="6" s="1"/>
  <c r="O473" i="5"/>
  <c r="Q473" i="6" s="1"/>
  <c r="S473" i="5"/>
  <c r="U473" i="6" s="1"/>
  <c r="W473" i="5"/>
  <c r="Y473" i="6" s="1"/>
  <c r="AA473" i="5"/>
  <c r="AC473" i="6" s="1"/>
  <c r="AE473" i="5"/>
  <c r="AG473" i="6" s="1"/>
  <c r="E474" i="5"/>
  <c r="G474" i="6" s="1"/>
  <c r="I474" i="5"/>
  <c r="K474" i="6" s="1"/>
  <c r="M474" i="5"/>
  <c r="O474" i="6" s="1"/>
  <c r="Q474" i="5"/>
  <c r="S474" i="6" s="1"/>
  <c r="U474" i="5"/>
  <c r="W474" i="6" s="1"/>
  <c r="Y474" i="5"/>
  <c r="AA474" i="6" s="1"/>
  <c r="AC474" i="5"/>
  <c r="AE474" i="6" s="1"/>
  <c r="AG474" i="5"/>
  <c r="AI474" i="6" s="1"/>
  <c r="G476" i="5"/>
  <c r="I476" i="6" s="1"/>
  <c r="K476" i="5"/>
  <c r="M476" i="6" s="1"/>
  <c r="O476" i="5"/>
  <c r="Q476" i="6" s="1"/>
  <c r="S476" i="5"/>
  <c r="U476" i="6" s="1"/>
  <c r="W476" i="5"/>
  <c r="Y476" i="6" s="1"/>
  <c r="AA476" i="5"/>
  <c r="AC476" i="6" s="1"/>
  <c r="AE476" i="5"/>
  <c r="AG476" i="6" s="1"/>
  <c r="E477" i="5"/>
  <c r="G477" i="6" s="1"/>
  <c r="I477" i="5"/>
  <c r="K477" i="6" s="1"/>
  <c r="M477" i="5"/>
  <c r="O477" i="6" s="1"/>
  <c r="Q477" i="5"/>
  <c r="S477" i="6" s="1"/>
  <c r="U477" i="5"/>
  <c r="W477" i="6" s="1"/>
  <c r="Y477" i="5"/>
  <c r="AA477" i="6" s="1"/>
  <c r="AC477" i="5"/>
  <c r="AE477" i="6" s="1"/>
  <c r="AG477" i="5"/>
  <c r="AI477" i="6" s="1"/>
  <c r="G478" i="5"/>
  <c r="I478" i="6" s="1"/>
  <c r="K478" i="5"/>
  <c r="M478" i="6" s="1"/>
  <c r="O478" i="5"/>
  <c r="Q478" i="6" s="1"/>
  <c r="S478" i="5"/>
  <c r="U478" i="6" s="1"/>
  <c r="W478" i="5"/>
  <c r="Y478" i="6" s="1"/>
  <c r="AA478" i="5"/>
  <c r="AC478" i="6" s="1"/>
  <c r="AE478" i="5"/>
  <c r="AG478" i="6" s="1"/>
  <c r="E479" i="5"/>
  <c r="G479" i="6" s="1"/>
  <c r="I479" i="5"/>
  <c r="K479" i="6" s="1"/>
  <c r="M479" i="5"/>
  <c r="O479" i="6" s="1"/>
  <c r="Q479" i="5"/>
  <c r="S479" i="6" s="1"/>
  <c r="U479" i="5"/>
  <c r="W479" i="6" s="1"/>
  <c r="Y479" i="5"/>
  <c r="AA479" i="6" s="1"/>
  <c r="AC479" i="5"/>
  <c r="AE479" i="6" s="1"/>
  <c r="AG479" i="5"/>
  <c r="AI479" i="6" s="1"/>
  <c r="G480" i="5"/>
  <c r="I480" i="6" s="1"/>
  <c r="K480" i="5"/>
  <c r="M480" i="6" s="1"/>
  <c r="O480" i="5"/>
  <c r="Q480" i="6" s="1"/>
  <c r="S480" i="5"/>
  <c r="U480" i="6" s="1"/>
  <c r="W480" i="5"/>
  <c r="Y480" i="6" s="1"/>
  <c r="AA480" i="5"/>
  <c r="AC480" i="6" s="1"/>
  <c r="AE480" i="5"/>
  <c r="AG480" i="6" s="1"/>
  <c r="E481" i="5"/>
  <c r="G481" i="6" s="1"/>
  <c r="I481" i="5"/>
  <c r="K481" i="6" s="1"/>
  <c r="M481" i="5"/>
  <c r="O481" i="6" s="1"/>
  <c r="Q481" i="5"/>
  <c r="S481" i="6" s="1"/>
  <c r="U481" i="5"/>
  <c r="W481" i="6" s="1"/>
  <c r="Y481" i="5"/>
  <c r="AA481" i="6" s="1"/>
  <c r="AC481" i="5"/>
  <c r="AE481" i="6" s="1"/>
  <c r="AG481" i="5"/>
  <c r="AI481" i="6" s="1"/>
  <c r="G482" i="5"/>
  <c r="I482" i="6" s="1"/>
  <c r="K482" i="5"/>
  <c r="M482" i="6" s="1"/>
  <c r="O482" i="5"/>
  <c r="Q482" i="6" s="1"/>
  <c r="S482" i="5"/>
  <c r="U482" i="6" s="1"/>
  <c r="W482" i="5"/>
  <c r="Y482" i="6" s="1"/>
  <c r="AA482" i="5"/>
  <c r="AC482" i="6" s="1"/>
  <c r="AE482" i="5"/>
  <c r="AG482" i="6" s="1"/>
  <c r="E483" i="5"/>
  <c r="G483" i="6" s="1"/>
  <c r="I483" i="5"/>
  <c r="K483" i="6" s="1"/>
  <c r="M483" i="5"/>
  <c r="O483" i="6" s="1"/>
  <c r="Q483" i="5"/>
  <c r="S483" i="6" s="1"/>
  <c r="U483" i="5"/>
  <c r="W483" i="6" s="1"/>
  <c r="Y483" i="5"/>
  <c r="AA483" i="6" s="1"/>
  <c r="AC483" i="5"/>
  <c r="AE483" i="6" s="1"/>
  <c r="AG483" i="5"/>
  <c r="AI483" i="6" s="1"/>
  <c r="G484" i="5"/>
  <c r="I484" i="6" s="1"/>
  <c r="K484" i="5"/>
  <c r="M484" i="6" s="1"/>
  <c r="O484" i="5"/>
  <c r="Q484" i="6" s="1"/>
  <c r="S484" i="5"/>
  <c r="U484" i="6" s="1"/>
  <c r="W484" i="5"/>
  <c r="Y484" i="6" s="1"/>
  <c r="AA484" i="5"/>
  <c r="AC484" i="6" s="1"/>
  <c r="AE484" i="5"/>
  <c r="AG484" i="6" s="1"/>
  <c r="E485" i="5"/>
  <c r="G485" i="6" s="1"/>
  <c r="I485" i="5"/>
  <c r="K485" i="6" s="1"/>
  <c r="M485" i="5"/>
  <c r="O485" i="6" s="1"/>
  <c r="Q485" i="5"/>
  <c r="S485" i="6" s="1"/>
  <c r="U485" i="5"/>
  <c r="W485" i="6" s="1"/>
  <c r="Y485" i="5"/>
  <c r="AA485" i="6" s="1"/>
  <c r="AC485" i="5"/>
  <c r="AE485" i="6" s="1"/>
  <c r="AG485" i="5"/>
  <c r="AI485" i="6" s="1"/>
  <c r="G486" i="5"/>
  <c r="I486" i="6" s="1"/>
  <c r="K486" i="5"/>
  <c r="M486" i="6" s="1"/>
  <c r="O486" i="5"/>
  <c r="Q486" i="6" s="1"/>
  <c r="S486" i="5"/>
  <c r="U486" i="6" s="1"/>
  <c r="W486" i="5"/>
  <c r="Y486" i="6" s="1"/>
  <c r="AA486" i="5"/>
  <c r="AC486" i="6" s="1"/>
  <c r="AE486" i="5"/>
  <c r="AG486" i="6" s="1"/>
  <c r="E487" i="5"/>
  <c r="G487" i="6" s="1"/>
  <c r="I487" i="5"/>
  <c r="K487" i="6" s="1"/>
  <c r="M487" i="5"/>
  <c r="O487" i="6" s="1"/>
  <c r="Q487" i="5"/>
  <c r="S487" i="6" s="1"/>
  <c r="U487" i="5"/>
  <c r="W487" i="6" s="1"/>
  <c r="Y487" i="5"/>
  <c r="AA487" i="6" s="1"/>
  <c r="AC487" i="5"/>
  <c r="AE487" i="6" s="1"/>
  <c r="AG487" i="5"/>
  <c r="AI487" i="6" s="1"/>
  <c r="G488" i="5"/>
  <c r="I488" i="6" s="1"/>
  <c r="K488" i="5"/>
  <c r="M488" i="6" s="1"/>
  <c r="O488" i="5"/>
  <c r="Q488" i="6" s="1"/>
  <c r="S488" i="5"/>
  <c r="U488" i="6" s="1"/>
  <c r="W488" i="5"/>
  <c r="Y488" i="6" s="1"/>
  <c r="AA488" i="5"/>
  <c r="AC488" i="6" s="1"/>
  <c r="AE488" i="5"/>
  <c r="AG488" i="6" s="1"/>
  <c r="E489" i="5"/>
  <c r="G489" i="6" s="1"/>
  <c r="I489" i="5"/>
  <c r="K489" i="6" s="1"/>
  <c r="M489" i="5"/>
  <c r="O489" i="6" s="1"/>
  <c r="Q489" i="5"/>
  <c r="S489" i="6" s="1"/>
  <c r="U489" i="5"/>
  <c r="W489" i="6" s="1"/>
  <c r="Y489" i="5"/>
  <c r="AA489" i="6" s="1"/>
  <c r="AC489" i="5"/>
  <c r="AE489" i="6" s="1"/>
  <c r="AG489" i="5"/>
  <c r="AI489" i="6" s="1"/>
  <c r="G490" i="5"/>
  <c r="I490" i="6" s="1"/>
  <c r="K490" i="5"/>
  <c r="M490" i="6" s="1"/>
  <c r="O490" i="5"/>
  <c r="Q490" i="6" s="1"/>
  <c r="S490" i="5"/>
  <c r="U490" i="6" s="1"/>
  <c r="W490" i="5"/>
  <c r="Y490" i="6" s="1"/>
  <c r="AA490" i="5"/>
  <c r="AC490" i="6" s="1"/>
  <c r="AE490" i="5"/>
  <c r="AG490" i="6" s="1"/>
  <c r="E491" i="5"/>
  <c r="G491" i="6" s="1"/>
  <c r="I491" i="5"/>
  <c r="K491" i="6" s="1"/>
  <c r="M491" i="5"/>
  <c r="O491" i="6" s="1"/>
  <c r="Q491" i="5"/>
  <c r="S491" i="6" s="1"/>
  <c r="U491" i="5"/>
  <c r="W491" i="6" s="1"/>
  <c r="Y491" i="5"/>
  <c r="AA491" i="6" s="1"/>
  <c r="AC491" i="5"/>
  <c r="AE491" i="6" s="1"/>
  <c r="AG491" i="5"/>
  <c r="AI491" i="6" s="1"/>
  <c r="G492" i="5"/>
  <c r="I492" i="6" s="1"/>
  <c r="K492" i="5"/>
  <c r="M492" i="6" s="1"/>
  <c r="O492" i="5"/>
  <c r="Q492" i="6" s="1"/>
  <c r="S492" i="5"/>
  <c r="U492" i="6" s="1"/>
  <c r="W492" i="5"/>
  <c r="Y492" i="6" s="1"/>
  <c r="AA492" i="5"/>
  <c r="AC492" i="6" s="1"/>
  <c r="AE492" i="5"/>
  <c r="AG492" i="6" s="1"/>
  <c r="E493" i="5"/>
  <c r="G493" i="6" s="1"/>
  <c r="I493" i="5"/>
  <c r="K493" i="6" s="1"/>
  <c r="M493" i="5"/>
  <c r="O493" i="6" s="1"/>
  <c r="Q493" i="5"/>
  <c r="S493" i="6" s="1"/>
  <c r="U493" i="5"/>
  <c r="W493" i="6" s="1"/>
  <c r="Y493" i="5"/>
  <c r="AA493" i="6" s="1"/>
  <c r="AC493" i="5"/>
  <c r="AE493" i="6" s="1"/>
  <c r="AG493" i="5"/>
  <c r="AI493" i="6" s="1"/>
  <c r="G494" i="5"/>
  <c r="I494" i="6" s="1"/>
  <c r="K494" i="5"/>
  <c r="M494" i="6" s="1"/>
  <c r="O494" i="5"/>
  <c r="Q494" i="6" s="1"/>
  <c r="S494" i="5"/>
  <c r="U494" i="6" s="1"/>
  <c r="W494" i="5"/>
  <c r="Y494" i="6" s="1"/>
  <c r="AA494" i="5"/>
  <c r="AC494" i="6" s="1"/>
  <c r="AE494" i="5"/>
  <c r="AG494" i="6" s="1"/>
  <c r="E495" i="5"/>
  <c r="G495" i="6" s="1"/>
  <c r="I495" i="5"/>
  <c r="K495" i="6" s="1"/>
  <c r="M495" i="5"/>
  <c r="O495" i="6" s="1"/>
  <c r="Q495" i="5"/>
  <c r="S495" i="6" s="1"/>
  <c r="U495" i="5"/>
  <c r="W495" i="6" s="1"/>
  <c r="Y495" i="5"/>
  <c r="AA495" i="6" s="1"/>
  <c r="AC495" i="5"/>
  <c r="AE495" i="6" s="1"/>
  <c r="AG495" i="5"/>
  <c r="AI495" i="6" s="1"/>
  <c r="G496" i="5"/>
  <c r="I496" i="6" s="1"/>
  <c r="K496" i="5"/>
  <c r="M496" i="6" s="1"/>
  <c r="O496" i="5"/>
  <c r="Q496" i="6" s="1"/>
  <c r="S496" i="5"/>
  <c r="U496" i="6" s="1"/>
  <c r="W496" i="5"/>
  <c r="Y496" i="6" s="1"/>
  <c r="AA496" i="5"/>
  <c r="AC496" i="6" s="1"/>
  <c r="AE496" i="5"/>
  <c r="AG496" i="6" s="1"/>
  <c r="E497" i="5"/>
  <c r="G497" i="6" s="1"/>
  <c r="I497" i="5"/>
  <c r="K497" i="6" s="1"/>
  <c r="M497" i="5"/>
  <c r="O497" i="6" s="1"/>
  <c r="Q497" i="5"/>
  <c r="S497" i="6" s="1"/>
  <c r="U497" i="5"/>
  <c r="W497" i="6" s="1"/>
  <c r="Y497" i="5"/>
  <c r="AA497" i="6" s="1"/>
  <c r="AC497" i="5"/>
  <c r="AE497" i="6" s="1"/>
  <c r="AG497" i="5"/>
  <c r="AI497" i="6" s="1"/>
  <c r="G498" i="5"/>
  <c r="I498" i="6" s="1"/>
  <c r="K498" i="5"/>
  <c r="M498" i="6" s="1"/>
  <c r="O498" i="5"/>
  <c r="Q498" i="6" s="1"/>
  <c r="S498" i="5"/>
  <c r="U498" i="6" s="1"/>
  <c r="W498" i="5"/>
  <c r="Y498" i="6" s="1"/>
  <c r="AA498" i="5"/>
  <c r="AC498" i="6" s="1"/>
  <c r="AE498" i="5"/>
  <c r="AG498" i="6" s="1"/>
  <c r="E499" i="5"/>
  <c r="G499" i="6" s="1"/>
  <c r="I499" i="5"/>
  <c r="K499" i="6" s="1"/>
  <c r="M499" i="5"/>
  <c r="O499" i="6" s="1"/>
  <c r="Q499" i="5"/>
  <c r="S499" i="6" s="1"/>
  <c r="U499" i="5"/>
  <c r="W499" i="6" s="1"/>
  <c r="Y499" i="5"/>
  <c r="AA499" i="6" s="1"/>
  <c r="AC499" i="5"/>
  <c r="AE499" i="6" s="1"/>
  <c r="AG499" i="5"/>
  <c r="AI499" i="6" s="1"/>
  <c r="G500" i="5"/>
  <c r="I500" i="6" s="1"/>
  <c r="K500" i="5"/>
  <c r="M500" i="6" s="1"/>
  <c r="O500" i="5"/>
  <c r="Q500" i="6" s="1"/>
  <c r="S500" i="5"/>
  <c r="U500" i="6" s="1"/>
  <c r="W500" i="5"/>
  <c r="Y500" i="6" s="1"/>
  <c r="AA500" i="5"/>
  <c r="AC500" i="6" s="1"/>
  <c r="AE500" i="5"/>
  <c r="AG500" i="6" s="1"/>
  <c r="E501" i="5"/>
  <c r="G501" i="6" s="1"/>
  <c r="I501" i="5"/>
  <c r="K501" i="6" s="1"/>
  <c r="M501" i="5"/>
  <c r="O501" i="6" s="1"/>
  <c r="Q501" i="5"/>
  <c r="S501" i="6" s="1"/>
  <c r="U501" i="5"/>
  <c r="W501" i="6" s="1"/>
  <c r="Y501" i="5"/>
  <c r="AA501" i="6" s="1"/>
  <c r="AC501" i="5"/>
  <c r="AE501" i="6" s="1"/>
  <c r="AG501" i="5"/>
  <c r="AI501" i="6" s="1"/>
  <c r="G502" i="5"/>
  <c r="I502" i="6" s="1"/>
  <c r="K502" i="5"/>
  <c r="M502" i="6" s="1"/>
  <c r="O502" i="5"/>
  <c r="Q502" i="6" s="1"/>
  <c r="S502" i="5"/>
  <c r="U502" i="6" s="1"/>
  <c r="W502" i="5"/>
  <c r="Y502" i="6" s="1"/>
  <c r="AA502" i="5"/>
  <c r="AC502" i="6" s="1"/>
  <c r="AE502" i="5"/>
  <c r="AG502" i="6" s="1"/>
  <c r="E503" i="5"/>
  <c r="G503" i="6" s="1"/>
  <c r="I503" i="5"/>
  <c r="K503" i="6" s="1"/>
  <c r="M503" i="5"/>
  <c r="O503" i="6" s="1"/>
  <c r="Q503" i="5"/>
  <c r="S503" i="6" s="1"/>
  <c r="U503" i="5"/>
  <c r="W503" i="6" s="1"/>
  <c r="Y503" i="5"/>
  <c r="AA503" i="6" s="1"/>
  <c r="AC503" i="5"/>
  <c r="AE503" i="6" s="1"/>
  <c r="AG503" i="5"/>
  <c r="AI503" i="6" s="1"/>
  <c r="G504" i="5"/>
  <c r="I504" i="6" s="1"/>
  <c r="K504" i="5"/>
  <c r="M504" i="6" s="1"/>
  <c r="O504" i="5"/>
  <c r="Q504" i="6" s="1"/>
  <c r="S504" i="5"/>
  <c r="U504" i="6" s="1"/>
  <c r="W504" i="5"/>
  <c r="Y504" i="6" s="1"/>
  <c r="AA504" i="5"/>
  <c r="AC504" i="6" s="1"/>
  <c r="AE504" i="5"/>
  <c r="AG504" i="6" s="1"/>
  <c r="E505" i="5"/>
  <c r="G505" i="6" s="1"/>
  <c r="I505" i="5"/>
  <c r="K505" i="6" s="1"/>
  <c r="M505" i="5"/>
  <c r="O505" i="6" s="1"/>
  <c r="Q505" i="5"/>
  <c r="S505" i="6" s="1"/>
  <c r="U505" i="5"/>
  <c r="W505" i="6" s="1"/>
  <c r="Y505" i="5"/>
  <c r="AA505" i="6" s="1"/>
  <c r="AC505" i="5"/>
  <c r="AE505" i="6" s="1"/>
  <c r="AG505" i="5"/>
  <c r="AI505" i="6" s="1"/>
  <c r="G506" i="5"/>
  <c r="I506" i="6" s="1"/>
  <c r="K506" i="5"/>
  <c r="M506" i="6" s="1"/>
  <c r="O506" i="5"/>
  <c r="Q506" i="6" s="1"/>
  <c r="S506" i="5"/>
  <c r="U506" i="6" s="1"/>
  <c r="W506" i="5"/>
  <c r="Y506" i="6" s="1"/>
  <c r="AA506" i="5"/>
  <c r="AC506" i="6" s="1"/>
  <c r="AE506" i="5"/>
  <c r="AG506" i="6" s="1"/>
  <c r="E507" i="5"/>
  <c r="G507" i="6" s="1"/>
  <c r="I507" i="5"/>
  <c r="K507" i="6" s="1"/>
  <c r="M507" i="5"/>
  <c r="O507" i="6" s="1"/>
  <c r="Q507" i="5"/>
  <c r="S507" i="6" s="1"/>
  <c r="U507" i="5"/>
  <c r="W507" i="6" s="1"/>
  <c r="Y507" i="5"/>
  <c r="AA507" i="6" s="1"/>
  <c r="AC507" i="5"/>
  <c r="AE507" i="6" s="1"/>
  <c r="AG507" i="5"/>
  <c r="AI507" i="6" s="1"/>
  <c r="G508" i="5"/>
  <c r="I508" i="6" s="1"/>
  <c r="K508" i="5"/>
  <c r="M508" i="6" s="1"/>
  <c r="O508" i="5"/>
  <c r="Q508" i="6" s="1"/>
  <c r="S508" i="5"/>
  <c r="U508" i="6" s="1"/>
  <c r="W508" i="5"/>
  <c r="Y508" i="6" s="1"/>
  <c r="AA508" i="5"/>
  <c r="AC508" i="6" s="1"/>
  <c r="AE508" i="5"/>
  <c r="AG508" i="6" s="1"/>
  <c r="E509" i="5"/>
  <c r="G509" i="6" s="1"/>
  <c r="I509" i="5"/>
  <c r="K509" i="6" s="1"/>
  <c r="M509" i="5"/>
  <c r="O509" i="6" s="1"/>
  <c r="Q509" i="5"/>
  <c r="S509" i="6" s="1"/>
  <c r="U509" i="5"/>
  <c r="W509" i="6" s="1"/>
  <c r="Y509" i="5"/>
  <c r="AA509" i="6" s="1"/>
  <c r="AC509" i="5"/>
  <c r="AE509" i="6" s="1"/>
  <c r="AG509" i="5"/>
  <c r="AI509" i="6" s="1"/>
  <c r="G510" i="5"/>
  <c r="I510" i="6" s="1"/>
  <c r="K510" i="5"/>
  <c r="M510" i="6" s="1"/>
  <c r="O510" i="5"/>
  <c r="Q510" i="6" s="1"/>
  <c r="S510" i="5"/>
  <c r="U510" i="6" s="1"/>
  <c r="W510" i="5"/>
  <c r="Y510" i="6" s="1"/>
  <c r="AA510" i="5"/>
  <c r="AC510" i="6" s="1"/>
  <c r="AE510" i="5"/>
  <c r="AG510" i="6" s="1"/>
  <c r="E511" i="5"/>
  <c r="G511" i="6" s="1"/>
  <c r="I511" i="5"/>
  <c r="K511" i="6" s="1"/>
  <c r="M511" i="5"/>
  <c r="O511" i="6" s="1"/>
  <c r="Q511" i="5"/>
  <c r="S511" i="6" s="1"/>
  <c r="U511" i="5"/>
  <c r="W511" i="6" s="1"/>
  <c r="Y511" i="5"/>
  <c r="AA511" i="6" s="1"/>
  <c r="AC511" i="5"/>
  <c r="AE511" i="6" s="1"/>
  <c r="AG511" i="5"/>
  <c r="AI511" i="6" s="1"/>
  <c r="G512" i="5"/>
  <c r="I512" i="6" s="1"/>
  <c r="K512" i="5"/>
  <c r="M512" i="6" s="1"/>
  <c r="O512" i="5"/>
  <c r="Q512" i="6" s="1"/>
  <c r="S512" i="5"/>
  <c r="U512" i="6" s="1"/>
  <c r="W512" i="5"/>
  <c r="Y512" i="6" s="1"/>
  <c r="AA512" i="5"/>
  <c r="AC512" i="6" s="1"/>
  <c r="AE512" i="5"/>
  <c r="AG512" i="6" s="1"/>
  <c r="E513" i="5"/>
  <c r="G513" i="6" s="1"/>
  <c r="I513" i="5"/>
  <c r="K513" i="6" s="1"/>
  <c r="M513" i="5"/>
  <c r="O513" i="6" s="1"/>
  <c r="Q513" i="5"/>
  <c r="S513" i="6" s="1"/>
  <c r="U513" i="5"/>
  <c r="W513" i="6" s="1"/>
  <c r="Y513" i="5"/>
  <c r="AA513" i="6" s="1"/>
  <c r="AC513" i="5"/>
  <c r="AE513" i="6" s="1"/>
  <c r="AG513" i="5"/>
  <c r="AI513" i="6" s="1"/>
  <c r="G514" i="5"/>
  <c r="I514" i="6" s="1"/>
  <c r="K514" i="5"/>
  <c r="M514" i="6" s="1"/>
  <c r="O514" i="5"/>
  <c r="Q514" i="6" s="1"/>
  <c r="S514" i="5"/>
  <c r="U514" i="6" s="1"/>
  <c r="W514" i="5"/>
  <c r="Y514" i="6" s="1"/>
  <c r="AA514" i="5"/>
  <c r="AC514" i="6" s="1"/>
  <c r="AE514" i="5"/>
  <c r="AG514" i="6" s="1"/>
  <c r="E515" i="5"/>
  <c r="G515" i="6" s="1"/>
  <c r="I515" i="5"/>
  <c r="K515" i="6" s="1"/>
  <c r="M515" i="5"/>
  <c r="O515" i="6" s="1"/>
  <c r="Q515" i="5"/>
  <c r="S515" i="6" s="1"/>
  <c r="U515" i="5"/>
  <c r="W515" i="6" s="1"/>
  <c r="Y515" i="5"/>
  <c r="AA515" i="6" s="1"/>
  <c r="AC515" i="5"/>
  <c r="AE515" i="6" s="1"/>
  <c r="AG515" i="5"/>
  <c r="AI515" i="6" s="1"/>
  <c r="G516" i="5"/>
  <c r="I516" i="6" s="1"/>
  <c r="K516" i="5"/>
  <c r="M516" i="6" s="1"/>
  <c r="O516" i="5"/>
  <c r="Q516" i="6" s="1"/>
  <c r="S516" i="5"/>
  <c r="U516" i="6" s="1"/>
  <c r="W516" i="5"/>
  <c r="Y516" i="6" s="1"/>
  <c r="AA516" i="5"/>
  <c r="AC516" i="6" s="1"/>
  <c r="AE516" i="5"/>
  <c r="AG516" i="6" s="1"/>
  <c r="E517" i="5"/>
  <c r="G517" i="6" s="1"/>
  <c r="I517" i="5"/>
  <c r="K517" i="6" s="1"/>
  <c r="M517" i="5"/>
  <c r="O517" i="6" s="1"/>
  <c r="Q517" i="5"/>
  <c r="S517" i="6" s="1"/>
  <c r="U517" i="5"/>
  <c r="W517" i="6" s="1"/>
  <c r="Y517" i="5"/>
  <c r="AA517" i="6" s="1"/>
  <c r="AC517" i="5"/>
  <c r="AE517" i="6" s="1"/>
  <c r="AG517" i="5"/>
  <c r="AI517" i="6" s="1"/>
  <c r="G518" i="5"/>
  <c r="I518" i="6" s="1"/>
  <c r="K518" i="5"/>
  <c r="M518" i="6" s="1"/>
  <c r="O518" i="5"/>
  <c r="Q518" i="6" s="1"/>
  <c r="S518" i="5"/>
  <c r="U518" i="6" s="1"/>
  <c r="W518" i="5"/>
  <c r="Y518" i="6" s="1"/>
  <c r="AA518" i="5"/>
  <c r="AC518" i="6" s="1"/>
  <c r="AE518" i="5"/>
  <c r="AG518" i="6" s="1"/>
  <c r="E519" i="5"/>
  <c r="G519" i="6" s="1"/>
  <c r="I519" i="5"/>
  <c r="K519" i="6" s="1"/>
  <c r="M519" i="5"/>
  <c r="O519" i="6" s="1"/>
  <c r="Q519" i="5"/>
  <c r="S519" i="6" s="1"/>
  <c r="U519" i="5"/>
  <c r="W519" i="6" s="1"/>
  <c r="Y519" i="5"/>
  <c r="AA519" i="6" s="1"/>
  <c r="AC519" i="5"/>
  <c r="AE519" i="6" s="1"/>
  <c r="AG519" i="5"/>
  <c r="AI519" i="6" s="1"/>
  <c r="G520" i="5"/>
  <c r="I520" i="6" s="1"/>
  <c r="K520" i="5"/>
  <c r="M520" i="6" s="1"/>
  <c r="O520" i="5"/>
  <c r="Q520" i="6" s="1"/>
  <c r="S520" i="5"/>
  <c r="U520" i="6" s="1"/>
  <c r="W520" i="5"/>
  <c r="Y520" i="6" s="1"/>
  <c r="AA520" i="5"/>
  <c r="AC520" i="6" s="1"/>
  <c r="AE520" i="5"/>
  <c r="AG520" i="6" s="1"/>
  <c r="E521" i="5"/>
  <c r="G521" i="6" s="1"/>
  <c r="I521" i="5"/>
  <c r="K521" i="6" s="1"/>
  <c r="M521" i="5"/>
  <c r="O521" i="6" s="1"/>
  <c r="U521" i="5"/>
  <c r="W521" i="6" s="1"/>
  <c r="Y521" i="5"/>
  <c r="AA521" i="6" s="1"/>
  <c r="AC521" i="5"/>
  <c r="AE521" i="6" s="1"/>
  <c r="AG521" i="5"/>
  <c r="AI521" i="6" s="1"/>
  <c r="G522" i="5"/>
  <c r="I522" i="6" s="1"/>
  <c r="K522" i="5"/>
  <c r="M522" i="6" s="1"/>
  <c r="O522" i="5"/>
  <c r="Q522" i="6" s="1"/>
  <c r="S522" i="5"/>
  <c r="U522" i="6" s="1"/>
  <c r="W522" i="5"/>
  <c r="Y522" i="6" s="1"/>
  <c r="AA522" i="5"/>
  <c r="AC522" i="6" s="1"/>
  <c r="AE522" i="5"/>
  <c r="AG522" i="6" s="1"/>
  <c r="E523" i="5"/>
  <c r="G523" i="6" s="1"/>
  <c r="I523" i="5"/>
  <c r="K523" i="6" s="1"/>
  <c r="M523" i="5"/>
  <c r="O523" i="6" s="1"/>
  <c r="Q523" i="5"/>
  <c r="S523" i="6" s="1"/>
  <c r="Y523" i="5"/>
  <c r="AA523" i="6" s="1"/>
  <c r="AC523" i="5"/>
  <c r="AE523" i="6" s="1"/>
  <c r="AG523" i="5"/>
  <c r="AI523" i="6" s="1"/>
  <c r="G524" i="5"/>
  <c r="I524" i="6" s="1"/>
  <c r="K524" i="5"/>
  <c r="M524" i="6" s="1"/>
  <c r="O524" i="5"/>
  <c r="Q524" i="6" s="1"/>
  <c r="S524" i="5"/>
  <c r="U524" i="6" s="1"/>
  <c r="W524" i="5"/>
  <c r="Y524" i="6" s="1"/>
  <c r="AA524" i="5"/>
  <c r="AC524" i="6" s="1"/>
  <c r="AE524" i="5"/>
  <c r="AG524" i="6" s="1"/>
  <c r="E525" i="5"/>
  <c r="G525" i="6" s="1"/>
  <c r="I525" i="5"/>
  <c r="K525" i="6" s="1"/>
  <c r="M525" i="5"/>
  <c r="O525" i="6" s="1"/>
  <c r="Q525" i="5"/>
  <c r="S525" i="6" s="1"/>
  <c r="U525" i="5"/>
  <c r="W525" i="6" s="1"/>
  <c r="Y525" i="5"/>
  <c r="AA525" i="6" s="1"/>
  <c r="AC525" i="5"/>
  <c r="AE525" i="6" s="1"/>
  <c r="AG525" i="5"/>
  <c r="AI525" i="6" s="1"/>
  <c r="G526" i="5"/>
  <c r="I526" i="6" s="1"/>
  <c r="K526" i="5"/>
  <c r="M526" i="6" s="1"/>
  <c r="O526" i="5"/>
  <c r="Q526" i="6" s="1"/>
  <c r="S526" i="5"/>
  <c r="U526" i="6" s="1"/>
  <c r="W526" i="5"/>
  <c r="Y526" i="6" s="1"/>
  <c r="AA526" i="5"/>
  <c r="AC526" i="6" s="1"/>
  <c r="AE526" i="5"/>
  <c r="AG526" i="6" s="1"/>
  <c r="E527" i="5"/>
  <c r="G527" i="6" s="1"/>
  <c r="I527" i="5"/>
  <c r="K527" i="6" s="1"/>
  <c r="M527" i="5"/>
  <c r="O527" i="6" s="1"/>
  <c r="Q527" i="5"/>
  <c r="S527" i="6" s="1"/>
  <c r="U527" i="5"/>
  <c r="W527" i="6" s="1"/>
  <c r="Y527" i="5"/>
  <c r="AA527" i="6" s="1"/>
  <c r="AC527" i="5"/>
  <c r="AE527" i="6" s="1"/>
  <c r="AG527" i="5"/>
  <c r="AI527" i="6" s="1"/>
  <c r="G528" i="5"/>
  <c r="I528" i="6" s="1"/>
  <c r="K528" i="5"/>
  <c r="M528" i="6" s="1"/>
  <c r="O528" i="5"/>
  <c r="Q528" i="6" s="1"/>
  <c r="S528" i="5"/>
  <c r="U528" i="6" s="1"/>
  <c r="W528" i="5"/>
  <c r="Y528" i="6" s="1"/>
  <c r="AA528" i="5"/>
  <c r="AC528" i="6" s="1"/>
  <c r="AE528" i="5"/>
  <c r="AG528" i="6" s="1"/>
  <c r="E529" i="5"/>
  <c r="G529" i="6" s="1"/>
  <c r="I529" i="5"/>
  <c r="K529" i="6" s="1"/>
  <c r="M529" i="5"/>
  <c r="O529" i="6" s="1"/>
  <c r="Q529" i="5"/>
  <c r="S529" i="6" s="1"/>
  <c r="U529" i="5"/>
  <c r="W529" i="6" s="1"/>
  <c r="Y529" i="5"/>
  <c r="AA529" i="6" s="1"/>
  <c r="AC529" i="5"/>
  <c r="AE529" i="6" s="1"/>
  <c r="AG529" i="5"/>
  <c r="AI529" i="6" s="1"/>
  <c r="G530" i="5"/>
  <c r="I530" i="6" s="1"/>
  <c r="K530" i="5"/>
  <c r="M530" i="6" s="1"/>
  <c r="O530" i="5"/>
  <c r="Q530" i="6" s="1"/>
  <c r="S530" i="5"/>
  <c r="U530" i="6" s="1"/>
  <c r="W530" i="5"/>
  <c r="Y530" i="6" s="1"/>
  <c r="AA530" i="5"/>
  <c r="AC530" i="6" s="1"/>
  <c r="AE530" i="5"/>
  <c r="AG530" i="6" s="1"/>
  <c r="E531" i="5"/>
  <c r="G531" i="6" s="1"/>
  <c r="I531" i="5"/>
  <c r="K531" i="6" s="1"/>
  <c r="M531" i="5"/>
  <c r="O531" i="6" s="1"/>
  <c r="Q531" i="5"/>
  <c r="S531" i="6" s="1"/>
  <c r="U531" i="5"/>
  <c r="W531" i="6" s="1"/>
  <c r="Y531" i="5"/>
  <c r="AA531" i="6" s="1"/>
  <c r="AC531" i="5"/>
  <c r="AE531" i="6" s="1"/>
  <c r="AG531" i="5"/>
  <c r="AI531" i="6" s="1"/>
  <c r="G532" i="5"/>
  <c r="I532" i="6" s="1"/>
  <c r="K532" i="5"/>
  <c r="M532" i="6" s="1"/>
  <c r="O532" i="5"/>
  <c r="Q532" i="6" s="1"/>
  <c r="S532" i="5"/>
  <c r="U532" i="6" s="1"/>
  <c r="W532" i="5"/>
  <c r="Y532" i="6" s="1"/>
  <c r="AA532" i="5"/>
  <c r="AC532" i="6" s="1"/>
  <c r="AE532" i="5"/>
  <c r="AG532" i="6" s="1"/>
  <c r="E533" i="5"/>
  <c r="G533" i="6" s="1"/>
  <c r="I533" i="5"/>
  <c r="K533" i="6" s="1"/>
  <c r="M533" i="5"/>
  <c r="O533" i="6" s="1"/>
  <c r="Q533" i="5"/>
  <c r="S533" i="6" s="1"/>
  <c r="U533" i="5"/>
  <c r="W533" i="6" s="1"/>
  <c r="Y533" i="5"/>
  <c r="AA533" i="6" s="1"/>
  <c r="AC533" i="5"/>
  <c r="AE533" i="6" s="1"/>
  <c r="AG533" i="5"/>
  <c r="AI533" i="6" s="1"/>
  <c r="G534" i="5"/>
  <c r="I534" i="6" s="1"/>
  <c r="K534" i="5"/>
  <c r="M534" i="6" s="1"/>
  <c r="O534" i="5"/>
  <c r="Q534" i="6" s="1"/>
  <c r="S534" i="5"/>
  <c r="U534" i="6" s="1"/>
  <c r="W534" i="5"/>
  <c r="Y534" i="6" s="1"/>
  <c r="AA534" i="5"/>
  <c r="AC534" i="6" s="1"/>
  <c r="AE534" i="5"/>
  <c r="AG534" i="6" s="1"/>
  <c r="E535" i="5"/>
  <c r="G535" i="6" s="1"/>
  <c r="I535" i="5"/>
  <c r="K535" i="6" s="1"/>
  <c r="M535" i="5"/>
  <c r="O535" i="6" s="1"/>
  <c r="Q535" i="5"/>
  <c r="S535" i="6" s="1"/>
  <c r="U535" i="5"/>
  <c r="W535" i="6" s="1"/>
  <c r="Y535" i="5"/>
  <c r="AA535" i="6" s="1"/>
  <c r="AC535" i="5"/>
  <c r="AE535" i="6" s="1"/>
  <c r="AG535" i="5"/>
  <c r="AI535" i="6" s="1"/>
  <c r="G536" i="5"/>
  <c r="I536" i="6" s="1"/>
  <c r="K536" i="5"/>
  <c r="M536" i="6" s="1"/>
  <c r="O536" i="5"/>
  <c r="Q536" i="6" s="1"/>
  <c r="S536" i="5"/>
  <c r="U536" i="6" s="1"/>
  <c r="W536" i="5"/>
  <c r="Y536" i="6" s="1"/>
  <c r="AA536" i="5"/>
  <c r="AC536" i="6" s="1"/>
  <c r="AE536" i="5"/>
  <c r="AG536" i="6" s="1"/>
  <c r="E537" i="5"/>
  <c r="G537" i="6" s="1"/>
  <c r="I537" i="5"/>
  <c r="K537" i="6" s="1"/>
  <c r="M537" i="5"/>
  <c r="O537" i="6" s="1"/>
  <c r="Q537" i="5"/>
  <c r="S537" i="6" s="1"/>
  <c r="U537" i="5"/>
  <c r="W537" i="6" s="1"/>
  <c r="Y537" i="5"/>
  <c r="AA537" i="6" s="1"/>
  <c r="AC537" i="5"/>
  <c r="AE537" i="6" s="1"/>
  <c r="AG537" i="5"/>
  <c r="AI537" i="6" s="1"/>
  <c r="G538" i="5"/>
  <c r="I538" i="6" s="1"/>
  <c r="K538" i="5"/>
  <c r="M538" i="6" s="1"/>
  <c r="O538" i="5"/>
  <c r="Q538" i="6" s="1"/>
  <c r="S538" i="5"/>
  <c r="U538" i="6" s="1"/>
  <c r="W538" i="5"/>
  <c r="Y538" i="6" s="1"/>
  <c r="AA538" i="5"/>
  <c r="AC538" i="6" s="1"/>
  <c r="AE538" i="5"/>
  <c r="AG538" i="6" s="1"/>
  <c r="E539" i="5"/>
  <c r="G539" i="6" s="1"/>
  <c r="I539" i="5"/>
  <c r="K539" i="6" s="1"/>
  <c r="M539" i="5"/>
  <c r="O539" i="6" s="1"/>
  <c r="Q539" i="5"/>
  <c r="S539" i="6" s="1"/>
  <c r="U539" i="5"/>
  <c r="W539" i="6" s="1"/>
  <c r="Y539" i="5"/>
  <c r="AA539" i="6" s="1"/>
  <c r="AC539" i="5"/>
  <c r="AE539" i="6" s="1"/>
  <c r="AG539" i="5"/>
  <c r="AI539" i="6" s="1"/>
  <c r="G540" i="5"/>
  <c r="I540" i="6" s="1"/>
  <c r="K540" i="5"/>
  <c r="M540" i="6" s="1"/>
  <c r="O540" i="5"/>
  <c r="Q540" i="6" s="1"/>
  <c r="S540" i="5"/>
  <c r="U540" i="6" s="1"/>
  <c r="W540" i="5"/>
  <c r="Y540" i="6" s="1"/>
  <c r="AA540" i="5"/>
  <c r="AC540" i="6" s="1"/>
  <c r="AE540" i="5"/>
  <c r="AG540" i="6" s="1"/>
  <c r="E541" i="5"/>
  <c r="G541" i="6" s="1"/>
  <c r="I541" i="5"/>
  <c r="K541" i="6" s="1"/>
  <c r="M541" i="5"/>
  <c r="O541" i="6" s="1"/>
  <c r="Q541" i="5"/>
  <c r="S541" i="6" s="1"/>
  <c r="U541" i="5"/>
  <c r="W541" i="6" s="1"/>
  <c r="Y541" i="5"/>
  <c r="AA541" i="6" s="1"/>
  <c r="AC541" i="5"/>
  <c r="AE541" i="6" s="1"/>
  <c r="AG541" i="5"/>
  <c r="AI541" i="6" s="1"/>
  <c r="G542" i="5"/>
  <c r="I542" i="6" s="1"/>
  <c r="K542" i="5"/>
  <c r="M542" i="6" s="1"/>
  <c r="O542" i="5"/>
  <c r="Q542" i="6" s="1"/>
  <c r="S542" i="5"/>
  <c r="U542" i="6" s="1"/>
  <c r="W542" i="5"/>
  <c r="Y542" i="6" s="1"/>
  <c r="AA542" i="5"/>
  <c r="AC542" i="6" s="1"/>
  <c r="AE542" i="5"/>
  <c r="AG542" i="6" s="1"/>
  <c r="E543" i="5"/>
  <c r="G543" i="6" s="1"/>
  <c r="I543" i="5"/>
  <c r="K543" i="6" s="1"/>
  <c r="M543" i="5"/>
  <c r="O543" i="6" s="1"/>
  <c r="Q543" i="5"/>
  <c r="S543" i="6" s="1"/>
  <c r="U543" i="5"/>
  <c r="W543" i="6" s="1"/>
  <c r="Y543" i="5"/>
  <c r="AA543" i="6" s="1"/>
  <c r="AC543" i="5"/>
  <c r="AE543" i="6" s="1"/>
  <c r="AG543" i="5"/>
  <c r="AI543" i="6" s="1"/>
  <c r="G544" i="5"/>
  <c r="I544" i="6" s="1"/>
  <c r="K544" i="5"/>
  <c r="M544" i="6" s="1"/>
  <c r="O544" i="5"/>
  <c r="Q544" i="6" s="1"/>
  <c r="S544" i="5"/>
  <c r="U544" i="6" s="1"/>
  <c r="W544" i="5"/>
  <c r="Y544" i="6" s="1"/>
  <c r="AA544" i="5"/>
  <c r="AC544" i="6" s="1"/>
  <c r="AE544" i="5"/>
  <c r="AG544" i="6" s="1"/>
  <c r="E545" i="5"/>
  <c r="G545" i="6" s="1"/>
  <c r="I545" i="5"/>
  <c r="K545" i="6" s="1"/>
  <c r="M545" i="5"/>
  <c r="O545" i="6" s="1"/>
  <c r="Q545" i="5"/>
  <c r="S545" i="6" s="1"/>
  <c r="U545" i="5"/>
  <c r="W545" i="6" s="1"/>
  <c r="Y545" i="5"/>
  <c r="AA545" i="6" s="1"/>
  <c r="AC545" i="5"/>
  <c r="AE545" i="6" s="1"/>
  <c r="AG545" i="5"/>
  <c r="AI545" i="6" s="1"/>
  <c r="L548" i="5"/>
  <c r="N548" i="6" s="1"/>
  <c r="Q548" i="5"/>
  <c r="S548" i="6" s="1"/>
  <c r="U548" i="5"/>
  <c r="W548" i="6" s="1"/>
  <c r="Y548" i="5"/>
  <c r="AA548" i="6" s="1"/>
  <c r="AC548" i="5"/>
  <c r="AE548" i="6" s="1"/>
  <c r="AG548" i="5"/>
  <c r="AI548" i="6" s="1"/>
  <c r="G549" i="5"/>
  <c r="I549" i="6" s="1"/>
  <c r="K549" i="5"/>
  <c r="M549" i="6" s="1"/>
  <c r="O549" i="5"/>
  <c r="Q549" i="6" s="1"/>
  <c r="S549" i="5"/>
  <c r="U549" i="6" s="1"/>
  <c r="W549" i="5"/>
  <c r="Y549" i="6" s="1"/>
  <c r="AA549" i="5"/>
  <c r="AC549" i="6" s="1"/>
  <c r="AE549" i="5"/>
  <c r="AG549" i="6" s="1"/>
  <c r="E550" i="5"/>
  <c r="G550" i="6" s="1"/>
  <c r="I550" i="5"/>
  <c r="K550" i="6" s="1"/>
  <c r="M550" i="5"/>
  <c r="O550" i="6" s="1"/>
  <c r="Q550" i="5"/>
  <c r="S550" i="6" s="1"/>
  <c r="U550" i="5"/>
  <c r="W550" i="6" s="1"/>
  <c r="Y550" i="5"/>
  <c r="AA550" i="6" s="1"/>
  <c r="AC550" i="5"/>
  <c r="AE550" i="6" s="1"/>
  <c r="AG550" i="5"/>
  <c r="AI550" i="6" s="1"/>
  <c r="G551" i="5"/>
  <c r="I551" i="6" s="1"/>
  <c r="K551" i="5"/>
  <c r="M551" i="6" s="1"/>
  <c r="O551" i="5"/>
  <c r="Q551" i="6" s="1"/>
  <c r="S551" i="5"/>
  <c r="U551" i="6" s="1"/>
  <c r="W551" i="5"/>
  <c r="Y551" i="6" s="1"/>
  <c r="AA551" i="5"/>
  <c r="AC551" i="6" s="1"/>
  <c r="AE551" i="5"/>
  <c r="AG551" i="6" s="1"/>
  <c r="E552" i="5"/>
  <c r="G552" i="6" s="1"/>
  <c r="I552" i="5"/>
  <c r="K552" i="6" s="1"/>
  <c r="M552" i="5"/>
  <c r="O552" i="6" s="1"/>
  <c r="Q552" i="5"/>
  <c r="S552" i="6" s="1"/>
  <c r="U552" i="5"/>
  <c r="W552" i="6" s="1"/>
  <c r="Y552" i="5"/>
  <c r="AA552" i="6" s="1"/>
  <c r="AC552" i="5"/>
  <c r="AE552" i="6" s="1"/>
  <c r="AG552" i="5"/>
  <c r="AI552" i="6" s="1"/>
  <c r="G553" i="5"/>
  <c r="I553" i="6" s="1"/>
  <c r="K553" i="5"/>
  <c r="M553" i="6" s="1"/>
  <c r="O553" i="5"/>
  <c r="Q553" i="6" s="1"/>
  <c r="S553" i="5"/>
  <c r="U553" i="6" s="1"/>
  <c r="W553" i="5"/>
  <c r="Y553" i="6" s="1"/>
  <c r="AA553" i="5"/>
  <c r="AC553" i="6" s="1"/>
  <c r="AE553" i="5"/>
  <c r="AG553" i="6" s="1"/>
  <c r="E554" i="5"/>
  <c r="G554" i="6" s="1"/>
  <c r="I554" i="5"/>
  <c r="K554" i="6" s="1"/>
  <c r="M554" i="5"/>
  <c r="O554" i="6" s="1"/>
  <c r="Q554" i="5"/>
  <c r="S554" i="6" s="1"/>
  <c r="U554" i="5"/>
  <c r="W554" i="6" s="1"/>
  <c r="Y554" i="5"/>
  <c r="AA554" i="6" s="1"/>
  <c r="AC554" i="5"/>
  <c r="AE554" i="6" s="1"/>
  <c r="AG554" i="5"/>
  <c r="AI554" i="6" s="1"/>
  <c r="G555" i="5"/>
  <c r="I555" i="6" s="1"/>
  <c r="K555" i="5"/>
  <c r="M555" i="6" s="1"/>
  <c r="O555" i="5"/>
  <c r="Q555" i="6" s="1"/>
  <c r="S555" i="5"/>
  <c r="U555" i="6" s="1"/>
  <c r="W555" i="5"/>
  <c r="Y555" i="6" s="1"/>
  <c r="AA555" i="5"/>
  <c r="AC555" i="6" s="1"/>
  <c r="AE555" i="5"/>
  <c r="AG555" i="6" s="1"/>
  <c r="E557" i="5"/>
  <c r="G557" i="6" s="1"/>
  <c r="I557" i="5"/>
  <c r="K557" i="6" s="1"/>
  <c r="M557" i="5"/>
  <c r="O557" i="6" s="1"/>
  <c r="Q557" i="5"/>
  <c r="S557" i="6" s="1"/>
  <c r="U557" i="5"/>
  <c r="W557" i="6" s="1"/>
  <c r="Y557" i="5"/>
  <c r="AA557" i="6" s="1"/>
  <c r="AC557" i="5"/>
  <c r="AE557" i="6" s="1"/>
  <c r="AG557" i="5"/>
  <c r="AI557" i="6" s="1"/>
  <c r="G558" i="5"/>
  <c r="I558" i="6" s="1"/>
  <c r="K558" i="5"/>
  <c r="M558" i="6" s="1"/>
  <c r="O558" i="5"/>
  <c r="Q558" i="6" s="1"/>
  <c r="S558" i="5"/>
  <c r="U558" i="6" s="1"/>
  <c r="W558" i="5"/>
  <c r="Y558" i="6" s="1"/>
  <c r="AA558" i="5"/>
  <c r="AC558" i="6" s="1"/>
  <c r="AE558" i="5"/>
  <c r="AG558" i="6" s="1"/>
  <c r="E559" i="5"/>
  <c r="G559" i="6" s="1"/>
  <c r="I559" i="5"/>
  <c r="K559" i="6" s="1"/>
  <c r="M559" i="5"/>
  <c r="O559" i="6" s="1"/>
  <c r="Q559" i="5"/>
  <c r="S559" i="6" s="1"/>
  <c r="U559" i="5"/>
  <c r="W559" i="6" s="1"/>
  <c r="Y559" i="5"/>
  <c r="AA559" i="6" s="1"/>
  <c r="AC559" i="5"/>
  <c r="AE559" i="6" s="1"/>
  <c r="AG559" i="5"/>
  <c r="AI559" i="6" s="1"/>
  <c r="G560" i="5"/>
  <c r="I560" i="6" s="1"/>
  <c r="K560" i="5"/>
  <c r="M560" i="6" s="1"/>
  <c r="O560" i="5"/>
  <c r="Q560" i="6" s="1"/>
  <c r="S560" i="5"/>
  <c r="U560" i="6" s="1"/>
  <c r="W560" i="5"/>
  <c r="Y560" i="6" s="1"/>
  <c r="G561" i="5"/>
  <c r="I561" i="6" s="1"/>
  <c r="K561" i="5"/>
  <c r="M561" i="6" s="1"/>
  <c r="O561" i="5"/>
  <c r="Q561" i="6" s="1"/>
  <c r="S561" i="5"/>
  <c r="U561" i="6" s="1"/>
  <c r="W561" i="5"/>
  <c r="Y561" i="6" s="1"/>
  <c r="AA561" i="5"/>
  <c r="AC561" i="6" s="1"/>
  <c r="AE561" i="5"/>
  <c r="AG561" i="6" s="1"/>
  <c r="E562" i="5"/>
  <c r="G562" i="6" s="1"/>
  <c r="I562" i="5"/>
  <c r="K562" i="6" s="1"/>
  <c r="M562" i="5"/>
  <c r="O562" i="6" s="1"/>
  <c r="Q562" i="5"/>
  <c r="S562" i="6" s="1"/>
  <c r="U562" i="5"/>
  <c r="W562" i="6" s="1"/>
  <c r="Y562" i="5"/>
  <c r="AA562" i="6" s="1"/>
  <c r="AC562" i="5"/>
  <c r="AE562" i="6" s="1"/>
  <c r="AG562" i="5"/>
  <c r="AI562" i="6" s="1"/>
  <c r="V564" i="5"/>
  <c r="X564" i="6" s="1"/>
  <c r="AF564" i="5"/>
  <c r="AH564" i="6" s="1"/>
  <c r="L565" i="5"/>
  <c r="N565" i="6" s="1"/>
  <c r="V565" i="5"/>
  <c r="X565" i="6" s="1"/>
  <c r="AF565" i="5"/>
  <c r="AH565" i="6" s="1"/>
  <c r="L566" i="5"/>
  <c r="N566" i="6" s="1"/>
  <c r="V566" i="5"/>
  <c r="X566" i="6" s="1"/>
  <c r="L567" i="5"/>
  <c r="N567" i="6" s="1"/>
  <c r="V567" i="5"/>
  <c r="X567" i="6" s="1"/>
  <c r="AF567" i="5"/>
  <c r="AH567" i="6" s="1"/>
  <c r="M568" i="5"/>
  <c r="O568" i="6" s="1"/>
  <c r="W568" i="5"/>
  <c r="Y568" i="6" s="1"/>
  <c r="AG568" i="5"/>
  <c r="AI568" i="6" s="1"/>
  <c r="M569" i="5"/>
  <c r="O569" i="6" s="1"/>
  <c r="W569" i="5"/>
  <c r="Y569" i="6" s="1"/>
  <c r="AG569" i="5"/>
  <c r="AI569" i="6" s="1"/>
  <c r="G585" i="5"/>
  <c r="I585" i="6" s="1"/>
  <c r="K585" i="5"/>
  <c r="M585" i="6" s="1"/>
  <c r="O585" i="5"/>
  <c r="Q585" i="6" s="1"/>
  <c r="S585" i="5"/>
  <c r="U585" i="6" s="1"/>
  <c r="W585" i="5"/>
  <c r="Y585" i="6" s="1"/>
  <c r="AA585" i="5"/>
  <c r="AC585" i="6" s="1"/>
  <c r="AE585" i="5"/>
  <c r="AG585" i="6" s="1"/>
  <c r="E586" i="5"/>
  <c r="G586" i="6" s="1"/>
  <c r="I586" i="5"/>
  <c r="K586" i="6" s="1"/>
  <c r="M586" i="5"/>
  <c r="O586" i="6" s="1"/>
  <c r="Q586" i="5"/>
  <c r="S586" i="6" s="1"/>
  <c r="U586" i="5"/>
  <c r="W586" i="6" s="1"/>
  <c r="Y586" i="5"/>
  <c r="AA586" i="6" s="1"/>
  <c r="AC586" i="5"/>
  <c r="AE586" i="6" s="1"/>
  <c r="AG586" i="5"/>
  <c r="AI586" i="6" s="1"/>
  <c r="G587" i="5"/>
  <c r="I587" i="6" s="1"/>
  <c r="K587" i="5"/>
  <c r="M587" i="6" s="1"/>
  <c r="O587" i="5"/>
  <c r="Q587" i="6" s="1"/>
  <c r="S587" i="5"/>
  <c r="U587" i="6" s="1"/>
  <c r="W587" i="5"/>
  <c r="Y587" i="6" s="1"/>
  <c r="AA587" i="5"/>
  <c r="AC587" i="6" s="1"/>
  <c r="AE587" i="5"/>
  <c r="AG587" i="6" s="1"/>
  <c r="E588" i="5"/>
  <c r="G588" i="6" s="1"/>
  <c r="I588" i="5"/>
  <c r="K588" i="6" s="1"/>
  <c r="M588" i="5"/>
  <c r="O588" i="6" s="1"/>
  <c r="Q588" i="5"/>
  <c r="S588" i="6" s="1"/>
  <c r="U588" i="5"/>
  <c r="W588" i="6" s="1"/>
  <c r="Y588" i="5"/>
  <c r="AA588" i="6" s="1"/>
  <c r="AC588" i="5"/>
  <c r="AE588" i="6" s="1"/>
  <c r="AG588" i="5"/>
  <c r="AI588" i="6" s="1"/>
  <c r="G589" i="5"/>
  <c r="I589" i="6" s="1"/>
  <c r="K589" i="5"/>
  <c r="M589" i="6" s="1"/>
  <c r="O589" i="5"/>
  <c r="Q589" i="6" s="1"/>
  <c r="S589" i="5"/>
  <c r="U589" i="6" s="1"/>
  <c r="W589" i="5"/>
  <c r="Y589" i="6" s="1"/>
  <c r="AA589" i="5"/>
  <c r="AC589" i="6" s="1"/>
  <c r="AE589" i="5"/>
  <c r="AG589" i="6" s="1"/>
  <c r="G591" i="5"/>
  <c r="I591" i="6" s="1"/>
  <c r="Q591" i="5"/>
  <c r="S591" i="6" s="1"/>
  <c r="AA591" i="5"/>
  <c r="AC591" i="6" s="1"/>
  <c r="G592" i="5"/>
  <c r="I592" i="6" s="1"/>
  <c r="Q592" i="5"/>
  <c r="S592" i="6" s="1"/>
  <c r="AA592" i="5"/>
  <c r="AC592" i="6" s="1"/>
  <c r="G593" i="5"/>
  <c r="I593" i="6" s="1"/>
  <c r="Q593" i="5"/>
  <c r="S593" i="6" s="1"/>
  <c r="AA593" i="5"/>
  <c r="AC593" i="6" s="1"/>
  <c r="I594" i="5"/>
  <c r="K594" i="6" s="1"/>
  <c r="S594" i="5"/>
  <c r="U594" i="6" s="1"/>
  <c r="AC594" i="5"/>
  <c r="AE594" i="6" s="1"/>
  <c r="S595" i="5"/>
  <c r="U595" i="6" s="1"/>
  <c r="E597" i="5"/>
  <c r="G597" i="6" s="1"/>
  <c r="I597" i="5"/>
  <c r="K597" i="6" s="1"/>
  <c r="M597" i="5"/>
  <c r="O597" i="6" s="1"/>
  <c r="Q597" i="5"/>
  <c r="S597" i="6" s="1"/>
  <c r="U597" i="5"/>
  <c r="W597" i="6" s="1"/>
  <c r="Y597" i="5"/>
  <c r="AA597" i="6" s="1"/>
  <c r="AC597" i="5"/>
  <c r="AE597" i="6" s="1"/>
  <c r="AG597" i="5"/>
  <c r="AI597" i="6" s="1"/>
  <c r="G598" i="5"/>
  <c r="I598" i="6" s="1"/>
  <c r="K598" i="5"/>
  <c r="M598" i="6" s="1"/>
  <c r="O598" i="5"/>
  <c r="Q598" i="6" s="1"/>
  <c r="S598" i="5"/>
  <c r="U598" i="6" s="1"/>
  <c r="W598" i="5"/>
  <c r="Y598" i="6" s="1"/>
  <c r="AA598" i="5"/>
  <c r="AC598" i="6" s="1"/>
  <c r="AE598" i="5"/>
  <c r="AG598" i="6" s="1"/>
  <c r="E599" i="5"/>
  <c r="G599" i="6" s="1"/>
  <c r="I599" i="5"/>
  <c r="K599" i="6" s="1"/>
  <c r="M599" i="5"/>
  <c r="O599" i="6" s="1"/>
  <c r="Q599" i="5"/>
  <c r="S599" i="6" s="1"/>
  <c r="U599" i="5"/>
  <c r="W599" i="6" s="1"/>
  <c r="Y599" i="5"/>
  <c r="AA599" i="6" s="1"/>
  <c r="AC599" i="5"/>
  <c r="AE599" i="6" s="1"/>
  <c r="AG599" i="5"/>
  <c r="AI599" i="6" s="1"/>
  <c r="G600" i="5"/>
  <c r="I600" i="6" s="1"/>
  <c r="K600" i="5"/>
  <c r="M600" i="6" s="1"/>
  <c r="O600" i="5"/>
  <c r="Q600" i="6" s="1"/>
  <c r="S600" i="5"/>
  <c r="U600" i="6" s="1"/>
  <c r="W600" i="5"/>
  <c r="Y600" i="6" s="1"/>
  <c r="AA600" i="5"/>
  <c r="AC600" i="6" s="1"/>
  <c r="AE600" i="5"/>
  <c r="AG600" i="6" s="1"/>
  <c r="E601" i="5"/>
  <c r="G601" i="6" s="1"/>
  <c r="I601" i="5"/>
  <c r="K601" i="6" s="1"/>
  <c r="M601" i="5"/>
  <c r="O601" i="6" s="1"/>
  <c r="Q601" i="5"/>
  <c r="S601" i="6" s="1"/>
  <c r="U601" i="5"/>
  <c r="W601" i="6" s="1"/>
  <c r="AC601" i="5"/>
  <c r="AE601" i="6" s="1"/>
  <c r="AG601" i="5"/>
  <c r="AI601" i="6" s="1"/>
  <c r="G602" i="5"/>
  <c r="I602" i="6" s="1"/>
  <c r="O602" i="5"/>
  <c r="Q602" i="6" s="1"/>
  <c r="S602" i="5"/>
  <c r="U602" i="6" s="1"/>
  <c r="W602" i="5"/>
  <c r="Y602" i="6" s="1"/>
  <c r="AE602" i="5"/>
  <c r="AG602" i="6" s="1"/>
  <c r="E604" i="5"/>
  <c r="G604" i="6" s="1"/>
  <c r="I604" i="5"/>
  <c r="K604" i="6" s="1"/>
  <c r="Q604" i="5"/>
  <c r="S604" i="6" s="1"/>
  <c r="U604" i="5"/>
  <c r="W604" i="6" s="1"/>
  <c r="Y604" i="5"/>
  <c r="AA604" i="6" s="1"/>
  <c r="AG604" i="5"/>
  <c r="AI604" i="6" s="1"/>
  <c r="G605" i="5"/>
  <c r="I605" i="6" s="1"/>
  <c r="K605" i="5"/>
  <c r="M605" i="6" s="1"/>
  <c r="S605" i="5"/>
  <c r="U605" i="6" s="1"/>
  <c r="W605" i="5"/>
  <c r="Y605" i="6" s="1"/>
  <c r="AA605" i="5"/>
  <c r="AC605" i="6" s="1"/>
  <c r="E606" i="5"/>
  <c r="G606" i="6" s="1"/>
  <c r="I606" i="5"/>
  <c r="K606" i="6" s="1"/>
  <c r="M606" i="5"/>
  <c r="O606" i="6" s="1"/>
  <c r="U606" i="5"/>
  <c r="W606" i="6" s="1"/>
  <c r="Y606" i="5"/>
  <c r="AA606" i="6" s="1"/>
  <c r="AC606" i="5"/>
  <c r="AE606" i="6" s="1"/>
  <c r="G607" i="5"/>
  <c r="I607" i="6" s="1"/>
  <c r="K607" i="5"/>
  <c r="M607" i="6" s="1"/>
  <c r="O607" i="5"/>
  <c r="Q607" i="6" s="1"/>
  <c r="W607" i="5"/>
  <c r="Y607" i="6" s="1"/>
  <c r="AA607" i="5"/>
  <c r="AC607" i="6" s="1"/>
  <c r="AE607" i="5"/>
  <c r="AG607" i="6" s="1"/>
  <c r="I608" i="5"/>
  <c r="K608" i="6" s="1"/>
  <c r="M608" i="5"/>
  <c r="O608" i="6" s="1"/>
  <c r="Q608" i="5"/>
  <c r="S608" i="6" s="1"/>
  <c r="U608" i="5"/>
  <c r="W608" i="6" s="1"/>
  <c r="Y608" i="5"/>
  <c r="AA608" i="6" s="1"/>
  <c r="AC608" i="5"/>
  <c r="AE608" i="6" s="1"/>
  <c r="AG608" i="5"/>
  <c r="AI608" i="6" s="1"/>
  <c r="G609" i="5"/>
  <c r="I609" i="6" s="1"/>
  <c r="K609" i="5"/>
  <c r="M609" i="6" s="1"/>
  <c r="O609" i="5"/>
  <c r="Q609" i="6" s="1"/>
  <c r="S609" i="5"/>
  <c r="U609" i="6" s="1"/>
  <c r="W609" i="5"/>
  <c r="Y609" i="6" s="1"/>
  <c r="AA609" i="5"/>
  <c r="AC609" i="6" s="1"/>
  <c r="AE609" i="5"/>
  <c r="AG609" i="6" s="1"/>
  <c r="E610" i="5"/>
  <c r="G610" i="6" s="1"/>
  <c r="I610" i="5"/>
  <c r="K610" i="6" s="1"/>
  <c r="M610" i="5"/>
  <c r="O610" i="6" s="1"/>
  <c r="Q610" i="5"/>
  <c r="S610" i="6" s="1"/>
  <c r="U610" i="5"/>
  <c r="W610" i="6" s="1"/>
  <c r="Y610" i="5"/>
  <c r="AA610" i="6" s="1"/>
  <c r="AC610" i="5"/>
  <c r="AE610" i="6" s="1"/>
  <c r="AG610" i="5"/>
  <c r="AI610" i="6" s="1"/>
  <c r="G611" i="5"/>
  <c r="I611" i="6" s="1"/>
  <c r="K611" i="5"/>
  <c r="M611" i="6" s="1"/>
  <c r="O611" i="5"/>
  <c r="Q611" i="6" s="1"/>
  <c r="S611" i="5"/>
  <c r="U611" i="6" s="1"/>
  <c r="W611" i="5"/>
  <c r="Y611" i="6" s="1"/>
  <c r="AA611" i="5"/>
  <c r="AC611" i="6" s="1"/>
  <c r="AE611" i="5"/>
  <c r="AG611" i="6" s="1"/>
  <c r="E612" i="5"/>
  <c r="G612" i="6" s="1"/>
  <c r="I612" i="5"/>
  <c r="K612" i="6" s="1"/>
  <c r="M612" i="5"/>
  <c r="O612" i="6" s="1"/>
  <c r="Q612" i="5"/>
  <c r="S612" i="6" s="1"/>
  <c r="U612" i="5"/>
  <c r="W612" i="6" s="1"/>
  <c r="Y612" i="5"/>
  <c r="AA612" i="6" s="1"/>
  <c r="AC612" i="5"/>
  <c r="AE612" i="6" s="1"/>
  <c r="AG612" i="5"/>
  <c r="AI612" i="6" s="1"/>
  <c r="G613" i="5"/>
  <c r="I613" i="6" s="1"/>
  <c r="K613" i="5"/>
  <c r="M613" i="6" s="1"/>
  <c r="O613" i="5"/>
  <c r="Q613" i="6" s="1"/>
  <c r="S613" i="5"/>
  <c r="U613" i="6" s="1"/>
  <c r="W613" i="5"/>
  <c r="Y613" i="6" s="1"/>
  <c r="AA613" i="5"/>
  <c r="AC613" i="6" s="1"/>
  <c r="AE613" i="5"/>
  <c r="AG613" i="6" s="1"/>
  <c r="E614" i="5"/>
  <c r="G614" i="6" s="1"/>
  <c r="I614" i="5"/>
  <c r="K614" i="6" s="1"/>
  <c r="M614" i="5"/>
  <c r="O614" i="6" s="1"/>
  <c r="Q614" i="5"/>
  <c r="S614" i="6" s="1"/>
  <c r="U614" i="5"/>
  <c r="W614" i="6" s="1"/>
  <c r="Y614" i="5"/>
  <c r="AA614" i="6" s="1"/>
  <c r="AC614" i="5"/>
  <c r="AE614" i="6" s="1"/>
  <c r="AG614" i="5"/>
  <c r="AI614" i="6" s="1"/>
  <c r="G615" i="5"/>
  <c r="I615" i="6" s="1"/>
  <c r="K615" i="5"/>
  <c r="M615" i="6" s="1"/>
  <c r="O615" i="5"/>
  <c r="Q615" i="6" s="1"/>
  <c r="S615" i="5"/>
  <c r="U615" i="6" s="1"/>
  <c r="W615" i="5"/>
  <c r="Y615" i="6" s="1"/>
  <c r="AA615" i="5"/>
  <c r="AC615" i="6" s="1"/>
  <c r="AE615" i="5"/>
  <c r="AG615" i="6" s="1"/>
  <c r="E616" i="5"/>
  <c r="G616" i="6" s="1"/>
  <c r="I616" i="5"/>
  <c r="K616" i="6" s="1"/>
  <c r="M616" i="5"/>
  <c r="O616" i="6" s="1"/>
  <c r="Q616" i="5"/>
  <c r="S616" i="6" s="1"/>
  <c r="U616" i="5"/>
  <c r="W616" i="6" s="1"/>
  <c r="Y616" i="5"/>
  <c r="AA616" i="6" s="1"/>
  <c r="AC616" i="5"/>
  <c r="AE616" i="6" s="1"/>
  <c r="AG616" i="5"/>
  <c r="AI616" i="6" s="1"/>
  <c r="G617" i="5"/>
  <c r="I617" i="6" s="1"/>
  <c r="K617" i="5"/>
  <c r="M617" i="6" s="1"/>
  <c r="O617" i="5"/>
  <c r="Q617" i="6" s="1"/>
  <c r="S617" i="5"/>
  <c r="U617" i="6" s="1"/>
  <c r="W617" i="5"/>
  <c r="Y617" i="6" s="1"/>
  <c r="AA617" i="5"/>
  <c r="AC617" i="6" s="1"/>
  <c r="AE617" i="5"/>
  <c r="AG617" i="6" s="1"/>
  <c r="E618" i="5"/>
  <c r="G618" i="6" s="1"/>
  <c r="I618" i="5"/>
  <c r="K618" i="6" s="1"/>
  <c r="M618" i="5"/>
  <c r="O618" i="6" s="1"/>
  <c r="Q618" i="5"/>
  <c r="S618" i="6" s="1"/>
  <c r="U618" i="5"/>
  <c r="W618" i="6" s="1"/>
  <c r="Y618" i="5"/>
  <c r="AA618" i="6" s="1"/>
  <c r="AC618" i="5"/>
  <c r="AE618" i="6" s="1"/>
  <c r="AG618" i="5"/>
  <c r="AI618" i="6" s="1"/>
  <c r="G619" i="5"/>
  <c r="I619" i="6" s="1"/>
  <c r="K619" i="5"/>
  <c r="M619" i="6" s="1"/>
  <c r="O619" i="5"/>
  <c r="Q619" i="6" s="1"/>
  <c r="S619" i="5"/>
  <c r="U619" i="6" s="1"/>
  <c r="W619" i="5"/>
  <c r="Y619" i="6" s="1"/>
  <c r="AA619" i="5"/>
  <c r="AC619" i="6" s="1"/>
  <c r="AE619" i="5"/>
  <c r="AG619" i="6" s="1"/>
  <c r="E620" i="5"/>
  <c r="G620" i="6" s="1"/>
  <c r="I620" i="5"/>
  <c r="K620" i="6" s="1"/>
  <c r="M620" i="5"/>
  <c r="O620" i="6" s="1"/>
  <c r="Q620" i="5"/>
  <c r="S620" i="6" s="1"/>
  <c r="U620" i="5"/>
  <c r="W620" i="6" s="1"/>
  <c r="Y620" i="5"/>
  <c r="AA620" i="6" s="1"/>
  <c r="AC620" i="5"/>
  <c r="AE620" i="6" s="1"/>
  <c r="AG620" i="5"/>
  <c r="AI620" i="6" s="1"/>
  <c r="G621" i="5"/>
  <c r="I621" i="6" s="1"/>
  <c r="K621" i="5"/>
  <c r="M621" i="6" s="1"/>
  <c r="O621" i="5"/>
  <c r="Q621" i="6" s="1"/>
  <c r="S621" i="5"/>
  <c r="U621" i="6" s="1"/>
  <c r="W621" i="5"/>
  <c r="Y621" i="6" s="1"/>
  <c r="AA621" i="5"/>
  <c r="AC621" i="6" s="1"/>
  <c r="AE621" i="5"/>
  <c r="AG621" i="6" s="1"/>
  <c r="E622" i="5"/>
  <c r="G622" i="6" s="1"/>
  <c r="I622" i="5"/>
  <c r="K622" i="6" s="1"/>
  <c r="M622" i="5"/>
  <c r="O622" i="6" s="1"/>
  <c r="Q622" i="5"/>
  <c r="S622" i="6" s="1"/>
  <c r="U622" i="5"/>
  <c r="W622" i="6" s="1"/>
  <c r="Y622" i="5"/>
  <c r="AA622" i="6" s="1"/>
  <c r="AC622" i="5"/>
  <c r="AE622" i="6" s="1"/>
  <c r="AG622" i="5"/>
  <c r="AI622" i="6" s="1"/>
  <c r="G623" i="5"/>
  <c r="I623" i="6" s="1"/>
  <c r="K623" i="5"/>
  <c r="M623" i="6" s="1"/>
  <c r="O623" i="5"/>
  <c r="Q623" i="6" s="1"/>
  <c r="S623" i="5"/>
  <c r="U623" i="6" s="1"/>
  <c r="W623" i="5"/>
  <c r="Y623" i="6" s="1"/>
  <c r="AA623" i="5"/>
  <c r="AC623" i="6" s="1"/>
  <c r="AE623" i="5"/>
  <c r="AG623" i="6" s="1"/>
  <c r="E624" i="5"/>
  <c r="G624" i="6" s="1"/>
  <c r="I624" i="5"/>
  <c r="K624" i="6" s="1"/>
  <c r="M624" i="5"/>
  <c r="O624" i="6" s="1"/>
  <c r="Q624" i="5"/>
  <c r="S624" i="6" s="1"/>
  <c r="U624" i="5"/>
  <c r="W624" i="6" s="1"/>
  <c r="Y624" i="5"/>
  <c r="AA624" i="6" s="1"/>
  <c r="AC624" i="5"/>
  <c r="AE624" i="6" s="1"/>
  <c r="AG624" i="5"/>
  <c r="AI624" i="6" s="1"/>
  <c r="G625" i="5"/>
  <c r="I625" i="6" s="1"/>
  <c r="K625" i="5"/>
  <c r="M625" i="6" s="1"/>
  <c r="O625" i="5"/>
  <c r="Q625" i="6" s="1"/>
  <c r="S625" i="5"/>
  <c r="U625" i="6" s="1"/>
  <c r="W625" i="5"/>
  <c r="Y625" i="6" s="1"/>
  <c r="AA625" i="5"/>
  <c r="AC625" i="6" s="1"/>
  <c r="AE625" i="5"/>
  <c r="AG625" i="6" s="1"/>
  <c r="E626" i="5"/>
  <c r="G626" i="6" s="1"/>
  <c r="I626" i="5"/>
  <c r="K626" i="6" s="1"/>
  <c r="M626" i="5"/>
  <c r="O626" i="6" s="1"/>
  <c r="Q626" i="5"/>
  <c r="S626" i="6" s="1"/>
  <c r="U626" i="5"/>
  <c r="W626" i="6" s="1"/>
  <c r="Y626" i="5"/>
  <c r="AA626" i="6" s="1"/>
  <c r="AC626" i="5"/>
  <c r="AE626" i="6" s="1"/>
  <c r="AG626" i="5"/>
  <c r="AI626" i="6" s="1"/>
  <c r="G627" i="5"/>
  <c r="I627" i="6" s="1"/>
  <c r="K627" i="5"/>
  <c r="M627" i="6" s="1"/>
  <c r="O627" i="5"/>
  <c r="Q627" i="6" s="1"/>
  <c r="S627" i="5"/>
  <c r="U627" i="6" s="1"/>
  <c r="W627" i="5"/>
  <c r="Y627" i="6" s="1"/>
  <c r="AA627" i="5"/>
  <c r="AC627" i="6" s="1"/>
  <c r="AE627" i="5"/>
  <c r="AG627" i="6" s="1"/>
  <c r="E628" i="5"/>
  <c r="G628" i="6" s="1"/>
  <c r="I628" i="5"/>
  <c r="K628" i="6" s="1"/>
  <c r="M628" i="5"/>
  <c r="O628" i="6" s="1"/>
  <c r="Q628" i="5"/>
  <c r="S628" i="6" s="1"/>
  <c r="U628" i="5"/>
  <c r="W628" i="6" s="1"/>
  <c r="Y628" i="5"/>
  <c r="AA628" i="6" s="1"/>
  <c r="AC628" i="5"/>
  <c r="AE628" i="6" s="1"/>
  <c r="AG628" i="5"/>
  <c r="AI628" i="6" s="1"/>
  <c r="G629" i="5"/>
  <c r="I629" i="6" s="1"/>
  <c r="K629" i="5"/>
  <c r="M629" i="6" s="1"/>
  <c r="O629" i="5"/>
  <c r="Q629" i="6" s="1"/>
  <c r="S629" i="5"/>
  <c r="U629" i="6" s="1"/>
  <c r="W629" i="5"/>
  <c r="Y629" i="6" s="1"/>
  <c r="AA629" i="5"/>
  <c r="AC629" i="6" s="1"/>
  <c r="AE629" i="5"/>
  <c r="AG629" i="6" s="1"/>
  <c r="E630" i="5"/>
  <c r="G630" i="6" s="1"/>
  <c r="I630" i="5"/>
  <c r="K630" i="6" s="1"/>
  <c r="M630" i="5"/>
  <c r="O630" i="6" s="1"/>
  <c r="Q630" i="5"/>
  <c r="S630" i="6" s="1"/>
  <c r="U630" i="5"/>
  <c r="W630" i="6" s="1"/>
  <c r="Y630" i="5"/>
  <c r="AA630" i="6" s="1"/>
  <c r="AC630" i="5"/>
  <c r="AE630" i="6" s="1"/>
  <c r="AG630" i="5"/>
  <c r="AI630" i="6" s="1"/>
  <c r="G631" i="5"/>
  <c r="I631" i="6" s="1"/>
  <c r="K631" i="5"/>
  <c r="M631" i="6" s="1"/>
  <c r="O631" i="5"/>
  <c r="Q631" i="6" s="1"/>
  <c r="S631" i="5"/>
  <c r="U631" i="6" s="1"/>
  <c r="W631" i="5"/>
  <c r="Y631" i="6" s="1"/>
  <c r="AA631" i="5"/>
  <c r="AC631" i="6" s="1"/>
  <c r="AE631" i="5"/>
  <c r="AG631" i="6" s="1"/>
  <c r="E632" i="5"/>
  <c r="G632" i="6" s="1"/>
  <c r="I632" i="5"/>
  <c r="K632" i="6" s="1"/>
  <c r="M632" i="5"/>
  <c r="O632" i="6" s="1"/>
  <c r="Q632" i="5"/>
  <c r="S632" i="6" s="1"/>
  <c r="U632" i="5"/>
  <c r="W632" i="6" s="1"/>
  <c r="Y632" i="5"/>
  <c r="AA632" i="6" s="1"/>
  <c r="AC632" i="5"/>
  <c r="AE632" i="6" s="1"/>
  <c r="AG632" i="5"/>
  <c r="AI632" i="6" s="1"/>
  <c r="G633" i="5"/>
  <c r="I633" i="6" s="1"/>
  <c r="K633" i="5"/>
  <c r="M633" i="6" s="1"/>
  <c r="O633" i="5"/>
  <c r="Q633" i="6" s="1"/>
  <c r="S633" i="5"/>
  <c r="U633" i="6" s="1"/>
  <c r="W633" i="5"/>
  <c r="Y633" i="6" s="1"/>
  <c r="AA633" i="5"/>
  <c r="AC633" i="6" s="1"/>
  <c r="AE633" i="5"/>
  <c r="AG633" i="6" s="1"/>
  <c r="E634" i="5"/>
  <c r="G634" i="6" s="1"/>
  <c r="I634" i="5"/>
  <c r="K634" i="6" s="1"/>
  <c r="M634" i="5"/>
  <c r="O634" i="6" s="1"/>
  <c r="Q634" i="5"/>
  <c r="S634" i="6" s="1"/>
  <c r="U634" i="5"/>
  <c r="W634" i="6" s="1"/>
  <c r="Y634" i="5"/>
  <c r="AA634" i="6" s="1"/>
  <c r="AC634" i="5"/>
  <c r="AE634" i="6" s="1"/>
  <c r="AG634" i="5"/>
  <c r="AI634" i="6" s="1"/>
  <c r="G635" i="5"/>
  <c r="I635" i="6" s="1"/>
  <c r="K635" i="5"/>
  <c r="M635" i="6" s="1"/>
  <c r="O635" i="5"/>
  <c r="Q635" i="6" s="1"/>
  <c r="S635" i="5"/>
  <c r="U635" i="6" s="1"/>
  <c r="W635" i="5"/>
  <c r="Y635" i="6" s="1"/>
  <c r="AA635" i="5"/>
  <c r="AC635" i="6" s="1"/>
  <c r="AE635" i="5"/>
  <c r="AG635" i="6" s="1"/>
  <c r="E636" i="5"/>
  <c r="G636" i="6" s="1"/>
  <c r="I636" i="5"/>
  <c r="K636" i="6" s="1"/>
  <c r="M636" i="5"/>
  <c r="O636" i="6" s="1"/>
  <c r="Q636" i="5"/>
  <c r="S636" i="6" s="1"/>
  <c r="U636" i="5"/>
  <c r="W636" i="6" s="1"/>
  <c r="Y636" i="5"/>
  <c r="AA636" i="6" s="1"/>
  <c r="AC636" i="5"/>
  <c r="AE636" i="6" s="1"/>
  <c r="AG636" i="5"/>
  <c r="AI636" i="6" s="1"/>
  <c r="G637" i="5"/>
  <c r="I637" i="6" s="1"/>
  <c r="K637" i="5"/>
  <c r="M637" i="6" s="1"/>
  <c r="O637" i="5"/>
  <c r="Q637" i="6" s="1"/>
  <c r="S637" i="5"/>
  <c r="U637" i="6" s="1"/>
  <c r="W637" i="5"/>
  <c r="Y637" i="6" s="1"/>
  <c r="AA637" i="5"/>
  <c r="AC637" i="6" s="1"/>
  <c r="AE637" i="5"/>
  <c r="AG637" i="6" s="1"/>
  <c r="E638" i="5"/>
  <c r="G638" i="6" s="1"/>
  <c r="I638" i="5"/>
  <c r="K638" i="6" s="1"/>
  <c r="M638" i="5"/>
  <c r="O638" i="6" s="1"/>
  <c r="Q638" i="5"/>
  <c r="S638" i="6" s="1"/>
  <c r="U638" i="5"/>
  <c r="W638" i="6" s="1"/>
  <c r="Y638" i="5"/>
  <c r="AA638" i="6" s="1"/>
  <c r="AC638" i="5"/>
  <c r="AE638" i="6" s="1"/>
  <c r="AG638" i="5"/>
  <c r="AI638" i="6" s="1"/>
  <c r="G639" i="5"/>
  <c r="I639" i="6" s="1"/>
  <c r="K639" i="5"/>
  <c r="M639" i="6" s="1"/>
  <c r="O639" i="5"/>
  <c r="Q639" i="6" s="1"/>
  <c r="S639" i="5"/>
  <c r="U639" i="6" s="1"/>
  <c r="W639" i="5"/>
  <c r="Y639" i="6" s="1"/>
  <c r="AA639" i="5"/>
  <c r="AC639" i="6" s="1"/>
  <c r="AE639" i="5"/>
  <c r="AG639" i="6" s="1"/>
  <c r="E640" i="5"/>
  <c r="G640" i="6" s="1"/>
  <c r="I640" i="5"/>
  <c r="K640" i="6" s="1"/>
  <c r="M640" i="5"/>
  <c r="O640" i="6" s="1"/>
  <c r="Q640" i="5"/>
  <c r="S640" i="6" s="1"/>
  <c r="U640" i="5"/>
  <c r="W640" i="6" s="1"/>
  <c r="Y640" i="5"/>
  <c r="AA640" i="6" s="1"/>
  <c r="AC640" i="5"/>
  <c r="AE640" i="6" s="1"/>
  <c r="AG640" i="5"/>
  <c r="AI640" i="6" s="1"/>
  <c r="G641" i="5"/>
  <c r="I641" i="6" s="1"/>
  <c r="K641" i="5"/>
  <c r="M641" i="6" s="1"/>
  <c r="O641" i="5"/>
  <c r="Q641" i="6" s="1"/>
  <c r="S641" i="5"/>
  <c r="U641" i="6" s="1"/>
  <c r="W641" i="5"/>
  <c r="Y641" i="6" s="1"/>
  <c r="AA641" i="5"/>
  <c r="AC641" i="6" s="1"/>
  <c r="AE641" i="5"/>
  <c r="AG641" i="6" s="1"/>
  <c r="E642" i="5"/>
  <c r="G642" i="6" s="1"/>
  <c r="I642" i="5"/>
  <c r="K642" i="6" s="1"/>
  <c r="M642" i="5"/>
  <c r="O642" i="6" s="1"/>
  <c r="Q642" i="5"/>
  <c r="S642" i="6" s="1"/>
  <c r="U642" i="5"/>
  <c r="W642" i="6" s="1"/>
  <c r="Y642" i="5"/>
  <c r="AA642" i="6" s="1"/>
  <c r="AC642" i="5"/>
  <c r="AE642" i="6" s="1"/>
  <c r="AG642" i="5"/>
  <c r="AI642" i="6" s="1"/>
  <c r="G643" i="5"/>
  <c r="I643" i="6" s="1"/>
  <c r="K643" i="5"/>
  <c r="M643" i="6" s="1"/>
  <c r="O643" i="5"/>
  <c r="Q643" i="6" s="1"/>
  <c r="S643" i="5"/>
  <c r="U643" i="6" s="1"/>
  <c r="W643" i="5"/>
  <c r="Y643" i="6" s="1"/>
  <c r="AA643" i="5"/>
  <c r="AC643" i="6" s="1"/>
  <c r="AE643" i="5"/>
  <c r="AG643" i="6" s="1"/>
  <c r="E644" i="5"/>
  <c r="G644" i="6" s="1"/>
  <c r="I644" i="5"/>
  <c r="K644" i="6" s="1"/>
  <c r="M644" i="5"/>
  <c r="O644" i="6" s="1"/>
  <c r="Q644" i="5"/>
  <c r="S644" i="6" s="1"/>
  <c r="U644" i="5"/>
  <c r="W644" i="6" s="1"/>
  <c r="Y644" i="5"/>
  <c r="AA644" i="6" s="1"/>
  <c r="AC644" i="5"/>
  <c r="AE644" i="6" s="1"/>
  <c r="AG644" i="5"/>
  <c r="AI644" i="6" s="1"/>
  <c r="G645" i="5"/>
  <c r="I645" i="6" s="1"/>
  <c r="K645" i="5"/>
  <c r="M645" i="6" s="1"/>
  <c r="O645" i="5"/>
  <c r="Q645" i="6" s="1"/>
  <c r="S645" i="5"/>
  <c r="U645" i="6" s="1"/>
  <c r="W645" i="5"/>
  <c r="Y645" i="6" s="1"/>
  <c r="AA645" i="5"/>
  <c r="AC645" i="6" s="1"/>
  <c r="AE645" i="5"/>
  <c r="AG645" i="6" s="1"/>
  <c r="E646" i="5"/>
  <c r="G646" i="6" s="1"/>
  <c r="I646" i="5"/>
  <c r="K646" i="6" s="1"/>
  <c r="M646" i="5"/>
  <c r="O646" i="6" s="1"/>
  <c r="Q646" i="5"/>
  <c r="S646" i="6" s="1"/>
  <c r="U646" i="5"/>
  <c r="W646" i="6" s="1"/>
  <c r="Y646" i="5"/>
  <c r="AA646" i="6" s="1"/>
  <c r="AC646" i="5"/>
  <c r="AE646" i="6" s="1"/>
  <c r="AG646" i="5"/>
  <c r="AI646" i="6" s="1"/>
  <c r="G647" i="5"/>
  <c r="I647" i="6" s="1"/>
  <c r="K647" i="5"/>
  <c r="M647" i="6" s="1"/>
  <c r="O647" i="5"/>
  <c r="Q647" i="6" s="1"/>
  <c r="S647" i="5"/>
  <c r="U647" i="6" s="1"/>
  <c r="W647" i="5"/>
  <c r="Y647" i="6" s="1"/>
  <c r="AA647" i="5"/>
  <c r="AC647" i="6" s="1"/>
  <c r="AE647" i="5"/>
  <c r="AG647" i="6" s="1"/>
  <c r="E648" i="5"/>
  <c r="G648" i="6" s="1"/>
  <c r="I648" i="5"/>
  <c r="K648" i="6" s="1"/>
  <c r="M648" i="5"/>
  <c r="O648" i="6" s="1"/>
  <c r="Q648" i="5"/>
  <c r="S648" i="6" s="1"/>
  <c r="U648" i="5"/>
  <c r="W648" i="6" s="1"/>
  <c r="Y648" i="5"/>
  <c r="AA648" i="6" s="1"/>
  <c r="AC648" i="5"/>
  <c r="AE648" i="6" s="1"/>
  <c r="AG648" i="5"/>
  <c r="AI648" i="6" s="1"/>
  <c r="G649" i="5"/>
  <c r="I649" i="6" s="1"/>
  <c r="K649" i="5"/>
  <c r="M649" i="6" s="1"/>
  <c r="O649" i="5"/>
  <c r="Q649" i="6" s="1"/>
  <c r="S649" i="5"/>
  <c r="U649" i="6" s="1"/>
  <c r="W649" i="5"/>
  <c r="Y649" i="6" s="1"/>
  <c r="AA649" i="5"/>
  <c r="AC649" i="6" s="1"/>
  <c r="AE649" i="5"/>
  <c r="AG649" i="6" s="1"/>
  <c r="E650" i="5"/>
  <c r="G650" i="6" s="1"/>
  <c r="I650" i="5"/>
  <c r="K650" i="6" s="1"/>
  <c r="M650" i="5"/>
  <c r="O650" i="6" s="1"/>
  <c r="Q650" i="5"/>
  <c r="S650" i="6" s="1"/>
  <c r="U650" i="5"/>
  <c r="W650" i="6" s="1"/>
  <c r="Y650" i="5"/>
  <c r="AA650" i="6" s="1"/>
  <c r="AC650" i="5"/>
  <c r="AE650" i="6" s="1"/>
  <c r="AG650" i="5"/>
  <c r="AI650" i="6" s="1"/>
  <c r="G651" i="5"/>
  <c r="I651" i="6" s="1"/>
  <c r="K651" i="5"/>
  <c r="M651" i="6" s="1"/>
  <c r="O651" i="5"/>
  <c r="Q651" i="6" s="1"/>
  <c r="S651" i="5"/>
  <c r="U651" i="6" s="1"/>
  <c r="W651" i="5"/>
  <c r="Y651" i="6" s="1"/>
  <c r="AA651" i="5"/>
  <c r="AC651" i="6" s="1"/>
  <c r="AE651" i="5"/>
  <c r="AG651" i="6" s="1"/>
  <c r="E652" i="5"/>
  <c r="G652" i="6" s="1"/>
  <c r="I652" i="5"/>
  <c r="K652" i="6" s="1"/>
  <c r="M652" i="5"/>
  <c r="O652" i="6" s="1"/>
  <c r="Q652" i="5"/>
  <c r="S652" i="6" s="1"/>
  <c r="U652" i="5"/>
  <c r="W652" i="6" s="1"/>
  <c r="Y652" i="5"/>
  <c r="AA652" i="6" s="1"/>
  <c r="AC652" i="5"/>
  <c r="AE652" i="6" s="1"/>
  <c r="AG652" i="5"/>
  <c r="AI652" i="6" s="1"/>
  <c r="G653" i="5"/>
  <c r="I653" i="6" s="1"/>
  <c r="K653" i="5"/>
  <c r="M653" i="6" s="1"/>
  <c r="O653" i="5"/>
  <c r="Q653" i="6" s="1"/>
  <c r="S653" i="5"/>
  <c r="U653" i="6" s="1"/>
  <c r="W653" i="5"/>
  <c r="Y653" i="6" s="1"/>
  <c r="AA653" i="5"/>
  <c r="AC653" i="6" s="1"/>
  <c r="AE653" i="5"/>
  <c r="AG653" i="6" s="1"/>
  <c r="E654" i="5"/>
  <c r="G654" i="6" s="1"/>
  <c r="I654" i="5"/>
  <c r="K654" i="6" s="1"/>
  <c r="M654" i="5"/>
  <c r="O654" i="6" s="1"/>
  <c r="Q654" i="5"/>
  <c r="S654" i="6" s="1"/>
  <c r="U654" i="5"/>
  <c r="W654" i="6" s="1"/>
  <c r="Y654" i="5"/>
  <c r="AA654" i="6" s="1"/>
  <c r="AC654" i="5"/>
  <c r="AE654" i="6" s="1"/>
  <c r="AG654" i="5"/>
  <c r="AI654" i="6" s="1"/>
  <c r="G655" i="5"/>
  <c r="I655" i="6" s="1"/>
  <c r="K655" i="5"/>
  <c r="M655" i="6" s="1"/>
  <c r="O655" i="5"/>
  <c r="Q655" i="6" s="1"/>
  <c r="S655" i="5"/>
  <c r="U655" i="6" s="1"/>
  <c r="W655" i="5"/>
  <c r="Y655" i="6" s="1"/>
  <c r="AA655" i="5"/>
  <c r="AC655" i="6" s="1"/>
  <c r="AE655" i="5"/>
  <c r="AG655" i="6" s="1"/>
  <c r="E656" i="5"/>
  <c r="G656" i="6" s="1"/>
  <c r="I656" i="5"/>
  <c r="K656" i="6" s="1"/>
  <c r="M656" i="5"/>
  <c r="O656" i="6" s="1"/>
  <c r="Q656" i="5"/>
  <c r="S656" i="6" s="1"/>
  <c r="U656" i="5"/>
  <c r="W656" i="6" s="1"/>
  <c r="Y656" i="5"/>
  <c r="AA656" i="6" s="1"/>
  <c r="AC656" i="5"/>
  <c r="AE656" i="6" s="1"/>
  <c r="AG656" i="5"/>
  <c r="AI656" i="6" s="1"/>
  <c r="G657" i="5"/>
  <c r="I657" i="6" s="1"/>
  <c r="K657" i="5"/>
  <c r="M657" i="6" s="1"/>
  <c r="O657" i="5"/>
  <c r="Q657" i="6" s="1"/>
  <c r="S657" i="5"/>
  <c r="U657" i="6" s="1"/>
  <c r="W657" i="5"/>
  <c r="Y657" i="6" s="1"/>
  <c r="AA657" i="5"/>
  <c r="AC657" i="6" s="1"/>
  <c r="AE657" i="5"/>
  <c r="AG657" i="6" s="1"/>
  <c r="E658" i="5"/>
  <c r="G658" i="6" s="1"/>
  <c r="I658" i="5"/>
  <c r="K658" i="6" s="1"/>
  <c r="M658" i="5"/>
  <c r="O658" i="6" s="1"/>
  <c r="Q658" i="5"/>
  <c r="S658" i="6" s="1"/>
  <c r="U658" i="5"/>
  <c r="W658" i="6" s="1"/>
  <c r="Y658" i="5"/>
  <c r="AA658" i="6" s="1"/>
  <c r="AC658" i="5"/>
  <c r="AE658" i="6" s="1"/>
  <c r="AG658" i="5"/>
  <c r="AI658" i="6" s="1"/>
  <c r="G659" i="5"/>
  <c r="I659" i="6" s="1"/>
  <c r="K659" i="5"/>
  <c r="M659" i="6" s="1"/>
  <c r="O659" i="5"/>
  <c r="Q659" i="6" s="1"/>
  <c r="S659" i="5"/>
  <c r="U659" i="6" s="1"/>
  <c r="W659" i="5"/>
  <c r="Y659" i="6" s="1"/>
  <c r="AA659" i="5"/>
  <c r="AC659" i="6" s="1"/>
  <c r="AE659" i="5"/>
  <c r="AG659" i="6" s="1"/>
  <c r="E660" i="5"/>
  <c r="G660" i="6" s="1"/>
  <c r="I660" i="5"/>
  <c r="K660" i="6" s="1"/>
  <c r="M660" i="5"/>
  <c r="O660" i="6" s="1"/>
  <c r="Q660" i="5"/>
  <c r="S660" i="6" s="1"/>
  <c r="U660" i="5"/>
  <c r="W660" i="6" s="1"/>
  <c r="Y660" i="5"/>
  <c r="AA660" i="6" s="1"/>
  <c r="AC660" i="5"/>
  <c r="AE660" i="6" s="1"/>
  <c r="AG660" i="5"/>
  <c r="AI660" i="6" s="1"/>
  <c r="G661" i="5"/>
  <c r="I661" i="6" s="1"/>
  <c r="K661" i="5"/>
  <c r="M661" i="6" s="1"/>
  <c r="O661" i="5"/>
  <c r="Q661" i="6" s="1"/>
  <c r="S661" i="5"/>
  <c r="U661" i="6" s="1"/>
  <c r="W661" i="5"/>
  <c r="Y661" i="6" s="1"/>
  <c r="AA661" i="5"/>
  <c r="AC661" i="6" s="1"/>
  <c r="AE661" i="5"/>
  <c r="AG661" i="6" s="1"/>
  <c r="E662" i="5"/>
  <c r="G662" i="6" s="1"/>
  <c r="I662" i="5"/>
  <c r="K662" i="6" s="1"/>
  <c r="M662" i="5"/>
  <c r="O662" i="6" s="1"/>
  <c r="Q662" i="5"/>
  <c r="S662" i="6" s="1"/>
  <c r="U662" i="5"/>
  <c r="W662" i="6" s="1"/>
  <c r="Y662" i="5"/>
  <c r="AA662" i="6" s="1"/>
  <c r="AC662" i="5"/>
  <c r="AE662" i="6" s="1"/>
  <c r="AG662" i="5"/>
  <c r="AI662" i="6" s="1"/>
  <c r="G663" i="5"/>
  <c r="I663" i="6" s="1"/>
  <c r="K663" i="5"/>
  <c r="M663" i="6" s="1"/>
  <c r="O663" i="5"/>
  <c r="Q663" i="6" s="1"/>
  <c r="S663" i="5"/>
  <c r="U663" i="6" s="1"/>
  <c r="W663" i="5"/>
  <c r="Y663" i="6" s="1"/>
  <c r="AA663" i="5"/>
  <c r="AC663" i="6" s="1"/>
  <c r="AE663" i="5"/>
  <c r="AG663" i="6" s="1"/>
  <c r="E664" i="5"/>
  <c r="G664" i="6" s="1"/>
  <c r="I664" i="5"/>
  <c r="K664" i="6" s="1"/>
  <c r="M664" i="5"/>
  <c r="O664" i="6" s="1"/>
  <c r="Q664" i="5"/>
  <c r="S664" i="6" s="1"/>
  <c r="U664" i="5"/>
  <c r="W664" i="6" s="1"/>
  <c r="Y664" i="5"/>
  <c r="AA664" i="6" s="1"/>
  <c r="AC664" i="5"/>
  <c r="AE664" i="6" s="1"/>
  <c r="AG664" i="5"/>
  <c r="AI664" i="6" s="1"/>
  <c r="G665" i="5"/>
  <c r="I665" i="6" s="1"/>
  <c r="K665" i="5"/>
  <c r="M665" i="6" s="1"/>
  <c r="O665" i="5"/>
  <c r="Q665" i="6" s="1"/>
  <c r="S665" i="5"/>
  <c r="U665" i="6" s="1"/>
  <c r="W665" i="5"/>
  <c r="Y665" i="6" s="1"/>
  <c r="AA665" i="5"/>
  <c r="AC665" i="6" s="1"/>
  <c r="AE665" i="5"/>
  <c r="AG665" i="6" s="1"/>
  <c r="E666" i="5"/>
  <c r="G666" i="6" s="1"/>
  <c r="I666" i="5"/>
  <c r="K666" i="6" s="1"/>
  <c r="M666" i="5"/>
  <c r="O666" i="6" s="1"/>
  <c r="Q666" i="5"/>
  <c r="S666" i="6" s="1"/>
  <c r="U666" i="5"/>
  <c r="W666" i="6" s="1"/>
  <c r="Y666" i="5"/>
  <c r="AA666" i="6" s="1"/>
  <c r="AC666" i="5"/>
  <c r="AE666" i="6" s="1"/>
  <c r="AG666" i="5"/>
  <c r="AI666" i="6" s="1"/>
  <c r="G667" i="5"/>
  <c r="I667" i="6" s="1"/>
  <c r="K667" i="5"/>
  <c r="M667" i="6" s="1"/>
  <c r="O667" i="5"/>
  <c r="Q667" i="6" s="1"/>
  <c r="S667" i="5"/>
  <c r="U667" i="6" s="1"/>
  <c r="W667" i="5"/>
  <c r="Y667" i="6" s="1"/>
  <c r="AA667" i="5"/>
  <c r="AC667" i="6" s="1"/>
  <c r="AE667" i="5"/>
  <c r="AG667" i="6" s="1"/>
  <c r="E668" i="5"/>
  <c r="G668" i="6" s="1"/>
  <c r="I668" i="5"/>
  <c r="K668" i="6" s="1"/>
  <c r="M668" i="5"/>
  <c r="O668" i="6" s="1"/>
  <c r="Q668" i="5"/>
  <c r="S668" i="6" s="1"/>
  <c r="U668" i="5"/>
  <c r="W668" i="6" s="1"/>
  <c r="Y668" i="5"/>
  <c r="AA668" i="6" s="1"/>
  <c r="AC668" i="5"/>
  <c r="AE668" i="6" s="1"/>
  <c r="AG668" i="5"/>
  <c r="AI668" i="6" s="1"/>
  <c r="G669" i="5"/>
  <c r="I669" i="6" s="1"/>
  <c r="K669" i="5"/>
  <c r="M669" i="6" s="1"/>
  <c r="O669" i="5"/>
  <c r="Q669" i="6" s="1"/>
  <c r="S669" i="5"/>
  <c r="U669" i="6" s="1"/>
  <c r="W669" i="5"/>
  <c r="Y669" i="6" s="1"/>
  <c r="AA669" i="5"/>
  <c r="AC669" i="6" s="1"/>
  <c r="AE669" i="5"/>
  <c r="AG669" i="6" s="1"/>
  <c r="E670" i="5"/>
  <c r="G670" i="6" s="1"/>
  <c r="I670" i="5"/>
  <c r="K670" i="6" s="1"/>
  <c r="M670" i="5"/>
  <c r="O670" i="6" s="1"/>
  <c r="Q670" i="5"/>
  <c r="S670" i="6" s="1"/>
  <c r="U670" i="5"/>
  <c r="W670" i="6" s="1"/>
  <c r="Y670" i="5"/>
  <c r="AA670" i="6" s="1"/>
  <c r="AC670" i="5"/>
  <c r="AE670" i="6" s="1"/>
  <c r="AG670" i="5"/>
  <c r="AI670" i="6" s="1"/>
  <c r="G671" i="5"/>
  <c r="I671" i="6" s="1"/>
  <c r="K671" i="5"/>
  <c r="M671" i="6" s="1"/>
  <c r="O671" i="5"/>
  <c r="Q671" i="6" s="1"/>
  <c r="S671" i="5"/>
  <c r="U671" i="6" s="1"/>
  <c r="W671" i="5"/>
  <c r="Y671" i="6" s="1"/>
  <c r="AA671" i="5"/>
  <c r="AC671" i="6" s="1"/>
  <c r="AE671" i="5"/>
  <c r="AG671" i="6" s="1"/>
  <c r="E672" i="5"/>
  <c r="G672" i="6" s="1"/>
  <c r="I672" i="5"/>
  <c r="K672" i="6" s="1"/>
  <c r="M672" i="5"/>
  <c r="O672" i="6" s="1"/>
  <c r="Q672" i="5"/>
  <c r="S672" i="6" s="1"/>
  <c r="U672" i="5"/>
  <c r="W672" i="6" s="1"/>
  <c r="Y672" i="5"/>
  <c r="AA672" i="6" s="1"/>
  <c r="AC672" i="5"/>
  <c r="AE672" i="6" s="1"/>
  <c r="AG672" i="5"/>
  <c r="AI672" i="6" s="1"/>
  <c r="G673" i="5"/>
  <c r="I673" i="6" s="1"/>
  <c r="K673" i="5"/>
  <c r="M673" i="6" s="1"/>
  <c r="O673" i="5"/>
  <c r="Q673" i="6" s="1"/>
  <c r="S673" i="5"/>
  <c r="U673" i="6" s="1"/>
  <c r="W673" i="5"/>
  <c r="Y673" i="6" s="1"/>
  <c r="AA673" i="5"/>
  <c r="AC673" i="6" s="1"/>
  <c r="AE673" i="5"/>
  <c r="AG673" i="6" s="1"/>
  <c r="E674" i="5"/>
  <c r="G674" i="6" s="1"/>
  <c r="I674" i="5"/>
  <c r="K674" i="6" s="1"/>
  <c r="M674" i="5"/>
  <c r="O674" i="6" s="1"/>
  <c r="Q674" i="5"/>
  <c r="S674" i="6" s="1"/>
  <c r="U674" i="5"/>
  <c r="W674" i="6" s="1"/>
  <c r="Y674" i="5"/>
  <c r="AA674" i="6" s="1"/>
  <c r="AC674" i="5"/>
  <c r="AE674" i="6" s="1"/>
  <c r="AG674" i="5"/>
  <c r="AI674" i="6" s="1"/>
  <c r="G675" i="5"/>
  <c r="I675" i="6" s="1"/>
  <c r="K675" i="5"/>
  <c r="M675" i="6" s="1"/>
  <c r="O675" i="5"/>
  <c r="Q675" i="6" s="1"/>
  <c r="S675" i="5"/>
  <c r="U675" i="6" s="1"/>
  <c r="W675" i="5"/>
  <c r="Y675" i="6" s="1"/>
  <c r="AA675" i="5"/>
  <c r="AC675" i="6" s="1"/>
  <c r="AE675" i="5"/>
  <c r="AG675" i="6" s="1"/>
  <c r="E676" i="5"/>
  <c r="G676" i="6" s="1"/>
  <c r="I676" i="5"/>
  <c r="K676" i="6" s="1"/>
  <c r="M676" i="5"/>
  <c r="O676" i="6" s="1"/>
  <c r="Q676" i="5"/>
  <c r="S676" i="6" s="1"/>
  <c r="U676" i="5"/>
  <c r="W676" i="6" s="1"/>
  <c r="Y676" i="5"/>
  <c r="AA676" i="6" s="1"/>
  <c r="AC676" i="5"/>
  <c r="AE676" i="6" s="1"/>
  <c r="AG676" i="5"/>
  <c r="AI676" i="6" s="1"/>
  <c r="G677" i="5"/>
  <c r="I677" i="6" s="1"/>
  <c r="K677" i="5"/>
  <c r="M677" i="6" s="1"/>
  <c r="O677" i="5"/>
  <c r="Q677" i="6" s="1"/>
  <c r="S677" i="5"/>
  <c r="U677" i="6" s="1"/>
  <c r="W677" i="5"/>
  <c r="Y677" i="6" s="1"/>
  <c r="AA677" i="5"/>
  <c r="AC677" i="6" s="1"/>
  <c r="AE677" i="5"/>
  <c r="AG677" i="6" s="1"/>
  <c r="E678" i="5"/>
  <c r="G678" i="6" s="1"/>
  <c r="I678" i="5"/>
  <c r="K678" i="6" s="1"/>
  <c r="M678" i="5"/>
  <c r="O678" i="6" s="1"/>
  <c r="Q678" i="5"/>
  <c r="S678" i="6" s="1"/>
  <c r="U678" i="5"/>
  <c r="W678" i="6" s="1"/>
  <c r="Y678" i="5"/>
  <c r="AA678" i="6" s="1"/>
  <c r="AC678" i="5"/>
  <c r="AE678" i="6" s="1"/>
  <c r="AG678" i="5"/>
  <c r="AI678" i="6" s="1"/>
  <c r="G679" i="5"/>
  <c r="I679" i="6" s="1"/>
  <c r="K679" i="5"/>
  <c r="M679" i="6" s="1"/>
  <c r="O679" i="5"/>
  <c r="Q679" i="6" s="1"/>
  <c r="S679" i="5"/>
  <c r="U679" i="6" s="1"/>
  <c r="W679" i="5"/>
  <c r="Y679" i="6" s="1"/>
  <c r="AA679" i="5"/>
  <c r="AC679" i="6" s="1"/>
  <c r="AE679" i="5"/>
  <c r="AG679" i="6" s="1"/>
  <c r="E680" i="5"/>
  <c r="G680" i="6" s="1"/>
  <c r="I680" i="5"/>
  <c r="K680" i="6" s="1"/>
  <c r="M680" i="5"/>
  <c r="O680" i="6" s="1"/>
  <c r="Q680" i="5"/>
  <c r="S680" i="6" s="1"/>
  <c r="U680" i="5"/>
  <c r="W680" i="6" s="1"/>
  <c r="Y680" i="5"/>
  <c r="AA680" i="6" s="1"/>
  <c r="AC680" i="5"/>
  <c r="AE680" i="6" s="1"/>
  <c r="AG680" i="5"/>
  <c r="AI680" i="6" s="1"/>
  <c r="G681" i="5"/>
  <c r="I681" i="6" s="1"/>
  <c r="K681" i="5"/>
  <c r="M681" i="6" s="1"/>
  <c r="O681" i="5"/>
  <c r="Q681" i="6" s="1"/>
  <c r="S681" i="5"/>
  <c r="U681" i="6" s="1"/>
  <c r="W681" i="5"/>
  <c r="Y681" i="6" s="1"/>
  <c r="AA681" i="5"/>
  <c r="AC681" i="6" s="1"/>
  <c r="AE681" i="5"/>
  <c r="AG681" i="6" s="1"/>
  <c r="E682" i="5"/>
  <c r="G682" i="6" s="1"/>
  <c r="I682" i="5"/>
  <c r="K682" i="6" s="1"/>
  <c r="M682" i="5"/>
  <c r="O682" i="6" s="1"/>
  <c r="Q682" i="5"/>
  <c r="S682" i="6" s="1"/>
  <c r="U682" i="5"/>
  <c r="W682" i="6" s="1"/>
  <c r="Y682" i="5"/>
  <c r="AA682" i="6" s="1"/>
  <c r="AC682" i="5"/>
  <c r="AE682" i="6" s="1"/>
  <c r="AG682" i="5"/>
  <c r="AI682" i="6" s="1"/>
  <c r="G683" i="5"/>
  <c r="I683" i="6" s="1"/>
  <c r="K683" i="5"/>
  <c r="M683" i="6" s="1"/>
  <c r="O683" i="5"/>
  <c r="Q683" i="6" s="1"/>
  <c r="S683" i="5"/>
  <c r="U683" i="6" s="1"/>
  <c r="W683" i="5"/>
  <c r="Y683" i="6" s="1"/>
  <c r="AA683" i="5"/>
  <c r="AC683" i="6" s="1"/>
  <c r="AE683" i="5"/>
  <c r="AG683" i="6" s="1"/>
  <c r="E684" i="5"/>
  <c r="G684" i="6" s="1"/>
  <c r="I684" i="5"/>
  <c r="K684" i="6" s="1"/>
  <c r="M684" i="5"/>
  <c r="O684" i="6" s="1"/>
  <c r="Q684" i="5"/>
  <c r="S684" i="6" s="1"/>
  <c r="U684" i="5"/>
  <c r="W684" i="6" s="1"/>
  <c r="Y684" i="5"/>
  <c r="AA684" i="6" s="1"/>
  <c r="AC684" i="5"/>
  <c r="AE684" i="6" s="1"/>
  <c r="AG684" i="5"/>
  <c r="AI684" i="6" s="1"/>
  <c r="G685" i="5"/>
  <c r="I685" i="6" s="1"/>
  <c r="K685" i="5"/>
  <c r="M685" i="6" s="1"/>
  <c r="O685" i="5"/>
  <c r="Q685" i="6" s="1"/>
  <c r="S685" i="5"/>
  <c r="U685" i="6" s="1"/>
  <c r="W685" i="5"/>
  <c r="Y685" i="6" s="1"/>
  <c r="AA685" i="5"/>
  <c r="AC685" i="6" s="1"/>
  <c r="AE685" i="5"/>
  <c r="AG685" i="6" s="1"/>
  <c r="E686" i="5"/>
  <c r="G686" i="6" s="1"/>
  <c r="I686" i="5"/>
  <c r="K686" i="6" s="1"/>
  <c r="M686" i="5"/>
  <c r="O686" i="6" s="1"/>
  <c r="Q686" i="5"/>
  <c r="S686" i="6" s="1"/>
  <c r="U686" i="5"/>
  <c r="W686" i="6" s="1"/>
  <c r="Y686" i="5"/>
  <c r="AA686" i="6" s="1"/>
  <c r="AC686" i="5"/>
  <c r="AE686" i="6" s="1"/>
  <c r="AG686" i="5"/>
  <c r="AI686" i="6" s="1"/>
  <c r="G687" i="5"/>
  <c r="I687" i="6" s="1"/>
  <c r="K687" i="5"/>
  <c r="M687" i="6" s="1"/>
  <c r="O687" i="5"/>
  <c r="Q687" i="6" s="1"/>
  <c r="S687" i="5"/>
  <c r="U687" i="6" s="1"/>
  <c r="W687" i="5"/>
  <c r="Y687" i="6" s="1"/>
  <c r="AA687" i="5"/>
  <c r="AC687" i="6" s="1"/>
  <c r="AE687" i="5"/>
  <c r="AG687" i="6" s="1"/>
  <c r="X405" i="5"/>
  <c r="Z405" i="6" s="1"/>
  <c r="AB405" i="5"/>
  <c r="AD405" i="6" s="1"/>
  <c r="AF405" i="5"/>
  <c r="AH405" i="6" s="1"/>
  <c r="F406" i="5"/>
  <c r="H406" i="6" s="1"/>
  <c r="J406" i="5"/>
  <c r="L406" i="6" s="1"/>
  <c r="N406" i="5"/>
  <c r="P406" i="6" s="1"/>
  <c r="R406" i="5"/>
  <c r="T406" i="6" s="1"/>
  <c r="V406" i="5"/>
  <c r="X406" i="6" s="1"/>
  <c r="Z406" i="5"/>
  <c r="AB406" i="6" s="1"/>
  <c r="AD406" i="5"/>
  <c r="AF406" i="6" s="1"/>
  <c r="D407" i="5"/>
  <c r="F407" i="6" s="1"/>
  <c r="H407" i="5"/>
  <c r="J407" i="6" s="1"/>
  <c r="L407" i="5"/>
  <c r="N407" i="6" s="1"/>
  <c r="P407" i="5"/>
  <c r="R407" i="6" s="1"/>
  <c r="T407" i="5"/>
  <c r="V407" i="6" s="1"/>
  <c r="X407" i="5"/>
  <c r="Z407" i="6" s="1"/>
  <c r="AB407" i="5"/>
  <c r="AD407" i="6" s="1"/>
  <c r="AF407" i="5"/>
  <c r="AH407" i="6" s="1"/>
  <c r="F408" i="5"/>
  <c r="H408" i="6" s="1"/>
  <c r="J408" i="5"/>
  <c r="L408" i="6" s="1"/>
  <c r="N408" i="5"/>
  <c r="P408" i="6" s="1"/>
  <c r="R408" i="5"/>
  <c r="T408" i="6" s="1"/>
  <c r="V408" i="5"/>
  <c r="X408" i="6" s="1"/>
  <c r="Z408" i="5"/>
  <c r="AB408" i="6" s="1"/>
  <c r="AD408" i="5"/>
  <c r="AF408" i="6" s="1"/>
  <c r="D409" i="5"/>
  <c r="F409" i="6" s="1"/>
  <c r="H409" i="5"/>
  <c r="J409" i="6" s="1"/>
  <c r="L409" i="5"/>
  <c r="N409" i="6" s="1"/>
  <c r="P409" i="5"/>
  <c r="R409" i="6" s="1"/>
  <c r="T409" i="5"/>
  <c r="V409" i="6" s="1"/>
  <c r="X409" i="5"/>
  <c r="Z409" i="6" s="1"/>
  <c r="AB409" i="5"/>
  <c r="AD409" i="6" s="1"/>
  <c r="AF409" i="5"/>
  <c r="AH409" i="6" s="1"/>
  <c r="F410" i="5"/>
  <c r="H410" i="6" s="1"/>
  <c r="J410" i="5"/>
  <c r="L410" i="6" s="1"/>
  <c r="N410" i="5"/>
  <c r="P410" i="6" s="1"/>
  <c r="R410" i="5"/>
  <c r="T410" i="6" s="1"/>
  <c r="V410" i="5"/>
  <c r="X410" i="6" s="1"/>
  <c r="Z410" i="5"/>
  <c r="AB410" i="6" s="1"/>
  <c r="AD410" i="5"/>
  <c r="AF410" i="6" s="1"/>
  <c r="D411" i="5"/>
  <c r="F411" i="6" s="1"/>
  <c r="H411" i="5"/>
  <c r="J411" i="6" s="1"/>
  <c r="L411" i="5"/>
  <c r="N411" i="6" s="1"/>
  <c r="P411" i="5"/>
  <c r="R411" i="6" s="1"/>
  <c r="T411" i="5"/>
  <c r="V411" i="6" s="1"/>
  <c r="X411" i="5"/>
  <c r="Z411" i="6" s="1"/>
  <c r="AB411" i="5"/>
  <c r="AD411" i="6" s="1"/>
  <c r="AF411" i="5"/>
  <c r="AH411" i="6" s="1"/>
  <c r="F412" i="5"/>
  <c r="H412" i="6" s="1"/>
  <c r="J412" i="5"/>
  <c r="L412" i="6" s="1"/>
  <c r="N412" i="5"/>
  <c r="P412" i="6" s="1"/>
  <c r="R412" i="5"/>
  <c r="T412" i="6" s="1"/>
  <c r="V412" i="5"/>
  <c r="X412" i="6" s="1"/>
  <c r="Z412" i="5"/>
  <c r="AB412" i="6" s="1"/>
  <c r="AD412" i="5"/>
  <c r="AF412" i="6" s="1"/>
  <c r="D413" i="5"/>
  <c r="F413" i="6" s="1"/>
  <c r="H413" i="5"/>
  <c r="J413" i="6" s="1"/>
  <c r="L413" i="5"/>
  <c r="N413" i="6" s="1"/>
  <c r="P413" i="5"/>
  <c r="R413" i="6" s="1"/>
  <c r="T413" i="5"/>
  <c r="V413" i="6" s="1"/>
  <c r="X413" i="5"/>
  <c r="Z413" i="6" s="1"/>
  <c r="AB413" i="5"/>
  <c r="AD413" i="6" s="1"/>
  <c r="AF413" i="5"/>
  <c r="AH413" i="6" s="1"/>
  <c r="F414" i="5"/>
  <c r="H414" i="6" s="1"/>
  <c r="J414" i="5"/>
  <c r="L414" i="6" s="1"/>
  <c r="N414" i="5"/>
  <c r="P414" i="6" s="1"/>
  <c r="R414" i="5"/>
  <c r="T414" i="6" s="1"/>
  <c r="V414" i="5"/>
  <c r="X414" i="6" s="1"/>
  <c r="Z414" i="5"/>
  <c r="AB414" i="6" s="1"/>
  <c r="AD414" i="5"/>
  <c r="AF414" i="6" s="1"/>
  <c r="D415" i="5"/>
  <c r="F415" i="6" s="1"/>
  <c r="H415" i="5"/>
  <c r="J415" i="6" s="1"/>
  <c r="L415" i="5"/>
  <c r="N415" i="6" s="1"/>
  <c r="P415" i="5"/>
  <c r="R415" i="6" s="1"/>
  <c r="T415" i="5"/>
  <c r="V415" i="6" s="1"/>
  <c r="X415" i="5"/>
  <c r="Z415" i="6" s="1"/>
  <c r="AB415" i="5"/>
  <c r="AD415" i="6" s="1"/>
  <c r="AF415" i="5"/>
  <c r="AH415" i="6" s="1"/>
  <c r="F416" i="5"/>
  <c r="H416" i="6" s="1"/>
  <c r="J416" i="5"/>
  <c r="L416" i="6" s="1"/>
  <c r="N416" i="5"/>
  <c r="P416" i="6" s="1"/>
  <c r="R416" i="5"/>
  <c r="T416" i="6" s="1"/>
  <c r="V416" i="5"/>
  <c r="X416" i="6" s="1"/>
  <c r="Z416" i="5"/>
  <c r="AB416" i="6" s="1"/>
  <c r="AD416" i="5"/>
  <c r="AF416" i="6" s="1"/>
  <c r="D417" i="5"/>
  <c r="F417" i="6" s="1"/>
  <c r="H417" i="5"/>
  <c r="J417" i="6" s="1"/>
  <c r="L417" i="5"/>
  <c r="N417" i="6" s="1"/>
  <c r="P417" i="5"/>
  <c r="R417" i="6" s="1"/>
  <c r="T417" i="5"/>
  <c r="V417" i="6" s="1"/>
  <c r="X417" i="5"/>
  <c r="Z417" i="6" s="1"/>
  <c r="AB417" i="5"/>
  <c r="AD417" i="6" s="1"/>
  <c r="AF417" i="5"/>
  <c r="AH417" i="6" s="1"/>
  <c r="F418" i="5"/>
  <c r="H418" i="6" s="1"/>
  <c r="J418" i="5"/>
  <c r="L418" i="6" s="1"/>
  <c r="N418" i="5"/>
  <c r="P418" i="6" s="1"/>
  <c r="R418" i="5"/>
  <c r="T418" i="6" s="1"/>
  <c r="V418" i="5"/>
  <c r="X418" i="6" s="1"/>
  <c r="Z418" i="5"/>
  <c r="AB418" i="6" s="1"/>
  <c r="AD418" i="5"/>
  <c r="AF418" i="6" s="1"/>
  <c r="D419" i="5"/>
  <c r="F419" i="6" s="1"/>
  <c r="H419" i="5"/>
  <c r="J419" i="6" s="1"/>
  <c r="L419" i="5"/>
  <c r="N419" i="6" s="1"/>
  <c r="P419" i="5"/>
  <c r="R419" i="6" s="1"/>
  <c r="T419" i="5"/>
  <c r="V419" i="6" s="1"/>
  <c r="X419" i="5"/>
  <c r="Z419" i="6" s="1"/>
  <c r="AB419" i="5"/>
  <c r="AD419" i="6" s="1"/>
  <c r="AF419" i="5"/>
  <c r="AH419" i="6" s="1"/>
  <c r="F420" i="5"/>
  <c r="H420" i="6" s="1"/>
  <c r="J420" i="5"/>
  <c r="L420" i="6" s="1"/>
  <c r="N420" i="5"/>
  <c r="P420" i="6" s="1"/>
  <c r="R420" i="5"/>
  <c r="T420" i="6" s="1"/>
  <c r="V420" i="5"/>
  <c r="X420" i="6" s="1"/>
  <c r="Z420" i="5"/>
  <c r="AB420" i="6" s="1"/>
  <c r="AD420" i="5"/>
  <c r="AF420" i="6" s="1"/>
  <c r="D421" i="5"/>
  <c r="F421" i="6" s="1"/>
  <c r="H421" i="5"/>
  <c r="J421" i="6" s="1"/>
  <c r="L421" i="5"/>
  <c r="N421" i="6" s="1"/>
  <c r="P421" i="5"/>
  <c r="R421" i="6" s="1"/>
  <c r="T421" i="5"/>
  <c r="V421" i="6" s="1"/>
  <c r="X421" i="5"/>
  <c r="Z421" i="6" s="1"/>
  <c r="AB421" i="5"/>
  <c r="AD421" i="6" s="1"/>
  <c r="AF421" i="5"/>
  <c r="AH421" i="6" s="1"/>
  <c r="F422" i="5"/>
  <c r="H422" i="6" s="1"/>
  <c r="J422" i="5"/>
  <c r="L422" i="6" s="1"/>
  <c r="N422" i="5"/>
  <c r="P422" i="6" s="1"/>
  <c r="R422" i="5"/>
  <c r="T422" i="6" s="1"/>
  <c r="V422" i="5"/>
  <c r="X422" i="6" s="1"/>
  <c r="Z422" i="5"/>
  <c r="AB422" i="6" s="1"/>
  <c r="AD422" i="5"/>
  <c r="AF422" i="6" s="1"/>
  <c r="D423" i="5"/>
  <c r="F423" i="6" s="1"/>
  <c r="H423" i="5"/>
  <c r="J423" i="6" s="1"/>
  <c r="L423" i="5"/>
  <c r="N423" i="6" s="1"/>
  <c r="P423" i="5"/>
  <c r="R423" i="6" s="1"/>
  <c r="T423" i="5"/>
  <c r="V423" i="6" s="1"/>
  <c r="X423" i="5"/>
  <c r="Z423" i="6" s="1"/>
  <c r="AB423" i="5"/>
  <c r="AD423" i="6" s="1"/>
  <c r="AF423" i="5"/>
  <c r="AH423" i="6" s="1"/>
  <c r="F424" i="5"/>
  <c r="H424" i="6" s="1"/>
  <c r="J424" i="5"/>
  <c r="L424" i="6" s="1"/>
  <c r="N424" i="5"/>
  <c r="P424" i="6" s="1"/>
  <c r="R424" i="5"/>
  <c r="T424" i="6" s="1"/>
  <c r="V424" i="5"/>
  <c r="X424" i="6" s="1"/>
  <c r="Z424" i="5"/>
  <c r="AB424" i="6" s="1"/>
  <c r="AD424" i="5"/>
  <c r="AF424" i="6" s="1"/>
  <c r="D425" i="5"/>
  <c r="F425" i="6" s="1"/>
  <c r="H425" i="5"/>
  <c r="J425" i="6" s="1"/>
  <c r="L425" i="5"/>
  <c r="N425" i="6" s="1"/>
  <c r="P425" i="5"/>
  <c r="R425" i="6" s="1"/>
  <c r="T425" i="5"/>
  <c r="V425" i="6" s="1"/>
  <c r="X425" i="5"/>
  <c r="Z425" i="6" s="1"/>
  <c r="AB425" i="5"/>
  <c r="AD425" i="6" s="1"/>
  <c r="AF425" i="5"/>
  <c r="AH425" i="6" s="1"/>
  <c r="F426" i="5"/>
  <c r="H426" i="6" s="1"/>
  <c r="J426" i="5"/>
  <c r="L426" i="6" s="1"/>
  <c r="N426" i="5"/>
  <c r="P426" i="6" s="1"/>
  <c r="R426" i="5"/>
  <c r="T426" i="6" s="1"/>
  <c r="V426" i="5"/>
  <c r="X426" i="6" s="1"/>
  <c r="Z426" i="5"/>
  <c r="AB426" i="6" s="1"/>
  <c r="AD426" i="5"/>
  <c r="AF426" i="6" s="1"/>
  <c r="D427" i="5"/>
  <c r="F427" i="6" s="1"/>
  <c r="H427" i="5"/>
  <c r="J427" i="6" s="1"/>
  <c r="L427" i="5"/>
  <c r="N427" i="6" s="1"/>
  <c r="P427" i="5"/>
  <c r="R427" i="6" s="1"/>
  <c r="T427" i="5"/>
  <c r="V427" i="6" s="1"/>
  <c r="X427" i="5"/>
  <c r="Z427" i="6" s="1"/>
  <c r="AB427" i="5"/>
  <c r="AD427" i="6" s="1"/>
  <c r="AF427" i="5"/>
  <c r="AH427" i="6" s="1"/>
  <c r="F428" i="5"/>
  <c r="H428" i="6" s="1"/>
  <c r="J428" i="5"/>
  <c r="L428" i="6" s="1"/>
  <c r="N428" i="5"/>
  <c r="P428" i="6" s="1"/>
  <c r="R428" i="5"/>
  <c r="T428" i="6" s="1"/>
  <c r="V428" i="5"/>
  <c r="X428" i="6" s="1"/>
  <c r="Z428" i="5"/>
  <c r="AB428" i="6" s="1"/>
  <c r="AD428" i="5"/>
  <c r="AF428" i="6" s="1"/>
  <c r="D429" i="5"/>
  <c r="F429" i="6" s="1"/>
  <c r="H429" i="5"/>
  <c r="J429" i="6" s="1"/>
  <c r="L429" i="5"/>
  <c r="N429" i="6" s="1"/>
  <c r="P429" i="5"/>
  <c r="R429" i="6" s="1"/>
  <c r="T429" i="5"/>
  <c r="V429" i="6" s="1"/>
  <c r="X429" i="5"/>
  <c r="Z429" i="6" s="1"/>
  <c r="AB429" i="5"/>
  <c r="AD429" i="6" s="1"/>
  <c r="AF429" i="5"/>
  <c r="AH429" i="6" s="1"/>
  <c r="F430" i="5"/>
  <c r="H430" i="6" s="1"/>
  <c r="J430" i="5"/>
  <c r="L430" i="6" s="1"/>
  <c r="N430" i="5"/>
  <c r="P430" i="6" s="1"/>
  <c r="R430" i="5"/>
  <c r="T430" i="6" s="1"/>
  <c r="V430" i="5"/>
  <c r="X430" i="6" s="1"/>
  <c r="Z430" i="5"/>
  <c r="AB430" i="6" s="1"/>
  <c r="AD430" i="5"/>
  <c r="AF430" i="6" s="1"/>
  <c r="D431" i="5"/>
  <c r="F431" i="6" s="1"/>
  <c r="H431" i="5"/>
  <c r="J431" i="6" s="1"/>
  <c r="L431" i="5"/>
  <c r="N431" i="6" s="1"/>
  <c r="P431" i="5"/>
  <c r="R431" i="6" s="1"/>
  <c r="T431" i="5"/>
  <c r="V431" i="6" s="1"/>
  <c r="X431" i="5"/>
  <c r="Z431" i="6" s="1"/>
  <c r="AB431" i="5"/>
  <c r="AD431" i="6" s="1"/>
  <c r="AF431" i="5"/>
  <c r="AH431" i="6" s="1"/>
  <c r="F432" i="5"/>
  <c r="H432" i="6" s="1"/>
  <c r="J432" i="5"/>
  <c r="L432" i="6" s="1"/>
  <c r="N432" i="5"/>
  <c r="P432" i="6" s="1"/>
  <c r="R432" i="5"/>
  <c r="T432" i="6" s="1"/>
  <c r="V432" i="5"/>
  <c r="X432" i="6" s="1"/>
  <c r="Z432" i="5"/>
  <c r="AB432" i="6" s="1"/>
  <c r="AD432" i="5"/>
  <c r="AF432" i="6" s="1"/>
  <c r="D433" i="5"/>
  <c r="F433" i="6" s="1"/>
  <c r="H433" i="5"/>
  <c r="J433" i="6" s="1"/>
  <c r="L433" i="5"/>
  <c r="N433" i="6" s="1"/>
  <c r="P433" i="5"/>
  <c r="R433" i="6" s="1"/>
  <c r="T433" i="5"/>
  <c r="V433" i="6" s="1"/>
  <c r="X433" i="5"/>
  <c r="Z433" i="6" s="1"/>
  <c r="AB433" i="5"/>
  <c r="AD433" i="6" s="1"/>
  <c r="AF433" i="5"/>
  <c r="AH433" i="6" s="1"/>
  <c r="F434" i="5"/>
  <c r="H434" i="6" s="1"/>
  <c r="J434" i="5"/>
  <c r="L434" i="6" s="1"/>
  <c r="N434" i="5"/>
  <c r="P434" i="6" s="1"/>
  <c r="R434" i="5"/>
  <c r="T434" i="6" s="1"/>
  <c r="V434" i="5"/>
  <c r="X434" i="6" s="1"/>
  <c r="Z434" i="5"/>
  <c r="AB434" i="6" s="1"/>
  <c r="AD434" i="5"/>
  <c r="AF434" i="6" s="1"/>
  <c r="D435" i="5"/>
  <c r="F435" i="6" s="1"/>
  <c r="H435" i="5"/>
  <c r="J435" i="6" s="1"/>
  <c r="L435" i="5"/>
  <c r="N435" i="6" s="1"/>
  <c r="P435" i="5"/>
  <c r="R435" i="6" s="1"/>
  <c r="T435" i="5"/>
  <c r="V435" i="6" s="1"/>
  <c r="X435" i="5"/>
  <c r="Z435" i="6" s="1"/>
  <c r="AB435" i="5"/>
  <c r="AD435" i="6" s="1"/>
  <c r="AF435" i="5"/>
  <c r="AH435" i="6" s="1"/>
  <c r="F436" i="5"/>
  <c r="H436" i="6" s="1"/>
  <c r="J436" i="5"/>
  <c r="L436" i="6" s="1"/>
  <c r="N436" i="5"/>
  <c r="P436" i="6" s="1"/>
  <c r="R436" i="5"/>
  <c r="T436" i="6" s="1"/>
  <c r="V436" i="5"/>
  <c r="X436" i="6" s="1"/>
  <c r="Z436" i="5"/>
  <c r="AB436" i="6" s="1"/>
  <c r="AD436" i="5"/>
  <c r="AF436" i="6" s="1"/>
  <c r="D437" i="5"/>
  <c r="F437" i="6" s="1"/>
  <c r="H437" i="5"/>
  <c r="J437" i="6" s="1"/>
  <c r="L437" i="5"/>
  <c r="N437" i="6" s="1"/>
  <c r="P437" i="5"/>
  <c r="R437" i="6" s="1"/>
  <c r="T437" i="5"/>
  <c r="V437" i="6" s="1"/>
  <c r="X437" i="5"/>
  <c r="Z437" i="6" s="1"/>
  <c r="AB437" i="5"/>
  <c r="AD437" i="6" s="1"/>
  <c r="AF437" i="5"/>
  <c r="AH437" i="6" s="1"/>
  <c r="F438" i="5"/>
  <c r="H438" i="6" s="1"/>
  <c r="J438" i="5"/>
  <c r="L438" i="6" s="1"/>
  <c r="N438" i="5"/>
  <c r="P438" i="6" s="1"/>
  <c r="R438" i="5"/>
  <c r="T438" i="6" s="1"/>
  <c r="V438" i="5"/>
  <c r="X438" i="6" s="1"/>
  <c r="Z438" i="5"/>
  <c r="AB438" i="6" s="1"/>
  <c r="AD438" i="5"/>
  <c r="AF438" i="6" s="1"/>
  <c r="D439" i="5"/>
  <c r="F439" i="6" s="1"/>
  <c r="H439" i="5"/>
  <c r="J439" i="6" s="1"/>
  <c r="L439" i="5"/>
  <c r="N439" i="6" s="1"/>
  <c r="P439" i="5"/>
  <c r="R439" i="6" s="1"/>
  <c r="T439" i="5"/>
  <c r="V439" i="6" s="1"/>
  <c r="X439" i="5"/>
  <c r="Z439" i="6" s="1"/>
  <c r="AB439" i="5"/>
  <c r="AD439" i="6" s="1"/>
  <c r="AF439" i="5"/>
  <c r="AH439" i="6" s="1"/>
  <c r="F440" i="5"/>
  <c r="H440" i="6" s="1"/>
  <c r="J440" i="5"/>
  <c r="L440" i="6" s="1"/>
  <c r="N440" i="5"/>
  <c r="P440" i="6" s="1"/>
  <c r="R440" i="5"/>
  <c r="T440" i="6" s="1"/>
  <c r="V440" i="5"/>
  <c r="X440" i="6" s="1"/>
  <c r="Z440" i="5"/>
  <c r="AB440" i="6" s="1"/>
  <c r="AD440" i="5"/>
  <c r="AF440" i="6" s="1"/>
  <c r="D441" i="5"/>
  <c r="F441" i="6" s="1"/>
  <c r="H441" i="5"/>
  <c r="J441" i="6" s="1"/>
  <c r="L441" i="5"/>
  <c r="N441" i="6" s="1"/>
  <c r="P441" i="5"/>
  <c r="R441" i="6" s="1"/>
  <c r="T441" i="5"/>
  <c r="V441" i="6" s="1"/>
  <c r="X441" i="5"/>
  <c r="Z441" i="6" s="1"/>
  <c r="AB441" i="5"/>
  <c r="AD441" i="6" s="1"/>
  <c r="AF441" i="5"/>
  <c r="AH441" i="6" s="1"/>
  <c r="F442" i="5"/>
  <c r="H442" i="6" s="1"/>
  <c r="J442" i="5"/>
  <c r="L442" i="6" s="1"/>
  <c r="N442" i="5"/>
  <c r="P442" i="6" s="1"/>
  <c r="R442" i="5"/>
  <c r="T442" i="6" s="1"/>
  <c r="V442" i="5"/>
  <c r="X442" i="6" s="1"/>
  <c r="Z442" i="5"/>
  <c r="AB442" i="6" s="1"/>
  <c r="AD442" i="5"/>
  <c r="AF442" i="6" s="1"/>
  <c r="D443" i="5"/>
  <c r="F443" i="6" s="1"/>
  <c r="H443" i="5"/>
  <c r="J443" i="6" s="1"/>
  <c r="L443" i="5"/>
  <c r="N443" i="6" s="1"/>
  <c r="P443" i="5"/>
  <c r="R443" i="6" s="1"/>
  <c r="T443" i="5"/>
  <c r="V443" i="6" s="1"/>
  <c r="X443" i="5"/>
  <c r="Z443" i="6" s="1"/>
  <c r="AB443" i="5"/>
  <c r="AD443" i="6" s="1"/>
  <c r="AF443" i="5"/>
  <c r="AH443" i="6" s="1"/>
  <c r="F444" i="5"/>
  <c r="H444" i="6" s="1"/>
  <c r="J444" i="5"/>
  <c r="L444" i="6" s="1"/>
  <c r="N444" i="5"/>
  <c r="P444" i="6" s="1"/>
  <c r="R444" i="5"/>
  <c r="T444" i="6" s="1"/>
  <c r="V444" i="5"/>
  <c r="X444" i="6" s="1"/>
  <c r="Z444" i="5"/>
  <c r="AB444" i="6" s="1"/>
  <c r="AD444" i="5"/>
  <c r="AF444" i="6" s="1"/>
  <c r="D445" i="5"/>
  <c r="F445" i="6" s="1"/>
  <c r="H445" i="5"/>
  <c r="J445" i="6" s="1"/>
  <c r="L445" i="5"/>
  <c r="N445" i="6" s="1"/>
  <c r="P445" i="5"/>
  <c r="R445" i="6" s="1"/>
  <c r="T445" i="5"/>
  <c r="V445" i="6" s="1"/>
  <c r="X445" i="5"/>
  <c r="Z445" i="6" s="1"/>
  <c r="AB445" i="5"/>
  <c r="AD445" i="6" s="1"/>
  <c r="AF445" i="5"/>
  <c r="AH445" i="6" s="1"/>
  <c r="F446" i="5"/>
  <c r="H446" i="6" s="1"/>
  <c r="J446" i="5"/>
  <c r="L446" i="6" s="1"/>
  <c r="N446" i="5"/>
  <c r="P446" i="6" s="1"/>
  <c r="R446" i="5"/>
  <c r="T446" i="6" s="1"/>
  <c r="V446" i="5"/>
  <c r="X446" i="6" s="1"/>
  <c r="Z446" i="5"/>
  <c r="AB446" i="6" s="1"/>
  <c r="AD446" i="5"/>
  <c r="AF446" i="6" s="1"/>
  <c r="D447" i="5"/>
  <c r="F447" i="6" s="1"/>
  <c r="H447" i="5"/>
  <c r="J447" i="6" s="1"/>
  <c r="L447" i="5"/>
  <c r="N447" i="6" s="1"/>
  <c r="P447" i="5"/>
  <c r="R447" i="6" s="1"/>
  <c r="T447" i="5"/>
  <c r="V447" i="6" s="1"/>
  <c r="X447" i="5"/>
  <c r="Z447" i="6" s="1"/>
  <c r="AB447" i="5"/>
  <c r="AD447" i="6" s="1"/>
  <c r="AF447" i="5"/>
  <c r="AH447" i="6" s="1"/>
  <c r="F448" i="5"/>
  <c r="H448" i="6" s="1"/>
  <c r="J448" i="5"/>
  <c r="L448" i="6" s="1"/>
  <c r="N448" i="5"/>
  <c r="P448" i="6" s="1"/>
  <c r="R448" i="5"/>
  <c r="T448" i="6" s="1"/>
  <c r="V448" i="5"/>
  <c r="X448" i="6" s="1"/>
  <c r="Z448" i="5"/>
  <c r="AB448" i="6" s="1"/>
  <c r="AD448" i="5"/>
  <c r="AF448" i="6" s="1"/>
  <c r="D449" i="5"/>
  <c r="F449" i="6" s="1"/>
  <c r="H449" i="5"/>
  <c r="J449" i="6" s="1"/>
  <c r="L449" i="5"/>
  <c r="N449" i="6" s="1"/>
  <c r="P449" i="5"/>
  <c r="R449" i="6" s="1"/>
  <c r="T449" i="5"/>
  <c r="V449" i="6" s="1"/>
  <c r="X449" i="5"/>
  <c r="Z449" i="6" s="1"/>
  <c r="AB449" i="5"/>
  <c r="AD449" i="6" s="1"/>
  <c r="AF449" i="5"/>
  <c r="AH449" i="6" s="1"/>
  <c r="F450" i="5"/>
  <c r="H450" i="6" s="1"/>
  <c r="J450" i="5"/>
  <c r="L450" i="6" s="1"/>
  <c r="N450" i="5"/>
  <c r="P450" i="6" s="1"/>
  <c r="R450" i="5"/>
  <c r="T450" i="6" s="1"/>
  <c r="V450" i="5"/>
  <c r="X450" i="6" s="1"/>
  <c r="Z450" i="5"/>
  <c r="AB450" i="6" s="1"/>
  <c r="AD450" i="5"/>
  <c r="AF450" i="6" s="1"/>
  <c r="D451" i="5"/>
  <c r="F451" i="6" s="1"/>
  <c r="H451" i="5"/>
  <c r="J451" i="6" s="1"/>
  <c r="L451" i="5"/>
  <c r="N451" i="6" s="1"/>
  <c r="P451" i="5"/>
  <c r="R451" i="6" s="1"/>
  <c r="T451" i="5"/>
  <c r="V451" i="6" s="1"/>
  <c r="X451" i="5"/>
  <c r="Z451" i="6" s="1"/>
  <c r="AB451" i="5"/>
  <c r="AD451" i="6" s="1"/>
  <c r="AF451" i="5"/>
  <c r="AH451" i="6" s="1"/>
  <c r="F452" i="5"/>
  <c r="H452" i="6" s="1"/>
  <c r="J452" i="5"/>
  <c r="L452" i="6" s="1"/>
  <c r="N452" i="5"/>
  <c r="P452" i="6" s="1"/>
  <c r="R452" i="5"/>
  <c r="T452" i="6" s="1"/>
  <c r="V452" i="5"/>
  <c r="X452" i="6" s="1"/>
  <c r="Z452" i="5"/>
  <c r="AB452" i="6" s="1"/>
  <c r="AD452" i="5"/>
  <c r="AF452" i="6" s="1"/>
  <c r="D453" i="5"/>
  <c r="F453" i="6" s="1"/>
  <c r="H453" i="5"/>
  <c r="J453" i="6" s="1"/>
  <c r="L453" i="5"/>
  <c r="N453" i="6" s="1"/>
  <c r="P453" i="5"/>
  <c r="R453" i="6" s="1"/>
  <c r="T453" i="5"/>
  <c r="V453" i="6" s="1"/>
  <c r="X453" i="5"/>
  <c r="Z453" i="6" s="1"/>
  <c r="AB453" i="5"/>
  <c r="AD453" i="6" s="1"/>
  <c r="AF453" i="5"/>
  <c r="AH453" i="6" s="1"/>
  <c r="F454" i="5"/>
  <c r="H454" i="6" s="1"/>
  <c r="J454" i="5"/>
  <c r="L454" i="6" s="1"/>
  <c r="N454" i="5"/>
  <c r="P454" i="6" s="1"/>
  <c r="R454" i="5"/>
  <c r="T454" i="6" s="1"/>
  <c r="V454" i="5"/>
  <c r="X454" i="6" s="1"/>
  <c r="Z454" i="5"/>
  <c r="AB454" i="6" s="1"/>
  <c r="AD454" i="5"/>
  <c r="AF454" i="6" s="1"/>
  <c r="D455" i="5"/>
  <c r="F455" i="6" s="1"/>
  <c r="H455" i="5"/>
  <c r="J455" i="6" s="1"/>
  <c r="L455" i="5"/>
  <c r="N455" i="6" s="1"/>
  <c r="P455" i="5"/>
  <c r="R455" i="6" s="1"/>
  <c r="T455" i="5"/>
  <c r="V455" i="6" s="1"/>
  <c r="X455" i="5"/>
  <c r="Z455" i="6" s="1"/>
  <c r="AB455" i="5"/>
  <c r="AD455" i="6" s="1"/>
  <c r="AF455" i="5"/>
  <c r="AH455" i="6" s="1"/>
  <c r="F456" i="5"/>
  <c r="H456" i="6" s="1"/>
  <c r="J456" i="5"/>
  <c r="L456" i="6" s="1"/>
  <c r="N456" i="5"/>
  <c r="P456" i="6" s="1"/>
  <c r="R456" i="5"/>
  <c r="T456" i="6" s="1"/>
  <c r="V456" i="5"/>
  <c r="X456" i="6" s="1"/>
  <c r="Z456" i="5"/>
  <c r="AB456" i="6" s="1"/>
  <c r="AD456" i="5"/>
  <c r="AF456" i="6" s="1"/>
  <c r="D457" i="5"/>
  <c r="F457" i="6" s="1"/>
  <c r="H457" i="5"/>
  <c r="J457" i="6" s="1"/>
  <c r="L457" i="5"/>
  <c r="N457" i="6" s="1"/>
  <c r="P457" i="5"/>
  <c r="R457" i="6" s="1"/>
  <c r="T457" i="5"/>
  <c r="V457" i="6" s="1"/>
  <c r="X457" i="5"/>
  <c r="Z457" i="6" s="1"/>
  <c r="AB457" i="5"/>
  <c r="AD457" i="6" s="1"/>
  <c r="AF457" i="5"/>
  <c r="AH457" i="6" s="1"/>
  <c r="F458" i="5"/>
  <c r="H458" i="6" s="1"/>
  <c r="J458" i="5"/>
  <c r="L458" i="6" s="1"/>
  <c r="N458" i="5"/>
  <c r="P458" i="6" s="1"/>
  <c r="R458" i="5"/>
  <c r="T458" i="6" s="1"/>
  <c r="V458" i="5"/>
  <c r="X458" i="6" s="1"/>
  <c r="Z458" i="5"/>
  <c r="AB458" i="6" s="1"/>
  <c r="AD458" i="5"/>
  <c r="AF458" i="6" s="1"/>
  <c r="D459" i="5"/>
  <c r="F459" i="6" s="1"/>
  <c r="H459" i="5"/>
  <c r="J459" i="6" s="1"/>
  <c r="L459" i="5"/>
  <c r="N459" i="6" s="1"/>
  <c r="P459" i="5"/>
  <c r="R459" i="6" s="1"/>
  <c r="T459" i="5"/>
  <c r="V459" i="6" s="1"/>
  <c r="X459" i="5"/>
  <c r="Z459" i="6" s="1"/>
  <c r="AB459" i="5"/>
  <c r="AD459" i="6" s="1"/>
  <c r="AF459" i="5"/>
  <c r="AH459" i="6" s="1"/>
  <c r="F460" i="5"/>
  <c r="H460" i="6" s="1"/>
  <c r="J460" i="5"/>
  <c r="L460" i="6" s="1"/>
  <c r="N460" i="5"/>
  <c r="P460" i="6" s="1"/>
  <c r="R460" i="5"/>
  <c r="T460" i="6" s="1"/>
  <c r="V460" i="5"/>
  <c r="X460" i="6" s="1"/>
  <c r="Z460" i="5"/>
  <c r="AB460" i="6" s="1"/>
  <c r="AD460" i="5"/>
  <c r="AF460" i="6" s="1"/>
  <c r="D461" i="5"/>
  <c r="F461" i="6" s="1"/>
  <c r="H461" i="5"/>
  <c r="J461" i="6" s="1"/>
  <c r="L461" i="5"/>
  <c r="N461" i="6" s="1"/>
  <c r="P461" i="5"/>
  <c r="R461" i="6" s="1"/>
  <c r="T461" i="5"/>
  <c r="V461" i="6" s="1"/>
  <c r="X461" i="5"/>
  <c r="Z461" i="6" s="1"/>
  <c r="AB461" i="5"/>
  <c r="AD461" i="6" s="1"/>
  <c r="AF461" i="5"/>
  <c r="AH461" i="6" s="1"/>
  <c r="F462" i="5"/>
  <c r="H462" i="6" s="1"/>
  <c r="J462" i="5"/>
  <c r="L462" i="6" s="1"/>
  <c r="N462" i="5"/>
  <c r="P462" i="6" s="1"/>
  <c r="R462" i="5"/>
  <c r="T462" i="6" s="1"/>
  <c r="V462" i="5"/>
  <c r="X462" i="6" s="1"/>
  <c r="Z462" i="5"/>
  <c r="AB462" i="6" s="1"/>
  <c r="AD462" i="5"/>
  <c r="AF462" i="6" s="1"/>
  <c r="D463" i="5"/>
  <c r="F463" i="6" s="1"/>
  <c r="H463" i="5"/>
  <c r="J463" i="6" s="1"/>
  <c r="L463" i="5"/>
  <c r="N463" i="6" s="1"/>
  <c r="P463" i="5"/>
  <c r="R463" i="6" s="1"/>
  <c r="T463" i="5"/>
  <c r="V463" i="6" s="1"/>
  <c r="X463" i="5"/>
  <c r="Z463" i="6" s="1"/>
  <c r="AB463" i="5"/>
  <c r="AD463" i="6" s="1"/>
  <c r="AF463" i="5"/>
  <c r="AH463" i="6" s="1"/>
  <c r="F464" i="5"/>
  <c r="H464" i="6" s="1"/>
  <c r="J464" i="5"/>
  <c r="L464" i="6" s="1"/>
  <c r="N464" i="5"/>
  <c r="P464" i="6" s="1"/>
  <c r="R464" i="5"/>
  <c r="T464" i="6" s="1"/>
  <c r="V464" i="5"/>
  <c r="X464" i="6" s="1"/>
  <c r="Z464" i="5"/>
  <c r="AB464" i="6" s="1"/>
  <c r="AD464" i="5"/>
  <c r="AF464" i="6" s="1"/>
  <c r="D465" i="5"/>
  <c r="F465" i="6" s="1"/>
  <c r="H465" i="5"/>
  <c r="J465" i="6" s="1"/>
  <c r="L465" i="5"/>
  <c r="N465" i="6" s="1"/>
  <c r="P465" i="5"/>
  <c r="R465" i="6" s="1"/>
  <c r="T465" i="5"/>
  <c r="V465" i="6" s="1"/>
  <c r="X465" i="5"/>
  <c r="Z465" i="6" s="1"/>
  <c r="AB465" i="5"/>
  <c r="AD465" i="6" s="1"/>
  <c r="AF465" i="5"/>
  <c r="AH465" i="6" s="1"/>
  <c r="F466" i="5"/>
  <c r="H466" i="6" s="1"/>
  <c r="J466" i="5"/>
  <c r="L466" i="6" s="1"/>
  <c r="N466" i="5"/>
  <c r="P466" i="6" s="1"/>
  <c r="R466" i="5"/>
  <c r="T466" i="6" s="1"/>
  <c r="V466" i="5"/>
  <c r="X466" i="6" s="1"/>
  <c r="Z466" i="5"/>
  <c r="AB466" i="6" s="1"/>
  <c r="AD466" i="5"/>
  <c r="AF466" i="6" s="1"/>
  <c r="D467" i="5"/>
  <c r="F467" i="6" s="1"/>
  <c r="H467" i="5"/>
  <c r="J467" i="6" s="1"/>
  <c r="L467" i="5"/>
  <c r="N467" i="6" s="1"/>
  <c r="P467" i="5"/>
  <c r="R467" i="6" s="1"/>
  <c r="T467" i="5"/>
  <c r="V467" i="6" s="1"/>
  <c r="X467" i="5"/>
  <c r="Z467" i="6" s="1"/>
  <c r="AB467" i="5"/>
  <c r="AD467" i="6" s="1"/>
  <c r="AF467" i="5"/>
  <c r="AH467" i="6" s="1"/>
  <c r="F468" i="5"/>
  <c r="H468" i="6" s="1"/>
  <c r="J468" i="5"/>
  <c r="L468" i="6" s="1"/>
  <c r="N468" i="5"/>
  <c r="P468" i="6" s="1"/>
  <c r="R468" i="5"/>
  <c r="T468" i="6" s="1"/>
  <c r="V468" i="5"/>
  <c r="X468" i="6" s="1"/>
  <c r="Z468" i="5"/>
  <c r="AB468" i="6" s="1"/>
  <c r="AD468" i="5"/>
  <c r="AF468" i="6" s="1"/>
  <c r="D469" i="5"/>
  <c r="F469" i="6" s="1"/>
  <c r="H469" i="5"/>
  <c r="J469" i="6" s="1"/>
  <c r="L469" i="5"/>
  <c r="N469" i="6" s="1"/>
  <c r="P469" i="5"/>
  <c r="R469" i="6" s="1"/>
  <c r="T469" i="5"/>
  <c r="V469" i="6" s="1"/>
  <c r="X469" i="5"/>
  <c r="Z469" i="6" s="1"/>
  <c r="AB469" i="5"/>
  <c r="AD469" i="6" s="1"/>
  <c r="AF469" i="5"/>
  <c r="AH469" i="6" s="1"/>
  <c r="F470" i="5"/>
  <c r="H470" i="6" s="1"/>
  <c r="J470" i="5"/>
  <c r="L470" i="6" s="1"/>
  <c r="N470" i="5"/>
  <c r="P470" i="6" s="1"/>
  <c r="R470" i="5"/>
  <c r="T470" i="6" s="1"/>
  <c r="V470" i="5"/>
  <c r="X470" i="6" s="1"/>
  <c r="Z470" i="5"/>
  <c r="AB470" i="6" s="1"/>
  <c r="AD470" i="5"/>
  <c r="AF470" i="6" s="1"/>
  <c r="D471" i="5"/>
  <c r="F471" i="6" s="1"/>
  <c r="H471" i="5"/>
  <c r="J471" i="6" s="1"/>
  <c r="L471" i="5"/>
  <c r="N471" i="6" s="1"/>
  <c r="P471" i="5"/>
  <c r="R471" i="6" s="1"/>
  <c r="T471" i="5"/>
  <c r="V471" i="6" s="1"/>
  <c r="X471" i="5"/>
  <c r="Z471" i="6" s="1"/>
  <c r="AB471" i="5"/>
  <c r="AD471" i="6" s="1"/>
  <c r="AF471" i="5"/>
  <c r="AH471" i="6" s="1"/>
  <c r="F472" i="5"/>
  <c r="H472" i="6" s="1"/>
  <c r="J472" i="5"/>
  <c r="L472" i="6" s="1"/>
  <c r="N472" i="5"/>
  <c r="P472" i="6" s="1"/>
  <c r="R472" i="5"/>
  <c r="T472" i="6" s="1"/>
  <c r="V472" i="5"/>
  <c r="X472" i="6" s="1"/>
  <c r="Z472" i="5"/>
  <c r="AB472" i="6" s="1"/>
  <c r="AD472" i="5"/>
  <c r="AF472" i="6" s="1"/>
  <c r="D473" i="5"/>
  <c r="F473" i="6" s="1"/>
  <c r="H473" i="5"/>
  <c r="J473" i="6" s="1"/>
  <c r="L473" i="5"/>
  <c r="N473" i="6" s="1"/>
  <c r="P473" i="5"/>
  <c r="R473" i="6" s="1"/>
  <c r="T473" i="5"/>
  <c r="V473" i="6" s="1"/>
  <c r="X473" i="5"/>
  <c r="Z473" i="6" s="1"/>
  <c r="AB473" i="5"/>
  <c r="AD473" i="6" s="1"/>
  <c r="AF473" i="5"/>
  <c r="AH473" i="6" s="1"/>
  <c r="F474" i="5"/>
  <c r="H474" i="6" s="1"/>
  <c r="J474" i="5"/>
  <c r="L474" i="6" s="1"/>
  <c r="N474" i="5"/>
  <c r="P474" i="6" s="1"/>
  <c r="R474" i="5"/>
  <c r="T474" i="6" s="1"/>
  <c r="V474" i="5"/>
  <c r="X474" i="6" s="1"/>
  <c r="Z474" i="5"/>
  <c r="AB474" i="6" s="1"/>
  <c r="AD474" i="5"/>
  <c r="AF474" i="6" s="1"/>
  <c r="D476" i="5"/>
  <c r="F476" i="6" s="1"/>
  <c r="H476" i="5"/>
  <c r="J476" i="6" s="1"/>
  <c r="L476" i="5"/>
  <c r="N476" i="6" s="1"/>
  <c r="P476" i="5"/>
  <c r="R476" i="6" s="1"/>
  <c r="T476" i="5"/>
  <c r="V476" i="6" s="1"/>
  <c r="X476" i="5"/>
  <c r="Z476" i="6" s="1"/>
  <c r="AB476" i="5"/>
  <c r="AD476" i="6" s="1"/>
  <c r="AF476" i="5"/>
  <c r="AH476" i="6" s="1"/>
  <c r="F477" i="5"/>
  <c r="H477" i="6" s="1"/>
  <c r="J477" i="5"/>
  <c r="L477" i="6" s="1"/>
  <c r="N477" i="5"/>
  <c r="P477" i="6" s="1"/>
  <c r="R477" i="5"/>
  <c r="T477" i="6" s="1"/>
  <c r="V477" i="5"/>
  <c r="X477" i="6" s="1"/>
  <c r="Z477" i="5"/>
  <c r="AB477" i="6" s="1"/>
  <c r="AD477" i="5"/>
  <c r="AF477" i="6" s="1"/>
  <c r="D478" i="5"/>
  <c r="F478" i="6" s="1"/>
  <c r="H478" i="5"/>
  <c r="J478" i="6" s="1"/>
  <c r="L478" i="5"/>
  <c r="N478" i="6" s="1"/>
  <c r="P478" i="5"/>
  <c r="R478" i="6" s="1"/>
  <c r="T478" i="5"/>
  <c r="V478" i="6" s="1"/>
  <c r="X478" i="5"/>
  <c r="Z478" i="6" s="1"/>
  <c r="AB478" i="5"/>
  <c r="AD478" i="6" s="1"/>
  <c r="AF478" i="5"/>
  <c r="AH478" i="6" s="1"/>
  <c r="F479" i="5"/>
  <c r="H479" i="6" s="1"/>
  <c r="J479" i="5"/>
  <c r="L479" i="6" s="1"/>
  <c r="N479" i="5"/>
  <c r="P479" i="6" s="1"/>
  <c r="R479" i="5"/>
  <c r="T479" i="6" s="1"/>
  <c r="V479" i="5"/>
  <c r="X479" i="6" s="1"/>
  <c r="Z479" i="5"/>
  <c r="AB479" i="6" s="1"/>
  <c r="AD479" i="5"/>
  <c r="AF479" i="6" s="1"/>
  <c r="D480" i="5"/>
  <c r="F480" i="6" s="1"/>
  <c r="H480" i="5"/>
  <c r="J480" i="6" s="1"/>
  <c r="L480" i="5"/>
  <c r="N480" i="6" s="1"/>
  <c r="P480" i="5"/>
  <c r="R480" i="6" s="1"/>
  <c r="T480" i="5"/>
  <c r="V480" i="6" s="1"/>
  <c r="X480" i="5"/>
  <c r="Z480" i="6" s="1"/>
  <c r="AB480" i="5"/>
  <c r="AD480" i="6" s="1"/>
  <c r="AF480" i="5"/>
  <c r="AH480" i="6" s="1"/>
  <c r="F481" i="5"/>
  <c r="H481" i="6" s="1"/>
  <c r="J481" i="5"/>
  <c r="L481" i="6" s="1"/>
  <c r="N481" i="5"/>
  <c r="P481" i="6" s="1"/>
  <c r="R481" i="5"/>
  <c r="T481" i="6" s="1"/>
  <c r="V481" i="5"/>
  <c r="X481" i="6" s="1"/>
  <c r="Z481" i="5"/>
  <c r="AB481" i="6" s="1"/>
  <c r="AD481" i="5"/>
  <c r="AF481" i="6" s="1"/>
  <c r="D482" i="5"/>
  <c r="F482" i="6" s="1"/>
  <c r="H482" i="5"/>
  <c r="J482" i="6" s="1"/>
  <c r="L482" i="5"/>
  <c r="N482" i="6" s="1"/>
  <c r="P482" i="5"/>
  <c r="R482" i="6" s="1"/>
  <c r="T482" i="5"/>
  <c r="V482" i="6" s="1"/>
  <c r="X482" i="5"/>
  <c r="Z482" i="6" s="1"/>
  <c r="AB482" i="5"/>
  <c r="AD482" i="6" s="1"/>
  <c r="AF482" i="5"/>
  <c r="AH482" i="6" s="1"/>
  <c r="F483" i="5"/>
  <c r="H483" i="6" s="1"/>
  <c r="J483" i="5"/>
  <c r="L483" i="6" s="1"/>
  <c r="N483" i="5"/>
  <c r="P483" i="6" s="1"/>
  <c r="R483" i="5"/>
  <c r="T483" i="6" s="1"/>
  <c r="V483" i="5"/>
  <c r="X483" i="6" s="1"/>
  <c r="Z483" i="5"/>
  <c r="AB483" i="6" s="1"/>
  <c r="AD483" i="5"/>
  <c r="AF483" i="6" s="1"/>
  <c r="D484" i="5"/>
  <c r="F484" i="6" s="1"/>
  <c r="H484" i="5"/>
  <c r="J484" i="6" s="1"/>
  <c r="L484" i="5"/>
  <c r="N484" i="6" s="1"/>
  <c r="P484" i="5"/>
  <c r="R484" i="6" s="1"/>
  <c r="T484" i="5"/>
  <c r="V484" i="6" s="1"/>
  <c r="X484" i="5"/>
  <c r="Z484" i="6" s="1"/>
  <c r="AB484" i="5"/>
  <c r="AD484" i="6" s="1"/>
  <c r="AF484" i="5"/>
  <c r="AH484" i="6" s="1"/>
  <c r="F485" i="5"/>
  <c r="H485" i="6" s="1"/>
  <c r="J485" i="5"/>
  <c r="L485" i="6" s="1"/>
  <c r="N485" i="5"/>
  <c r="P485" i="6" s="1"/>
  <c r="R485" i="5"/>
  <c r="T485" i="6" s="1"/>
  <c r="V485" i="5"/>
  <c r="X485" i="6" s="1"/>
  <c r="Z485" i="5"/>
  <c r="AB485" i="6" s="1"/>
  <c r="AD485" i="5"/>
  <c r="AF485" i="6" s="1"/>
  <c r="D486" i="5"/>
  <c r="F486" i="6" s="1"/>
  <c r="H486" i="5"/>
  <c r="J486" i="6" s="1"/>
  <c r="L486" i="5"/>
  <c r="N486" i="6" s="1"/>
  <c r="P486" i="5"/>
  <c r="R486" i="6" s="1"/>
  <c r="T486" i="5"/>
  <c r="V486" i="6" s="1"/>
  <c r="X486" i="5"/>
  <c r="Z486" i="6" s="1"/>
  <c r="AB486" i="5"/>
  <c r="AD486" i="6" s="1"/>
  <c r="AF486" i="5"/>
  <c r="AH486" i="6" s="1"/>
  <c r="F487" i="5"/>
  <c r="H487" i="6" s="1"/>
  <c r="J487" i="5"/>
  <c r="L487" i="6" s="1"/>
  <c r="N487" i="5"/>
  <c r="P487" i="6" s="1"/>
  <c r="R487" i="5"/>
  <c r="T487" i="6" s="1"/>
  <c r="V487" i="5"/>
  <c r="X487" i="6" s="1"/>
  <c r="Z487" i="5"/>
  <c r="AB487" i="6" s="1"/>
  <c r="AD487" i="5"/>
  <c r="AF487" i="6" s="1"/>
  <c r="D488" i="5"/>
  <c r="F488" i="6" s="1"/>
  <c r="H488" i="5"/>
  <c r="J488" i="6" s="1"/>
  <c r="L488" i="5"/>
  <c r="N488" i="6" s="1"/>
  <c r="P488" i="5"/>
  <c r="R488" i="6" s="1"/>
  <c r="T488" i="5"/>
  <c r="V488" i="6" s="1"/>
  <c r="X488" i="5"/>
  <c r="Z488" i="6" s="1"/>
  <c r="AB488" i="5"/>
  <c r="AD488" i="6" s="1"/>
  <c r="AF488" i="5"/>
  <c r="AH488" i="6" s="1"/>
  <c r="F489" i="5"/>
  <c r="H489" i="6" s="1"/>
  <c r="J489" i="5"/>
  <c r="L489" i="6" s="1"/>
  <c r="N489" i="5"/>
  <c r="P489" i="6" s="1"/>
  <c r="R489" i="5"/>
  <c r="T489" i="6" s="1"/>
  <c r="V489" i="5"/>
  <c r="X489" i="6" s="1"/>
  <c r="Z489" i="5"/>
  <c r="AB489" i="6" s="1"/>
  <c r="AD489" i="5"/>
  <c r="AF489" i="6" s="1"/>
  <c r="D490" i="5"/>
  <c r="F490" i="6" s="1"/>
  <c r="H490" i="5"/>
  <c r="J490" i="6" s="1"/>
  <c r="L490" i="5"/>
  <c r="N490" i="6" s="1"/>
  <c r="P490" i="5"/>
  <c r="R490" i="6" s="1"/>
  <c r="T490" i="5"/>
  <c r="V490" i="6" s="1"/>
  <c r="X490" i="5"/>
  <c r="Z490" i="6" s="1"/>
  <c r="AB490" i="5"/>
  <c r="AD490" i="6" s="1"/>
  <c r="AF490" i="5"/>
  <c r="AH490" i="6" s="1"/>
  <c r="F491" i="5"/>
  <c r="H491" i="6" s="1"/>
  <c r="J491" i="5"/>
  <c r="L491" i="6" s="1"/>
  <c r="N491" i="5"/>
  <c r="P491" i="6" s="1"/>
  <c r="R491" i="5"/>
  <c r="T491" i="6" s="1"/>
  <c r="V491" i="5"/>
  <c r="X491" i="6" s="1"/>
  <c r="Z491" i="5"/>
  <c r="AB491" i="6" s="1"/>
  <c r="AD491" i="5"/>
  <c r="AF491" i="6" s="1"/>
  <c r="D492" i="5"/>
  <c r="F492" i="6" s="1"/>
  <c r="H492" i="5"/>
  <c r="J492" i="6" s="1"/>
  <c r="L492" i="5"/>
  <c r="N492" i="6" s="1"/>
  <c r="P492" i="5"/>
  <c r="R492" i="6" s="1"/>
  <c r="T492" i="5"/>
  <c r="V492" i="6" s="1"/>
  <c r="X492" i="5"/>
  <c r="Z492" i="6" s="1"/>
  <c r="AB492" i="5"/>
  <c r="AD492" i="6" s="1"/>
  <c r="AF492" i="5"/>
  <c r="AH492" i="6" s="1"/>
  <c r="F493" i="5"/>
  <c r="H493" i="6" s="1"/>
  <c r="J493" i="5"/>
  <c r="L493" i="6" s="1"/>
  <c r="N493" i="5"/>
  <c r="P493" i="6" s="1"/>
  <c r="R493" i="5"/>
  <c r="T493" i="6" s="1"/>
  <c r="V493" i="5"/>
  <c r="X493" i="6" s="1"/>
  <c r="Z493" i="5"/>
  <c r="AB493" i="6" s="1"/>
  <c r="AD493" i="5"/>
  <c r="AF493" i="6" s="1"/>
  <c r="D494" i="5"/>
  <c r="F494" i="6" s="1"/>
  <c r="H494" i="5"/>
  <c r="J494" i="6" s="1"/>
  <c r="L494" i="5"/>
  <c r="N494" i="6" s="1"/>
  <c r="P494" i="5"/>
  <c r="R494" i="6" s="1"/>
  <c r="T494" i="5"/>
  <c r="V494" i="6" s="1"/>
  <c r="X494" i="5"/>
  <c r="Z494" i="6" s="1"/>
  <c r="AB494" i="5"/>
  <c r="AD494" i="6" s="1"/>
  <c r="AF494" i="5"/>
  <c r="AH494" i="6" s="1"/>
  <c r="F495" i="5"/>
  <c r="H495" i="6" s="1"/>
  <c r="J495" i="5"/>
  <c r="L495" i="6" s="1"/>
  <c r="N495" i="5"/>
  <c r="P495" i="6" s="1"/>
  <c r="R495" i="5"/>
  <c r="T495" i="6" s="1"/>
  <c r="V495" i="5"/>
  <c r="X495" i="6" s="1"/>
  <c r="Z495" i="5"/>
  <c r="AB495" i="6" s="1"/>
  <c r="AD495" i="5"/>
  <c r="AF495" i="6" s="1"/>
  <c r="D496" i="5"/>
  <c r="F496" i="6" s="1"/>
  <c r="H496" i="5"/>
  <c r="J496" i="6" s="1"/>
  <c r="L496" i="5"/>
  <c r="N496" i="6" s="1"/>
  <c r="P496" i="5"/>
  <c r="R496" i="6" s="1"/>
  <c r="T496" i="5"/>
  <c r="V496" i="6" s="1"/>
  <c r="X496" i="5"/>
  <c r="Z496" i="6" s="1"/>
  <c r="AB496" i="5"/>
  <c r="AD496" i="6" s="1"/>
  <c r="AF496" i="5"/>
  <c r="AH496" i="6" s="1"/>
  <c r="F497" i="5"/>
  <c r="H497" i="6" s="1"/>
  <c r="J497" i="5"/>
  <c r="L497" i="6" s="1"/>
  <c r="N497" i="5"/>
  <c r="P497" i="6" s="1"/>
  <c r="R497" i="5"/>
  <c r="T497" i="6" s="1"/>
  <c r="V497" i="5"/>
  <c r="X497" i="6" s="1"/>
  <c r="Z497" i="5"/>
  <c r="AB497" i="6" s="1"/>
  <c r="AD497" i="5"/>
  <c r="AF497" i="6" s="1"/>
  <c r="D498" i="5"/>
  <c r="F498" i="6" s="1"/>
  <c r="H498" i="5"/>
  <c r="J498" i="6" s="1"/>
  <c r="L498" i="5"/>
  <c r="N498" i="6" s="1"/>
  <c r="P498" i="5"/>
  <c r="R498" i="6" s="1"/>
  <c r="T498" i="5"/>
  <c r="V498" i="6" s="1"/>
  <c r="X498" i="5"/>
  <c r="Z498" i="6" s="1"/>
  <c r="AB498" i="5"/>
  <c r="AD498" i="6" s="1"/>
  <c r="AF498" i="5"/>
  <c r="AH498" i="6" s="1"/>
  <c r="F499" i="5"/>
  <c r="H499" i="6" s="1"/>
  <c r="J499" i="5"/>
  <c r="L499" i="6" s="1"/>
  <c r="N499" i="5"/>
  <c r="P499" i="6" s="1"/>
  <c r="R499" i="5"/>
  <c r="T499" i="6" s="1"/>
  <c r="V499" i="5"/>
  <c r="X499" i="6" s="1"/>
  <c r="Z499" i="5"/>
  <c r="AB499" i="6" s="1"/>
  <c r="AD499" i="5"/>
  <c r="AF499" i="6" s="1"/>
  <c r="D500" i="5"/>
  <c r="F500" i="6" s="1"/>
  <c r="H500" i="5"/>
  <c r="J500" i="6" s="1"/>
  <c r="L500" i="5"/>
  <c r="N500" i="6" s="1"/>
  <c r="P500" i="5"/>
  <c r="R500" i="6" s="1"/>
  <c r="T500" i="5"/>
  <c r="V500" i="6" s="1"/>
  <c r="X500" i="5"/>
  <c r="Z500" i="6" s="1"/>
  <c r="AB500" i="5"/>
  <c r="AD500" i="6" s="1"/>
  <c r="AF500" i="5"/>
  <c r="AH500" i="6" s="1"/>
  <c r="F501" i="5"/>
  <c r="H501" i="6" s="1"/>
  <c r="J501" i="5"/>
  <c r="L501" i="6" s="1"/>
  <c r="N501" i="5"/>
  <c r="P501" i="6" s="1"/>
  <c r="R501" i="5"/>
  <c r="T501" i="6" s="1"/>
  <c r="V501" i="5"/>
  <c r="X501" i="6" s="1"/>
  <c r="Z501" i="5"/>
  <c r="AB501" i="6" s="1"/>
  <c r="AD501" i="5"/>
  <c r="AF501" i="6" s="1"/>
  <c r="D502" i="5"/>
  <c r="F502" i="6" s="1"/>
  <c r="H502" i="5"/>
  <c r="J502" i="6" s="1"/>
  <c r="L502" i="5"/>
  <c r="N502" i="6" s="1"/>
  <c r="P502" i="5"/>
  <c r="R502" i="6" s="1"/>
  <c r="T502" i="5"/>
  <c r="V502" i="6" s="1"/>
  <c r="X502" i="5"/>
  <c r="Z502" i="6" s="1"/>
  <c r="AB502" i="5"/>
  <c r="AD502" i="6" s="1"/>
  <c r="AF502" i="5"/>
  <c r="AH502" i="6" s="1"/>
  <c r="F503" i="5"/>
  <c r="H503" i="6" s="1"/>
  <c r="J503" i="5"/>
  <c r="L503" i="6" s="1"/>
  <c r="N503" i="5"/>
  <c r="P503" i="6" s="1"/>
  <c r="R503" i="5"/>
  <c r="T503" i="6" s="1"/>
  <c r="V503" i="5"/>
  <c r="X503" i="6" s="1"/>
  <c r="Z503" i="5"/>
  <c r="AB503" i="6" s="1"/>
  <c r="AD503" i="5"/>
  <c r="AF503" i="6" s="1"/>
  <c r="D504" i="5"/>
  <c r="F504" i="6" s="1"/>
  <c r="H504" i="5"/>
  <c r="J504" i="6" s="1"/>
  <c r="L504" i="5"/>
  <c r="N504" i="6" s="1"/>
  <c r="P504" i="5"/>
  <c r="R504" i="6" s="1"/>
  <c r="T504" i="5"/>
  <c r="V504" i="6" s="1"/>
  <c r="X504" i="5"/>
  <c r="Z504" i="6" s="1"/>
  <c r="AB504" i="5"/>
  <c r="AD504" i="6" s="1"/>
  <c r="AF504" i="5"/>
  <c r="AH504" i="6" s="1"/>
  <c r="F505" i="5"/>
  <c r="H505" i="6" s="1"/>
  <c r="J505" i="5"/>
  <c r="L505" i="6" s="1"/>
  <c r="N505" i="5"/>
  <c r="P505" i="6" s="1"/>
  <c r="R505" i="5"/>
  <c r="T505" i="6" s="1"/>
  <c r="V505" i="5"/>
  <c r="X505" i="6" s="1"/>
  <c r="Z505" i="5"/>
  <c r="AB505" i="6" s="1"/>
  <c r="AD505" i="5"/>
  <c r="AF505" i="6" s="1"/>
  <c r="D506" i="5"/>
  <c r="F506" i="6" s="1"/>
  <c r="H506" i="5"/>
  <c r="J506" i="6" s="1"/>
  <c r="L506" i="5"/>
  <c r="N506" i="6" s="1"/>
  <c r="P506" i="5"/>
  <c r="R506" i="6" s="1"/>
  <c r="T506" i="5"/>
  <c r="V506" i="6" s="1"/>
  <c r="X506" i="5"/>
  <c r="Z506" i="6" s="1"/>
  <c r="AB506" i="5"/>
  <c r="AD506" i="6" s="1"/>
  <c r="AF506" i="5"/>
  <c r="AH506" i="6" s="1"/>
  <c r="F507" i="5"/>
  <c r="H507" i="6" s="1"/>
  <c r="J507" i="5"/>
  <c r="L507" i="6" s="1"/>
  <c r="N507" i="5"/>
  <c r="P507" i="6" s="1"/>
  <c r="R507" i="5"/>
  <c r="T507" i="6" s="1"/>
  <c r="V507" i="5"/>
  <c r="X507" i="6" s="1"/>
  <c r="Z507" i="5"/>
  <c r="AB507" i="6" s="1"/>
  <c r="AD507" i="5"/>
  <c r="AF507" i="6" s="1"/>
  <c r="D508" i="5"/>
  <c r="F508" i="6" s="1"/>
  <c r="H508" i="5"/>
  <c r="J508" i="6" s="1"/>
  <c r="L508" i="5"/>
  <c r="N508" i="6" s="1"/>
  <c r="P508" i="5"/>
  <c r="R508" i="6" s="1"/>
  <c r="T508" i="5"/>
  <c r="V508" i="6" s="1"/>
  <c r="X508" i="5"/>
  <c r="Z508" i="6" s="1"/>
  <c r="AB508" i="5"/>
  <c r="AD508" i="6" s="1"/>
  <c r="AF508" i="5"/>
  <c r="AH508" i="6" s="1"/>
  <c r="F509" i="5"/>
  <c r="H509" i="6" s="1"/>
  <c r="J509" i="5"/>
  <c r="L509" i="6" s="1"/>
  <c r="N509" i="5"/>
  <c r="P509" i="6" s="1"/>
  <c r="R509" i="5"/>
  <c r="T509" i="6" s="1"/>
  <c r="V509" i="5"/>
  <c r="X509" i="6" s="1"/>
  <c r="Z509" i="5"/>
  <c r="AB509" i="6" s="1"/>
  <c r="AD509" i="5"/>
  <c r="AF509" i="6" s="1"/>
  <c r="D510" i="5"/>
  <c r="F510" i="6" s="1"/>
  <c r="H510" i="5"/>
  <c r="J510" i="6" s="1"/>
  <c r="L510" i="5"/>
  <c r="N510" i="6" s="1"/>
  <c r="P510" i="5"/>
  <c r="R510" i="6" s="1"/>
  <c r="T510" i="5"/>
  <c r="V510" i="6" s="1"/>
  <c r="X510" i="5"/>
  <c r="Z510" i="6" s="1"/>
  <c r="AB510" i="5"/>
  <c r="AD510" i="6" s="1"/>
  <c r="AF510" i="5"/>
  <c r="AH510" i="6" s="1"/>
  <c r="F511" i="5"/>
  <c r="H511" i="6" s="1"/>
  <c r="J511" i="5"/>
  <c r="L511" i="6" s="1"/>
  <c r="N511" i="5"/>
  <c r="P511" i="6" s="1"/>
  <c r="R511" i="5"/>
  <c r="T511" i="6" s="1"/>
  <c r="V511" i="5"/>
  <c r="X511" i="6" s="1"/>
  <c r="Z511" i="5"/>
  <c r="AB511" i="6" s="1"/>
  <c r="AD511" i="5"/>
  <c r="AF511" i="6" s="1"/>
  <c r="D512" i="5"/>
  <c r="F512" i="6" s="1"/>
  <c r="H512" i="5"/>
  <c r="J512" i="6" s="1"/>
  <c r="L512" i="5"/>
  <c r="N512" i="6" s="1"/>
  <c r="P512" i="5"/>
  <c r="R512" i="6" s="1"/>
  <c r="T512" i="5"/>
  <c r="V512" i="6" s="1"/>
  <c r="X512" i="5"/>
  <c r="Z512" i="6" s="1"/>
  <c r="AB512" i="5"/>
  <c r="AD512" i="6" s="1"/>
  <c r="AF512" i="5"/>
  <c r="AH512" i="6" s="1"/>
  <c r="F513" i="5"/>
  <c r="H513" i="6" s="1"/>
  <c r="J513" i="5"/>
  <c r="L513" i="6" s="1"/>
  <c r="N513" i="5"/>
  <c r="P513" i="6" s="1"/>
  <c r="R513" i="5"/>
  <c r="T513" i="6" s="1"/>
  <c r="V513" i="5"/>
  <c r="X513" i="6" s="1"/>
  <c r="Z513" i="5"/>
  <c r="AB513" i="6" s="1"/>
  <c r="AD513" i="5"/>
  <c r="AF513" i="6" s="1"/>
  <c r="D514" i="5"/>
  <c r="F514" i="6" s="1"/>
  <c r="H514" i="5"/>
  <c r="J514" i="6" s="1"/>
  <c r="L514" i="5"/>
  <c r="N514" i="6" s="1"/>
  <c r="P514" i="5"/>
  <c r="R514" i="6" s="1"/>
  <c r="T514" i="5"/>
  <c r="V514" i="6" s="1"/>
  <c r="X514" i="5"/>
  <c r="Z514" i="6" s="1"/>
  <c r="AB514" i="5"/>
  <c r="AD514" i="6" s="1"/>
  <c r="AF514" i="5"/>
  <c r="AH514" i="6" s="1"/>
  <c r="F515" i="5"/>
  <c r="H515" i="6" s="1"/>
  <c r="J515" i="5"/>
  <c r="L515" i="6" s="1"/>
  <c r="N515" i="5"/>
  <c r="P515" i="6" s="1"/>
  <c r="R515" i="5"/>
  <c r="T515" i="6" s="1"/>
  <c r="V515" i="5"/>
  <c r="X515" i="6" s="1"/>
  <c r="Z515" i="5"/>
  <c r="AB515" i="6" s="1"/>
  <c r="AD515" i="5"/>
  <c r="AF515" i="6" s="1"/>
  <c r="D516" i="5"/>
  <c r="F516" i="6" s="1"/>
  <c r="H516" i="5"/>
  <c r="J516" i="6" s="1"/>
  <c r="L516" i="5"/>
  <c r="N516" i="6" s="1"/>
  <c r="P516" i="5"/>
  <c r="R516" i="6" s="1"/>
  <c r="T516" i="5"/>
  <c r="V516" i="6" s="1"/>
  <c r="X516" i="5"/>
  <c r="Z516" i="6" s="1"/>
  <c r="AB516" i="5"/>
  <c r="AD516" i="6" s="1"/>
  <c r="AF516" i="5"/>
  <c r="AH516" i="6" s="1"/>
  <c r="F517" i="5"/>
  <c r="H517" i="6" s="1"/>
  <c r="J517" i="5"/>
  <c r="L517" i="6" s="1"/>
  <c r="N517" i="5"/>
  <c r="P517" i="6" s="1"/>
  <c r="R517" i="5"/>
  <c r="T517" i="6" s="1"/>
  <c r="V517" i="5"/>
  <c r="X517" i="6" s="1"/>
  <c r="Z517" i="5"/>
  <c r="AB517" i="6" s="1"/>
  <c r="AD517" i="5"/>
  <c r="AF517" i="6" s="1"/>
  <c r="D518" i="5"/>
  <c r="F518" i="6" s="1"/>
  <c r="H518" i="5"/>
  <c r="J518" i="6" s="1"/>
  <c r="L518" i="5"/>
  <c r="N518" i="6" s="1"/>
  <c r="P518" i="5"/>
  <c r="R518" i="6" s="1"/>
  <c r="T518" i="5"/>
  <c r="V518" i="6" s="1"/>
  <c r="X518" i="5"/>
  <c r="Z518" i="6" s="1"/>
  <c r="AB518" i="5"/>
  <c r="AD518" i="6" s="1"/>
  <c r="AF518" i="5"/>
  <c r="AH518" i="6" s="1"/>
  <c r="F519" i="5"/>
  <c r="H519" i="6" s="1"/>
  <c r="J519" i="5"/>
  <c r="L519" i="6" s="1"/>
  <c r="N519" i="5"/>
  <c r="P519" i="6" s="1"/>
  <c r="R519" i="5"/>
  <c r="T519" i="6" s="1"/>
  <c r="V519" i="5"/>
  <c r="X519" i="6" s="1"/>
  <c r="Z519" i="5"/>
  <c r="AB519" i="6" s="1"/>
  <c r="AD519" i="5"/>
  <c r="AF519" i="6" s="1"/>
  <c r="D520" i="5"/>
  <c r="F520" i="6" s="1"/>
  <c r="H520" i="5"/>
  <c r="J520" i="6" s="1"/>
  <c r="L520" i="5"/>
  <c r="N520" i="6" s="1"/>
  <c r="P520" i="5"/>
  <c r="R520" i="6" s="1"/>
  <c r="T520" i="5"/>
  <c r="V520" i="6" s="1"/>
  <c r="X520" i="5"/>
  <c r="Z520" i="6" s="1"/>
  <c r="AB520" i="5"/>
  <c r="AD520" i="6" s="1"/>
  <c r="AF520" i="5"/>
  <c r="AH520" i="6" s="1"/>
  <c r="F521" i="5"/>
  <c r="H521" i="6" s="1"/>
  <c r="J521" i="5"/>
  <c r="L521" i="6" s="1"/>
  <c r="N521" i="5"/>
  <c r="P521" i="6" s="1"/>
  <c r="R521" i="5"/>
  <c r="T521" i="6" s="1"/>
  <c r="V521" i="5"/>
  <c r="X521" i="6" s="1"/>
  <c r="Z521" i="5"/>
  <c r="AB521" i="6" s="1"/>
  <c r="AD521" i="5"/>
  <c r="AF521" i="6" s="1"/>
  <c r="D522" i="5"/>
  <c r="F522" i="6" s="1"/>
  <c r="H522" i="5"/>
  <c r="J522" i="6" s="1"/>
  <c r="L522" i="5"/>
  <c r="N522" i="6" s="1"/>
  <c r="P522" i="5"/>
  <c r="R522" i="6" s="1"/>
  <c r="T522" i="5"/>
  <c r="V522" i="6" s="1"/>
  <c r="X522" i="5"/>
  <c r="Z522" i="6" s="1"/>
  <c r="AB522" i="5"/>
  <c r="AD522" i="6" s="1"/>
  <c r="AF522" i="5"/>
  <c r="AH522" i="6" s="1"/>
  <c r="F523" i="5"/>
  <c r="H523" i="6" s="1"/>
  <c r="J523" i="5"/>
  <c r="L523" i="6" s="1"/>
  <c r="N523" i="5"/>
  <c r="P523" i="6" s="1"/>
  <c r="R523" i="5"/>
  <c r="T523" i="6" s="1"/>
  <c r="V523" i="5"/>
  <c r="X523" i="6" s="1"/>
  <c r="Z523" i="5"/>
  <c r="AB523" i="6" s="1"/>
  <c r="AD523" i="5"/>
  <c r="AF523" i="6" s="1"/>
  <c r="D524" i="5"/>
  <c r="F524" i="6" s="1"/>
  <c r="H524" i="5"/>
  <c r="J524" i="6" s="1"/>
  <c r="L524" i="5"/>
  <c r="N524" i="6" s="1"/>
  <c r="P524" i="5"/>
  <c r="R524" i="6" s="1"/>
  <c r="T524" i="5"/>
  <c r="V524" i="6" s="1"/>
  <c r="X524" i="5"/>
  <c r="Z524" i="6" s="1"/>
  <c r="AB524" i="5"/>
  <c r="AD524" i="6" s="1"/>
  <c r="AF524" i="5"/>
  <c r="AH524" i="6" s="1"/>
  <c r="F525" i="5"/>
  <c r="H525" i="6" s="1"/>
  <c r="J525" i="5"/>
  <c r="L525" i="6" s="1"/>
  <c r="N525" i="5"/>
  <c r="P525" i="6" s="1"/>
  <c r="R525" i="5"/>
  <c r="T525" i="6" s="1"/>
  <c r="V525" i="5"/>
  <c r="X525" i="6" s="1"/>
  <c r="Z525" i="5"/>
  <c r="AB525" i="6" s="1"/>
  <c r="AD525" i="5"/>
  <c r="AF525" i="6" s="1"/>
  <c r="D526" i="5"/>
  <c r="F526" i="6" s="1"/>
  <c r="H526" i="5"/>
  <c r="J526" i="6" s="1"/>
  <c r="L526" i="5"/>
  <c r="N526" i="6" s="1"/>
  <c r="P526" i="5"/>
  <c r="R526" i="6" s="1"/>
  <c r="T526" i="5"/>
  <c r="V526" i="6" s="1"/>
  <c r="X526" i="5"/>
  <c r="Z526" i="6" s="1"/>
  <c r="AB526" i="5"/>
  <c r="AD526" i="6" s="1"/>
  <c r="AF526" i="5"/>
  <c r="AH526" i="6" s="1"/>
  <c r="F527" i="5"/>
  <c r="H527" i="6" s="1"/>
  <c r="J527" i="5"/>
  <c r="L527" i="6" s="1"/>
  <c r="N527" i="5"/>
  <c r="P527" i="6" s="1"/>
  <c r="R527" i="5"/>
  <c r="T527" i="6" s="1"/>
  <c r="V527" i="5"/>
  <c r="X527" i="6" s="1"/>
  <c r="Z527" i="5"/>
  <c r="AB527" i="6" s="1"/>
  <c r="AD527" i="5"/>
  <c r="AF527" i="6" s="1"/>
  <c r="D528" i="5"/>
  <c r="F528" i="6" s="1"/>
  <c r="H528" i="5"/>
  <c r="J528" i="6" s="1"/>
  <c r="L528" i="5"/>
  <c r="N528" i="6" s="1"/>
  <c r="P528" i="5"/>
  <c r="R528" i="6" s="1"/>
  <c r="T528" i="5"/>
  <c r="V528" i="6" s="1"/>
  <c r="X528" i="5"/>
  <c r="Z528" i="6" s="1"/>
  <c r="AB528" i="5"/>
  <c r="AD528" i="6" s="1"/>
  <c r="AF528" i="5"/>
  <c r="AH528" i="6" s="1"/>
  <c r="F529" i="5"/>
  <c r="H529" i="6" s="1"/>
  <c r="J529" i="5"/>
  <c r="L529" i="6" s="1"/>
  <c r="N529" i="5"/>
  <c r="P529" i="6" s="1"/>
  <c r="R529" i="5"/>
  <c r="T529" i="6" s="1"/>
  <c r="V529" i="5"/>
  <c r="X529" i="6" s="1"/>
  <c r="Z529" i="5"/>
  <c r="AB529" i="6" s="1"/>
  <c r="AD529" i="5"/>
  <c r="AF529" i="6" s="1"/>
  <c r="D530" i="5"/>
  <c r="F530" i="6" s="1"/>
  <c r="H530" i="5"/>
  <c r="J530" i="6" s="1"/>
  <c r="L530" i="5"/>
  <c r="N530" i="6" s="1"/>
  <c r="P530" i="5"/>
  <c r="R530" i="6" s="1"/>
  <c r="T530" i="5"/>
  <c r="V530" i="6" s="1"/>
  <c r="X530" i="5"/>
  <c r="Z530" i="6" s="1"/>
  <c r="AB530" i="5"/>
  <c r="AD530" i="6" s="1"/>
  <c r="AF530" i="5"/>
  <c r="AH530" i="6" s="1"/>
  <c r="F531" i="5"/>
  <c r="H531" i="6" s="1"/>
  <c r="J531" i="5"/>
  <c r="L531" i="6" s="1"/>
  <c r="N531" i="5"/>
  <c r="P531" i="6" s="1"/>
  <c r="R531" i="5"/>
  <c r="T531" i="6" s="1"/>
  <c r="V531" i="5"/>
  <c r="X531" i="6" s="1"/>
  <c r="Z531" i="5"/>
  <c r="AB531" i="6" s="1"/>
  <c r="AD531" i="5"/>
  <c r="AF531" i="6" s="1"/>
  <c r="D532" i="5"/>
  <c r="F532" i="6" s="1"/>
  <c r="H532" i="5"/>
  <c r="J532" i="6" s="1"/>
  <c r="L532" i="5"/>
  <c r="N532" i="6" s="1"/>
  <c r="P532" i="5"/>
  <c r="R532" i="6" s="1"/>
  <c r="T532" i="5"/>
  <c r="V532" i="6" s="1"/>
  <c r="X532" i="5"/>
  <c r="Z532" i="6" s="1"/>
  <c r="AB532" i="5"/>
  <c r="AD532" i="6" s="1"/>
  <c r="AF532" i="5"/>
  <c r="AH532" i="6" s="1"/>
  <c r="F533" i="5"/>
  <c r="H533" i="6" s="1"/>
  <c r="J533" i="5"/>
  <c r="L533" i="6" s="1"/>
  <c r="N533" i="5"/>
  <c r="P533" i="6" s="1"/>
  <c r="R533" i="5"/>
  <c r="T533" i="6" s="1"/>
  <c r="V533" i="5"/>
  <c r="X533" i="6" s="1"/>
  <c r="Z533" i="5"/>
  <c r="AB533" i="6" s="1"/>
  <c r="AD533" i="5"/>
  <c r="AF533" i="6" s="1"/>
  <c r="D534" i="5"/>
  <c r="F534" i="6" s="1"/>
  <c r="H534" i="5"/>
  <c r="J534" i="6" s="1"/>
  <c r="L534" i="5"/>
  <c r="N534" i="6" s="1"/>
  <c r="P534" i="5"/>
  <c r="R534" i="6" s="1"/>
  <c r="T534" i="5"/>
  <c r="V534" i="6" s="1"/>
  <c r="X534" i="5"/>
  <c r="Z534" i="6" s="1"/>
  <c r="AB534" i="5"/>
  <c r="AD534" i="6" s="1"/>
  <c r="AF534" i="5"/>
  <c r="AH534" i="6" s="1"/>
  <c r="F535" i="5"/>
  <c r="H535" i="6" s="1"/>
  <c r="J535" i="5"/>
  <c r="L535" i="6" s="1"/>
  <c r="N535" i="5"/>
  <c r="P535" i="6" s="1"/>
  <c r="R535" i="5"/>
  <c r="T535" i="6" s="1"/>
  <c r="V535" i="5"/>
  <c r="X535" i="6" s="1"/>
  <c r="Z535" i="5"/>
  <c r="AB535" i="6" s="1"/>
  <c r="AD535" i="5"/>
  <c r="AF535" i="6" s="1"/>
  <c r="D536" i="5"/>
  <c r="F536" i="6" s="1"/>
  <c r="H536" i="5"/>
  <c r="J536" i="6" s="1"/>
  <c r="L536" i="5"/>
  <c r="N536" i="6" s="1"/>
  <c r="P536" i="5"/>
  <c r="R536" i="6" s="1"/>
  <c r="T536" i="5"/>
  <c r="V536" i="6" s="1"/>
  <c r="X536" i="5"/>
  <c r="Z536" i="6" s="1"/>
  <c r="AB536" i="5"/>
  <c r="AD536" i="6" s="1"/>
  <c r="AF536" i="5"/>
  <c r="AH536" i="6" s="1"/>
  <c r="F537" i="5"/>
  <c r="H537" i="6" s="1"/>
  <c r="J537" i="5"/>
  <c r="L537" i="6" s="1"/>
  <c r="N537" i="5"/>
  <c r="P537" i="6" s="1"/>
  <c r="R537" i="5"/>
  <c r="T537" i="6" s="1"/>
  <c r="V537" i="5"/>
  <c r="X537" i="6" s="1"/>
  <c r="Z537" i="5"/>
  <c r="AB537" i="6" s="1"/>
  <c r="AD537" i="5"/>
  <c r="AF537" i="6" s="1"/>
  <c r="D538" i="5"/>
  <c r="F538" i="6" s="1"/>
  <c r="H538" i="5"/>
  <c r="J538" i="6" s="1"/>
  <c r="L538" i="5"/>
  <c r="N538" i="6" s="1"/>
  <c r="P538" i="5"/>
  <c r="R538" i="6" s="1"/>
  <c r="T538" i="5"/>
  <c r="V538" i="6" s="1"/>
  <c r="X538" i="5"/>
  <c r="Z538" i="6" s="1"/>
  <c r="AB538" i="5"/>
  <c r="AD538" i="6" s="1"/>
  <c r="AF538" i="5"/>
  <c r="AH538" i="6" s="1"/>
  <c r="F539" i="5"/>
  <c r="H539" i="6" s="1"/>
  <c r="J539" i="5"/>
  <c r="L539" i="6" s="1"/>
  <c r="N539" i="5"/>
  <c r="P539" i="6" s="1"/>
  <c r="R539" i="5"/>
  <c r="T539" i="6" s="1"/>
  <c r="V539" i="5"/>
  <c r="X539" i="6" s="1"/>
  <c r="Z539" i="5"/>
  <c r="AB539" i="6" s="1"/>
  <c r="AD539" i="5"/>
  <c r="AF539" i="6" s="1"/>
  <c r="D540" i="5"/>
  <c r="F540" i="6" s="1"/>
  <c r="H540" i="5"/>
  <c r="J540" i="6" s="1"/>
  <c r="L540" i="5"/>
  <c r="N540" i="6" s="1"/>
  <c r="P540" i="5"/>
  <c r="R540" i="6" s="1"/>
  <c r="T540" i="5"/>
  <c r="V540" i="6" s="1"/>
  <c r="X540" i="5"/>
  <c r="Z540" i="6" s="1"/>
  <c r="AB540" i="5"/>
  <c r="AD540" i="6" s="1"/>
  <c r="AF540" i="5"/>
  <c r="AH540" i="6" s="1"/>
  <c r="F541" i="5"/>
  <c r="H541" i="6" s="1"/>
  <c r="J541" i="5"/>
  <c r="L541" i="6" s="1"/>
  <c r="N541" i="5"/>
  <c r="P541" i="6" s="1"/>
  <c r="R541" i="5"/>
  <c r="T541" i="6" s="1"/>
  <c r="V541" i="5"/>
  <c r="X541" i="6" s="1"/>
  <c r="Z541" i="5"/>
  <c r="AB541" i="6" s="1"/>
  <c r="AD541" i="5"/>
  <c r="AF541" i="6" s="1"/>
  <c r="D542" i="5"/>
  <c r="F542" i="6" s="1"/>
  <c r="H542" i="5"/>
  <c r="J542" i="6" s="1"/>
  <c r="L542" i="5"/>
  <c r="N542" i="6" s="1"/>
  <c r="P542" i="5"/>
  <c r="R542" i="6" s="1"/>
  <c r="T542" i="5"/>
  <c r="V542" i="6" s="1"/>
  <c r="X542" i="5"/>
  <c r="Z542" i="6" s="1"/>
  <c r="AB542" i="5"/>
  <c r="AD542" i="6" s="1"/>
  <c r="AF542" i="5"/>
  <c r="AH542" i="6" s="1"/>
  <c r="F543" i="5"/>
  <c r="H543" i="6" s="1"/>
  <c r="J543" i="5"/>
  <c r="L543" i="6" s="1"/>
  <c r="N543" i="5"/>
  <c r="P543" i="6" s="1"/>
  <c r="R543" i="5"/>
  <c r="T543" i="6" s="1"/>
  <c r="V543" i="5"/>
  <c r="X543" i="6" s="1"/>
  <c r="Z543" i="5"/>
  <c r="AB543" i="6" s="1"/>
  <c r="AD543" i="5"/>
  <c r="AF543" i="6" s="1"/>
  <c r="D544" i="5"/>
  <c r="F544" i="6" s="1"/>
  <c r="H544" i="5"/>
  <c r="J544" i="6" s="1"/>
  <c r="L544" i="5"/>
  <c r="N544" i="6" s="1"/>
  <c r="P544" i="5"/>
  <c r="R544" i="6" s="1"/>
  <c r="T544" i="5"/>
  <c r="V544" i="6" s="1"/>
  <c r="X544" i="5"/>
  <c r="Z544" i="6" s="1"/>
  <c r="AB544" i="5"/>
  <c r="AD544" i="6" s="1"/>
  <c r="AF544" i="5"/>
  <c r="AH544" i="6" s="1"/>
  <c r="F545" i="5"/>
  <c r="H545" i="6" s="1"/>
  <c r="J545" i="5"/>
  <c r="L545" i="6" s="1"/>
  <c r="N545" i="5"/>
  <c r="P545" i="6" s="1"/>
  <c r="R545" i="5"/>
  <c r="T545" i="6" s="1"/>
  <c r="V545" i="5"/>
  <c r="X545" i="6" s="1"/>
  <c r="Z545" i="5"/>
  <c r="AB545" i="6" s="1"/>
  <c r="AD545" i="5"/>
  <c r="AF545" i="6" s="1"/>
  <c r="D548" i="5"/>
  <c r="F548" i="6" s="1"/>
  <c r="N548" i="5"/>
  <c r="P548" i="6" s="1"/>
  <c r="R548" i="5"/>
  <c r="T548" i="6" s="1"/>
  <c r="V548" i="5"/>
  <c r="X548" i="6" s="1"/>
  <c r="Z548" i="5"/>
  <c r="AB548" i="6" s="1"/>
  <c r="AD548" i="5"/>
  <c r="AF548" i="6" s="1"/>
  <c r="D549" i="5"/>
  <c r="F549" i="6" s="1"/>
  <c r="H549" i="5"/>
  <c r="J549" i="6" s="1"/>
  <c r="L549" i="5"/>
  <c r="N549" i="6" s="1"/>
  <c r="P549" i="5"/>
  <c r="R549" i="6" s="1"/>
  <c r="T549" i="5"/>
  <c r="V549" i="6" s="1"/>
  <c r="X549" i="5"/>
  <c r="Z549" i="6" s="1"/>
  <c r="AB549" i="5"/>
  <c r="AD549" i="6" s="1"/>
  <c r="AF549" i="5"/>
  <c r="AH549" i="6" s="1"/>
  <c r="F550" i="5"/>
  <c r="H550" i="6" s="1"/>
  <c r="J550" i="5"/>
  <c r="L550" i="6" s="1"/>
  <c r="N550" i="5"/>
  <c r="P550" i="6" s="1"/>
  <c r="R550" i="5"/>
  <c r="T550" i="6" s="1"/>
  <c r="V550" i="5"/>
  <c r="X550" i="6" s="1"/>
  <c r="Z550" i="5"/>
  <c r="AB550" i="6" s="1"/>
  <c r="AD550" i="5"/>
  <c r="AF550" i="6" s="1"/>
  <c r="D551" i="5"/>
  <c r="F551" i="6" s="1"/>
  <c r="H551" i="5"/>
  <c r="J551" i="6" s="1"/>
  <c r="L551" i="5"/>
  <c r="N551" i="6" s="1"/>
  <c r="P551" i="5"/>
  <c r="R551" i="6" s="1"/>
  <c r="T551" i="5"/>
  <c r="V551" i="6" s="1"/>
  <c r="X551" i="5"/>
  <c r="Z551" i="6" s="1"/>
  <c r="AB551" i="5"/>
  <c r="AD551" i="6" s="1"/>
  <c r="AF551" i="5"/>
  <c r="AH551" i="6" s="1"/>
  <c r="F552" i="5"/>
  <c r="H552" i="6" s="1"/>
  <c r="J552" i="5"/>
  <c r="L552" i="6" s="1"/>
  <c r="N552" i="5"/>
  <c r="P552" i="6" s="1"/>
  <c r="R552" i="5"/>
  <c r="T552" i="6" s="1"/>
  <c r="V552" i="5"/>
  <c r="X552" i="6" s="1"/>
  <c r="Z552" i="5"/>
  <c r="AB552" i="6" s="1"/>
  <c r="AD552" i="5"/>
  <c r="AF552" i="6" s="1"/>
  <c r="D553" i="5"/>
  <c r="F553" i="6" s="1"/>
  <c r="H553" i="5"/>
  <c r="J553" i="6" s="1"/>
  <c r="L553" i="5"/>
  <c r="N553" i="6" s="1"/>
  <c r="P553" i="5"/>
  <c r="R553" i="6" s="1"/>
  <c r="T553" i="5"/>
  <c r="V553" i="6" s="1"/>
  <c r="X553" i="5"/>
  <c r="Z553" i="6" s="1"/>
  <c r="AB553" i="5"/>
  <c r="AD553" i="6" s="1"/>
  <c r="AF553" i="5"/>
  <c r="AH553" i="6" s="1"/>
  <c r="F554" i="5"/>
  <c r="H554" i="6" s="1"/>
  <c r="J554" i="5"/>
  <c r="L554" i="6" s="1"/>
  <c r="N554" i="5"/>
  <c r="P554" i="6" s="1"/>
  <c r="R554" i="5"/>
  <c r="T554" i="6" s="1"/>
  <c r="V554" i="5"/>
  <c r="X554" i="6" s="1"/>
  <c r="Z554" i="5"/>
  <c r="AB554" i="6" s="1"/>
  <c r="AD554" i="5"/>
  <c r="AF554" i="6" s="1"/>
  <c r="D555" i="5"/>
  <c r="F555" i="6" s="1"/>
  <c r="H555" i="5"/>
  <c r="J555" i="6" s="1"/>
  <c r="L555" i="5"/>
  <c r="N555" i="6" s="1"/>
  <c r="P555" i="5"/>
  <c r="R555" i="6" s="1"/>
  <c r="T555" i="5"/>
  <c r="V555" i="6" s="1"/>
  <c r="X555" i="5"/>
  <c r="Z555" i="6" s="1"/>
  <c r="AB555" i="5"/>
  <c r="AD555" i="6" s="1"/>
  <c r="AF555" i="5"/>
  <c r="AH555" i="6" s="1"/>
  <c r="F557" i="5"/>
  <c r="H557" i="6" s="1"/>
  <c r="J557" i="5"/>
  <c r="L557" i="6" s="1"/>
  <c r="N557" i="5"/>
  <c r="P557" i="6" s="1"/>
  <c r="R557" i="5"/>
  <c r="T557" i="6" s="1"/>
  <c r="V557" i="5"/>
  <c r="X557" i="6" s="1"/>
  <c r="Z557" i="5"/>
  <c r="AB557" i="6" s="1"/>
  <c r="AD557" i="5"/>
  <c r="AF557" i="6" s="1"/>
  <c r="D558" i="5"/>
  <c r="F558" i="6" s="1"/>
  <c r="H558" i="5"/>
  <c r="J558" i="6" s="1"/>
  <c r="L558" i="5"/>
  <c r="N558" i="6" s="1"/>
  <c r="P558" i="5"/>
  <c r="R558" i="6" s="1"/>
  <c r="T558" i="5"/>
  <c r="V558" i="6" s="1"/>
  <c r="X558" i="5"/>
  <c r="Z558" i="6" s="1"/>
  <c r="AB558" i="5"/>
  <c r="AD558" i="6" s="1"/>
  <c r="AF558" i="5"/>
  <c r="AH558" i="6" s="1"/>
  <c r="F559" i="5"/>
  <c r="H559" i="6" s="1"/>
  <c r="J559" i="5"/>
  <c r="L559" i="6" s="1"/>
  <c r="N559" i="5"/>
  <c r="P559" i="6" s="1"/>
  <c r="R559" i="5"/>
  <c r="T559" i="6" s="1"/>
  <c r="V559" i="5"/>
  <c r="X559" i="6" s="1"/>
  <c r="Z559" i="5"/>
  <c r="AB559" i="6" s="1"/>
  <c r="AD559" i="5"/>
  <c r="AF559" i="6" s="1"/>
  <c r="D560" i="5"/>
  <c r="F560" i="6" s="1"/>
  <c r="H560" i="5"/>
  <c r="J560" i="6" s="1"/>
  <c r="L560" i="5"/>
  <c r="N560" i="6" s="1"/>
  <c r="P560" i="5"/>
  <c r="R560" i="6" s="1"/>
  <c r="T560" i="5"/>
  <c r="V560" i="6" s="1"/>
  <c r="D561" i="5"/>
  <c r="F561" i="6" s="1"/>
  <c r="H561" i="5"/>
  <c r="J561" i="6" s="1"/>
  <c r="L561" i="5"/>
  <c r="N561" i="6" s="1"/>
  <c r="P561" i="5"/>
  <c r="R561" i="6" s="1"/>
  <c r="T561" i="5"/>
  <c r="V561" i="6" s="1"/>
  <c r="X561" i="5"/>
  <c r="Z561" i="6" s="1"/>
  <c r="AB561" i="5"/>
  <c r="AD561" i="6" s="1"/>
  <c r="AF561" i="5"/>
  <c r="AH561" i="6" s="1"/>
  <c r="F562" i="5"/>
  <c r="H562" i="6" s="1"/>
  <c r="J562" i="5"/>
  <c r="L562" i="6" s="1"/>
  <c r="N562" i="5"/>
  <c r="P562" i="6" s="1"/>
  <c r="R562" i="5"/>
  <c r="T562" i="6" s="1"/>
  <c r="V562" i="5"/>
  <c r="X562" i="6" s="1"/>
  <c r="Z562" i="5"/>
  <c r="AB562" i="6" s="1"/>
  <c r="AD562" i="5"/>
  <c r="AF562" i="6" s="1"/>
  <c r="D564" i="5"/>
  <c r="F564" i="6" s="1"/>
  <c r="N564" i="5"/>
  <c r="P564" i="6" s="1"/>
  <c r="X564" i="5"/>
  <c r="Z564" i="6" s="1"/>
  <c r="D565" i="5"/>
  <c r="F565" i="6" s="1"/>
  <c r="N565" i="5"/>
  <c r="P565" i="6" s="1"/>
  <c r="X565" i="5"/>
  <c r="Z565" i="6" s="1"/>
  <c r="D566" i="5"/>
  <c r="F566" i="6" s="1"/>
  <c r="N566" i="5"/>
  <c r="P566" i="6" s="1"/>
  <c r="X566" i="5"/>
  <c r="Z566" i="6" s="1"/>
  <c r="D567" i="5"/>
  <c r="F567" i="6" s="1"/>
  <c r="N567" i="5"/>
  <c r="P567" i="6" s="1"/>
  <c r="X567" i="5"/>
  <c r="Z567" i="6" s="1"/>
  <c r="F568" i="5"/>
  <c r="H568" i="6" s="1"/>
  <c r="P568" i="5"/>
  <c r="R568" i="6" s="1"/>
  <c r="Z568" i="5"/>
  <c r="AB568" i="6" s="1"/>
  <c r="F569" i="5"/>
  <c r="H569" i="6" s="1"/>
  <c r="P569" i="5"/>
  <c r="R569" i="6" s="1"/>
  <c r="Z569" i="5"/>
  <c r="AB569" i="6" s="1"/>
  <c r="D585" i="5"/>
  <c r="F585" i="6" s="1"/>
  <c r="H585" i="5"/>
  <c r="J585" i="6" s="1"/>
  <c r="L585" i="5"/>
  <c r="N585" i="6" s="1"/>
  <c r="P585" i="5"/>
  <c r="R585" i="6" s="1"/>
  <c r="T585" i="5"/>
  <c r="V585" i="6" s="1"/>
  <c r="X585" i="5"/>
  <c r="Z585" i="6" s="1"/>
  <c r="AB585" i="5"/>
  <c r="AD585" i="6" s="1"/>
  <c r="AF585" i="5"/>
  <c r="AH585" i="6" s="1"/>
  <c r="F586" i="5"/>
  <c r="H586" i="6" s="1"/>
  <c r="J586" i="5"/>
  <c r="L586" i="6" s="1"/>
  <c r="N586" i="5"/>
  <c r="P586" i="6" s="1"/>
  <c r="R586" i="5"/>
  <c r="T586" i="6" s="1"/>
  <c r="V586" i="5"/>
  <c r="X586" i="6" s="1"/>
  <c r="Z586" i="5"/>
  <c r="AB586" i="6" s="1"/>
  <c r="AD586" i="5"/>
  <c r="AF586" i="6" s="1"/>
  <c r="D587" i="5"/>
  <c r="F587" i="6" s="1"/>
  <c r="H587" i="5"/>
  <c r="J587" i="6" s="1"/>
  <c r="L587" i="5"/>
  <c r="N587" i="6" s="1"/>
  <c r="P587" i="5"/>
  <c r="R587" i="6" s="1"/>
  <c r="T587" i="5"/>
  <c r="V587" i="6" s="1"/>
  <c r="X587" i="5"/>
  <c r="Z587" i="6" s="1"/>
  <c r="AB587" i="5"/>
  <c r="AD587" i="6" s="1"/>
  <c r="AF587" i="5"/>
  <c r="AH587" i="6" s="1"/>
  <c r="F588" i="5"/>
  <c r="H588" i="6" s="1"/>
  <c r="J588" i="5"/>
  <c r="L588" i="6" s="1"/>
  <c r="N588" i="5"/>
  <c r="P588" i="6" s="1"/>
  <c r="R588" i="5"/>
  <c r="T588" i="6" s="1"/>
  <c r="V588" i="5"/>
  <c r="X588" i="6" s="1"/>
  <c r="Z588" i="5"/>
  <c r="AB588" i="6" s="1"/>
  <c r="AD588" i="5"/>
  <c r="AF588" i="6" s="1"/>
  <c r="D589" i="5"/>
  <c r="F589" i="6" s="1"/>
  <c r="H589" i="5"/>
  <c r="J589" i="6" s="1"/>
  <c r="L589" i="5"/>
  <c r="N589" i="6" s="1"/>
  <c r="P589" i="5"/>
  <c r="R589" i="6" s="1"/>
  <c r="T589" i="5"/>
  <c r="V589" i="6" s="1"/>
  <c r="X589" i="5"/>
  <c r="Z589" i="6" s="1"/>
  <c r="AB589" i="5"/>
  <c r="AD589" i="6" s="1"/>
  <c r="AF589" i="5"/>
  <c r="AH589" i="6" s="1"/>
  <c r="J591" i="5"/>
  <c r="L591" i="6" s="1"/>
  <c r="T591" i="5"/>
  <c r="V591" i="6" s="1"/>
  <c r="AD591" i="5"/>
  <c r="AF591" i="6" s="1"/>
  <c r="J592" i="5"/>
  <c r="L592" i="6" s="1"/>
  <c r="T592" i="5"/>
  <c r="V592" i="6" s="1"/>
  <c r="AD592" i="5"/>
  <c r="AF592" i="6" s="1"/>
  <c r="J593" i="5"/>
  <c r="L593" i="6" s="1"/>
  <c r="T593" i="5"/>
  <c r="V593" i="6" s="1"/>
  <c r="AD593" i="5"/>
  <c r="AF593" i="6" s="1"/>
  <c r="K594" i="5"/>
  <c r="M594" i="6" s="1"/>
  <c r="U594" i="5"/>
  <c r="W594" i="6" s="1"/>
  <c r="AE594" i="5"/>
  <c r="AG594" i="6" s="1"/>
  <c r="U595" i="5"/>
  <c r="W595" i="6" s="1"/>
  <c r="F597" i="5"/>
  <c r="H597" i="6" s="1"/>
  <c r="J597" i="5"/>
  <c r="L597" i="6" s="1"/>
  <c r="N597" i="5"/>
  <c r="P597" i="6" s="1"/>
  <c r="R597" i="5"/>
  <c r="T597" i="6" s="1"/>
  <c r="V597" i="5"/>
  <c r="X597" i="6" s="1"/>
  <c r="Z597" i="5"/>
  <c r="AB597" i="6" s="1"/>
  <c r="AD597" i="5"/>
  <c r="AF597" i="6" s="1"/>
  <c r="D598" i="5"/>
  <c r="F598" i="6" s="1"/>
  <c r="H598" i="5"/>
  <c r="J598" i="6" s="1"/>
  <c r="L598" i="5"/>
  <c r="N598" i="6" s="1"/>
  <c r="P598" i="5"/>
  <c r="R598" i="6" s="1"/>
  <c r="T598" i="5"/>
  <c r="V598" i="6" s="1"/>
  <c r="X598" i="5"/>
  <c r="Z598" i="6" s="1"/>
  <c r="AB598" i="5"/>
  <c r="AD598" i="6" s="1"/>
  <c r="AF598" i="5"/>
  <c r="AH598" i="6" s="1"/>
  <c r="F599" i="5"/>
  <c r="H599" i="6" s="1"/>
  <c r="J599" i="5"/>
  <c r="L599" i="6" s="1"/>
  <c r="N599" i="5"/>
  <c r="P599" i="6" s="1"/>
  <c r="R599" i="5"/>
  <c r="T599" i="6" s="1"/>
  <c r="V599" i="5"/>
  <c r="X599" i="6" s="1"/>
  <c r="Z599" i="5"/>
  <c r="AB599" i="6" s="1"/>
  <c r="AD599" i="5"/>
  <c r="AF599" i="6" s="1"/>
  <c r="D600" i="5"/>
  <c r="F600" i="6" s="1"/>
  <c r="H600" i="5"/>
  <c r="J600" i="6" s="1"/>
  <c r="L600" i="5"/>
  <c r="N600" i="6" s="1"/>
  <c r="P600" i="5"/>
  <c r="R600" i="6" s="1"/>
  <c r="T600" i="5"/>
  <c r="V600" i="6" s="1"/>
  <c r="X600" i="5"/>
  <c r="Z600" i="6" s="1"/>
  <c r="AB600" i="5"/>
  <c r="AD600" i="6" s="1"/>
  <c r="AF600" i="5"/>
  <c r="AH600" i="6" s="1"/>
  <c r="F601" i="5"/>
  <c r="H601" i="6" s="1"/>
  <c r="J601" i="5"/>
  <c r="L601" i="6" s="1"/>
  <c r="N601" i="5"/>
  <c r="P601" i="6" s="1"/>
  <c r="R601" i="5"/>
  <c r="T601" i="6" s="1"/>
  <c r="V601" i="5"/>
  <c r="X601" i="6" s="1"/>
  <c r="Z601" i="5"/>
  <c r="AB601" i="6" s="1"/>
  <c r="AD601" i="5"/>
  <c r="AF601" i="6" s="1"/>
  <c r="D602" i="5"/>
  <c r="F602" i="6" s="1"/>
  <c r="H602" i="5"/>
  <c r="J602" i="6" s="1"/>
  <c r="L602" i="5"/>
  <c r="N602" i="6" s="1"/>
  <c r="P602" i="5"/>
  <c r="R602" i="6" s="1"/>
  <c r="T602" i="5"/>
  <c r="V602" i="6" s="1"/>
  <c r="X602" i="5"/>
  <c r="Z602" i="6" s="1"/>
  <c r="AB602" i="5"/>
  <c r="AD602" i="6" s="1"/>
  <c r="AF602" i="5"/>
  <c r="AH602" i="6" s="1"/>
  <c r="F604" i="5"/>
  <c r="H604" i="6" s="1"/>
  <c r="J604" i="5"/>
  <c r="L604" i="6" s="1"/>
  <c r="N604" i="5"/>
  <c r="P604" i="6" s="1"/>
  <c r="R604" i="5"/>
  <c r="T604" i="6" s="1"/>
  <c r="V604" i="5"/>
  <c r="X604" i="6" s="1"/>
  <c r="Z604" i="5"/>
  <c r="AB604" i="6" s="1"/>
  <c r="AD604" i="5"/>
  <c r="AF604" i="6" s="1"/>
  <c r="D605" i="5"/>
  <c r="F605" i="6" s="1"/>
  <c r="H605" i="5"/>
  <c r="J605" i="6" s="1"/>
  <c r="L605" i="5"/>
  <c r="N605" i="6" s="1"/>
  <c r="P605" i="5"/>
  <c r="R605" i="6" s="1"/>
  <c r="T605" i="5"/>
  <c r="V605" i="6" s="1"/>
  <c r="X605" i="5"/>
  <c r="Z605" i="6" s="1"/>
  <c r="AB605" i="5"/>
  <c r="AD605" i="6" s="1"/>
  <c r="AF605" i="5"/>
  <c r="AH605" i="6" s="1"/>
  <c r="F606" i="5"/>
  <c r="H606" i="6" s="1"/>
  <c r="J606" i="5"/>
  <c r="L606" i="6" s="1"/>
  <c r="N606" i="5"/>
  <c r="P606" i="6" s="1"/>
  <c r="R606" i="5"/>
  <c r="T606" i="6" s="1"/>
  <c r="V606" i="5"/>
  <c r="X606" i="6" s="1"/>
  <c r="Z606" i="5"/>
  <c r="AB606" i="6" s="1"/>
  <c r="AD606" i="5"/>
  <c r="AF606" i="6" s="1"/>
  <c r="D607" i="5"/>
  <c r="F607" i="6" s="1"/>
  <c r="H607" i="5"/>
  <c r="J607" i="6" s="1"/>
  <c r="L607" i="5"/>
  <c r="N607" i="6" s="1"/>
  <c r="P607" i="5"/>
  <c r="R607" i="6" s="1"/>
  <c r="T607" i="5"/>
  <c r="V607" i="6" s="1"/>
  <c r="X607" i="5"/>
  <c r="Z607" i="6" s="1"/>
  <c r="AB607" i="5"/>
  <c r="AD607" i="6" s="1"/>
  <c r="AF607" i="5"/>
  <c r="AH607" i="6" s="1"/>
  <c r="F608" i="5"/>
  <c r="H608" i="6" s="1"/>
  <c r="J608" i="5"/>
  <c r="L608" i="6" s="1"/>
  <c r="N608" i="5"/>
  <c r="P608" i="6" s="1"/>
  <c r="R608" i="5"/>
  <c r="T608" i="6" s="1"/>
  <c r="V608" i="5"/>
  <c r="X608" i="6" s="1"/>
  <c r="Z608" i="5"/>
  <c r="AB608" i="6" s="1"/>
  <c r="AD608" i="5"/>
  <c r="AF608" i="6" s="1"/>
  <c r="D609" i="5"/>
  <c r="F609" i="6" s="1"/>
  <c r="H609" i="5"/>
  <c r="J609" i="6" s="1"/>
  <c r="L609" i="5"/>
  <c r="N609" i="6" s="1"/>
  <c r="P609" i="5"/>
  <c r="R609" i="6" s="1"/>
  <c r="T609" i="5"/>
  <c r="V609" i="6" s="1"/>
  <c r="X609" i="5"/>
  <c r="Z609" i="6" s="1"/>
  <c r="AB609" i="5"/>
  <c r="AD609" i="6" s="1"/>
  <c r="AF609" i="5"/>
  <c r="AH609" i="6" s="1"/>
  <c r="F610" i="5"/>
  <c r="H610" i="6" s="1"/>
  <c r="J610" i="5"/>
  <c r="L610" i="6" s="1"/>
  <c r="N610" i="5"/>
  <c r="P610" i="6" s="1"/>
  <c r="R610" i="5"/>
  <c r="T610" i="6" s="1"/>
  <c r="V610" i="5"/>
  <c r="X610" i="6" s="1"/>
  <c r="Z610" i="5"/>
  <c r="AB610" i="6" s="1"/>
  <c r="AD610" i="5"/>
  <c r="AF610" i="6" s="1"/>
  <c r="D611" i="5"/>
  <c r="F611" i="6" s="1"/>
  <c r="H611" i="5"/>
  <c r="J611" i="6" s="1"/>
  <c r="L611" i="5"/>
  <c r="N611" i="6" s="1"/>
  <c r="P611" i="5"/>
  <c r="R611" i="6" s="1"/>
  <c r="T611" i="5"/>
  <c r="V611" i="6" s="1"/>
  <c r="X611" i="5"/>
  <c r="Z611" i="6" s="1"/>
  <c r="AB611" i="5"/>
  <c r="AD611" i="6" s="1"/>
  <c r="AF611" i="5"/>
  <c r="AH611" i="6" s="1"/>
  <c r="F612" i="5"/>
  <c r="H612" i="6" s="1"/>
  <c r="J612" i="5"/>
  <c r="L612" i="6" s="1"/>
  <c r="N612" i="5"/>
  <c r="P612" i="6" s="1"/>
  <c r="R612" i="5"/>
  <c r="T612" i="6" s="1"/>
  <c r="V612" i="5"/>
  <c r="X612" i="6" s="1"/>
  <c r="Z612" i="5"/>
  <c r="AB612" i="6" s="1"/>
  <c r="AD612" i="5"/>
  <c r="AF612" i="6" s="1"/>
  <c r="D613" i="5"/>
  <c r="F613" i="6" s="1"/>
  <c r="H613" i="5"/>
  <c r="J613" i="6" s="1"/>
  <c r="L613" i="5"/>
  <c r="N613" i="6" s="1"/>
  <c r="P613" i="5"/>
  <c r="R613" i="6" s="1"/>
  <c r="T613" i="5"/>
  <c r="V613" i="6" s="1"/>
  <c r="X613" i="5"/>
  <c r="Z613" i="6" s="1"/>
  <c r="AB613" i="5"/>
  <c r="AD613" i="6" s="1"/>
  <c r="AF613" i="5"/>
  <c r="AH613" i="6" s="1"/>
  <c r="F614" i="5"/>
  <c r="H614" i="6" s="1"/>
  <c r="J614" i="5"/>
  <c r="L614" i="6" s="1"/>
  <c r="N614" i="5"/>
  <c r="P614" i="6" s="1"/>
  <c r="R614" i="5"/>
  <c r="T614" i="6" s="1"/>
  <c r="V614" i="5"/>
  <c r="X614" i="6" s="1"/>
  <c r="Z614" i="5"/>
  <c r="AB614" i="6" s="1"/>
  <c r="AD614" i="5"/>
  <c r="AF614" i="6" s="1"/>
  <c r="D615" i="5"/>
  <c r="F615" i="6" s="1"/>
  <c r="H615" i="5"/>
  <c r="J615" i="6" s="1"/>
  <c r="L615" i="5"/>
  <c r="N615" i="6" s="1"/>
  <c r="P615" i="5"/>
  <c r="R615" i="6" s="1"/>
  <c r="T615" i="5"/>
  <c r="V615" i="6" s="1"/>
  <c r="X615" i="5"/>
  <c r="Z615" i="6" s="1"/>
  <c r="AB615" i="5"/>
  <c r="AD615" i="6" s="1"/>
  <c r="AF615" i="5"/>
  <c r="AH615" i="6" s="1"/>
  <c r="F616" i="5"/>
  <c r="H616" i="6" s="1"/>
  <c r="J616" i="5"/>
  <c r="L616" i="6" s="1"/>
  <c r="N616" i="5"/>
  <c r="P616" i="6" s="1"/>
  <c r="R616" i="5"/>
  <c r="T616" i="6" s="1"/>
  <c r="V616" i="5"/>
  <c r="X616" i="6" s="1"/>
  <c r="Z616" i="5"/>
  <c r="AB616" i="6" s="1"/>
  <c r="AD616" i="5"/>
  <c r="AF616" i="6" s="1"/>
  <c r="D617" i="5"/>
  <c r="F617" i="6" s="1"/>
  <c r="H617" i="5"/>
  <c r="J617" i="6" s="1"/>
  <c r="L617" i="5"/>
  <c r="N617" i="6" s="1"/>
  <c r="P617" i="5"/>
  <c r="R617" i="6" s="1"/>
  <c r="T617" i="5"/>
  <c r="V617" i="6" s="1"/>
  <c r="X617" i="5"/>
  <c r="Z617" i="6" s="1"/>
  <c r="AB617" i="5"/>
  <c r="AD617" i="6" s="1"/>
  <c r="AF617" i="5"/>
  <c r="AH617" i="6" s="1"/>
  <c r="F618" i="5"/>
  <c r="H618" i="6" s="1"/>
  <c r="J618" i="5"/>
  <c r="L618" i="6" s="1"/>
  <c r="N618" i="5"/>
  <c r="P618" i="6" s="1"/>
  <c r="R618" i="5"/>
  <c r="T618" i="6" s="1"/>
  <c r="V618" i="5"/>
  <c r="X618" i="6" s="1"/>
  <c r="Z618" i="5"/>
  <c r="AB618" i="6" s="1"/>
  <c r="AD618" i="5"/>
  <c r="AF618" i="6" s="1"/>
  <c r="D619" i="5"/>
  <c r="F619" i="6" s="1"/>
  <c r="H619" i="5"/>
  <c r="J619" i="6" s="1"/>
  <c r="L619" i="5"/>
  <c r="N619" i="6" s="1"/>
  <c r="P619" i="5"/>
  <c r="R619" i="6" s="1"/>
  <c r="T619" i="5"/>
  <c r="V619" i="6" s="1"/>
  <c r="X619" i="5"/>
  <c r="Z619" i="6" s="1"/>
  <c r="AB619" i="5"/>
  <c r="AD619" i="6" s="1"/>
  <c r="AF619" i="5"/>
  <c r="AH619" i="6" s="1"/>
  <c r="F620" i="5"/>
  <c r="H620" i="6" s="1"/>
  <c r="J620" i="5"/>
  <c r="L620" i="6" s="1"/>
  <c r="N620" i="5"/>
  <c r="P620" i="6" s="1"/>
  <c r="R620" i="5"/>
  <c r="T620" i="6" s="1"/>
  <c r="V620" i="5"/>
  <c r="X620" i="6" s="1"/>
  <c r="Z620" i="5"/>
  <c r="AB620" i="6" s="1"/>
  <c r="AD620" i="5"/>
  <c r="AF620" i="6" s="1"/>
  <c r="D621" i="5"/>
  <c r="F621" i="6" s="1"/>
  <c r="H621" i="5"/>
  <c r="J621" i="6" s="1"/>
  <c r="L621" i="5"/>
  <c r="N621" i="6" s="1"/>
  <c r="P621" i="5"/>
  <c r="R621" i="6" s="1"/>
  <c r="T621" i="5"/>
  <c r="V621" i="6" s="1"/>
  <c r="X621" i="5"/>
  <c r="Z621" i="6" s="1"/>
  <c r="AB621" i="5"/>
  <c r="AD621" i="6" s="1"/>
  <c r="AF621" i="5"/>
  <c r="AH621" i="6" s="1"/>
  <c r="F622" i="5"/>
  <c r="H622" i="6" s="1"/>
  <c r="J622" i="5"/>
  <c r="L622" i="6" s="1"/>
  <c r="N622" i="5"/>
  <c r="P622" i="6" s="1"/>
  <c r="R622" i="5"/>
  <c r="T622" i="6" s="1"/>
  <c r="V622" i="5"/>
  <c r="X622" i="6" s="1"/>
  <c r="Z622" i="5"/>
  <c r="AB622" i="6" s="1"/>
  <c r="AD622" i="5"/>
  <c r="AF622" i="6" s="1"/>
  <c r="D623" i="5"/>
  <c r="F623" i="6" s="1"/>
  <c r="H623" i="5"/>
  <c r="J623" i="6" s="1"/>
  <c r="L623" i="5"/>
  <c r="N623" i="6" s="1"/>
  <c r="P623" i="5"/>
  <c r="R623" i="6" s="1"/>
  <c r="T623" i="5"/>
  <c r="V623" i="6" s="1"/>
  <c r="X623" i="5"/>
  <c r="Z623" i="6" s="1"/>
  <c r="AB623" i="5"/>
  <c r="AD623" i="6" s="1"/>
  <c r="AF623" i="5"/>
  <c r="AH623" i="6" s="1"/>
  <c r="F624" i="5"/>
  <c r="H624" i="6" s="1"/>
  <c r="J624" i="5"/>
  <c r="L624" i="6" s="1"/>
  <c r="N624" i="5"/>
  <c r="P624" i="6" s="1"/>
  <c r="R624" i="5"/>
  <c r="T624" i="6" s="1"/>
  <c r="V624" i="5"/>
  <c r="X624" i="6" s="1"/>
  <c r="Z624" i="5"/>
  <c r="AB624" i="6" s="1"/>
  <c r="AD624" i="5"/>
  <c r="AF624" i="6" s="1"/>
  <c r="D625" i="5"/>
  <c r="F625" i="6" s="1"/>
  <c r="H625" i="5"/>
  <c r="J625" i="6" s="1"/>
  <c r="L625" i="5"/>
  <c r="N625" i="6" s="1"/>
  <c r="P625" i="5"/>
  <c r="R625" i="6" s="1"/>
  <c r="T625" i="5"/>
  <c r="V625" i="6" s="1"/>
  <c r="X625" i="5"/>
  <c r="Z625" i="6" s="1"/>
  <c r="AB625" i="5"/>
  <c r="AD625" i="6" s="1"/>
  <c r="AF625" i="5"/>
  <c r="AH625" i="6" s="1"/>
  <c r="F626" i="5"/>
  <c r="H626" i="6" s="1"/>
  <c r="J626" i="5"/>
  <c r="L626" i="6" s="1"/>
  <c r="N626" i="5"/>
  <c r="P626" i="6" s="1"/>
  <c r="R626" i="5"/>
  <c r="T626" i="6" s="1"/>
  <c r="V626" i="5"/>
  <c r="X626" i="6" s="1"/>
  <c r="Z626" i="5"/>
  <c r="AB626" i="6" s="1"/>
  <c r="AD626" i="5"/>
  <c r="AF626" i="6" s="1"/>
  <c r="D627" i="5"/>
  <c r="F627" i="6" s="1"/>
  <c r="H627" i="5"/>
  <c r="J627" i="6" s="1"/>
  <c r="L627" i="5"/>
  <c r="N627" i="6" s="1"/>
  <c r="P627" i="5"/>
  <c r="R627" i="6" s="1"/>
  <c r="T627" i="5"/>
  <c r="V627" i="6" s="1"/>
  <c r="X627" i="5"/>
  <c r="Z627" i="6" s="1"/>
  <c r="AB627" i="5"/>
  <c r="AD627" i="6" s="1"/>
  <c r="AF627" i="5"/>
  <c r="AH627" i="6" s="1"/>
  <c r="F628" i="5"/>
  <c r="H628" i="6" s="1"/>
  <c r="J628" i="5"/>
  <c r="L628" i="6" s="1"/>
  <c r="N628" i="5"/>
  <c r="P628" i="6" s="1"/>
  <c r="R628" i="5"/>
  <c r="T628" i="6" s="1"/>
  <c r="V628" i="5"/>
  <c r="X628" i="6" s="1"/>
  <c r="Z628" i="5"/>
  <c r="AB628" i="6" s="1"/>
  <c r="AD628" i="5"/>
  <c r="AF628" i="6" s="1"/>
  <c r="D629" i="5"/>
  <c r="F629" i="6" s="1"/>
  <c r="H629" i="5"/>
  <c r="J629" i="6" s="1"/>
  <c r="L629" i="5"/>
  <c r="N629" i="6" s="1"/>
  <c r="P629" i="5"/>
  <c r="R629" i="6" s="1"/>
  <c r="T629" i="5"/>
  <c r="V629" i="6" s="1"/>
  <c r="X629" i="5"/>
  <c r="Z629" i="6" s="1"/>
  <c r="AB629" i="5"/>
  <c r="AD629" i="6" s="1"/>
  <c r="AF629" i="5"/>
  <c r="AH629" i="6" s="1"/>
  <c r="F630" i="5"/>
  <c r="H630" i="6" s="1"/>
  <c r="J630" i="5"/>
  <c r="L630" i="6" s="1"/>
  <c r="N630" i="5"/>
  <c r="P630" i="6" s="1"/>
  <c r="R630" i="5"/>
  <c r="T630" i="6" s="1"/>
  <c r="V630" i="5"/>
  <c r="X630" i="6" s="1"/>
  <c r="Z630" i="5"/>
  <c r="AB630" i="6" s="1"/>
  <c r="AD630" i="5"/>
  <c r="AF630" i="6" s="1"/>
  <c r="D631" i="5"/>
  <c r="F631" i="6" s="1"/>
  <c r="H631" i="5"/>
  <c r="J631" i="6" s="1"/>
  <c r="L631" i="5"/>
  <c r="N631" i="6" s="1"/>
  <c r="P631" i="5"/>
  <c r="R631" i="6" s="1"/>
  <c r="T631" i="5"/>
  <c r="V631" i="6" s="1"/>
  <c r="X631" i="5"/>
  <c r="Z631" i="6" s="1"/>
  <c r="AB631" i="5"/>
  <c r="AD631" i="6" s="1"/>
  <c r="AF631" i="5"/>
  <c r="AH631" i="6" s="1"/>
  <c r="F632" i="5"/>
  <c r="H632" i="6" s="1"/>
  <c r="J632" i="5"/>
  <c r="L632" i="6" s="1"/>
  <c r="N632" i="5"/>
  <c r="P632" i="6" s="1"/>
  <c r="R632" i="5"/>
  <c r="T632" i="6" s="1"/>
  <c r="V632" i="5"/>
  <c r="X632" i="6" s="1"/>
  <c r="Z632" i="5"/>
  <c r="AB632" i="6" s="1"/>
  <c r="AD632" i="5"/>
  <c r="AF632" i="6" s="1"/>
  <c r="D633" i="5"/>
  <c r="F633" i="6" s="1"/>
  <c r="H633" i="5"/>
  <c r="J633" i="6" s="1"/>
  <c r="L633" i="5"/>
  <c r="N633" i="6" s="1"/>
  <c r="P633" i="5"/>
  <c r="R633" i="6" s="1"/>
  <c r="T633" i="5"/>
  <c r="V633" i="6" s="1"/>
  <c r="X633" i="5"/>
  <c r="Z633" i="6" s="1"/>
  <c r="AB633" i="5"/>
  <c r="AD633" i="6" s="1"/>
  <c r="AF633" i="5"/>
  <c r="AH633" i="6" s="1"/>
  <c r="F634" i="5"/>
  <c r="H634" i="6" s="1"/>
  <c r="J634" i="5"/>
  <c r="L634" i="6" s="1"/>
  <c r="N634" i="5"/>
  <c r="P634" i="6" s="1"/>
  <c r="R634" i="5"/>
  <c r="T634" i="6" s="1"/>
  <c r="V634" i="5"/>
  <c r="X634" i="6" s="1"/>
  <c r="Z634" i="5"/>
  <c r="AB634" i="6" s="1"/>
  <c r="AD634" i="5"/>
  <c r="AF634" i="6" s="1"/>
  <c r="D635" i="5"/>
  <c r="F635" i="6" s="1"/>
  <c r="H635" i="5"/>
  <c r="J635" i="6" s="1"/>
  <c r="L635" i="5"/>
  <c r="N635" i="6" s="1"/>
  <c r="P635" i="5"/>
  <c r="R635" i="6" s="1"/>
  <c r="T635" i="5"/>
  <c r="V635" i="6" s="1"/>
  <c r="X635" i="5"/>
  <c r="Z635" i="6" s="1"/>
  <c r="AB635" i="5"/>
  <c r="AD635" i="6" s="1"/>
  <c r="AF635" i="5"/>
  <c r="AH635" i="6" s="1"/>
  <c r="F636" i="5"/>
  <c r="H636" i="6" s="1"/>
  <c r="J636" i="5"/>
  <c r="L636" i="6" s="1"/>
  <c r="N636" i="5"/>
  <c r="P636" i="6" s="1"/>
  <c r="R636" i="5"/>
  <c r="T636" i="6" s="1"/>
  <c r="V636" i="5"/>
  <c r="X636" i="6" s="1"/>
  <c r="Z636" i="5"/>
  <c r="AB636" i="6" s="1"/>
  <c r="AD636" i="5"/>
  <c r="AF636" i="6" s="1"/>
  <c r="D637" i="5"/>
  <c r="F637" i="6" s="1"/>
  <c r="H637" i="5"/>
  <c r="J637" i="6" s="1"/>
  <c r="L637" i="5"/>
  <c r="N637" i="6" s="1"/>
  <c r="P637" i="5"/>
  <c r="R637" i="6" s="1"/>
  <c r="T637" i="5"/>
  <c r="V637" i="6" s="1"/>
  <c r="X637" i="5"/>
  <c r="Z637" i="6" s="1"/>
  <c r="AB637" i="5"/>
  <c r="AD637" i="6" s="1"/>
  <c r="AF637" i="5"/>
  <c r="AH637" i="6" s="1"/>
  <c r="F638" i="5"/>
  <c r="H638" i="6" s="1"/>
  <c r="J638" i="5"/>
  <c r="L638" i="6" s="1"/>
  <c r="N638" i="5"/>
  <c r="P638" i="6" s="1"/>
  <c r="R638" i="5"/>
  <c r="T638" i="6" s="1"/>
  <c r="V638" i="5"/>
  <c r="X638" i="6" s="1"/>
  <c r="Z638" i="5"/>
  <c r="AB638" i="6" s="1"/>
  <c r="AD638" i="5"/>
  <c r="AF638" i="6" s="1"/>
  <c r="D639" i="5"/>
  <c r="F639" i="6" s="1"/>
  <c r="H639" i="5"/>
  <c r="J639" i="6" s="1"/>
  <c r="L639" i="5"/>
  <c r="N639" i="6" s="1"/>
  <c r="P639" i="5"/>
  <c r="R639" i="6" s="1"/>
  <c r="T639" i="5"/>
  <c r="V639" i="6" s="1"/>
  <c r="X639" i="5"/>
  <c r="Z639" i="6" s="1"/>
  <c r="AB639" i="5"/>
  <c r="AD639" i="6" s="1"/>
  <c r="AF639" i="5"/>
  <c r="AH639" i="6" s="1"/>
  <c r="F640" i="5"/>
  <c r="H640" i="6" s="1"/>
  <c r="J640" i="5"/>
  <c r="L640" i="6" s="1"/>
  <c r="N640" i="5"/>
  <c r="P640" i="6" s="1"/>
  <c r="R640" i="5"/>
  <c r="T640" i="6" s="1"/>
  <c r="V640" i="5"/>
  <c r="X640" i="6" s="1"/>
  <c r="Z640" i="5"/>
  <c r="AB640" i="6" s="1"/>
  <c r="AD640" i="5"/>
  <c r="AF640" i="6" s="1"/>
  <c r="D641" i="5"/>
  <c r="F641" i="6" s="1"/>
  <c r="H641" i="5"/>
  <c r="J641" i="6" s="1"/>
  <c r="L641" i="5"/>
  <c r="N641" i="6" s="1"/>
  <c r="P641" i="5"/>
  <c r="R641" i="6" s="1"/>
  <c r="T641" i="5"/>
  <c r="V641" i="6" s="1"/>
  <c r="X641" i="5"/>
  <c r="Z641" i="6" s="1"/>
  <c r="AB641" i="5"/>
  <c r="AD641" i="6" s="1"/>
  <c r="AF641" i="5"/>
  <c r="AH641" i="6" s="1"/>
  <c r="F642" i="5"/>
  <c r="H642" i="6" s="1"/>
  <c r="J642" i="5"/>
  <c r="L642" i="6" s="1"/>
  <c r="N642" i="5"/>
  <c r="P642" i="6" s="1"/>
  <c r="R642" i="5"/>
  <c r="T642" i="6" s="1"/>
  <c r="V642" i="5"/>
  <c r="X642" i="6" s="1"/>
  <c r="Z642" i="5"/>
  <c r="AB642" i="6" s="1"/>
  <c r="AD642" i="5"/>
  <c r="AF642" i="6" s="1"/>
  <c r="D643" i="5"/>
  <c r="F643" i="6" s="1"/>
  <c r="H643" i="5"/>
  <c r="J643" i="6" s="1"/>
  <c r="L643" i="5"/>
  <c r="N643" i="6" s="1"/>
  <c r="P643" i="5"/>
  <c r="R643" i="6" s="1"/>
  <c r="T643" i="5"/>
  <c r="V643" i="6" s="1"/>
  <c r="X643" i="5"/>
  <c r="Z643" i="6" s="1"/>
  <c r="AB643" i="5"/>
  <c r="AD643" i="6" s="1"/>
  <c r="AF643" i="5"/>
  <c r="AH643" i="6" s="1"/>
  <c r="F644" i="5"/>
  <c r="H644" i="6" s="1"/>
  <c r="J644" i="5"/>
  <c r="L644" i="6" s="1"/>
  <c r="N644" i="5"/>
  <c r="P644" i="6" s="1"/>
  <c r="R644" i="5"/>
  <c r="T644" i="6" s="1"/>
  <c r="V644" i="5"/>
  <c r="X644" i="6" s="1"/>
  <c r="Z644" i="5"/>
  <c r="AB644" i="6" s="1"/>
  <c r="AD644" i="5"/>
  <c r="AF644" i="6" s="1"/>
  <c r="D645" i="5"/>
  <c r="F645" i="6" s="1"/>
  <c r="H645" i="5"/>
  <c r="J645" i="6" s="1"/>
  <c r="L645" i="5"/>
  <c r="N645" i="6" s="1"/>
  <c r="P645" i="5"/>
  <c r="R645" i="6" s="1"/>
  <c r="T645" i="5"/>
  <c r="V645" i="6" s="1"/>
  <c r="X645" i="5"/>
  <c r="Z645" i="6" s="1"/>
  <c r="AB645" i="5"/>
  <c r="AD645" i="6" s="1"/>
  <c r="AF645" i="5"/>
  <c r="AH645" i="6" s="1"/>
  <c r="F646" i="5"/>
  <c r="H646" i="6" s="1"/>
  <c r="J646" i="5"/>
  <c r="L646" i="6" s="1"/>
  <c r="N646" i="5"/>
  <c r="P646" i="6" s="1"/>
  <c r="R646" i="5"/>
  <c r="T646" i="6" s="1"/>
  <c r="V646" i="5"/>
  <c r="X646" i="6" s="1"/>
  <c r="Z646" i="5"/>
  <c r="AB646" i="6" s="1"/>
  <c r="AD646" i="5"/>
  <c r="AF646" i="6" s="1"/>
  <c r="D647" i="5"/>
  <c r="F647" i="6" s="1"/>
  <c r="H647" i="5"/>
  <c r="J647" i="6" s="1"/>
  <c r="L647" i="5"/>
  <c r="N647" i="6" s="1"/>
  <c r="P647" i="5"/>
  <c r="R647" i="6" s="1"/>
  <c r="T647" i="5"/>
  <c r="V647" i="6" s="1"/>
  <c r="X647" i="5"/>
  <c r="Z647" i="6" s="1"/>
  <c r="AB647" i="5"/>
  <c r="AD647" i="6" s="1"/>
  <c r="AF647" i="5"/>
  <c r="AH647" i="6" s="1"/>
  <c r="F648" i="5"/>
  <c r="H648" i="6" s="1"/>
  <c r="J648" i="5"/>
  <c r="L648" i="6" s="1"/>
  <c r="N648" i="5"/>
  <c r="P648" i="6" s="1"/>
  <c r="R648" i="5"/>
  <c r="T648" i="6" s="1"/>
  <c r="V648" i="5"/>
  <c r="X648" i="6" s="1"/>
  <c r="Z648" i="5"/>
  <c r="AB648" i="6" s="1"/>
  <c r="AD648" i="5"/>
  <c r="AF648" i="6" s="1"/>
  <c r="D649" i="5"/>
  <c r="F649" i="6" s="1"/>
  <c r="H649" i="5"/>
  <c r="J649" i="6" s="1"/>
  <c r="L649" i="5"/>
  <c r="N649" i="6" s="1"/>
  <c r="P649" i="5"/>
  <c r="R649" i="6" s="1"/>
  <c r="T649" i="5"/>
  <c r="V649" i="6" s="1"/>
  <c r="X649" i="5"/>
  <c r="Z649" i="6" s="1"/>
  <c r="AB649" i="5"/>
  <c r="AD649" i="6" s="1"/>
  <c r="AF649" i="5"/>
  <c r="AH649" i="6" s="1"/>
  <c r="F650" i="5"/>
  <c r="H650" i="6" s="1"/>
  <c r="J650" i="5"/>
  <c r="L650" i="6" s="1"/>
  <c r="N650" i="5"/>
  <c r="P650" i="6" s="1"/>
  <c r="R650" i="5"/>
  <c r="T650" i="6" s="1"/>
  <c r="V650" i="5"/>
  <c r="X650" i="6" s="1"/>
  <c r="Z650" i="5"/>
  <c r="AB650" i="6" s="1"/>
  <c r="AD650" i="5"/>
  <c r="AF650" i="6" s="1"/>
  <c r="D651" i="5"/>
  <c r="F651" i="6" s="1"/>
  <c r="H651" i="5"/>
  <c r="J651" i="6" s="1"/>
  <c r="L651" i="5"/>
  <c r="N651" i="6" s="1"/>
  <c r="P651" i="5"/>
  <c r="R651" i="6" s="1"/>
  <c r="T651" i="5"/>
  <c r="V651" i="6" s="1"/>
  <c r="X651" i="5"/>
  <c r="Z651" i="6" s="1"/>
  <c r="AB651" i="5"/>
  <c r="AD651" i="6" s="1"/>
  <c r="AF651" i="5"/>
  <c r="AH651" i="6" s="1"/>
  <c r="F652" i="5"/>
  <c r="H652" i="6" s="1"/>
  <c r="J652" i="5"/>
  <c r="L652" i="6" s="1"/>
  <c r="N652" i="5"/>
  <c r="P652" i="6" s="1"/>
  <c r="R652" i="5"/>
  <c r="T652" i="6" s="1"/>
  <c r="V652" i="5"/>
  <c r="X652" i="6" s="1"/>
  <c r="Z652" i="5"/>
  <c r="AB652" i="6" s="1"/>
  <c r="AD652" i="5"/>
  <c r="AF652" i="6" s="1"/>
  <c r="D653" i="5"/>
  <c r="F653" i="6" s="1"/>
  <c r="H653" i="5"/>
  <c r="J653" i="6" s="1"/>
  <c r="L653" i="5"/>
  <c r="N653" i="6" s="1"/>
  <c r="P653" i="5"/>
  <c r="R653" i="6" s="1"/>
  <c r="T653" i="5"/>
  <c r="V653" i="6" s="1"/>
  <c r="X653" i="5"/>
  <c r="Z653" i="6" s="1"/>
  <c r="AB653" i="5"/>
  <c r="AD653" i="6" s="1"/>
  <c r="AF653" i="5"/>
  <c r="AH653" i="6" s="1"/>
  <c r="F654" i="5"/>
  <c r="H654" i="6" s="1"/>
  <c r="J654" i="5"/>
  <c r="L654" i="6" s="1"/>
  <c r="N654" i="5"/>
  <c r="P654" i="6" s="1"/>
  <c r="R654" i="5"/>
  <c r="T654" i="6" s="1"/>
  <c r="V654" i="5"/>
  <c r="X654" i="6" s="1"/>
  <c r="Z654" i="5"/>
  <c r="AB654" i="6" s="1"/>
  <c r="AD654" i="5"/>
  <c r="AF654" i="6" s="1"/>
  <c r="D655" i="5"/>
  <c r="F655" i="6" s="1"/>
  <c r="H655" i="5"/>
  <c r="J655" i="6" s="1"/>
  <c r="L655" i="5"/>
  <c r="N655" i="6" s="1"/>
  <c r="P655" i="5"/>
  <c r="R655" i="6" s="1"/>
  <c r="T655" i="5"/>
  <c r="V655" i="6" s="1"/>
  <c r="X655" i="5"/>
  <c r="Z655" i="6" s="1"/>
  <c r="AB655" i="5"/>
  <c r="AD655" i="6" s="1"/>
  <c r="AF655" i="5"/>
  <c r="AH655" i="6" s="1"/>
  <c r="F656" i="5"/>
  <c r="H656" i="6" s="1"/>
  <c r="J656" i="5"/>
  <c r="L656" i="6" s="1"/>
  <c r="N656" i="5"/>
  <c r="P656" i="6" s="1"/>
  <c r="R656" i="5"/>
  <c r="T656" i="6" s="1"/>
  <c r="V656" i="5"/>
  <c r="X656" i="6" s="1"/>
  <c r="Z656" i="5"/>
  <c r="AB656" i="6" s="1"/>
  <c r="AD656" i="5"/>
  <c r="AF656" i="6" s="1"/>
  <c r="D657" i="5"/>
  <c r="F657" i="6" s="1"/>
  <c r="H657" i="5"/>
  <c r="J657" i="6" s="1"/>
  <c r="L657" i="5"/>
  <c r="N657" i="6" s="1"/>
  <c r="P657" i="5"/>
  <c r="R657" i="6" s="1"/>
  <c r="T657" i="5"/>
  <c r="V657" i="6" s="1"/>
  <c r="X657" i="5"/>
  <c r="Z657" i="6" s="1"/>
  <c r="AB657" i="5"/>
  <c r="AD657" i="6" s="1"/>
  <c r="AF657" i="5"/>
  <c r="AH657" i="6" s="1"/>
  <c r="F658" i="5"/>
  <c r="H658" i="6" s="1"/>
  <c r="J658" i="5"/>
  <c r="L658" i="6" s="1"/>
  <c r="N658" i="5"/>
  <c r="P658" i="6" s="1"/>
  <c r="R658" i="5"/>
  <c r="T658" i="6" s="1"/>
  <c r="V658" i="5"/>
  <c r="X658" i="6" s="1"/>
  <c r="Z658" i="5"/>
  <c r="AB658" i="6" s="1"/>
  <c r="AD658" i="5"/>
  <c r="AF658" i="6" s="1"/>
  <c r="D659" i="5"/>
  <c r="F659" i="6" s="1"/>
  <c r="H659" i="5"/>
  <c r="J659" i="6" s="1"/>
  <c r="L659" i="5"/>
  <c r="N659" i="6" s="1"/>
  <c r="P659" i="5"/>
  <c r="R659" i="6" s="1"/>
  <c r="T659" i="5"/>
  <c r="V659" i="6" s="1"/>
  <c r="X659" i="5"/>
  <c r="Z659" i="6" s="1"/>
  <c r="AB659" i="5"/>
  <c r="AD659" i="6" s="1"/>
  <c r="AF659" i="5"/>
  <c r="AH659" i="6" s="1"/>
  <c r="F660" i="5"/>
  <c r="H660" i="6" s="1"/>
  <c r="J660" i="5"/>
  <c r="L660" i="6" s="1"/>
  <c r="N660" i="5"/>
  <c r="P660" i="6" s="1"/>
  <c r="R660" i="5"/>
  <c r="T660" i="6" s="1"/>
  <c r="V660" i="5"/>
  <c r="X660" i="6" s="1"/>
  <c r="Z660" i="5"/>
  <c r="AB660" i="6" s="1"/>
  <c r="AD660" i="5"/>
  <c r="AF660" i="6" s="1"/>
  <c r="D661" i="5"/>
  <c r="F661" i="6" s="1"/>
  <c r="H661" i="5"/>
  <c r="J661" i="6" s="1"/>
  <c r="L661" i="5"/>
  <c r="N661" i="6" s="1"/>
  <c r="P661" i="5"/>
  <c r="R661" i="6" s="1"/>
  <c r="T661" i="5"/>
  <c r="V661" i="6" s="1"/>
  <c r="X661" i="5"/>
  <c r="Z661" i="6" s="1"/>
  <c r="AB661" i="5"/>
  <c r="AD661" i="6" s="1"/>
  <c r="AF661" i="5"/>
  <c r="AH661" i="6" s="1"/>
  <c r="F662" i="5"/>
  <c r="H662" i="6" s="1"/>
  <c r="J662" i="5"/>
  <c r="L662" i="6" s="1"/>
  <c r="N662" i="5"/>
  <c r="P662" i="6" s="1"/>
  <c r="R662" i="5"/>
  <c r="T662" i="6" s="1"/>
  <c r="V662" i="5"/>
  <c r="X662" i="6" s="1"/>
  <c r="Z662" i="5"/>
  <c r="AB662" i="6" s="1"/>
  <c r="AD662" i="5"/>
  <c r="AF662" i="6" s="1"/>
  <c r="D663" i="5"/>
  <c r="F663" i="6" s="1"/>
  <c r="H663" i="5"/>
  <c r="J663" i="6" s="1"/>
  <c r="L663" i="5"/>
  <c r="N663" i="6" s="1"/>
  <c r="P663" i="5"/>
  <c r="R663" i="6" s="1"/>
  <c r="T663" i="5"/>
  <c r="V663" i="6" s="1"/>
  <c r="X663" i="5"/>
  <c r="Z663" i="6" s="1"/>
  <c r="AB663" i="5"/>
  <c r="AD663" i="6" s="1"/>
  <c r="AF663" i="5"/>
  <c r="AH663" i="6" s="1"/>
  <c r="F664" i="5"/>
  <c r="H664" i="6" s="1"/>
  <c r="J664" i="5"/>
  <c r="L664" i="6" s="1"/>
  <c r="N664" i="5"/>
  <c r="P664" i="6" s="1"/>
  <c r="R664" i="5"/>
  <c r="T664" i="6" s="1"/>
  <c r="V664" i="5"/>
  <c r="X664" i="6" s="1"/>
  <c r="Z664" i="5"/>
  <c r="AB664" i="6" s="1"/>
  <c r="AD664" i="5"/>
  <c r="AF664" i="6" s="1"/>
  <c r="D665" i="5"/>
  <c r="F665" i="6" s="1"/>
  <c r="H665" i="5"/>
  <c r="J665" i="6" s="1"/>
  <c r="L665" i="5"/>
  <c r="N665" i="6" s="1"/>
  <c r="P665" i="5"/>
  <c r="R665" i="6" s="1"/>
  <c r="T665" i="5"/>
  <c r="V665" i="6" s="1"/>
  <c r="X665" i="5"/>
  <c r="Z665" i="6" s="1"/>
  <c r="AB665" i="5"/>
  <c r="AD665" i="6" s="1"/>
  <c r="AF665" i="5"/>
  <c r="AH665" i="6" s="1"/>
  <c r="F666" i="5"/>
  <c r="H666" i="6" s="1"/>
  <c r="J666" i="5"/>
  <c r="L666" i="6" s="1"/>
  <c r="N666" i="5"/>
  <c r="P666" i="6" s="1"/>
  <c r="R666" i="5"/>
  <c r="T666" i="6" s="1"/>
  <c r="V666" i="5"/>
  <c r="X666" i="6" s="1"/>
  <c r="Z666" i="5"/>
  <c r="AB666" i="6" s="1"/>
  <c r="AD666" i="5"/>
  <c r="AF666" i="6" s="1"/>
  <c r="D667" i="5"/>
  <c r="F667" i="6" s="1"/>
  <c r="H667" i="5"/>
  <c r="J667" i="6" s="1"/>
  <c r="L667" i="5"/>
  <c r="N667" i="6" s="1"/>
  <c r="P667" i="5"/>
  <c r="R667" i="6" s="1"/>
  <c r="T667" i="5"/>
  <c r="V667" i="6" s="1"/>
  <c r="X667" i="5"/>
  <c r="Z667" i="6" s="1"/>
  <c r="AB667" i="5"/>
  <c r="AD667" i="6" s="1"/>
  <c r="AF667" i="5"/>
  <c r="AH667" i="6" s="1"/>
  <c r="F668" i="5"/>
  <c r="H668" i="6" s="1"/>
  <c r="J668" i="5"/>
  <c r="L668" i="6" s="1"/>
  <c r="N668" i="5"/>
  <c r="P668" i="6" s="1"/>
  <c r="R668" i="5"/>
  <c r="T668" i="6" s="1"/>
  <c r="V668" i="5"/>
  <c r="X668" i="6" s="1"/>
  <c r="Z668" i="5"/>
  <c r="AB668" i="6" s="1"/>
  <c r="AD668" i="5"/>
  <c r="AF668" i="6" s="1"/>
  <c r="D669" i="5"/>
  <c r="F669" i="6" s="1"/>
  <c r="H669" i="5"/>
  <c r="J669" i="6" s="1"/>
  <c r="L669" i="5"/>
  <c r="N669" i="6" s="1"/>
  <c r="P669" i="5"/>
  <c r="R669" i="6" s="1"/>
  <c r="T669" i="5"/>
  <c r="V669" i="6" s="1"/>
  <c r="X669" i="5"/>
  <c r="Z669" i="6" s="1"/>
  <c r="AB669" i="5"/>
  <c r="AD669" i="6" s="1"/>
  <c r="AF669" i="5"/>
  <c r="AH669" i="6" s="1"/>
  <c r="F670" i="5"/>
  <c r="H670" i="6" s="1"/>
  <c r="J670" i="5"/>
  <c r="L670" i="6" s="1"/>
  <c r="N670" i="5"/>
  <c r="P670" i="6" s="1"/>
  <c r="R670" i="5"/>
  <c r="T670" i="6" s="1"/>
  <c r="V670" i="5"/>
  <c r="X670" i="6" s="1"/>
  <c r="Z670" i="5"/>
  <c r="AB670" i="6" s="1"/>
  <c r="AD670" i="5"/>
  <c r="AF670" i="6" s="1"/>
  <c r="D671" i="5"/>
  <c r="F671" i="6" s="1"/>
  <c r="H671" i="5"/>
  <c r="J671" i="6" s="1"/>
  <c r="L671" i="5"/>
  <c r="N671" i="6" s="1"/>
  <c r="P671" i="5"/>
  <c r="R671" i="6" s="1"/>
  <c r="T671" i="5"/>
  <c r="V671" i="6" s="1"/>
  <c r="X671" i="5"/>
  <c r="Z671" i="6" s="1"/>
  <c r="AB671" i="5"/>
  <c r="AD671" i="6" s="1"/>
  <c r="AF671" i="5"/>
  <c r="AH671" i="6" s="1"/>
  <c r="F672" i="5"/>
  <c r="H672" i="6" s="1"/>
  <c r="J672" i="5"/>
  <c r="L672" i="6" s="1"/>
  <c r="N672" i="5"/>
  <c r="P672" i="6" s="1"/>
  <c r="R672" i="5"/>
  <c r="T672" i="6" s="1"/>
  <c r="V672" i="5"/>
  <c r="X672" i="6" s="1"/>
  <c r="Z672" i="5"/>
  <c r="AB672" i="6" s="1"/>
  <c r="AD672" i="5"/>
  <c r="AF672" i="6" s="1"/>
  <c r="D673" i="5"/>
  <c r="F673" i="6" s="1"/>
  <c r="H673" i="5"/>
  <c r="J673" i="6" s="1"/>
  <c r="L673" i="5"/>
  <c r="N673" i="6" s="1"/>
  <c r="P673" i="5"/>
  <c r="R673" i="6" s="1"/>
  <c r="T673" i="5"/>
  <c r="V673" i="6" s="1"/>
  <c r="X673" i="5"/>
  <c r="Z673" i="6" s="1"/>
  <c r="AB673" i="5"/>
  <c r="AD673" i="6" s="1"/>
  <c r="AF673" i="5"/>
  <c r="AH673" i="6" s="1"/>
  <c r="F674" i="5"/>
  <c r="H674" i="6" s="1"/>
  <c r="J674" i="5"/>
  <c r="L674" i="6" s="1"/>
  <c r="N674" i="5"/>
  <c r="P674" i="6" s="1"/>
  <c r="R674" i="5"/>
  <c r="T674" i="6" s="1"/>
  <c r="V674" i="5"/>
  <c r="X674" i="6" s="1"/>
  <c r="Z674" i="5"/>
  <c r="AB674" i="6" s="1"/>
  <c r="AD674" i="5"/>
  <c r="AF674" i="6" s="1"/>
  <c r="D675" i="5"/>
  <c r="F675" i="6" s="1"/>
  <c r="H675" i="5"/>
  <c r="J675" i="6" s="1"/>
  <c r="L675" i="5"/>
  <c r="N675" i="6" s="1"/>
  <c r="P675" i="5"/>
  <c r="R675" i="6" s="1"/>
  <c r="T675" i="5"/>
  <c r="V675" i="6" s="1"/>
  <c r="X675" i="5"/>
  <c r="Z675" i="6" s="1"/>
  <c r="AB675" i="5"/>
  <c r="AD675" i="6" s="1"/>
  <c r="AF675" i="5"/>
  <c r="AH675" i="6" s="1"/>
  <c r="F676" i="5"/>
  <c r="H676" i="6" s="1"/>
  <c r="J676" i="5"/>
  <c r="L676" i="6" s="1"/>
  <c r="N676" i="5"/>
  <c r="P676" i="6" s="1"/>
  <c r="R676" i="5"/>
  <c r="T676" i="6" s="1"/>
  <c r="V676" i="5"/>
  <c r="X676" i="6" s="1"/>
  <c r="Z676" i="5"/>
  <c r="AB676" i="6" s="1"/>
  <c r="AD676" i="5"/>
  <c r="AF676" i="6" s="1"/>
  <c r="D677" i="5"/>
  <c r="F677" i="6" s="1"/>
  <c r="H677" i="5"/>
  <c r="J677" i="6" s="1"/>
  <c r="L677" i="5"/>
  <c r="N677" i="6" s="1"/>
  <c r="P677" i="5"/>
  <c r="R677" i="6" s="1"/>
  <c r="T677" i="5"/>
  <c r="V677" i="6" s="1"/>
  <c r="X677" i="5"/>
  <c r="Z677" i="6" s="1"/>
  <c r="AB677" i="5"/>
  <c r="AD677" i="6" s="1"/>
  <c r="AF677" i="5"/>
  <c r="AH677" i="6" s="1"/>
  <c r="F678" i="5"/>
  <c r="H678" i="6" s="1"/>
  <c r="J678" i="5"/>
  <c r="L678" i="6" s="1"/>
  <c r="N678" i="5"/>
  <c r="P678" i="6" s="1"/>
  <c r="R678" i="5"/>
  <c r="T678" i="6" s="1"/>
  <c r="V678" i="5"/>
  <c r="X678" i="6" s="1"/>
  <c r="Z678" i="5"/>
  <c r="AB678" i="6" s="1"/>
  <c r="AD678" i="5"/>
  <c r="AF678" i="6" s="1"/>
  <c r="D679" i="5"/>
  <c r="F679" i="6" s="1"/>
  <c r="H679" i="5"/>
  <c r="J679" i="6" s="1"/>
  <c r="L679" i="5"/>
  <c r="N679" i="6" s="1"/>
  <c r="P679" i="5"/>
  <c r="R679" i="6" s="1"/>
  <c r="T679" i="5"/>
  <c r="V679" i="6" s="1"/>
  <c r="X679" i="5"/>
  <c r="Z679" i="6" s="1"/>
  <c r="AB679" i="5"/>
  <c r="AD679" i="6" s="1"/>
  <c r="AF679" i="5"/>
  <c r="AH679" i="6" s="1"/>
  <c r="F680" i="5"/>
  <c r="H680" i="6" s="1"/>
  <c r="J680" i="5"/>
  <c r="L680" i="6" s="1"/>
  <c r="N680" i="5"/>
  <c r="P680" i="6" s="1"/>
  <c r="R680" i="5"/>
  <c r="T680" i="6" s="1"/>
  <c r="V680" i="5"/>
  <c r="X680" i="6" s="1"/>
  <c r="Z680" i="5"/>
  <c r="AB680" i="6" s="1"/>
  <c r="AD680" i="5"/>
  <c r="AF680" i="6" s="1"/>
  <c r="D681" i="5"/>
  <c r="F681" i="6" s="1"/>
  <c r="H681" i="5"/>
  <c r="J681" i="6" s="1"/>
  <c r="L681" i="5"/>
  <c r="N681" i="6" s="1"/>
  <c r="P681" i="5"/>
  <c r="R681" i="6" s="1"/>
  <c r="T681" i="5"/>
  <c r="V681" i="6" s="1"/>
  <c r="X681" i="5"/>
  <c r="Z681" i="6" s="1"/>
  <c r="AB681" i="5"/>
  <c r="AD681" i="6" s="1"/>
  <c r="AF681" i="5"/>
  <c r="AH681" i="6" s="1"/>
  <c r="F682" i="5"/>
  <c r="H682" i="6" s="1"/>
  <c r="J682" i="5"/>
  <c r="L682" i="6" s="1"/>
  <c r="N682" i="5"/>
  <c r="P682" i="6" s="1"/>
  <c r="R682" i="5"/>
  <c r="T682" i="6" s="1"/>
  <c r="V682" i="5"/>
  <c r="X682" i="6" s="1"/>
  <c r="Z682" i="5"/>
  <c r="AB682" i="6" s="1"/>
  <c r="AD682" i="5"/>
  <c r="AF682" i="6" s="1"/>
  <c r="D683" i="5"/>
  <c r="F683" i="6" s="1"/>
  <c r="H683" i="5"/>
  <c r="J683" i="6" s="1"/>
  <c r="L683" i="5"/>
  <c r="N683" i="6" s="1"/>
  <c r="P683" i="5"/>
  <c r="R683" i="6" s="1"/>
  <c r="T683" i="5"/>
  <c r="V683" i="6" s="1"/>
  <c r="X683" i="5"/>
  <c r="Z683" i="6" s="1"/>
  <c r="AB683" i="5"/>
  <c r="AD683" i="6" s="1"/>
  <c r="AF683" i="5"/>
  <c r="AH683" i="6" s="1"/>
  <c r="F684" i="5"/>
  <c r="H684" i="6" s="1"/>
  <c r="J684" i="5"/>
  <c r="L684" i="6" s="1"/>
  <c r="N684" i="5"/>
  <c r="P684" i="6" s="1"/>
  <c r="R684" i="5"/>
  <c r="T684" i="6" s="1"/>
  <c r="V684" i="5"/>
  <c r="X684" i="6" s="1"/>
  <c r="Z684" i="5"/>
  <c r="AB684" i="6" s="1"/>
  <c r="AD684" i="5"/>
  <c r="AF684" i="6" s="1"/>
  <c r="D685" i="5"/>
  <c r="F685" i="6" s="1"/>
  <c r="H685" i="5"/>
  <c r="J685" i="6" s="1"/>
  <c r="L685" i="5"/>
  <c r="N685" i="6" s="1"/>
  <c r="P685" i="5"/>
  <c r="R685" i="6" s="1"/>
  <c r="T685" i="5"/>
  <c r="V685" i="6" s="1"/>
  <c r="X685" i="5"/>
  <c r="Z685" i="6" s="1"/>
  <c r="AB685" i="5"/>
  <c r="AD685" i="6" s="1"/>
  <c r="AF685" i="5"/>
  <c r="AH685" i="6" s="1"/>
  <c r="F686" i="5"/>
  <c r="H686" i="6" s="1"/>
  <c r="J686" i="5"/>
  <c r="L686" i="6" s="1"/>
  <c r="N686" i="5"/>
  <c r="P686" i="6" s="1"/>
  <c r="R686" i="5"/>
  <c r="T686" i="6" s="1"/>
  <c r="V686" i="5"/>
  <c r="X686" i="6" s="1"/>
  <c r="Z686" i="5"/>
  <c r="AB686" i="6" s="1"/>
  <c r="AD686" i="5"/>
  <c r="AF686" i="6" s="1"/>
  <c r="D687" i="5"/>
  <c r="F687" i="6" s="1"/>
  <c r="H687" i="5"/>
  <c r="J687" i="6" s="1"/>
  <c r="L687" i="5"/>
  <c r="N687" i="6" s="1"/>
  <c r="P687" i="5"/>
  <c r="R687" i="6" s="1"/>
  <c r="T687" i="5"/>
  <c r="V687" i="6" s="1"/>
  <c r="X687" i="5"/>
  <c r="Z687" i="6" s="1"/>
  <c r="AB687" i="5"/>
  <c r="AD687" i="6" s="1"/>
  <c r="AF687" i="5"/>
  <c r="AH687" i="6" s="1"/>
  <c r="Z36" i="11"/>
  <c r="Z106" i="11" s="1"/>
  <c r="S36" i="11"/>
  <c r="S106" i="11" s="1"/>
  <c r="M36" i="11"/>
  <c r="M106" i="11" s="1"/>
  <c r="F36" i="11"/>
  <c r="F106" i="11" s="1"/>
  <c r="AE35" i="11"/>
  <c r="AE105" i="11" s="1"/>
  <c r="Z35" i="11"/>
  <c r="Z105" i="11" s="1"/>
  <c r="U35" i="11"/>
  <c r="U105" i="11" s="1"/>
  <c r="P35" i="11"/>
  <c r="P105" i="11" s="1"/>
  <c r="K35" i="11"/>
  <c r="K105" i="11" s="1"/>
  <c r="F35" i="11"/>
  <c r="F105" i="11" s="1"/>
  <c r="AD34" i="11"/>
  <c r="AD104" i="11" s="1"/>
  <c r="X34" i="11"/>
  <c r="X104" i="11" s="1"/>
  <c r="Q34" i="11"/>
  <c r="Q104" i="11" s="1"/>
  <c r="J34" i="11"/>
  <c r="J104" i="11" s="1"/>
  <c r="D34" i="11"/>
  <c r="D104" i="11" s="1"/>
  <c r="AA33" i="11"/>
  <c r="AA103" i="11" s="1"/>
  <c r="T33" i="11"/>
  <c r="T103" i="11" s="1"/>
  <c r="N33" i="11"/>
  <c r="N103" i="11" s="1"/>
  <c r="G33" i="11"/>
  <c r="G103" i="11" s="1"/>
  <c r="AA32" i="11"/>
  <c r="AA102" i="11" s="1"/>
  <c r="T32" i="11"/>
  <c r="T102" i="11" s="1"/>
  <c r="N32" i="11"/>
  <c r="N102" i="11" s="1"/>
  <c r="G32" i="11"/>
  <c r="G102" i="11" s="1"/>
  <c r="T29" i="11"/>
  <c r="T99" i="11" s="1"/>
  <c r="P29" i="11"/>
  <c r="P99" i="11" s="1"/>
  <c r="AF28" i="11"/>
  <c r="AF98" i="11" s="1"/>
  <c r="AB28" i="11"/>
  <c r="AB98" i="11" s="1"/>
  <c r="X28" i="11"/>
  <c r="X98" i="11" s="1"/>
  <c r="T28" i="11"/>
  <c r="T98" i="11" s="1"/>
  <c r="P28" i="11"/>
  <c r="P98" i="11" s="1"/>
  <c r="AF27" i="11"/>
  <c r="AF97" i="11" s="1"/>
  <c r="AB27" i="11"/>
  <c r="AB97" i="11" s="1"/>
  <c r="X27" i="11"/>
  <c r="X97" i="11" s="1"/>
  <c r="J27" i="11"/>
  <c r="J97" i="11" s="1"/>
  <c r="F27" i="11"/>
  <c r="F97" i="11" s="1"/>
  <c r="AD26" i="11"/>
  <c r="AD96" i="11" s="1"/>
  <c r="Z26" i="11"/>
  <c r="Z96" i="11" s="1"/>
  <c r="AB21" i="11"/>
  <c r="L21" i="11"/>
  <c r="D44" i="11"/>
  <c r="AA44" i="11"/>
  <c r="N44" i="11"/>
  <c r="H44" i="11"/>
  <c r="AE36" i="11"/>
  <c r="AE106" i="11" s="1"/>
  <c r="X36" i="11"/>
  <c r="X106" i="11" s="1"/>
  <c r="Q36" i="11"/>
  <c r="Q106" i="11" s="1"/>
  <c r="K36" i="11"/>
  <c r="K106" i="11" s="1"/>
  <c r="D36" i="11"/>
  <c r="D106" i="11" s="1"/>
  <c r="AD35" i="11"/>
  <c r="AD105" i="11" s="1"/>
  <c r="Y35" i="11"/>
  <c r="Y105" i="11" s="1"/>
  <c r="T35" i="11"/>
  <c r="T105" i="11" s="1"/>
  <c r="O35" i="11"/>
  <c r="O105" i="11" s="1"/>
  <c r="J35" i="11"/>
  <c r="J105" i="11" s="1"/>
  <c r="E35" i="11"/>
  <c r="E105" i="11" s="1"/>
  <c r="AB34" i="11"/>
  <c r="AB104" i="11" s="1"/>
  <c r="V34" i="11"/>
  <c r="V104" i="11" s="1"/>
  <c r="O34" i="11"/>
  <c r="O104" i="11" s="1"/>
  <c r="H34" i="11"/>
  <c r="H104" i="11" s="1"/>
  <c r="AF33" i="11"/>
  <c r="AF103" i="11" s="1"/>
  <c r="Y33" i="11"/>
  <c r="Y103" i="11" s="1"/>
  <c r="R33" i="11"/>
  <c r="R103" i="11" s="1"/>
  <c r="L33" i="11"/>
  <c r="L103" i="11" s="1"/>
  <c r="E33" i="11"/>
  <c r="E103" i="11" s="1"/>
  <c r="AF32" i="11"/>
  <c r="AF102" i="11" s="1"/>
  <c r="Y32" i="11"/>
  <c r="Y102" i="11" s="1"/>
  <c r="R32" i="11"/>
  <c r="R102" i="11" s="1"/>
  <c r="L32" i="11"/>
  <c r="L102" i="11" s="1"/>
  <c r="E32" i="11"/>
  <c r="E102" i="11" s="1"/>
  <c r="S29" i="11"/>
  <c r="S99" i="11" s="1"/>
  <c r="O29" i="11"/>
  <c r="O99" i="11" s="1"/>
  <c r="AE28" i="11"/>
  <c r="AE98" i="11" s="1"/>
  <c r="AA28" i="11"/>
  <c r="AA98" i="11" s="1"/>
  <c r="W28" i="11"/>
  <c r="W98" i="11" s="1"/>
  <c r="S28" i="11"/>
  <c r="S98" i="11" s="1"/>
  <c r="O28" i="11"/>
  <c r="O98" i="11" s="1"/>
  <c r="AE27" i="11"/>
  <c r="AE97" i="11" s="1"/>
  <c r="AA27" i="11"/>
  <c r="AA97" i="11" s="1"/>
  <c r="W27" i="11"/>
  <c r="W97" i="11" s="1"/>
  <c r="I27" i="11"/>
  <c r="I97" i="11" s="1"/>
  <c r="E27" i="11"/>
  <c r="E97" i="11" s="1"/>
  <c r="AC26" i="11"/>
  <c r="AC96" i="11" s="1"/>
  <c r="Y26" i="11"/>
  <c r="Y96" i="11" s="1"/>
  <c r="Y21" i="11"/>
  <c r="J21" i="11"/>
  <c r="G44" i="11"/>
  <c r="AC36" i="11"/>
  <c r="AC106" i="11" s="1"/>
  <c r="W36" i="11"/>
  <c r="W106" i="11" s="1"/>
  <c r="P36" i="11"/>
  <c r="P106" i="11" s="1"/>
  <c r="I36" i="11"/>
  <c r="I106" i="11" s="1"/>
  <c r="AC35" i="11"/>
  <c r="AC105" i="11" s="1"/>
  <c r="W35" i="11"/>
  <c r="W105" i="11" s="1"/>
  <c r="S35" i="11"/>
  <c r="S105" i="11" s="1"/>
  <c r="M35" i="11"/>
  <c r="M105" i="11" s="1"/>
  <c r="I35" i="11"/>
  <c r="I105" i="11" s="1"/>
  <c r="AA34" i="11"/>
  <c r="AA104" i="11" s="1"/>
  <c r="T34" i="11"/>
  <c r="T104" i="11" s="1"/>
  <c r="N34" i="11"/>
  <c r="N104" i="11" s="1"/>
  <c r="G34" i="11"/>
  <c r="G104" i="11" s="1"/>
  <c r="AD33" i="11"/>
  <c r="AD103" i="11" s="1"/>
  <c r="X33" i="11"/>
  <c r="X103" i="11" s="1"/>
  <c r="Q33" i="11"/>
  <c r="Q103" i="11" s="1"/>
  <c r="J33" i="11"/>
  <c r="J103" i="11" s="1"/>
  <c r="D33" i="11"/>
  <c r="D103" i="11" s="1"/>
  <c r="AD32" i="11"/>
  <c r="AD102" i="11" s="1"/>
  <c r="X32" i="11"/>
  <c r="X102" i="11" s="1"/>
  <c r="Q32" i="11"/>
  <c r="Q102" i="11" s="1"/>
  <c r="J32" i="11"/>
  <c r="J102" i="11" s="1"/>
  <c r="D32" i="11"/>
  <c r="D102" i="11" s="1"/>
  <c r="V29" i="11"/>
  <c r="V99" i="11" s="1"/>
  <c r="R29" i="11"/>
  <c r="R99" i="11" s="1"/>
  <c r="N29" i="11"/>
  <c r="N99" i="11" s="1"/>
  <c r="AD28" i="11"/>
  <c r="AD98" i="11" s="1"/>
  <c r="Z28" i="11"/>
  <c r="Z98" i="11" s="1"/>
  <c r="V28" i="11"/>
  <c r="V98" i="11" s="1"/>
  <c r="R28" i="11"/>
  <c r="R98" i="11" s="1"/>
  <c r="N28" i="11"/>
  <c r="N98" i="11" s="1"/>
  <c r="AD27" i="11"/>
  <c r="AD97" i="11" s="1"/>
  <c r="Z27" i="11"/>
  <c r="Z97" i="11" s="1"/>
  <c r="L27" i="11"/>
  <c r="L97" i="11" s="1"/>
  <c r="H27" i="11"/>
  <c r="H97" i="11" s="1"/>
  <c r="D27" i="11"/>
  <c r="D97" i="11" s="1"/>
  <c r="AF26" i="11"/>
  <c r="AF96" i="11" s="1"/>
  <c r="AB26" i="11"/>
  <c r="AB96" i="11" s="1"/>
  <c r="X26" i="11"/>
  <c r="X96" i="11" s="1"/>
  <c r="R21" i="11"/>
  <c r="H21" i="11"/>
  <c r="X44" i="11"/>
  <c r="Q44" i="11"/>
  <c r="AA36" i="11"/>
  <c r="AA106" i="11" s="1"/>
  <c r="U36" i="11"/>
  <c r="U106" i="11" s="1"/>
  <c r="N36" i="11"/>
  <c r="N106" i="11" s="1"/>
  <c r="G36" i="11"/>
  <c r="G106" i="11" s="1"/>
  <c r="AF35" i="11"/>
  <c r="AF105" i="11" s="1"/>
  <c r="AB35" i="11"/>
  <c r="AB105" i="11" s="1"/>
  <c r="V35" i="11"/>
  <c r="V105" i="11" s="1"/>
  <c r="R35" i="11"/>
  <c r="R105" i="11" s="1"/>
  <c r="L35" i="11"/>
  <c r="L105" i="11" s="1"/>
  <c r="H35" i="11"/>
  <c r="H105" i="11" s="1"/>
  <c r="AF34" i="11"/>
  <c r="AF104" i="11" s="1"/>
  <c r="Y34" i="11"/>
  <c r="Y104" i="11" s="1"/>
  <c r="R34" i="11"/>
  <c r="R104" i="11" s="1"/>
  <c r="L34" i="11"/>
  <c r="L104" i="11" s="1"/>
  <c r="E34" i="11"/>
  <c r="E104" i="11" s="1"/>
  <c r="AB33" i="11"/>
  <c r="AB103" i="11" s="1"/>
  <c r="V33" i="11"/>
  <c r="V103" i="11" s="1"/>
  <c r="O33" i="11"/>
  <c r="O103" i="11" s="1"/>
  <c r="H33" i="11"/>
  <c r="H103" i="11" s="1"/>
  <c r="AB32" i="11"/>
  <c r="AB102" i="11" s="1"/>
  <c r="V32" i="11"/>
  <c r="V102" i="11" s="1"/>
  <c r="O32" i="11"/>
  <c r="O102" i="11" s="1"/>
  <c r="H32" i="11"/>
  <c r="H102" i="11" s="1"/>
  <c r="U29" i="11"/>
  <c r="U99" i="11" s="1"/>
  <c r="Q29" i="11"/>
  <c r="Q99" i="11" s="1"/>
  <c r="M29" i="11"/>
  <c r="M99" i="11" s="1"/>
  <c r="AC28" i="11"/>
  <c r="AC98" i="11" s="1"/>
  <c r="Y28" i="11"/>
  <c r="Y98" i="11" s="1"/>
  <c r="U28" i="11"/>
  <c r="U98" i="11" s="1"/>
  <c r="Q28" i="11"/>
  <c r="Q98" i="11" s="1"/>
  <c r="M28" i="11"/>
  <c r="M98" i="11" s="1"/>
  <c r="AC27" i="11"/>
  <c r="AC97" i="11" s="1"/>
  <c r="Y27" i="11"/>
  <c r="Y97" i="11" s="1"/>
  <c r="K27" i="11"/>
  <c r="K97" i="11" s="1"/>
  <c r="G27" i="11"/>
  <c r="G97" i="11" s="1"/>
  <c r="AE26" i="11"/>
  <c r="AE96" i="11" s="1"/>
  <c r="AA26" i="11"/>
  <c r="AA96" i="11" s="1"/>
  <c r="W26" i="11"/>
  <c r="W96" i="11" s="1"/>
  <c r="O21" i="11"/>
  <c r="E21" i="11"/>
  <c r="D36" i="4"/>
  <c r="D36" i="5" s="1"/>
  <c r="F36" i="6" s="1"/>
  <c r="N40" i="4"/>
  <c r="W44" i="4"/>
  <c r="W44" i="5" s="1"/>
  <c r="Y44" i="6" s="1"/>
  <c r="AE49" i="4"/>
  <c r="AE49" i="5" s="1"/>
  <c r="AG49" i="6" s="1"/>
  <c r="U78" i="4"/>
  <c r="U78" i="5" s="1"/>
  <c r="W78" i="6" s="1"/>
  <c r="I106" i="4"/>
  <c r="I106" i="5" s="1"/>
  <c r="K106" i="6" s="1"/>
  <c r="AE125" i="4"/>
  <c r="AE125" i="5" s="1"/>
  <c r="AG125" i="6" s="1"/>
  <c r="O189" i="4"/>
  <c r="O189" i="5" s="1"/>
  <c r="Q189" i="6" s="1"/>
  <c r="K235" i="4"/>
  <c r="K235" i="5" s="1"/>
  <c r="M235" i="6" s="1"/>
  <c r="P34" i="4"/>
  <c r="P34" i="5" s="1"/>
  <c r="R34" i="6" s="1"/>
  <c r="T36" i="4"/>
  <c r="T36" i="5" s="1"/>
  <c r="V36" i="6" s="1"/>
  <c r="D43" i="4"/>
  <c r="D43" i="5" s="1"/>
  <c r="F43" i="6" s="1"/>
  <c r="Y45" i="4"/>
  <c r="Y45" i="5" s="1"/>
  <c r="AA45" i="6" s="1"/>
  <c r="Q86" i="4"/>
  <c r="Q86" i="5" s="1"/>
  <c r="S86" i="6" s="1"/>
  <c r="M112" i="4"/>
  <c r="M112" i="5" s="1"/>
  <c r="O112" i="6" s="1"/>
  <c r="I136" i="4"/>
  <c r="I136" i="5" s="1"/>
  <c r="K136" i="6" s="1"/>
  <c r="T208" i="4"/>
  <c r="T208" i="5" s="1"/>
  <c r="V208" i="6" s="1"/>
  <c r="AF34" i="4"/>
  <c r="AF34" i="5" s="1"/>
  <c r="AH34" i="6" s="1"/>
  <c r="N38" i="4"/>
  <c r="N38" i="5" s="1"/>
  <c r="P38" i="6" s="1"/>
  <c r="U43" i="4"/>
  <c r="U43" i="5" s="1"/>
  <c r="W43" i="6" s="1"/>
  <c r="AA47" i="4"/>
  <c r="AA47" i="5" s="1"/>
  <c r="AC47" i="6" s="1"/>
  <c r="I71" i="4"/>
  <c r="I71" i="5" s="1"/>
  <c r="K71" i="6" s="1"/>
  <c r="U92" i="4"/>
  <c r="U92" i="5" s="1"/>
  <c r="W92" i="6" s="1"/>
  <c r="AA117" i="4"/>
  <c r="AA117" i="5" s="1"/>
  <c r="AC117" i="6" s="1"/>
  <c r="AD142" i="4"/>
  <c r="AD142" i="5" s="1"/>
  <c r="AF142" i="6" s="1"/>
  <c r="H216" i="4"/>
  <c r="H216" i="5" s="1"/>
  <c r="J216" i="6" s="1"/>
  <c r="G54" i="11"/>
  <c r="X54" i="11"/>
  <c r="Q54" i="11"/>
  <c r="D54" i="11"/>
  <c r="AA54" i="11"/>
  <c r="N54" i="11"/>
  <c r="D34" i="4"/>
  <c r="D34" i="5" s="1"/>
  <c r="F34" i="6" s="1"/>
  <c r="T34" i="4"/>
  <c r="T34" i="5" s="1"/>
  <c r="V34" i="6" s="1"/>
  <c r="F35" i="4"/>
  <c r="F35" i="5" s="1"/>
  <c r="H35" i="6" s="1"/>
  <c r="V35" i="4"/>
  <c r="V35" i="5" s="1"/>
  <c r="X35" i="6" s="1"/>
  <c r="H36" i="4"/>
  <c r="H36" i="5" s="1"/>
  <c r="J36" i="6" s="1"/>
  <c r="X36" i="4"/>
  <c r="X36" i="5" s="1"/>
  <c r="Z36" i="6" s="1"/>
  <c r="T38" i="4"/>
  <c r="T38" i="5" s="1"/>
  <c r="V38" i="6" s="1"/>
  <c r="V39" i="4"/>
  <c r="V39" i="5" s="1"/>
  <c r="X39" i="6" s="1"/>
  <c r="T40" i="4"/>
  <c r="T40" i="5" s="1"/>
  <c r="V40" i="6" s="1"/>
  <c r="I43" i="4"/>
  <c r="I43" i="5" s="1"/>
  <c r="K43" i="6" s="1"/>
  <c r="Y43" i="4"/>
  <c r="Y43" i="5" s="1"/>
  <c r="AA43" i="6" s="1"/>
  <c r="K44" i="4"/>
  <c r="K44" i="5" s="1"/>
  <c r="M44" i="6" s="1"/>
  <c r="E45" i="4"/>
  <c r="E45" i="5" s="1"/>
  <c r="G45" i="6" s="1"/>
  <c r="G47" i="4"/>
  <c r="G47" i="5" s="1"/>
  <c r="I47" i="6" s="1"/>
  <c r="I48" i="4"/>
  <c r="I48" i="5" s="1"/>
  <c r="K48" i="6" s="1"/>
  <c r="K49" i="4"/>
  <c r="K49" i="5" s="1"/>
  <c r="M49" i="6" s="1"/>
  <c r="I81" i="4"/>
  <c r="I81" i="5" s="1"/>
  <c r="K81" i="6" s="1"/>
  <c r="I76" i="4"/>
  <c r="I76" i="5" s="1"/>
  <c r="K76" i="6" s="1"/>
  <c r="U80" i="4"/>
  <c r="U80" i="5" s="1"/>
  <c r="W80" i="6" s="1"/>
  <c r="Q88" i="4"/>
  <c r="Q88" i="5" s="1"/>
  <c r="S88" i="6" s="1"/>
  <c r="U94" i="4"/>
  <c r="U94" i="5" s="1"/>
  <c r="W94" i="6" s="1"/>
  <c r="E102" i="4"/>
  <c r="E102" i="5" s="1"/>
  <c r="G102" i="6" s="1"/>
  <c r="I108" i="4"/>
  <c r="I108" i="5" s="1"/>
  <c r="K108" i="6" s="1"/>
  <c r="M115" i="4"/>
  <c r="M115" i="5" s="1"/>
  <c r="O115" i="6" s="1"/>
  <c r="AA118" i="4"/>
  <c r="AA118" i="5" s="1"/>
  <c r="AC118" i="6" s="1"/>
  <c r="E123" i="4"/>
  <c r="E123" i="5" s="1"/>
  <c r="G123" i="6" s="1"/>
  <c r="I127" i="4"/>
  <c r="I127" i="5" s="1"/>
  <c r="K127" i="6" s="1"/>
  <c r="O137" i="4"/>
  <c r="O137" i="5" s="1"/>
  <c r="Q137" i="6" s="1"/>
  <c r="AD146" i="4"/>
  <c r="AD146" i="5" s="1"/>
  <c r="AF146" i="6" s="1"/>
  <c r="J179" i="4"/>
  <c r="J179" i="5" s="1"/>
  <c r="L179" i="6" s="1"/>
  <c r="Z195" i="4"/>
  <c r="Z195" i="5" s="1"/>
  <c r="AB195" i="6" s="1"/>
  <c r="F210" i="4"/>
  <c r="F210" i="5" s="1"/>
  <c r="H210" i="6" s="1"/>
  <c r="D222" i="4"/>
  <c r="D222" i="5" s="1"/>
  <c r="F222" i="6" s="1"/>
  <c r="AD211" i="4"/>
  <c r="AD211" i="5" s="1"/>
  <c r="AF211" i="6" s="1"/>
  <c r="AA240" i="4"/>
  <c r="AA240" i="5" s="1"/>
  <c r="AC240" i="6" s="1"/>
  <c r="H34" i="4"/>
  <c r="H34" i="5" s="1"/>
  <c r="J34" i="6" s="1"/>
  <c r="X34" i="4"/>
  <c r="X34" i="5" s="1"/>
  <c r="Z34" i="6" s="1"/>
  <c r="J35" i="4"/>
  <c r="J35" i="5" s="1"/>
  <c r="L35" i="6" s="1"/>
  <c r="Z35" i="4"/>
  <c r="Z35" i="5" s="1"/>
  <c r="AB35" i="6" s="1"/>
  <c r="L36" i="4"/>
  <c r="L36" i="5" s="1"/>
  <c r="N36" i="6" s="1"/>
  <c r="AB36" i="4"/>
  <c r="AB36" i="5" s="1"/>
  <c r="AD36" i="6" s="1"/>
  <c r="X38" i="4"/>
  <c r="X38" i="5" s="1"/>
  <c r="Z38" i="6" s="1"/>
  <c r="AA39" i="4"/>
  <c r="AA39" i="5" s="1"/>
  <c r="AC39" i="6" s="1"/>
  <c r="X40" i="4"/>
  <c r="X40" i="5" s="1"/>
  <c r="Z40" i="6" s="1"/>
  <c r="M43" i="4"/>
  <c r="M43" i="5" s="1"/>
  <c r="O43" i="6" s="1"/>
  <c r="AC43" i="4"/>
  <c r="AC43" i="5" s="1"/>
  <c r="AE43" i="6" s="1"/>
  <c r="O44" i="4"/>
  <c r="O44" i="5" s="1"/>
  <c r="Q44" i="6" s="1"/>
  <c r="I45" i="4"/>
  <c r="I45" i="5" s="1"/>
  <c r="K45" i="6" s="1"/>
  <c r="K47" i="4"/>
  <c r="K47" i="5" s="1"/>
  <c r="M47" i="6" s="1"/>
  <c r="M48" i="4"/>
  <c r="M48" i="5" s="1"/>
  <c r="O48" i="6" s="1"/>
  <c r="O49" i="4"/>
  <c r="O49" i="5" s="1"/>
  <c r="Q49" i="6" s="1"/>
  <c r="M79" i="4"/>
  <c r="M79" i="5" s="1"/>
  <c r="O79" i="6" s="1"/>
  <c r="U76" i="4"/>
  <c r="U76" i="5" s="1"/>
  <c r="W76" i="6" s="1"/>
  <c r="E82" i="4"/>
  <c r="E82" i="5" s="1"/>
  <c r="G82" i="6" s="1"/>
  <c r="S89" i="4"/>
  <c r="S89" i="5" s="1"/>
  <c r="U89" i="6" s="1"/>
  <c r="W95" i="4"/>
  <c r="W95" i="5" s="1"/>
  <c r="Y95" i="6" s="1"/>
  <c r="G103" i="4"/>
  <c r="G103" i="5" s="1"/>
  <c r="I103" i="6" s="1"/>
  <c r="K109" i="4"/>
  <c r="K109" i="5" s="1"/>
  <c r="M109" i="6" s="1"/>
  <c r="E116" i="4"/>
  <c r="E116" i="5" s="1"/>
  <c r="G116" i="6" s="1"/>
  <c r="M119" i="4"/>
  <c r="M119" i="5" s="1"/>
  <c r="O119" i="6" s="1"/>
  <c r="AE123" i="4"/>
  <c r="AE123" i="5" s="1"/>
  <c r="AG123" i="6" s="1"/>
  <c r="E129" i="4"/>
  <c r="E129" i="5" s="1"/>
  <c r="G129" i="6" s="1"/>
  <c r="M131" i="4"/>
  <c r="M131" i="5" s="1"/>
  <c r="O131" i="6" s="1"/>
  <c r="E134" i="4"/>
  <c r="E134" i="5" s="1"/>
  <c r="G134" i="6" s="1"/>
  <c r="U138" i="4"/>
  <c r="U138" i="5" s="1"/>
  <c r="W138" i="6" s="1"/>
  <c r="J151" i="4"/>
  <c r="J151" i="5" s="1"/>
  <c r="L151" i="6" s="1"/>
  <c r="AD181" i="4"/>
  <c r="AD181" i="5" s="1"/>
  <c r="AF181" i="6" s="1"/>
  <c r="K198" i="4"/>
  <c r="K198" i="5" s="1"/>
  <c r="M198" i="6" s="1"/>
  <c r="N212" i="4"/>
  <c r="N212" i="5" s="1"/>
  <c r="P212" i="6" s="1"/>
  <c r="V224" i="4"/>
  <c r="V224" i="5" s="1"/>
  <c r="X224" i="6" s="1"/>
  <c r="AD217" i="4"/>
  <c r="AD217" i="5" s="1"/>
  <c r="AF217" i="6" s="1"/>
  <c r="L34" i="4"/>
  <c r="L34" i="5" s="1"/>
  <c r="N34" i="6" s="1"/>
  <c r="AB34" i="4"/>
  <c r="AB34" i="5" s="1"/>
  <c r="AD34" i="6" s="1"/>
  <c r="N35" i="4"/>
  <c r="N35" i="5" s="1"/>
  <c r="P35" i="6" s="1"/>
  <c r="AD35" i="4"/>
  <c r="AD35" i="5" s="1"/>
  <c r="AF35" i="6" s="1"/>
  <c r="P36" i="4"/>
  <c r="P36" i="5" s="1"/>
  <c r="R36" i="6" s="1"/>
  <c r="AF36" i="4"/>
  <c r="AF36" i="5" s="1"/>
  <c r="AH36" i="6" s="1"/>
  <c r="AD38" i="4"/>
  <c r="AD38" i="5" s="1"/>
  <c r="AF38" i="6" s="1"/>
  <c r="AF39" i="4"/>
  <c r="AF39" i="5" s="1"/>
  <c r="AH39" i="6" s="1"/>
  <c r="AD40" i="4"/>
  <c r="AD40" i="5" s="1"/>
  <c r="AF40" i="6" s="1"/>
  <c r="Q43" i="4"/>
  <c r="Q43" i="5" s="1"/>
  <c r="S43" i="6" s="1"/>
  <c r="AG43" i="4"/>
  <c r="AG43" i="5" s="1"/>
  <c r="AI43" i="6" s="1"/>
  <c r="S44" i="4"/>
  <c r="S44" i="5" s="1"/>
  <c r="U44" i="6" s="1"/>
  <c r="U45" i="4"/>
  <c r="U45" i="5" s="1"/>
  <c r="W45" i="6" s="1"/>
  <c r="W47" i="4"/>
  <c r="W47" i="5" s="1"/>
  <c r="Y47" i="6" s="1"/>
  <c r="Y48" i="4"/>
  <c r="Y48" i="5" s="1"/>
  <c r="AA48" i="6" s="1"/>
  <c r="AA49" i="4"/>
  <c r="AA49" i="5" s="1"/>
  <c r="AC49" i="6" s="1"/>
  <c r="G66" i="4"/>
  <c r="G66" i="5" s="1"/>
  <c r="I66" i="6" s="1"/>
  <c r="E71" i="4"/>
  <c r="E71" i="5" s="1"/>
  <c r="G71" i="6" s="1"/>
  <c r="L82" i="4"/>
  <c r="L82" i="5" s="1"/>
  <c r="N82" i="6" s="1"/>
  <c r="U77" i="4"/>
  <c r="U77" i="5" s="1"/>
  <c r="W77" i="6" s="1"/>
  <c r="O85" i="4"/>
  <c r="O85" i="5" s="1"/>
  <c r="Q85" i="6" s="1"/>
  <c r="S91" i="4"/>
  <c r="S91" i="5" s="1"/>
  <c r="U91" i="6" s="1"/>
  <c r="W97" i="4"/>
  <c r="W97" i="5" s="1"/>
  <c r="Y97" i="6" s="1"/>
  <c r="G105" i="4"/>
  <c r="G105" i="5" s="1"/>
  <c r="I105" i="6" s="1"/>
  <c r="K111" i="4"/>
  <c r="K111" i="5" s="1"/>
  <c r="M111" i="6" s="1"/>
  <c r="E117" i="4"/>
  <c r="E117" i="5" s="1"/>
  <c r="G117" i="6" s="1"/>
  <c r="AE120" i="4"/>
  <c r="AE120" i="5" s="1"/>
  <c r="AG120" i="6" s="1"/>
  <c r="E125" i="4"/>
  <c r="E125" i="5" s="1"/>
  <c r="G125" i="6" s="1"/>
  <c r="AG129" i="4"/>
  <c r="AG129" i="5" s="1"/>
  <c r="AI129" i="6" s="1"/>
  <c r="AC131" i="4"/>
  <c r="AC131" i="5" s="1"/>
  <c r="AE131" i="6" s="1"/>
  <c r="K135" i="4"/>
  <c r="K135" i="5" s="1"/>
  <c r="M135" i="6" s="1"/>
  <c r="D141" i="4"/>
  <c r="D141" i="5" s="1"/>
  <c r="F141" i="6" s="1"/>
  <c r="J154" i="4"/>
  <c r="J154" i="5" s="1"/>
  <c r="L154" i="6" s="1"/>
  <c r="AD184" i="4"/>
  <c r="AD184" i="5" s="1"/>
  <c r="AF184" i="6" s="1"/>
  <c r="F204" i="4"/>
  <c r="F204" i="5" s="1"/>
  <c r="H204" i="6" s="1"/>
  <c r="AD214" i="4"/>
  <c r="AD214" i="5" s="1"/>
  <c r="AF214" i="6" s="1"/>
  <c r="H238" i="4"/>
  <c r="H238" i="5" s="1"/>
  <c r="J238" i="6" s="1"/>
  <c r="N219" i="4"/>
  <c r="N219" i="5" s="1"/>
  <c r="P219" i="6" s="1"/>
  <c r="V79" i="4"/>
  <c r="V79" i="5" s="1"/>
  <c r="X79" i="6" s="1"/>
  <c r="M75" i="4"/>
  <c r="M75" i="5" s="1"/>
  <c r="O75" i="6" s="1"/>
  <c r="E77" i="4"/>
  <c r="E77" i="5" s="1"/>
  <c r="G77" i="6" s="1"/>
  <c r="J79" i="4"/>
  <c r="J79" i="5" s="1"/>
  <c r="L79" i="6" s="1"/>
  <c r="N82" i="4"/>
  <c r="N82" i="5" s="1"/>
  <c r="P82" i="6" s="1"/>
  <c r="U86" i="4"/>
  <c r="U86" i="5" s="1"/>
  <c r="W86" i="6" s="1"/>
  <c r="W89" i="4"/>
  <c r="W89" i="5" s="1"/>
  <c r="Y89" i="6" s="1"/>
  <c r="O93" i="4"/>
  <c r="O93" i="5" s="1"/>
  <c r="Q93" i="6" s="1"/>
  <c r="Q96" i="4"/>
  <c r="Q96" i="5" s="1"/>
  <c r="S96" i="6" s="1"/>
  <c r="S99" i="4"/>
  <c r="S99" i="5" s="1"/>
  <c r="U99" i="6" s="1"/>
  <c r="K103" i="4"/>
  <c r="K103" i="5" s="1"/>
  <c r="M103" i="6" s="1"/>
  <c r="M106" i="4"/>
  <c r="M106" i="5" s="1"/>
  <c r="O106" i="6" s="1"/>
  <c r="E110" i="4"/>
  <c r="E110" i="5" s="1"/>
  <c r="G110" i="6" s="1"/>
  <c r="G113" i="4"/>
  <c r="G113" i="5" s="1"/>
  <c r="I113" i="6" s="1"/>
  <c r="I116" i="4"/>
  <c r="I116" i="5" s="1"/>
  <c r="K116" i="6" s="1"/>
  <c r="AE117" i="4"/>
  <c r="AE117" i="5" s="1"/>
  <c r="AG117" i="6" s="1"/>
  <c r="AE119" i="4"/>
  <c r="AE119" i="5" s="1"/>
  <c r="AG119" i="6" s="1"/>
  <c r="AE121" i="4"/>
  <c r="AE121" i="5" s="1"/>
  <c r="AG121" i="6" s="1"/>
  <c r="E124" i="4"/>
  <c r="E124" i="5" s="1"/>
  <c r="G124" i="6" s="1"/>
  <c r="I126" i="4"/>
  <c r="I126" i="5" s="1"/>
  <c r="K126" i="6" s="1"/>
  <c r="I129" i="4"/>
  <c r="I129" i="5" s="1"/>
  <c r="K129" i="6" s="1"/>
  <c r="AG131" i="4"/>
  <c r="AG131" i="5" s="1"/>
  <c r="AI131" i="6" s="1"/>
  <c r="I134" i="4"/>
  <c r="I134" i="5" s="1"/>
  <c r="K134" i="6" s="1"/>
  <c r="M136" i="4"/>
  <c r="M136" i="5" s="1"/>
  <c r="O136" i="6" s="1"/>
  <c r="AD138" i="4"/>
  <c r="AD138" i="5" s="1"/>
  <c r="AF138" i="6" s="1"/>
  <c r="J144" i="4"/>
  <c r="J144" i="5" s="1"/>
  <c r="L144" i="6" s="1"/>
  <c r="T151" i="4"/>
  <c r="T151" i="5" s="1"/>
  <c r="V151" i="6" s="1"/>
  <c r="AD174" i="4"/>
  <c r="AD174" i="5" s="1"/>
  <c r="AF174" i="6" s="1"/>
  <c r="J182" i="4"/>
  <c r="J182" i="5" s="1"/>
  <c r="L182" i="6" s="1"/>
  <c r="E190" i="4"/>
  <c r="E190" i="5" s="1"/>
  <c r="G190" i="6" s="1"/>
  <c r="AE198" i="4"/>
  <c r="AE198" i="5" s="1"/>
  <c r="AG198" i="6" s="1"/>
  <c r="X208" i="4"/>
  <c r="X208" i="5" s="1"/>
  <c r="Z208" i="6" s="1"/>
  <c r="R212" i="4"/>
  <c r="R212" i="5" s="1"/>
  <c r="T212" i="6" s="1"/>
  <c r="L216" i="4"/>
  <c r="L216" i="5" s="1"/>
  <c r="N216" i="6" s="1"/>
  <c r="P229" i="4"/>
  <c r="P229" i="5" s="1"/>
  <c r="R229" i="6" s="1"/>
  <c r="F245" i="4"/>
  <c r="F245" i="5" s="1"/>
  <c r="H245" i="6" s="1"/>
  <c r="T213" i="4"/>
  <c r="T213" i="5" s="1"/>
  <c r="V213" i="6" s="1"/>
  <c r="AB222" i="4"/>
  <c r="AB222" i="5" s="1"/>
  <c r="AD222" i="6" s="1"/>
  <c r="H80" i="4"/>
  <c r="H80" i="5" s="1"/>
  <c r="J80" i="6" s="1"/>
  <c r="R81" i="4"/>
  <c r="R81" i="5" s="1"/>
  <c r="T81" i="6" s="1"/>
  <c r="E76" i="4"/>
  <c r="E76" i="5" s="1"/>
  <c r="G76" i="6" s="1"/>
  <c r="Q77" i="4"/>
  <c r="Q77" i="5" s="1"/>
  <c r="S77" i="6" s="1"/>
  <c r="N80" i="4"/>
  <c r="N80" i="5" s="1"/>
  <c r="P80" i="6" s="1"/>
  <c r="U84" i="4"/>
  <c r="U84" i="5" s="1"/>
  <c r="W84" i="6" s="1"/>
  <c r="W87" i="4"/>
  <c r="W87" i="5" s="1"/>
  <c r="Y87" i="6" s="1"/>
  <c r="O91" i="4"/>
  <c r="O91" i="5" s="1"/>
  <c r="Q91" i="6" s="1"/>
  <c r="Q94" i="4"/>
  <c r="Q94" i="5" s="1"/>
  <c r="S94" i="6" s="1"/>
  <c r="S97" i="4"/>
  <c r="S97" i="5" s="1"/>
  <c r="U97" i="6" s="1"/>
  <c r="K101" i="4"/>
  <c r="K101" i="5" s="1"/>
  <c r="M101" i="6" s="1"/>
  <c r="M104" i="4"/>
  <c r="M104" i="5" s="1"/>
  <c r="O104" i="6" s="1"/>
  <c r="E108" i="4"/>
  <c r="E108" i="5" s="1"/>
  <c r="G108" i="6" s="1"/>
  <c r="G111" i="4"/>
  <c r="G111" i="5" s="1"/>
  <c r="I111" i="6" s="1"/>
  <c r="I115" i="4"/>
  <c r="I115" i="5" s="1"/>
  <c r="K115" i="6" s="1"/>
  <c r="AE116" i="4"/>
  <c r="AE116" i="5" s="1"/>
  <c r="AG116" i="6" s="1"/>
  <c r="M118" i="4"/>
  <c r="M118" i="5" s="1"/>
  <c r="O118" i="6" s="1"/>
  <c r="AA120" i="4"/>
  <c r="AA120" i="5" s="1"/>
  <c r="AC120" i="6" s="1"/>
  <c r="AA122" i="4"/>
  <c r="AA122" i="5" s="1"/>
  <c r="AC122" i="6" s="1"/>
  <c r="AE124" i="4"/>
  <c r="AE124" i="5" s="1"/>
  <c r="AG124" i="6" s="1"/>
  <c r="E127" i="4"/>
  <c r="E127" i="5" s="1"/>
  <c r="G127" i="6" s="1"/>
  <c r="Y129" i="4"/>
  <c r="Y129" i="5" s="1"/>
  <c r="AA129" i="6" s="1"/>
  <c r="I131" i="4"/>
  <c r="I131" i="5" s="1"/>
  <c r="K131" i="6" s="1"/>
  <c r="G135" i="4"/>
  <c r="G135" i="5" s="1"/>
  <c r="I135" i="6" s="1"/>
  <c r="K137" i="4"/>
  <c r="K137" i="5" s="1"/>
  <c r="M137" i="6" s="1"/>
  <c r="Y140" i="4"/>
  <c r="Y140" i="5" s="1"/>
  <c r="AA140" i="6" s="1"/>
  <c r="T146" i="4"/>
  <c r="T146" i="5" s="1"/>
  <c r="V146" i="6" s="1"/>
  <c r="AD153" i="4"/>
  <c r="AD153" i="5" s="1"/>
  <c r="AF153" i="6" s="1"/>
  <c r="T178" i="4"/>
  <c r="T178" i="5" s="1"/>
  <c r="V178" i="6" s="1"/>
  <c r="T184" i="4"/>
  <c r="T184" i="5" s="1"/>
  <c r="V184" i="6" s="1"/>
  <c r="P195" i="4"/>
  <c r="P195" i="5" s="1"/>
  <c r="R195" i="6" s="1"/>
  <c r="P203" i="4"/>
  <c r="P203" i="5" s="1"/>
  <c r="R203" i="6" s="1"/>
  <c r="V209" i="4"/>
  <c r="V209" i="5" s="1"/>
  <c r="X209" i="6" s="1"/>
  <c r="Z214" i="4"/>
  <c r="Z214" i="5" s="1"/>
  <c r="AB214" i="6" s="1"/>
  <c r="T218" i="4"/>
  <c r="T218" i="5" s="1"/>
  <c r="V218" i="6" s="1"/>
  <c r="D238" i="4"/>
  <c r="D238" i="5" s="1"/>
  <c r="F238" i="6" s="1"/>
  <c r="D243" i="4"/>
  <c r="D243" i="5" s="1"/>
  <c r="F243" i="6" s="1"/>
  <c r="AB209" i="4"/>
  <c r="AB209" i="5" s="1"/>
  <c r="AD209" i="6" s="1"/>
  <c r="AF215" i="4"/>
  <c r="AF215" i="5" s="1"/>
  <c r="AH215" i="6" s="1"/>
  <c r="J348" i="4"/>
  <c r="J348" i="5" s="1"/>
  <c r="L348" i="6" s="1"/>
  <c r="G254" i="4"/>
  <c r="G254" i="5" s="1"/>
  <c r="I254" i="6" s="1"/>
  <c r="T247" i="4"/>
  <c r="T247" i="5" s="1"/>
  <c r="V247" i="6" s="1"/>
  <c r="O239" i="4"/>
  <c r="O239" i="5" s="1"/>
  <c r="Q239" i="6" s="1"/>
  <c r="G229" i="4"/>
  <c r="G229" i="5" s="1"/>
  <c r="I229" i="6" s="1"/>
  <c r="X223" i="4"/>
  <c r="X223" i="5" s="1"/>
  <c r="Z223" i="6" s="1"/>
  <c r="AB220" i="4"/>
  <c r="AB220" i="5" s="1"/>
  <c r="AD220" i="6" s="1"/>
  <c r="AB218" i="4"/>
  <c r="AB218" i="5" s="1"/>
  <c r="AD218" i="6" s="1"/>
  <c r="L217" i="4"/>
  <c r="L217" i="5" s="1"/>
  <c r="N217" i="6" s="1"/>
  <c r="AB215" i="4"/>
  <c r="AB215" i="5" s="1"/>
  <c r="AD215" i="6" s="1"/>
  <c r="AF212" i="4"/>
  <c r="AF212" i="5" s="1"/>
  <c r="AH212" i="6" s="1"/>
  <c r="Z211" i="4"/>
  <c r="Z211" i="5" s="1"/>
  <c r="AB211" i="6" s="1"/>
  <c r="AD210" i="4"/>
  <c r="AD210" i="5" s="1"/>
  <c r="AF210" i="6" s="1"/>
  <c r="X209" i="4"/>
  <c r="X209" i="5" s="1"/>
  <c r="Z209" i="6" s="1"/>
  <c r="AB243" i="4"/>
  <c r="AB243" i="5" s="1"/>
  <c r="AD243" i="6" s="1"/>
  <c r="L243" i="4"/>
  <c r="L243" i="5" s="1"/>
  <c r="N243" i="6" s="1"/>
  <c r="J237" i="4"/>
  <c r="J237" i="5" s="1"/>
  <c r="L237" i="6" s="1"/>
  <c r="X229" i="4"/>
  <c r="X229" i="5" s="1"/>
  <c r="Z229" i="6" s="1"/>
  <c r="R224" i="4"/>
  <c r="R224" i="5" s="1"/>
  <c r="T224" i="6" s="1"/>
  <c r="L222" i="4"/>
  <c r="L222" i="5" s="1"/>
  <c r="N222" i="6" s="1"/>
  <c r="P218" i="4"/>
  <c r="P218" i="5" s="1"/>
  <c r="R218" i="6" s="1"/>
  <c r="T216" i="4"/>
  <c r="T216" i="5" s="1"/>
  <c r="V216" i="6" s="1"/>
  <c r="D216" i="4"/>
  <c r="D216" i="5" s="1"/>
  <c r="F216" i="6" s="1"/>
  <c r="H215" i="4"/>
  <c r="H215" i="5" s="1"/>
  <c r="J215" i="6" s="1"/>
  <c r="V214" i="4"/>
  <c r="V214" i="5" s="1"/>
  <c r="X214" i="6" s="1"/>
  <c r="F214" i="4"/>
  <c r="F214" i="5" s="1"/>
  <c r="H214" i="6" s="1"/>
  <c r="T211" i="4"/>
  <c r="T211" i="5" s="1"/>
  <c r="V211" i="6" s="1"/>
  <c r="N210" i="4"/>
  <c r="N210" i="5" s="1"/>
  <c r="P210" i="6" s="1"/>
  <c r="R209" i="4"/>
  <c r="R209" i="5" s="1"/>
  <c r="T209" i="6" s="1"/>
  <c r="AF208" i="4"/>
  <c r="AF208" i="5" s="1"/>
  <c r="AH208" i="6" s="1"/>
  <c r="P208" i="4"/>
  <c r="P208" i="5" s="1"/>
  <c r="R208" i="6" s="1"/>
  <c r="Z204" i="4"/>
  <c r="Z204" i="5" s="1"/>
  <c r="AB204" i="6" s="1"/>
  <c r="Z202" i="4"/>
  <c r="Z202" i="5" s="1"/>
  <c r="AB202" i="6" s="1"/>
  <c r="F200" i="4"/>
  <c r="F200" i="5" s="1"/>
  <c r="H200" i="6" s="1"/>
  <c r="Z197" i="4"/>
  <c r="Z197" i="5" s="1"/>
  <c r="AB197" i="6" s="1"/>
  <c r="P196" i="4"/>
  <c r="P196" i="5" s="1"/>
  <c r="R196" i="6" s="1"/>
  <c r="F195" i="4"/>
  <c r="F195" i="5" s="1"/>
  <c r="H195" i="6" s="1"/>
  <c r="O191" i="4"/>
  <c r="O191" i="5" s="1"/>
  <c r="Q191" i="6" s="1"/>
  <c r="Y188" i="4"/>
  <c r="Y188" i="5" s="1"/>
  <c r="AA188" i="6" s="1"/>
  <c r="T185" i="4"/>
  <c r="T185" i="5" s="1"/>
  <c r="V185" i="6" s="1"/>
  <c r="J184" i="4"/>
  <c r="J184" i="5" s="1"/>
  <c r="L184" i="6" s="1"/>
  <c r="AD182" i="4"/>
  <c r="AD182" i="5" s="1"/>
  <c r="AF182" i="6" s="1"/>
  <c r="T181" i="4"/>
  <c r="T181" i="5" s="1"/>
  <c r="V181" i="6" s="1"/>
  <c r="J180" i="4"/>
  <c r="J180" i="5" s="1"/>
  <c r="L180" i="6" s="1"/>
  <c r="AD177" i="4"/>
  <c r="AD177" i="5" s="1"/>
  <c r="AF177" i="6" s="1"/>
  <c r="T175" i="4"/>
  <c r="T175" i="5" s="1"/>
  <c r="V175" i="6" s="1"/>
  <c r="J174" i="4"/>
  <c r="J174" i="5" s="1"/>
  <c r="L174" i="6" s="1"/>
  <c r="AD154" i="4"/>
  <c r="AD154" i="5" s="1"/>
  <c r="AF154" i="6" s="1"/>
  <c r="T153" i="4"/>
  <c r="T153" i="5" s="1"/>
  <c r="V153" i="6" s="1"/>
  <c r="J152" i="4"/>
  <c r="J152" i="5" s="1"/>
  <c r="L152" i="6" s="1"/>
  <c r="AD148" i="4"/>
  <c r="AD148" i="5" s="1"/>
  <c r="AF148" i="6" s="1"/>
  <c r="T147" i="4"/>
  <c r="T147" i="5" s="1"/>
  <c r="V147" i="6" s="1"/>
  <c r="J146" i="4"/>
  <c r="J146" i="5" s="1"/>
  <c r="L146" i="6" s="1"/>
  <c r="AD144" i="4"/>
  <c r="AD144" i="5" s="1"/>
  <c r="AF144" i="6" s="1"/>
  <c r="U142" i="4"/>
  <c r="U142" i="5" s="1"/>
  <c r="W142" i="6" s="1"/>
  <c r="T141" i="4"/>
  <c r="T141" i="5" s="1"/>
  <c r="V141" i="6" s="1"/>
  <c r="P140" i="4"/>
  <c r="P140" i="5" s="1"/>
  <c r="R140" i="6" s="1"/>
  <c r="O139" i="4"/>
  <c r="O139" i="5" s="1"/>
  <c r="Q139" i="6" s="1"/>
  <c r="N138" i="4"/>
  <c r="N138" i="5" s="1"/>
  <c r="P138" i="6" s="1"/>
  <c r="W137" i="4"/>
  <c r="W137" i="5" s="1"/>
  <c r="Y137" i="6" s="1"/>
  <c r="G137" i="4"/>
  <c r="G137" i="5" s="1"/>
  <c r="I137" i="6" s="1"/>
  <c r="U136" i="4"/>
  <c r="U136" i="5" s="1"/>
  <c r="W136" i="6" s="1"/>
  <c r="E136" i="4"/>
  <c r="E136" i="5" s="1"/>
  <c r="G136" i="6" s="1"/>
  <c r="S135" i="4"/>
  <c r="S135" i="5" s="1"/>
  <c r="U135" i="6" s="1"/>
  <c r="AG134" i="4"/>
  <c r="AG134" i="5" s="1"/>
  <c r="AI134" i="6" s="1"/>
  <c r="Q134" i="4"/>
  <c r="Q134" i="5" s="1"/>
  <c r="S134" i="6" s="1"/>
  <c r="W310" i="4"/>
  <c r="W310" i="5" s="1"/>
  <c r="Y310" i="6" s="1"/>
  <c r="U244" i="4"/>
  <c r="U244" i="5" s="1"/>
  <c r="W244" i="6" s="1"/>
  <c r="AG236" i="4"/>
  <c r="AG236" i="5" s="1"/>
  <c r="AI236" i="6" s="1"/>
  <c r="O227" i="4"/>
  <c r="O227" i="5" s="1"/>
  <c r="Q227" i="6" s="1"/>
  <c r="F223" i="4"/>
  <c r="F223" i="5" s="1"/>
  <c r="H223" i="6" s="1"/>
  <c r="T220" i="4"/>
  <c r="T220" i="5" s="1"/>
  <c r="V220" i="6" s="1"/>
  <c r="X218" i="4"/>
  <c r="X218" i="5" s="1"/>
  <c r="Z218" i="6" s="1"/>
  <c r="AD216" i="4"/>
  <c r="AD216" i="5" s="1"/>
  <c r="AF216" i="6" s="1"/>
  <c r="X215" i="4"/>
  <c r="X215" i="5" s="1"/>
  <c r="Z215" i="6" s="1"/>
  <c r="AB212" i="4"/>
  <c r="AB212" i="5" s="1"/>
  <c r="AD212" i="6" s="1"/>
  <c r="L211" i="4"/>
  <c r="L211" i="5" s="1"/>
  <c r="N211" i="6" s="1"/>
  <c r="Z210" i="4"/>
  <c r="Z210" i="5" s="1"/>
  <c r="AB210" i="6" s="1"/>
  <c r="J245" i="4"/>
  <c r="J245" i="5" s="1"/>
  <c r="L245" i="6" s="1"/>
  <c r="X243" i="4"/>
  <c r="X243" i="5" s="1"/>
  <c r="Z243" i="6" s="1"/>
  <c r="H243" i="4"/>
  <c r="H243" i="5" s="1"/>
  <c r="J243" i="6" s="1"/>
  <c r="L238" i="4"/>
  <c r="L238" i="5" s="1"/>
  <c r="N238" i="6" s="1"/>
  <c r="F237" i="4"/>
  <c r="F237" i="5" s="1"/>
  <c r="H237" i="6" s="1"/>
  <c r="T229" i="4"/>
  <c r="T229" i="5" s="1"/>
  <c r="V229" i="6" s="1"/>
  <c r="N224" i="4"/>
  <c r="N224" i="5" s="1"/>
  <c r="P224" i="6" s="1"/>
  <c r="H222" i="4"/>
  <c r="H222" i="5" s="1"/>
  <c r="J222" i="6" s="1"/>
  <c r="V217" i="4"/>
  <c r="V217" i="5" s="1"/>
  <c r="X217" i="6" s="1"/>
  <c r="P216" i="4"/>
  <c r="P216" i="5" s="1"/>
  <c r="R216" i="6" s="1"/>
  <c r="T215" i="4"/>
  <c r="T215" i="5" s="1"/>
  <c r="V215" i="6" s="1"/>
  <c r="D215" i="4"/>
  <c r="D215" i="5" s="1"/>
  <c r="F215" i="6" s="1"/>
  <c r="R214" i="4"/>
  <c r="R214" i="5" s="1"/>
  <c r="T214" i="6" s="1"/>
  <c r="V212" i="4"/>
  <c r="V212" i="5" s="1"/>
  <c r="X212" i="6" s="1"/>
  <c r="P211" i="4"/>
  <c r="P211" i="5" s="1"/>
  <c r="R211" i="6" s="1"/>
  <c r="J210" i="4"/>
  <c r="J210" i="5" s="1"/>
  <c r="L210" i="6" s="1"/>
  <c r="N209" i="4"/>
  <c r="N209" i="5" s="1"/>
  <c r="P209" i="6" s="1"/>
  <c r="AB208" i="4"/>
  <c r="AB208" i="5" s="1"/>
  <c r="AD208" i="6" s="1"/>
  <c r="L208" i="4"/>
  <c r="L208" i="5" s="1"/>
  <c r="N208" i="6" s="1"/>
  <c r="P204" i="4"/>
  <c r="P204" i="5" s="1"/>
  <c r="R204" i="6" s="1"/>
  <c r="F202" i="4"/>
  <c r="F202" i="5" s="1"/>
  <c r="H202" i="6" s="1"/>
  <c r="P199" i="4"/>
  <c r="P199" i="5" s="1"/>
  <c r="R199" i="6" s="1"/>
  <c r="P197" i="4"/>
  <c r="P197" i="5" s="1"/>
  <c r="R197" i="6" s="1"/>
  <c r="F196" i="4"/>
  <c r="F196" i="5" s="1"/>
  <c r="H196" i="6" s="1"/>
  <c r="O193" i="4"/>
  <c r="O193" i="5" s="1"/>
  <c r="Q193" i="6" s="1"/>
  <c r="Y190" i="4"/>
  <c r="Y190" i="5" s="1"/>
  <c r="AA190" i="6" s="1"/>
  <c r="E188" i="4"/>
  <c r="E188" i="5" s="1"/>
  <c r="G188" i="6" s="1"/>
  <c r="J185" i="4"/>
  <c r="J185" i="5" s="1"/>
  <c r="L185" i="6" s="1"/>
  <c r="AD183" i="4"/>
  <c r="AD183" i="5" s="1"/>
  <c r="AF183" i="6" s="1"/>
  <c r="T182" i="4"/>
  <c r="T182" i="5" s="1"/>
  <c r="V182" i="6" s="1"/>
  <c r="J181" i="4"/>
  <c r="J181" i="5" s="1"/>
  <c r="L181" i="6" s="1"/>
  <c r="AD179" i="4"/>
  <c r="AD179" i="5" s="1"/>
  <c r="AF179" i="6" s="1"/>
  <c r="J177" i="4"/>
  <c r="J177" i="5" s="1"/>
  <c r="L177" i="6" s="1"/>
  <c r="J175" i="4"/>
  <c r="J175" i="5" s="1"/>
  <c r="L175" i="6" s="1"/>
  <c r="AD173" i="4"/>
  <c r="AD173" i="5" s="1"/>
  <c r="AF173" i="6" s="1"/>
  <c r="T154" i="4"/>
  <c r="T154" i="5" s="1"/>
  <c r="V154" i="6" s="1"/>
  <c r="J153" i="4"/>
  <c r="J153" i="5" s="1"/>
  <c r="L153" i="6" s="1"/>
  <c r="AD151" i="4"/>
  <c r="AD151" i="5" s="1"/>
  <c r="AF151" i="6" s="1"/>
  <c r="T148" i="4"/>
  <c r="T148" i="5" s="1"/>
  <c r="V148" i="6" s="1"/>
  <c r="J147" i="4"/>
  <c r="J147" i="5" s="1"/>
  <c r="L147" i="6" s="1"/>
  <c r="AD145" i="4"/>
  <c r="AD145" i="5" s="1"/>
  <c r="AF145" i="6" s="1"/>
  <c r="T144" i="4"/>
  <c r="T144" i="5" s="1"/>
  <c r="V144" i="6" s="1"/>
  <c r="N142" i="4"/>
  <c r="N142" i="5" s="1"/>
  <c r="P142" i="6" s="1"/>
  <c r="K141" i="4"/>
  <c r="K141" i="5" s="1"/>
  <c r="M141" i="6" s="1"/>
  <c r="J140" i="4"/>
  <c r="J140" i="5" s="1"/>
  <c r="L140" i="6" s="1"/>
  <c r="F139" i="4"/>
  <c r="F139" i="5" s="1"/>
  <c r="H139" i="6" s="1"/>
  <c r="E138" i="4"/>
  <c r="E138" i="5" s="1"/>
  <c r="G138" i="6" s="1"/>
  <c r="S137" i="4"/>
  <c r="S137" i="5" s="1"/>
  <c r="U137" i="6" s="1"/>
  <c r="AG136" i="4"/>
  <c r="AG136" i="5" s="1"/>
  <c r="AI136" i="6" s="1"/>
  <c r="Q136" i="4"/>
  <c r="Q136" i="5" s="1"/>
  <c r="S136" i="6" s="1"/>
  <c r="AE135" i="4"/>
  <c r="AE135" i="5" s="1"/>
  <c r="AG135" i="6" s="1"/>
  <c r="O135" i="4"/>
  <c r="O135" i="5" s="1"/>
  <c r="Q135" i="6" s="1"/>
  <c r="AC134" i="4"/>
  <c r="AC134" i="5" s="1"/>
  <c r="AE134" i="6" s="1"/>
  <c r="M134" i="4"/>
  <c r="M134" i="5" s="1"/>
  <c r="O134" i="6" s="1"/>
  <c r="U131" i="4"/>
  <c r="U131" i="5" s="1"/>
  <c r="W131" i="6" s="1"/>
  <c r="E131" i="4"/>
  <c r="E131" i="5" s="1"/>
  <c r="G131" i="6" s="1"/>
  <c r="AC129" i="4"/>
  <c r="AC129" i="5" s="1"/>
  <c r="AE129" i="6" s="1"/>
  <c r="M129" i="4"/>
  <c r="M129" i="5" s="1"/>
  <c r="O129" i="6" s="1"/>
  <c r="AA127" i="4"/>
  <c r="AA127" i="5" s="1"/>
  <c r="AC127" i="6" s="1"/>
  <c r="AE126" i="4"/>
  <c r="AE126" i="5" s="1"/>
  <c r="AG126" i="6" s="1"/>
  <c r="E126" i="4"/>
  <c r="E126" i="5" s="1"/>
  <c r="G126" i="6" s="1"/>
  <c r="I125" i="4"/>
  <c r="I125" i="5" s="1"/>
  <c r="K125" i="6" s="1"/>
  <c r="M124" i="4"/>
  <c r="M124" i="5" s="1"/>
  <c r="O124" i="6" s="1"/>
  <c r="AA123" i="4"/>
  <c r="AA123" i="5" s="1"/>
  <c r="AC123" i="6" s="1"/>
  <c r="AE122" i="4"/>
  <c r="AE122" i="5" s="1"/>
  <c r="AG122" i="6" s="1"/>
  <c r="E122" i="4"/>
  <c r="E122" i="5" s="1"/>
  <c r="G122" i="6" s="1"/>
  <c r="I121" i="4"/>
  <c r="I121" i="5" s="1"/>
  <c r="K121" i="6" s="1"/>
  <c r="M120" i="4"/>
  <c r="M120" i="5" s="1"/>
  <c r="O120" i="6" s="1"/>
  <c r="AA119" i="4"/>
  <c r="AA119" i="5" s="1"/>
  <c r="AC119" i="6" s="1"/>
  <c r="AE118" i="4"/>
  <c r="AE118" i="5" s="1"/>
  <c r="AG118" i="6" s="1"/>
  <c r="AG299" i="4"/>
  <c r="AG299" i="5" s="1"/>
  <c r="AI299" i="6" s="1"/>
  <c r="X251" i="4"/>
  <c r="X251" i="5" s="1"/>
  <c r="Z251" i="6" s="1"/>
  <c r="S232" i="4"/>
  <c r="S232" i="5" s="1"/>
  <c r="U232" i="6" s="1"/>
  <c r="AD221" i="4"/>
  <c r="AD221" i="5" s="1"/>
  <c r="AF221" i="6" s="1"/>
  <c r="Z217" i="4"/>
  <c r="Z217" i="5" s="1"/>
  <c r="AB217" i="6" s="1"/>
  <c r="P213" i="4"/>
  <c r="P213" i="5" s="1"/>
  <c r="R213" i="6" s="1"/>
  <c r="D211" i="4"/>
  <c r="D211" i="5" s="1"/>
  <c r="F211" i="6" s="1"/>
  <c r="AF243" i="4"/>
  <c r="AF243" i="5" s="1"/>
  <c r="AH243" i="6" s="1"/>
  <c r="AF229" i="4"/>
  <c r="AF229" i="5" s="1"/>
  <c r="AH229" i="6" s="1"/>
  <c r="T222" i="4"/>
  <c r="T222" i="5" s="1"/>
  <c r="V222" i="6" s="1"/>
  <c r="R217" i="4"/>
  <c r="R217" i="5" s="1"/>
  <c r="T217" i="6" s="1"/>
  <c r="P215" i="4"/>
  <c r="P215" i="5" s="1"/>
  <c r="R215" i="6" s="1"/>
  <c r="N214" i="4"/>
  <c r="N214" i="5" s="1"/>
  <c r="P214" i="6" s="1"/>
  <c r="V210" i="4"/>
  <c r="V210" i="5" s="1"/>
  <c r="X210" i="6" s="1"/>
  <c r="J209" i="4"/>
  <c r="J209" i="5" s="1"/>
  <c r="L209" i="6" s="1"/>
  <c r="H208" i="4"/>
  <c r="H208" i="5" s="1"/>
  <c r="J208" i="6" s="1"/>
  <c r="P201" i="4"/>
  <c r="P201" i="5" s="1"/>
  <c r="R201" i="6" s="1"/>
  <c r="F197" i="4"/>
  <c r="F197" i="5" s="1"/>
  <c r="H197" i="6" s="1"/>
  <c r="Y192" i="4"/>
  <c r="Y192" i="5" s="1"/>
  <c r="AA192" i="6" s="1"/>
  <c r="O187" i="4"/>
  <c r="O187" i="5" s="1"/>
  <c r="Q187" i="6" s="1"/>
  <c r="T183" i="4"/>
  <c r="T183" i="5" s="1"/>
  <c r="V183" i="6" s="1"/>
  <c r="AD180" i="4"/>
  <c r="AD180" i="5" s="1"/>
  <c r="AF180" i="6" s="1"/>
  <c r="T176" i="4"/>
  <c r="T176" i="5" s="1"/>
  <c r="V176" i="6" s="1"/>
  <c r="T173" i="4"/>
  <c r="T173" i="5" s="1"/>
  <c r="V173" i="6" s="1"/>
  <c r="AD152" i="4"/>
  <c r="AD152" i="5" s="1"/>
  <c r="AF152" i="6" s="1"/>
  <c r="J148" i="4"/>
  <c r="J148" i="5" s="1"/>
  <c r="L148" i="6" s="1"/>
  <c r="T145" i="4"/>
  <c r="T145" i="5" s="1"/>
  <c r="V145" i="6" s="1"/>
  <c r="E142" i="4"/>
  <c r="E142" i="5" s="1"/>
  <c r="G142" i="6" s="1"/>
  <c r="AE139" i="4"/>
  <c r="AE139" i="5" s="1"/>
  <c r="AG139" i="6" s="1"/>
  <c r="AE137" i="4"/>
  <c r="AE137" i="5" s="1"/>
  <c r="AG137" i="6" s="1"/>
  <c r="AC136" i="4"/>
  <c r="AC136" i="5" s="1"/>
  <c r="AE136" i="6" s="1"/>
  <c r="AA135" i="4"/>
  <c r="AA135" i="5" s="1"/>
  <c r="AC135" i="6" s="1"/>
  <c r="Y134" i="4"/>
  <c r="Y134" i="5" s="1"/>
  <c r="AA134" i="6" s="1"/>
  <c r="Y131" i="4"/>
  <c r="Y131" i="5" s="1"/>
  <c r="AA131" i="6" s="1"/>
  <c r="U129" i="4"/>
  <c r="U129" i="5" s="1"/>
  <c r="W129" i="6" s="1"/>
  <c r="AE127" i="4"/>
  <c r="AE127" i="5" s="1"/>
  <c r="AG127" i="6" s="1"/>
  <c r="AA126" i="4"/>
  <c r="AA126" i="5" s="1"/>
  <c r="AC126" i="6" s="1"/>
  <c r="AA125" i="4"/>
  <c r="AA125" i="5" s="1"/>
  <c r="AC125" i="6" s="1"/>
  <c r="AA124" i="4"/>
  <c r="AA124" i="5" s="1"/>
  <c r="AC124" i="6" s="1"/>
  <c r="M123" i="4"/>
  <c r="M123" i="5" s="1"/>
  <c r="O123" i="6" s="1"/>
  <c r="M122" i="4"/>
  <c r="M122" i="5" s="1"/>
  <c r="O122" i="6" s="1"/>
  <c r="M121" i="4"/>
  <c r="M121" i="5" s="1"/>
  <c r="O121" i="6" s="1"/>
  <c r="I120" i="4"/>
  <c r="I120" i="5" s="1"/>
  <c r="K120" i="6" s="1"/>
  <c r="I119" i="4"/>
  <c r="I119" i="5" s="1"/>
  <c r="K119" i="6" s="1"/>
  <c r="I118" i="4"/>
  <c r="I118" i="5" s="1"/>
  <c r="K118" i="6" s="1"/>
  <c r="M117" i="4"/>
  <c r="M117" i="5" s="1"/>
  <c r="O117" i="6" s="1"/>
  <c r="AA116" i="4"/>
  <c r="AA116" i="5" s="1"/>
  <c r="AC116" i="6" s="1"/>
  <c r="AE115" i="4"/>
  <c r="AE115" i="5" s="1"/>
  <c r="AG115" i="6" s="1"/>
  <c r="E115" i="4"/>
  <c r="E115" i="5" s="1"/>
  <c r="G115" i="6" s="1"/>
  <c r="I112" i="4"/>
  <c r="I112" i="5" s="1"/>
  <c r="K112" i="6" s="1"/>
  <c r="M110" i="4"/>
  <c r="M110" i="5" s="1"/>
  <c r="O110" i="6" s="1"/>
  <c r="G109" i="4"/>
  <c r="G109" i="5" s="1"/>
  <c r="I109" i="6" s="1"/>
  <c r="K107" i="4"/>
  <c r="K107" i="5" s="1"/>
  <c r="M107" i="6" s="1"/>
  <c r="E106" i="4"/>
  <c r="E106" i="5" s="1"/>
  <c r="G106" i="6" s="1"/>
  <c r="I104" i="4"/>
  <c r="I104" i="5" s="1"/>
  <c r="K104" i="6" s="1"/>
  <c r="M102" i="4"/>
  <c r="M102" i="5" s="1"/>
  <c r="O102" i="6" s="1"/>
  <c r="G101" i="4"/>
  <c r="G101" i="5" s="1"/>
  <c r="I101" i="6" s="1"/>
  <c r="U98" i="4"/>
  <c r="U98" i="5" s="1"/>
  <c r="W98" i="6" s="1"/>
  <c r="O97" i="4"/>
  <c r="O97" i="5" s="1"/>
  <c r="Q97" i="6" s="1"/>
  <c r="S95" i="4"/>
  <c r="S95" i="5" s="1"/>
  <c r="U95" i="6" s="1"/>
  <c r="W93" i="4"/>
  <c r="W93" i="5" s="1"/>
  <c r="Y93" i="6" s="1"/>
  <c r="Q92" i="4"/>
  <c r="Q92" i="5" s="1"/>
  <c r="S92" i="6" s="1"/>
  <c r="U90" i="4"/>
  <c r="U90" i="5" s="1"/>
  <c r="W90" i="6" s="1"/>
  <c r="O89" i="4"/>
  <c r="O89" i="5" s="1"/>
  <c r="Q89" i="6" s="1"/>
  <c r="S87" i="4"/>
  <c r="S87" i="5" s="1"/>
  <c r="U87" i="6" s="1"/>
  <c r="W85" i="4"/>
  <c r="W85" i="5" s="1"/>
  <c r="Y85" i="6" s="1"/>
  <c r="Q84" i="4"/>
  <c r="Q84" i="5" s="1"/>
  <c r="S84" i="6" s="1"/>
  <c r="P81" i="4"/>
  <c r="P81" i="5" s="1"/>
  <c r="R81" i="6" s="1"/>
  <c r="E80" i="4"/>
  <c r="E80" i="5" s="1"/>
  <c r="G80" i="6" s="1"/>
  <c r="N78" i="4"/>
  <c r="N78" i="5" s="1"/>
  <c r="P78" i="6" s="1"/>
  <c r="M77" i="4"/>
  <c r="M77" i="5" s="1"/>
  <c r="O77" i="6" s="1"/>
  <c r="Q76" i="4"/>
  <c r="Q76" i="5" s="1"/>
  <c r="S76" i="6" s="1"/>
  <c r="U75" i="4"/>
  <c r="U75" i="5" s="1"/>
  <c r="W75" i="6" s="1"/>
  <c r="E75" i="4"/>
  <c r="E75" i="5" s="1"/>
  <c r="G75" i="6" s="1"/>
  <c r="W80" i="4"/>
  <c r="W80" i="5" s="1"/>
  <c r="Y80" i="6" s="1"/>
  <c r="S78" i="4"/>
  <c r="S78" i="5" s="1"/>
  <c r="U78" i="6" s="1"/>
  <c r="G79" i="4"/>
  <c r="G79" i="5" s="1"/>
  <c r="I79" i="6" s="1"/>
  <c r="W49" i="4"/>
  <c r="W49" i="5" s="1"/>
  <c r="Y49" i="6" s="1"/>
  <c r="G49" i="4"/>
  <c r="G49" i="5" s="1"/>
  <c r="I49" i="6" s="1"/>
  <c r="U48" i="4"/>
  <c r="U48" i="5" s="1"/>
  <c r="W48" i="6" s="1"/>
  <c r="E48" i="4"/>
  <c r="E48" i="5" s="1"/>
  <c r="G48" i="6" s="1"/>
  <c r="S47" i="4"/>
  <c r="S47" i="5" s="1"/>
  <c r="U47" i="6" s="1"/>
  <c r="AG45" i="4"/>
  <c r="AG45" i="5" s="1"/>
  <c r="AI45" i="6" s="1"/>
  <c r="Q45" i="4"/>
  <c r="Q45" i="5" s="1"/>
  <c r="S45" i="6" s="1"/>
  <c r="AE44" i="4"/>
  <c r="AE44" i="5" s="1"/>
  <c r="AG44" i="6" s="1"/>
  <c r="E284" i="4"/>
  <c r="E284" i="5" s="1"/>
  <c r="G284" i="6" s="1"/>
  <c r="I242" i="4"/>
  <c r="I242" i="5" s="1"/>
  <c r="K242" i="6" s="1"/>
  <c r="W225" i="4"/>
  <c r="W225" i="5" s="1"/>
  <c r="Y225" i="6" s="1"/>
  <c r="V219" i="4"/>
  <c r="V219" i="5" s="1"/>
  <c r="X219" i="6" s="1"/>
  <c r="Z216" i="4"/>
  <c r="Z216" i="5" s="1"/>
  <c r="AB216" i="6" s="1"/>
  <c r="X212" i="4"/>
  <c r="X212" i="5" s="1"/>
  <c r="Z212" i="6" s="1"/>
  <c r="AF209" i="4"/>
  <c r="AF209" i="5" s="1"/>
  <c r="AH209" i="6" s="1"/>
  <c r="AB229" i="4"/>
  <c r="AB229" i="5" s="1"/>
  <c r="AD229" i="6" s="1"/>
  <c r="P222" i="4"/>
  <c r="P222" i="5" s="1"/>
  <c r="R222" i="6" s="1"/>
  <c r="N217" i="4"/>
  <c r="N217" i="5" s="1"/>
  <c r="P217" i="6" s="1"/>
  <c r="L215" i="4"/>
  <c r="L215" i="5" s="1"/>
  <c r="N215" i="6" s="1"/>
  <c r="J214" i="4"/>
  <c r="J214" i="5" s="1"/>
  <c r="L214" i="6" s="1"/>
  <c r="R210" i="4"/>
  <c r="R210" i="5" s="1"/>
  <c r="T210" i="6" s="1"/>
  <c r="F209" i="4"/>
  <c r="F209" i="5" s="1"/>
  <c r="H209" i="6" s="1"/>
  <c r="D208" i="4"/>
  <c r="D208" i="5" s="1"/>
  <c r="F208" i="6" s="1"/>
  <c r="Z200" i="4"/>
  <c r="Z200" i="5" s="1"/>
  <c r="AB200" i="6" s="1"/>
  <c r="Z196" i="4"/>
  <c r="Z196" i="5" s="1"/>
  <c r="AB196" i="6" s="1"/>
  <c r="E192" i="4"/>
  <c r="E192" i="5" s="1"/>
  <c r="G192" i="6" s="1"/>
  <c r="AD185" i="4"/>
  <c r="AD185" i="5" s="1"/>
  <c r="AF185" i="6" s="1"/>
  <c r="J183" i="4"/>
  <c r="J183" i="5" s="1"/>
  <c r="L183" i="6" s="1"/>
  <c r="T180" i="4"/>
  <c r="T180" i="5" s="1"/>
  <c r="V180" i="6" s="1"/>
  <c r="AD175" i="4"/>
  <c r="AD175" i="5" s="1"/>
  <c r="AF175" i="6" s="1"/>
  <c r="J173" i="4"/>
  <c r="J173" i="5" s="1"/>
  <c r="L173" i="6" s="1"/>
  <c r="T152" i="4"/>
  <c r="T152" i="5" s="1"/>
  <c r="V152" i="6" s="1"/>
  <c r="AD147" i="4"/>
  <c r="AD147" i="5" s="1"/>
  <c r="AF147" i="6" s="1"/>
  <c r="J145" i="4"/>
  <c r="J145" i="5" s="1"/>
  <c r="L145" i="6" s="1"/>
  <c r="Z141" i="4"/>
  <c r="Z141" i="5" s="1"/>
  <c r="AB141" i="6" s="1"/>
  <c r="X139" i="4"/>
  <c r="X139" i="5" s="1"/>
  <c r="Z139" i="6" s="1"/>
  <c r="AA137" i="4"/>
  <c r="AA137" i="5" s="1"/>
  <c r="AC137" i="6" s="1"/>
  <c r="Y136" i="4"/>
  <c r="Y136" i="5" s="1"/>
  <c r="AA136" i="6" s="1"/>
  <c r="W135" i="4"/>
  <c r="W135" i="5" s="1"/>
  <c r="Y135" i="6" s="1"/>
  <c r="U134" i="4"/>
  <c r="U134" i="5" s="1"/>
  <c r="W134" i="6" s="1"/>
  <c r="Q131" i="4"/>
  <c r="Q131" i="5" s="1"/>
  <c r="S131" i="6" s="1"/>
  <c r="Q129" i="4"/>
  <c r="Q129" i="5" s="1"/>
  <c r="S129" i="6" s="1"/>
  <c r="M127" i="4"/>
  <c r="M127" i="5" s="1"/>
  <c r="O127" i="6" s="1"/>
  <c r="M126" i="4"/>
  <c r="M126" i="5" s="1"/>
  <c r="O126" i="6" s="1"/>
  <c r="M125" i="4"/>
  <c r="M125" i="5" s="1"/>
  <c r="O125" i="6" s="1"/>
  <c r="I124" i="4"/>
  <c r="I124" i="5" s="1"/>
  <c r="K124" i="6" s="1"/>
  <c r="I123" i="4"/>
  <c r="I123" i="5" s="1"/>
  <c r="K123" i="6" s="1"/>
  <c r="I122" i="4"/>
  <c r="I122" i="5" s="1"/>
  <c r="K122" i="6" s="1"/>
  <c r="E121" i="4"/>
  <c r="E121" i="5" s="1"/>
  <c r="G121" i="6" s="1"/>
  <c r="E120" i="4"/>
  <c r="E120" i="5" s="1"/>
  <c r="G120" i="6" s="1"/>
  <c r="E119" i="4"/>
  <c r="E119" i="5" s="1"/>
  <c r="G119" i="6" s="1"/>
  <c r="E118" i="4"/>
  <c r="E118" i="5" s="1"/>
  <c r="G118" i="6" s="1"/>
  <c r="I117" i="4"/>
  <c r="I117" i="5" s="1"/>
  <c r="K117" i="6" s="1"/>
  <c r="M116" i="4"/>
  <c r="M116" i="5" s="1"/>
  <c r="O116" i="6" s="1"/>
  <c r="AA115" i="4"/>
  <c r="AA115" i="5" s="1"/>
  <c r="AC115" i="6" s="1"/>
  <c r="K113" i="4"/>
  <c r="K113" i="5" s="1"/>
  <c r="M113" i="6" s="1"/>
  <c r="E112" i="4"/>
  <c r="E112" i="5" s="1"/>
  <c r="G112" i="6" s="1"/>
  <c r="I110" i="4"/>
  <c r="I110" i="5" s="1"/>
  <c r="K110" i="6" s="1"/>
  <c r="M108" i="4"/>
  <c r="M108" i="5" s="1"/>
  <c r="O108" i="6" s="1"/>
  <c r="G107" i="4"/>
  <c r="G107" i="5" s="1"/>
  <c r="I107" i="6" s="1"/>
  <c r="K105" i="4"/>
  <c r="K105" i="5" s="1"/>
  <c r="M105" i="6" s="1"/>
  <c r="E104" i="4"/>
  <c r="E104" i="5" s="1"/>
  <c r="G104" i="6" s="1"/>
  <c r="I102" i="4"/>
  <c r="I102" i="5" s="1"/>
  <c r="K102" i="6" s="1"/>
  <c r="W99" i="4"/>
  <c r="W99" i="5" s="1"/>
  <c r="Y99" i="6" s="1"/>
  <c r="Q98" i="4"/>
  <c r="Q98" i="5" s="1"/>
  <c r="S98" i="6" s="1"/>
  <c r="U96" i="4"/>
  <c r="U96" i="5" s="1"/>
  <c r="W96" i="6" s="1"/>
  <c r="O95" i="4"/>
  <c r="O95" i="5" s="1"/>
  <c r="Q95" i="6" s="1"/>
  <c r="S93" i="4"/>
  <c r="S93" i="5" s="1"/>
  <c r="U93" i="6" s="1"/>
  <c r="W91" i="4"/>
  <c r="W91" i="5" s="1"/>
  <c r="Y91" i="6" s="1"/>
  <c r="Q90" i="4"/>
  <c r="Q90" i="5" s="1"/>
  <c r="S90" i="6" s="1"/>
  <c r="U88" i="4"/>
  <c r="U88" i="5" s="1"/>
  <c r="W88" i="6" s="1"/>
  <c r="O87" i="4"/>
  <c r="O87" i="5" s="1"/>
  <c r="Q87" i="6" s="1"/>
  <c r="S85" i="4"/>
  <c r="S85" i="5" s="1"/>
  <c r="U85" i="6" s="1"/>
  <c r="U82" i="4"/>
  <c r="U82" i="5" s="1"/>
  <c r="W82" i="6" s="1"/>
  <c r="J81" i="4"/>
  <c r="J81" i="5" s="1"/>
  <c r="L81" i="6" s="1"/>
  <c r="P79" i="4"/>
  <c r="P79" i="5" s="1"/>
  <c r="R79" i="6" s="1"/>
  <c r="E78" i="4"/>
  <c r="E78" i="5" s="1"/>
  <c r="G78" i="6" s="1"/>
  <c r="I77" i="4"/>
  <c r="I77" i="5" s="1"/>
  <c r="K77" i="6" s="1"/>
  <c r="M76" i="4"/>
  <c r="M76" i="5" s="1"/>
  <c r="O76" i="6" s="1"/>
  <c r="Q75" i="4"/>
  <c r="Q75" i="5" s="1"/>
  <c r="S75" i="6" s="1"/>
  <c r="S82" i="4"/>
  <c r="S82" i="5" s="1"/>
  <c r="U82" i="6" s="1"/>
  <c r="Q80" i="4"/>
  <c r="Q80" i="5" s="1"/>
  <c r="S80" i="6" s="1"/>
  <c r="L78" i="4"/>
  <c r="L78" i="5" s="1"/>
  <c r="N78" i="6" s="1"/>
  <c r="M71" i="4"/>
  <c r="M71" i="5" s="1"/>
  <c r="O71" i="6" s="1"/>
  <c r="S49" i="4"/>
  <c r="S49" i="5" s="1"/>
  <c r="U49" i="6" s="1"/>
  <c r="AG48" i="4"/>
  <c r="AG48" i="5" s="1"/>
  <c r="AI48" i="6" s="1"/>
  <c r="Q48" i="4"/>
  <c r="Q48" i="5" s="1"/>
  <c r="S48" i="6" s="1"/>
  <c r="AE47" i="4"/>
  <c r="AE47" i="5" s="1"/>
  <c r="AG47" i="6" s="1"/>
  <c r="O47" i="4"/>
  <c r="O47" i="5" s="1"/>
  <c r="Q47" i="6" s="1"/>
  <c r="AC45" i="4"/>
  <c r="AC45" i="5" s="1"/>
  <c r="AE45" i="6" s="1"/>
  <c r="M45" i="4"/>
  <c r="M45" i="5" s="1"/>
  <c r="O45" i="6" s="1"/>
  <c r="AA44" i="4"/>
  <c r="AA44" i="5" s="1"/>
  <c r="AC44" i="6" s="1"/>
  <c r="R35" i="5"/>
  <c r="T35" i="6" s="1"/>
  <c r="Q39" i="5"/>
  <c r="S39" i="6" s="1"/>
  <c r="N40" i="5"/>
  <c r="P40" i="6" s="1"/>
  <c r="G44" i="5"/>
  <c r="I44" i="6" s="1"/>
  <c r="AC48" i="5"/>
  <c r="AE48" i="6" s="1"/>
  <c r="K66" i="5"/>
  <c r="M66" i="6" s="1"/>
  <c r="H211" i="5"/>
  <c r="J211" i="6" s="1"/>
  <c r="I75" i="5"/>
  <c r="K75" i="6" s="1"/>
  <c r="O99" i="5"/>
  <c r="Q99" i="6" s="1"/>
  <c r="AA121" i="5"/>
  <c r="AC121" i="6" s="1"/>
  <c r="T174" i="5"/>
  <c r="V174" i="6" s="1"/>
  <c r="AG223" i="5"/>
  <c r="AI223" i="6" s="1"/>
  <c r="AF560" i="4"/>
  <c r="AD560" i="4"/>
  <c r="AA560" i="4"/>
  <c r="X560" i="4"/>
  <c r="Z303" i="4"/>
  <c r="Z303" i="5" s="1"/>
  <c r="AB303" i="6" s="1"/>
  <c r="J249" i="4"/>
  <c r="M249" i="4"/>
  <c r="M249" i="5" s="1"/>
  <c r="O249" i="6" s="1"/>
  <c r="L249" i="4"/>
  <c r="L249" i="5" s="1"/>
  <c r="N249" i="6" s="1"/>
  <c r="H249" i="4"/>
  <c r="H249" i="5" s="1"/>
  <c r="J249" i="6" s="1"/>
  <c r="D249" i="4"/>
  <c r="K249" i="4"/>
  <c r="K249" i="5" s="1"/>
  <c r="M249" i="6" s="1"/>
  <c r="G249" i="4"/>
  <c r="G249" i="5" s="1"/>
  <c r="I249" i="6" s="1"/>
  <c r="F249" i="4"/>
  <c r="F249" i="5" s="1"/>
  <c r="H249" i="6" s="1"/>
  <c r="I249" i="4"/>
  <c r="E249" i="4"/>
  <c r="E249" i="5" s="1"/>
  <c r="G249" i="6" s="1"/>
  <c r="L338" i="4"/>
  <c r="L333" i="4"/>
  <c r="L333" i="5" s="1"/>
  <c r="N333" i="6" s="1"/>
  <c r="M328" i="4"/>
  <c r="AB325" i="4"/>
  <c r="G325" i="4"/>
  <c r="G321" i="4"/>
  <c r="G321" i="5" s="1"/>
  <c r="I321" i="6" s="1"/>
  <c r="S311" i="4"/>
  <c r="S311" i="5" s="1"/>
  <c r="U311" i="6" s="1"/>
  <c r="I311" i="4"/>
  <c r="AC303" i="4"/>
  <c r="T221" i="4"/>
  <c r="T221" i="5" s="1"/>
  <c r="V221" i="6" s="1"/>
  <c r="P221" i="4"/>
  <c r="L221" i="4"/>
  <c r="H221" i="4"/>
  <c r="H221" i="5" s="1"/>
  <c r="J221" i="6" s="1"/>
  <c r="D221" i="4"/>
  <c r="D221" i="5" s="1"/>
  <c r="F221" i="6" s="1"/>
  <c r="AG303" i="4"/>
  <c r="R221" i="4"/>
  <c r="J221" i="4"/>
  <c r="D338" i="4"/>
  <c r="J325" i="4"/>
  <c r="U311" i="4"/>
  <c r="AE303" i="4"/>
  <c r="AE303" i="5" s="1"/>
  <c r="AG303" i="6" s="1"/>
  <c r="Q221" i="4"/>
  <c r="I221" i="4"/>
  <c r="J338" i="4"/>
  <c r="J333" i="4"/>
  <c r="J333" i="5" s="1"/>
  <c r="L333" i="6" s="1"/>
  <c r="K328" i="4"/>
  <c r="K328" i="5" s="1"/>
  <c r="M328" i="6" s="1"/>
  <c r="Y325" i="4"/>
  <c r="D325" i="4"/>
  <c r="D321" i="4"/>
  <c r="P311" i="4"/>
  <c r="P311" i="5" s="1"/>
  <c r="R311" i="6" s="1"/>
  <c r="F311" i="4"/>
  <c r="F311" i="5" s="1"/>
  <c r="H311" i="6" s="1"/>
  <c r="W221" i="4"/>
  <c r="S221" i="4"/>
  <c r="O221" i="4"/>
  <c r="K221" i="4"/>
  <c r="G221" i="4"/>
  <c r="G338" i="4"/>
  <c r="G333" i="4"/>
  <c r="G333" i="5" s="1"/>
  <c r="I333" i="6" s="1"/>
  <c r="I328" i="4"/>
  <c r="L325" i="4"/>
  <c r="L321" i="4"/>
  <c r="W311" i="4"/>
  <c r="W311" i="5" s="1"/>
  <c r="Y311" i="6" s="1"/>
  <c r="M311" i="4"/>
  <c r="V221" i="4"/>
  <c r="N221" i="4"/>
  <c r="F221" i="4"/>
  <c r="D333" i="4"/>
  <c r="F328" i="4"/>
  <c r="J321" i="4"/>
  <c r="J321" i="5" s="1"/>
  <c r="L321" i="6" s="1"/>
  <c r="K311" i="4"/>
  <c r="U221" i="4"/>
  <c r="U221" i="5" s="1"/>
  <c r="W221" i="6" s="1"/>
  <c r="M221" i="4"/>
  <c r="E221" i="4"/>
  <c r="E221" i="5" s="1"/>
  <c r="G221" i="6" s="1"/>
  <c r="O246" i="4"/>
  <c r="O246" i="5" s="1"/>
  <c r="Q246" i="6" s="1"/>
  <c r="S246" i="4"/>
  <c r="N246" i="4"/>
  <c r="P246" i="4"/>
  <c r="T246" i="4"/>
  <c r="T246" i="5" s="1"/>
  <c r="V246" i="6" s="1"/>
  <c r="Q246" i="4"/>
  <c r="U246" i="4"/>
  <c r="W246" i="4"/>
  <c r="R246" i="4"/>
  <c r="R246" i="5" s="1"/>
  <c r="T246" i="6" s="1"/>
  <c r="V246" i="4"/>
  <c r="AG71" i="4"/>
  <c r="AC71" i="4"/>
  <c r="Y71" i="4"/>
  <c r="AE66" i="4"/>
  <c r="AA66" i="4"/>
  <c r="U71" i="4"/>
  <c r="Q71" i="4"/>
  <c r="W66" i="4"/>
  <c r="S66" i="4"/>
  <c r="O66" i="4"/>
  <c r="T67" i="4"/>
  <c r="T67" i="5" s="1"/>
  <c r="V67" i="6" s="1"/>
  <c r="P67" i="4"/>
  <c r="V62" i="4"/>
  <c r="R62" i="4"/>
  <c r="Y51" i="4"/>
  <c r="AC51" i="4"/>
  <c r="AG51" i="4"/>
  <c r="Y55" i="4"/>
  <c r="AC55" i="4"/>
  <c r="AG55" i="4"/>
  <c r="Q51" i="4"/>
  <c r="U51" i="4"/>
  <c r="P52" i="4"/>
  <c r="T52" i="4"/>
  <c r="O53" i="4"/>
  <c r="S53" i="4"/>
  <c r="W53" i="4"/>
  <c r="R54" i="4"/>
  <c r="V54" i="4"/>
  <c r="Q55" i="4"/>
  <c r="U55" i="4"/>
  <c r="N54" i="4"/>
  <c r="E51" i="4"/>
  <c r="I51" i="4"/>
  <c r="M51" i="4"/>
  <c r="E55" i="4"/>
  <c r="I55" i="4"/>
  <c r="M55" i="4"/>
  <c r="V51" i="4"/>
  <c r="P53" i="4"/>
  <c r="O54" i="4"/>
  <c r="S54" i="4"/>
  <c r="R55" i="4"/>
  <c r="R55" i="5" s="1"/>
  <c r="T55" i="6" s="1"/>
  <c r="N53" i="4"/>
  <c r="F55" i="4"/>
  <c r="D55" i="4"/>
  <c r="R71" i="4"/>
  <c r="U67" i="4"/>
  <c r="W62" i="4"/>
  <c r="AF51" i="4"/>
  <c r="P51" i="4"/>
  <c r="S52" i="4"/>
  <c r="R53" i="4"/>
  <c r="U54" i="4"/>
  <c r="N55" i="4"/>
  <c r="L51" i="4"/>
  <c r="AF71" i="4"/>
  <c r="AB71" i="4"/>
  <c r="X71" i="4"/>
  <c r="AD66" i="4"/>
  <c r="Z66" i="4"/>
  <c r="T71" i="4"/>
  <c r="P71" i="4"/>
  <c r="P71" i="5" s="1"/>
  <c r="R71" i="6" s="1"/>
  <c r="V66" i="4"/>
  <c r="R66" i="4"/>
  <c r="W67" i="4"/>
  <c r="S67" i="4"/>
  <c r="O67" i="4"/>
  <c r="U62" i="4"/>
  <c r="Q62" i="4"/>
  <c r="Z51" i="4"/>
  <c r="Z51" i="5" s="1"/>
  <c r="AB51" i="6" s="1"/>
  <c r="AD51" i="4"/>
  <c r="AD51" i="5" s="1"/>
  <c r="AF51" i="6" s="1"/>
  <c r="Z55" i="4"/>
  <c r="AD55" i="4"/>
  <c r="X55" i="4"/>
  <c r="X51" i="4"/>
  <c r="R51" i="4"/>
  <c r="Q52" i="4"/>
  <c r="U52" i="4"/>
  <c r="T53" i="4"/>
  <c r="W54" i="4"/>
  <c r="V55" i="4"/>
  <c r="F51" i="4"/>
  <c r="F51" i="5" s="1"/>
  <c r="H51" i="6" s="1"/>
  <c r="J51" i="4"/>
  <c r="J51" i="5" s="1"/>
  <c r="L51" i="6" s="1"/>
  <c r="J55" i="4"/>
  <c r="D51" i="4"/>
  <c r="D51" i="5" s="1"/>
  <c r="F51" i="6" s="1"/>
  <c r="T66" i="4"/>
  <c r="Q67" i="4"/>
  <c r="O62" i="4"/>
  <c r="AF55" i="4"/>
  <c r="T51" i="4"/>
  <c r="T51" i="5" s="1"/>
  <c r="V51" i="6" s="1"/>
  <c r="W52" i="4"/>
  <c r="Q54" i="4"/>
  <c r="P55" i="4"/>
  <c r="N51" i="4"/>
  <c r="H55" i="4"/>
  <c r="AE71" i="4"/>
  <c r="AA71" i="4"/>
  <c r="AG66" i="4"/>
  <c r="AC66" i="4"/>
  <c r="Y66" i="4"/>
  <c r="W71" i="4"/>
  <c r="S71" i="4"/>
  <c r="S71" i="5" s="1"/>
  <c r="U71" i="6" s="1"/>
  <c r="O71" i="4"/>
  <c r="U66" i="4"/>
  <c r="Q66" i="4"/>
  <c r="V67" i="4"/>
  <c r="V67" i="5" s="1"/>
  <c r="X67" i="6" s="1"/>
  <c r="R67" i="4"/>
  <c r="N67" i="4"/>
  <c r="T62" i="4"/>
  <c r="P62" i="4"/>
  <c r="AA51" i="4"/>
  <c r="AE51" i="4"/>
  <c r="AA55" i="4"/>
  <c r="AE55" i="4"/>
  <c r="O51" i="4"/>
  <c r="S51" i="4"/>
  <c r="W51" i="4"/>
  <c r="R52" i="4"/>
  <c r="V52" i="4"/>
  <c r="V52" i="5" s="1"/>
  <c r="X52" i="6" s="1"/>
  <c r="Q53" i="4"/>
  <c r="U53" i="4"/>
  <c r="P54" i="4"/>
  <c r="T54" i="4"/>
  <c r="T54" i="5" s="1"/>
  <c r="V54" i="6" s="1"/>
  <c r="O55" i="4"/>
  <c r="S55" i="4"/>
  <c r="W55" i="4"/>
  <c r="W55" i="5" s="1"/>
  <c r="Y55" i="6" s="1"/>
  <c r="N52" i="4"/>
  <c r="G51" i="4"/>
  <c r="K51" i="4"/>
  <c r="G55" i="4"/>
  <c r="K55" i="4"/>
  <c r="AD71" i="4"/>
  <c r="Z71" i="4"/>
  <c r="AF66" i="4"/>
  <c r="AB66" i="4"/>
  <c r="V71" i="4"/>
  <c r="N71" i="4"/>
  <c r="P66" i="4"/>
  <c r="P66" i="5" s="1"/>
  <c r="R66" i="6" s="1"/>
  <c r="S62" i="4"/>
  <c r="AB51" i="4"/>
  <c r="AB55" i="4"/>
  <c r="O52" i="4"/>
  <c r="V53" i="4"/>
  <c r="T55" i="4"/>
  <c r="H51" i="4"/>
  <c r="L55" i="4"/>
  <c r="P337" i="4"/>
  <c r="F572" i="4"/>
  <c r="J572" i="4"/>
  <c r="N572" i="4"/>
  <c r="R572" i="4"/>
  <c r="V572" i="4"/>
  <c r="Z572" i="4"/>
  <c r="Z572" i="5" s="1"/>
  <c r="AB572" i="6" s="1"/>
  <c r="Y49" i="11" s="1"/>
  <c r="Y112" i="11" s="1"/>
  <c r="AD572" i="4"/>
  <c r="E572" i="4"/>
  <c r="X572" i="4"/>
  <c r="X572" i="5" s="1"/>
  <c r="Z572" i="6" s="1"/>
  <c r="W49" i="11" s="1"/>
  <c r="W112" i="11" s="1"/>
  <c r="I572" i="4"/>
  <c r="I572" i="5" s="1"/>
  <c r="K572" i="6" s="1"/>
  <c r="H49" i="11" s="1"/>
  <c r="H112" i="11" s="1"/>
  <c r="Q572" i="4"/>
  <c r="Y572" i="4"/>
  <c r="AG572" i="4"/>
  <c r="G572" i="4"/>
  <c r="G572" i="5" s="1"/>
  <c r="I572" i="6" s="1"/>
  <c r="F49" i="11" s="1"/>
  <c r="F112" i="11" s="1"/>
  <c r="K572" i="4"/>
  <c r="O572" i="4"/>
  <c r="O572" i="5" s="1"/>
  <c r="Q572" i="6" s="1"/>
  <c r="N49" i="11" s="1"/>
  <c r="N112" i="11" s="1"/>
  <c r="S572" i="4"/>
  <c r="W572" i="4"/>
  <c r="W572" i="5" s="1"/>
  <c r="Y572" i="6" s="1"/>
  <c r="V49" i="11" s="1"/>
  <c r="V112" i="11" s="1"/>
  <c r="AA572" i="4"/>
  <c r="AE572" i="4"/>
  <c r="D572" i="4"/>
  <c r="H572" i="4"/>
  <c r="H572" i="5" s="1"/>
  <c r="J572" i="6" s="1"/>
  <c r="G49" i="11" s="1"/>
  <c r="G112" i="11" s="1"/>
  <c r="L572" i="4"/>
  <c r="L572" i="5" s="1"/>
  <c r="N572" i="6" s="1"/>
  <c r="K49" i="11" s="1"/>
  <c r="K112" i="11" s="1"/>
  <c r="P572" i="4"/>
  <c r="P572" i="5" s="1"/>
  <c r="R572" i="6" s="1"/>
  <c r="O49" i="11" s="1"/>
  <c r="O112" i="11" s="1"/>
  <c r="T572" i="4"/>
  <c r="AB572" i="4"/>
  <c r="AB572" i="5" s="1"/>
  <c r="AD572" i="6" s="1"/>
  <c r="AA49" i="11" s="1"/>
  <c r="AA112" i="11" s="1"/>
  <c r="AF572" i="4"/>
  <c r="M572" i="4"/>
  <c r="U572" i="4"/>
  <c r="AC572" i="4"/>
  <c r="AC572" i="5" s="1"/>
  <c r="AE572" i="6" s="1"/>
  <c r="AB49" i="11" s="1"/>
  <c r="AB112" i="11" s="1"/>
  <c r="G217" i="4"/>
  <c r="D217" i="4"/>
  <c r="H217" i="4"/>
  <c r="E217" i="4"/>
  <c r="E217" i="5" s="1"/>
  <c r="G217" i="6" s="1"/>
  <c r="J217" i="4"/>
  <c r="I217" i="4"/>
  <c r="I217" i="5" s="1"/>
  <c r="K217" i="6" s="1"/>
  <c r="F217" i="4"/>
  <c r="C36" i="11"/>
  <c r="C106" i="11" s="1"/>
  <c r="C35" i="11"/>
  <c r="C105" i="11" s="1"/>
  <c r="C27" i="11"/>
  <c r="C97" i="11" s="1"/>
  <c r="C126" i="11" s="1"/>
  <c r="E34" i="4"/>
  <c r="I34" i="4"/>
  <c r="M34" i="4"/>
  <c r="Q34" i="4"/>
  <c r="U34" i="4"/>
  <c r="Y34" i="4"/>
  <c r="AC34" i="4"/>
  <c r="AG34" i="4"/>
  <c r="G35" i="4"/>
  <c r="K35" i="4"/>
  <c r="O35" i="4"/>
  <c r="S35" i="4"/>
  <c r="W35" i="4"/>
  <c r="AA35" i="4"/>
  <c r="AE35" i="4"/>
  <c r="E36" i="4"/>
  <c r="I36" i="4"/>
  <c r="M36" i="4"/>
  <c r="Q36" i="4"/>
  <c r="U36" i="4"/>
  <c r="Y36" i="4"/>
  <c r="AC36" i="4"/>
  <c r="AG36" i="4"/>
  <c r="H38" i="4"/>
  <c r="O38" i="4"/>
  <c r="U38" i="4"/>
  <c r="Y38" i="4"/>
  <c r="AE38" i="4"/>
  <c r="E39" i="4"/>
  <c r="R39" i="4"/>
  <c r="W39" i="4"/>
  <c r="AB39" i="4"/>
  <c r="AG39" i="4"/>
  <c r="H40" i="4"/>
  <c r="O40" i="4"/>
  <c r="U40" i="4"/>
  <c r="Y40" i="4"/>
  <c r="AE40" i="4"/>
  <c r="E43" i="4"/>
  <c r="J43" i="4"/>
  <c r="N43" i="4"/>
  <c r="R43" i="4"/>
  <c r="V43" i="4"/>
  <c r="Z43" i="4"/>
  <c r="AD43" i="4"/>
  <c r="D44" i="4"/>
  <c r="H44" i="4"/>
  <c r="L44" i="4"/>
  <c r="P44" i="4"/>
  <c r="T44" i="4"/>
  <c r="X44" i="4"/>
  <c r="AB44" i="4"/>
  <c r="AF44" i="4"/>
  <c r="F45" i="4"/>
  <c r="J45" i="4"/>
  <c r="N45" i="4"/>
  <c r="R45" i="4"/>
  <c r="V45" i="4"/>
  <c r="Z45" i="4"/>
  <c r="AD45" i="4"/>
  <c r="D47" i="4"/>
  <c r="H47" i="4"/>
  <c r="L47" i="4"/>
  <c r="P47" i="4"/>
  <c r="T47" i="4"/>
  <c r="X47" i="4"/>
  <c r="AB47" i="4"/>
  <c r="AF47" i="4"/>
  <c r="F48" i="4"/>
  <c r="J48" i="4"/>
  <c r="N48" i="4"/>
  <c r="R48" i="4"/>
  <c r="V48" i="4"/>
  <c r="Z48" i="4"/>
  <c r="AD48" i="4"/>
  <c r="D49" i="4"/>
  <c r="H49" i="4"/>
  <c r="L49" i="4"/>
  <c r="P49" i="4"/>
  <c r="T49" i="4"/>
  <c r="X49" i="4"/>
  <c r="AB49" i="4"/>
  <c r="AF49" i="4"/>
  <c r="D66" i="4"/>
  <c r="H66" i="4"/>
  <c r="L66" i="4"/>
  <c r="X66" i="4"/>
  <c r="F71" i="4"/>
  <c r="J71" i="4"/>
  <c r="G78" i="4"/>
  <c r="H79" i="4"/>
  <c r="I80" i="4"/>
  <c r="G82" i="4"/>
  <c r="M78" i="4"/>
  <c r="V78" i="4"/>
  <c r="Q79" i="4"/>
  <c r="W79" i="4"/>
  <c r="R80" i="4"/>
  <c r="L81" i="4"/>
  <c r="S81" i="4"/>
  <c r="M82" i="4"/>
  <c r="V82" i="4"/>
  <c r="F75" i="4"/>
  <c r="J75" i="4"/>
  <c r="N75" i="4"/>
  <c r="R75" i="4"/>
  <c r="V75" i="4"/>
  <c r="F76" i="4"/>
  <c r="J76" i="4"/>
  <c r="N76" i="4"/>
  <c r="R76" i="4"/>
  <c r="V76" i="4"/>
  <c r="F77" i="4"/>
  <c r="J77" i="4"/>
  <c r="N77" i="4"/>
  <c r="R77" i="4"/>
  <c r="V77" i="4"/>
  <c r="F78" i="4"/>
  <c r="O78" i="4"/>
  <c r="D79" i="4"/>
  <c r="K79" i="4"/>
  <c r="T79" i="4"/>
  <c r="F80" i="4"/>
  <c r="O80" i="4"/>
  <c r="D81" i="4"/>
  <c r="K81" i="4"/>
  <c r="T81" i="4"/>
  <c r="F82" i="4"/>
  <c r="O82" i="4"/>
  <c r="N84" i="4"/>
  <c r="R84" i="4"/>
  <c r="V84" i="4"/>
  <c r="P85" i="4"/>
  <c r="T85" i="4"/>
  <c r="N86" i="4"/>
  <c r="R86" i="4"/>
  <c r="V86" i="4"/>
  <c r="P87" i="4"/>
  <c r="T87" i="4"/>
  <c r="N88" i="4"/>
  <c r="R88" i="4"/>
  <c r="V88" i="4"/>
  <c r="P89" i="4"/>
  <c r="T89" i="4"/>
  <c r="N90" i="4"/>
  <c r="R90" i="4"/>
  <c r="V90" i="4"/>
  <c r="P91" i="4"/>
  <c r="T91" i="4"/>
  <c r="N92" i="4"/>
  <c r="R92" i="4"/>
  <c r="V92" i="4"/>
  <c r="P93" i="4"/>
  <c r="T93" i="4"/>
  <c r="N94" i="4"/>
  <c r="R94" i="4"/>
  <c r="V94" i="4"/>
  <c r="P95" i="4"/>
  <c r="T95" i="4"/>
  <c r="N96" i="4"/>
  <c r="R96" i="4"/>
  <c r="V96" i="4"/>
  <c r="P97" i="4"/>
  <c r="T97" i="4"/>
  <c r="N98" i="4"/>
  <c r="R98" i="4"/>
  <c r="V98" i="4"/>
  <c r="P99" i="4"/>
  <c r="T99" i="4"/>
  <c r="D101" i="4"/>
  <c r="H101" i="4"/>
  <c r="L101" i="4"/>
  <c r="F102" i="4"/>
  <c r="J102" i="4"/>
  <c r="D103" i="4"/>
  <c r="H103" i="4"/>
  <c r="L103" i="4"/>
  <c r="F104" i="4"/>
  <c r="J104" i="4"/>
  <c r="D105" i="4"/>
  <c r="H105" i="4"/>
  <c r="L105" i="4"/>
  <c r="F106" i="4"/>
  <c r="J106" i="4"/>
  <c r="D107" i="4"/>
  <c r="H107" i="4"/>
  <c r="L107" i="4"/>
  <c r="F108" i="4"/>
  <c r="J108" i="4"/>
  <c r="D109" i="4"/>
  <c r="H109" i="4"/>
  <c r="L109" i="4"/>
  <c r="F110" i="4"/>
  <c r="J110" i="4"/>
  <c r="D111" i="4"/>
  <c r="H111" i="4"/>
  <c r="L111" i="4"/>
  <c r="F112" i="4"/>
  <c r="J112" i="4"/>
  <c r="D113" i="4"/>
  <c r="H113" i="4"/>
  <c r="L113" i="4"/>
  <c r="F115" i="4"/>
  <c r="J115" i="4"/>
  <c r="X115" i="4"/>
  <c r="AB115" i="4"/>
  <c r="AF115" i="4"/>
  <c r="F116" i="4"/>
  <c r="J116" i="4"/>
  <c r="X116" i="4"/>
  <c r="AB116" i="4"/>
  <c r="AF116" i="4"/>
  <c r="F117" i="4"/>
  <c r="J117" i="4"/>
  <c r="X117" i="4"/>
  <c r="AB117" i="4"/>
  <c r="AF117" i="4"/>
  <c r="F118" i="4"/>
  <c r="J118" i="4"/>
  <c r="X118" i="4"/>
  <c r="AB118" i="4"/>
  <c r="AF118" i="4"/>
  <c r="F119" i="4"/>
  <c r="J119" i="4"/>
  <c r="X119" i="4"/>
  <c r="AB119" i="4"/>
  <c r="AF119" i="4"/>
  <c r="F120" i="4"/>
  <c r="J120" i="4"/>
  <c r="X120" i="4"/>
  <c r="AB120" i="4"/>
  <c r="AF120" i="4"/>
  <c r="F121" i="4"/>
  <c r="J121" i="4"/>
  <c r="X121" i="4"/>
  <c r="AB121" i="4"/>
  <c r="AF121" i="4"/>
  <c r="F122" i="4"/>
  <c r="J122" i="4"/>
  <c r="X122" i="4"/>
  <c r="AB122" i="4"/>
  <c r="AF122" i="4"/>
  <c r="F123" i="4"/>
  <c r="J123" i="4"/>
  <c r="X123" i="4"/>
  <c r="AB123" i="4"/>
  <c r="AF123" i="4"/>
  <c r="F124" i="4"/>
  <c r="J124" i="4"/>
  <c r="X124" i="4"/>
  <c r="AB124" i="4"/>
  <c r="AF124" i="4"/>
  <c r="F125" i="4"/>
  <c r="J125" i="4"/>
  <c r="X125" i="4"/>
  <c r="AB125" i="4"/>
  <c r="AF125" i="4"/>
  <c r="F126" i="4"/>
  <c r="J126" i="4"/>
  <c r="X126" i="4"/>
  <c r="AB126" i="4"/>
  <c r="AF126" i="4"/>
  <c r="F127" i="4"/>
  <c r="J127" i="4"/>
  <c r="X127" i="4"/>
  <c r="AB127" i="4"/>
  <c r="AF127" i="4"/>
  <c r="F129" i="4"/>
  <c r="J129" i="4"/>
  <c r="N129" i="4"/>
  <c r="R129" i="4"/>
  <c r="V129" i="4"/>
  <c r="Z129" i="4"/>
  <c r="AD129" i="4"/>
  <c r="F131" i="4"/>
  <c r="J131" i="4"/>
  <c r="N131" i="4"/>
  <c r="R131" i="4"/>
  <c r="V131" i="4"/>
  <c r="Z131" i="4"/>
  <c r="AD131" i="4"/>
  <c r="F134" i="4"/>
  <c r="J134" i="4"/>
  <c r="N134" i="4"/>
  <c r="R134" i="4"/>
  <c r="V134" i="4"/>
  <c r="Z134" i="4"/>
  <c r="AD134" i="4"/>
  <c r="D135" i="4"/>
  <c r="H135" i="4"/>
  <c r="L135" i="4"/>
  <c r="P135" i="4"/>
  <c r="T135" i="4"/>
  <c r="X135" i="4"/>
  <c r="AB135" i="4"/>
  <c r="AF135" i="4"/>
  <c r="F136" i="4"/>
  <c r="J136" i="4"/>
  <c r="N136" i="4"/>
  <c r="R136" i="4"/>
  <c r="V136" i="4"/>
  <c r="Z136" i="4"/>
  <c r="AD136" i="4"/>
  <c r="D137" i="4"/>
  <c r="H137" i="4"/>
  <c r="L137" i="4"/>
  <c r="P137" i="4"/>
  <c r="T137" i="4"/>
  <c r="X137" i="4"/>
  <c r="AB137" i="4"/>
  <c r="AF137" i="4"/>
  <c r="F138" i="4"/>
  <c r="O138" i="4"/>
  <c r="X138" i="4"/>
  <c r="AE138" i="4"/>
  <c r="J139" i="4"/>
  <c r="P139" i="4"/>
  <c r="Y139" i="4"/>
  <c r="D140" i="4"/>
  <c r="K140" i="4"/>
  <c r="T140" i="4"/>
  <c r="Z140" i="4"/>
  <c r="E141" i="4"/>
  <c r="N141" i="4"/>
  <c r="U141" i="4"/>
  <c r="AD141" i="4"/>
  <c r="F142" i="4"/>
  <c r="O142" i="4"/>
  <c r="X142" i="4"/>
  <c r="AE142" i="4"/>
  <c r="L144" i="4"/>
  <c r="V144" i="4"/>
  <c r="AF144" i="4"/>
  <c r="L145" i="4"/>
  <c r="V145" i="4"/>
  <c r="AF145" i="4"/>
  <c r="L146" i="4"/>
  <c r="V146" i="4"/>
  <c r="AF146" i="4"/>
  <c r="L147" i="4"/>
  <c r="V147" i="4"/>
  <c r="AF147" i="4"/>
  <c r="L148" i="4"/>
  <c r="V148" i="4"/>
  <c r="AF148" i="4"/>
  <c r="L151" i="4"/>
  <c r="V151" i="4"/>
  <c r="AF151" i="4"/>
  <c r="L152" i="4"/>
  <c r="V152" i="4"/>
  <c r="AF152" i="4"/>
  <c r="L153" i="4"/>
  <c r="V153" i="4"/>
  <c r="AF153" i="4"/>
  <c r="L154" i="4"/>
  <c r="V154" i="4"/>
  <c r="AF154" i="4"/>
  <c r="L173" i="4"/>
  <c r="V173" i="4"/>
  <c r="AF173" i="4"/>
  <c r="L174" i="4"/>
  <c r="V174" i="4"/>
  <c r="AF174" i="4"/>
  <c r="L175" i="4"/>
  <c r="V175" i="4"/>
  <c r="AF175" i="4"/>
  <c r="V176" i="4"/>
  <c r="L177" i="4"/>
  <c r="AF177" i="4"/>
  <c r="V178" i="4"/>
  <c r="L179" i="4"/>
  <c r="AF179" i="4"/>
  <c r="L180" i="4"/>
  <c r="V180" i="4"/>
  <c r="AF180" i="4"/>
  <c r="L181" i="4"/>
  <c r="V181" i="4"/>
  <c r="AF181" i="4"/>
  <c r="L182" i="4"/>
  <c r="V182" i="4"/>
  <c r="AF182" i="4"/>
  <c r="L183" i="4"/>
  <c r="V183" i="4"/>
  <c r="AF183" i="4"/>
  <c r="L184" i="4"/>
  <c r="V184" i="4"/>
  <c r="AF184" i="4"/>
  <c r="L185" i="4"/>
  <c r="V185" i="4"/>
  <c r="AF185" i="4"/>
  <c r="R187" i="4"/>
  <c r="H188" i="4"/>
  <c r="AB188" i="4"/>
  <c r="R189" i="4"/>
  <c r="H190" i="4"/>
  <c r="AB190" i="4"/>
  <c r="R191" i="4"/>
  <c r="H192" i="4"/>
  <c r="AB192" i="4"/>
  <c r="R193" i="4"/>
  <c r="I195" i="4"/>
  <c r="S195" i="4"/>
  <c r="AC195" i="4"/>
  <c r="I196" i="4"/>
  <c r="S196" i="4"/>
  <c r="AC196" i="4"/>
  <c r="I197" i="4"/>
  <c r="S197" i="4"/>
  <c r="AC197" i="4"/>
  <c r="M198" i="4"/>
  <c r="AG198" i="4"/>
  <c r="S199" i="4"/>
  <c r="I200" i="4"/>
  <c r="AC200" i="4"/>
  <c r="S201" i="4"/>
  <c r="I202" i="4"/>
  <c r="AC202" i="4"/>
  <c r="S203" i="4"/>
  <c r="I204" i="4"/>
  <c r="S204" i="4"/>
  <c r="AC204" i="4"/>
  <c r="E208" i="4"/>
  <c r="I208" i="4"/>
  <c r="M208" i="4"/>
  <c r="Q208" i="4"/>
  <c r="U208" i="4"/>
  <c r="Y208" i="4"/>
  <c r="AC208" i="4"/>
  <c r="AG208" i="4"/>
  <c r="G209" i="4"/>
  <c r="K209" i="4"/>
  <c r="O209" i="4"/>
  <c r="S209" i="4"/>
  <c r="W209" i="4"/>
  <c r="G210" i="4"/>
  <c r="K210" i="4"/>
  <c r="O210" i="4"/>
  <c r="S210" i="4"/>
  <c r="W210" i="4"/>
  <c r="Q211" i="4"/>
  <c r="U211" i="4"/>
  <c r="O212" i="4"/>
  <c r="S212" i="4"/>
  <c r="W212" i="4"/>
  <c r="G214" i="4"/>
  <c r="K214" i="4"/>
  <c r="O214" i="4"/>
  <c r="S214" i="4"/>
  <c r="W214" i="4"/>
  <c r="AA214" i="4"/>
  <c r="AE214" i="4"/>
  <c r="E215" i="4"/>
  <c r="I215" i="4"/>
  <c r="M215" i="4"/>
  <c r="Q215" i="4"/>
  <c r="U215" i="4"/>
  <c r="E216" i="4"/>
  <c r="I216" i="4"/>
  <c r="M216" i="4"/>
  <c r="Q216" i="4"/>
  <c r="U216" i="4"/>
  <c r="O217" i="4"/>
  <c r="S217" i="4"/>
  <c r="W217" i="4"/>
  <c r="Q218" i="4"/>
  <c r="U218" i="4"/>
  <c r="E222" i="4"/>
  <c r="I222" i="4"/>
  <c r="M222" i="4"/>
  <c r="Q222" i="4"/>
  <c r="U222" i="4"/>
  <c r="O224" i="4"/>
  <c r="S224" i="4"/>
  <c r="W224" i="4"/>
  <c r="Q229" i="4"/>
  <c r="U229" i="4"/>
  <c r="Y229" i="4"/>
  <c r="AC229" i="4"/>
  <c r="AG229" i="4"/>
  <c r="G237" i="4"/>
  <c r="K237" i="4"/>
  <c r="E238" i="4"/>
  <c r="I238" i="4"/>
  <c r="M238" i="4"/>
  <c r="E243" i="4"/>
  <c r="I243" i="4"/>
  <c r="M243" i="4"/>
  <c r="Y243" i="4"/>
  <c r="AC243" i="4"/>
  <c r="AG243" i="4"/>
  <c r="G245" i="4"/>
  <c r="K245" i="4"/>
  <c r="Y209" i="4"/>
  <c r="AC209" i="4"/>
  <c r="AG209" i="4"/>
  <c r="AA210" i="4"/>
  <c r="AE210" i="4"/>
  <c r="E211" i="4"/>
  <c r="I211" i="4"/>
  <c r="M211" i="4"/>
  <c r="AA211" i="4"/>
  <c r="AE211" i="4"/>
  <c r="Y212" i="4"/>
  <c r="AC212" i="4"/>
  <c r="AG212" i="4"/>
  <c r="Q213" i="4"/>
  <c r="U213" i="4"/>
  <c r="Y215" i="4"/>
  <c r="AC215" i="4"/>
  <c r="AG215" i="4"/>
  <c r="AA216" i="4"/>
  <c r="AE216" i="4"/>
  <c r="M217" i="4"/>
  <c r="AA217" i="4"/>
  <c r="AE217" i="4"/>
  <c r="Y218" i="4"/>
  <c r="AC218" i="4"/>
  <c r="O219" i="4"/>
  <c r="W219" i="4"/>
  <c r="U220" i="4"/>
  <c r="AC220" i="4"/>
  <c r="AE221" i="4"/>
  <c r="AC222" i="4"/>
  <c r="G223" i="4"/>
  <c r="Y223" i="4"/>
  <c r="Z224" i="4"/>
  <c r="R226" i="4"/>
  <c r="AD227" i="4"/>
  <c r="V230" i="4"/>
  <c r="N234" i="4"/>
  <c r="F236" i="4"/>
  <c r="AB237" i="4"/>
  <c r="AD239" i="4"/>
  <c r="L241" i="4"/>
  <c r="D244" i="4"/>
  <c r="Z245" i="4"/>
  <c r="AC249" i="4"/>
  <c r="AG252" i="4"/>
  <c r="J250" i="4"/>
  <c r="P265" i="4"/>
  <c r="X256" i="4"/>
  <c r="AB285" i="4"/>
  <c r="Z300" i="4"/>
  <c r="K312" i="4"/>
  <c r="L324" i="4"/>
  <c r="L275" i="4"/>
  <c r="AB350" i="4"/>
  <c r="F34" i="4"/>
  <c r="N34" i="4"/>
  <c r="R34" i="4"/>
  <c r="V34" i="4"/>
  <c r="Z34" i="4"/>
  <c r="AD34" i="4"/>
  <c r="D35" i="4"/>
  <c r="H35" i="4"/>
  <c r="L35" i="4"/>
  <c r="P35" i="4"/>
  <c r="T35" i="4"/>
  <c r="X35" i="4"/>
  <c r="AB35" i="4"/>
  <c r="AF35" i="4"/>
  <c r="F36" i="4"/>
  <c r="J36" i="4"/>
  <c r="N36" i="4"/>
  <c r="R36" i="4"/>
  <c r="V36" i="4"/>
  <c r="Z36" i="4"/>
  <c r="AD36" i="4"/>
  <c r="Q38" i="4"/>
  <c r="V38" i="4"/>
  <c r="AA38" i="4"/>
  <c r="AF38" i="4"/>
  <c r="N39" i="4"/>
  <c r="T39" i="4"/>
  <c r="X39" i="4"/>
  <c r="AD39" i="4"/>
  <c r="Q40" i="4"/>
  <c r="V40" i="4"/>
  <c r="AA40" i="4"/>
  <c r="AF40" i="4"/>
  <c r="G43" i="4"/>
  <c r="K43" i="4"/>
  <c r="O43" i="4"/>
  <c r="S43" i="4"/>
  <c r="W43" i="4"/>
  <c r="AA43" i="4"/>
  <c r="AE43" i="4"/>
  <c r="E44" i="4"/>
  <c r="I44" i="4"/>
  <c r="M44" i="4"/>
  <c r="Q44" i="4"/>
  <c r="U44" i="4"/>
  <c r="Y44" i="4"/>
  <c r="AC44" i="4"/>
  <c r="AG44" i="4"/>
  <c r="G45" i="4"/>
  <c r="K45" i="4"/>
  <c r="O45" i="4"/>
  <c r="S45" i="4"/>
  <c r="W45" i="4"/>
  <c r="AA45" i="4"/>
  <c r="AE45" i="4"/>
  <c r="E47" i="4"/>
  <c r="I47" i="4"/>
  <c r="M47" i="4"/>
  <c r="Q47" i="4"/>
  <c r="U47" i="4"/>
  <c r="Y47" i="4"/>
  <c r="AC47" i="4"/>
  <c r="AG47" i="4"/>
  <c r="G48" i="4"/>
  <c r="K48" i="4"/>
  <c r="O48" i="4"/>
  <c r="S48" i="4"/>
  <c r="W48" i="4"/>
  <c r="AA48" i="4"/>
  <c r="AE48" i="4"/>
  <c r="E49" i="4"/>
  <c r="I49" i="4"/>
  <c r="M49" i="4"/>
  <c r="Q49" i="4"/>
  <c r="U49" i="4"/>
  <c r="Y49" i="4"/>
  <c r="AC49" i="4"/>
  <c r="AG49" i="4"/>
  <c r="E66" i="4"/>
  <c r="I66" i="4"/>
  <c r="M66" i="4"/>
  <c r="G71" i="4"/>
  <c r="K71" i="4"/>
  <c r="H78" i="4"/>
  <c r="I79" i="4"/>
  <c r="G81" i="4"/>
  <c r="H82" i="4"/>
  <c r="Q78" i="4"/>
  <c r="W78" i="4"/>
  <c r="R79" i="4"/>
  <c r="L80" i="4"/>
  <c r="S80" i="4"/>
  <c r="M81" i="4"/>
  <c r="V81" i="4"/>
  <c r="Q82" i="4"/>
  <c r="W82" i="4"/>
  <c r="G75" i="4"/>
  <c r="K75" i="4"/>
  <c r="O75" i="4"/>
  <c r="S75" i="4"/>
  <c r="W75" i="4"/>
  <c r="G76" i="4"/>
  <c r="K76" i="4"/>
  <c r="O76" i="4"/>
  <c r="S76" i="4"/>
  <c r="W76" i="4"/>
  <c r="G77" i="4"/>
  <c r="K77" i="4"/>
  <c r="O77" i="4"/>
  <c r="S77" i="4"/>
  <c r="W77" i="4"/>
  <c r="J78" i="4"/>
  <c r="P78" i="4"/>
  <c r="E79" i="4"/>
  <c r="N79" i="4"/>
  <c r="U79" i="4"/>
  <c r="J80" i="4"/>
  <c r="P80" i="4"/>
  <c r="E81" i="4"/>
  <c r="N81" i="4"/>
  <c r="U81" i="4"/>
  <c r="J82" i="4"/>
  <c r="P82" i="4"/>
  <c r="O84" i="4"/>
  <c r="S84" i="4"/>
  <c r="W84" i="4"/>
  <c r="Q85" i="4"/>
  <c r="U85" i="4"/>
  <c r="O86" i="4"/>
  <c r="S86" i="4"/>
  <c r="W86" i="4"/>
  <c r="Q87" i="4"/>
  <c r="U87" i="4"/>
  <c r="O88" i="4"/>
  <c r="S88" i="4"/>
  <c r="W88" i="4"/>
  <c r="Q89" i="4"/>
  <c r="U89" i="4"/>
  <c r="O90" i="4"/>
  <c r="S90" i="4"/>
  <c r="W90" i="4"/>
  <c r="Q91" i="4"/>
  <c r="U91" i="4"/>
  <c r="O92" i="4"/>
  <c r="S92" i="4"/>
  <c r="W92" i="4"/>
  <c r="Q93" i="4"/>
  <c r="U93" i="4"/>
  <c r="O94" i="4"/>
  <c r="S94" i="4"/>
  <c r="W94" i="4"/>
  <c r="Q95" i="4"/>
  <c r="U95" i="4"/>
  <c r="O96" i="4"/>
  <c r="S96" i="4"/>
  <c r="W96" i="4"/>
  <c r="Q97" i="4"/>
  <c r="U97" i="4"/>
  <c r="O98" i="4"/>
  <c r="S98" i="4"/>
  <c r="W98" i="4"/>
  <c r="Q99" i="4"/>
  <c r="U99" i="4"/>
  <c r="E101" i="4"/>
  <c r="I101" i="4"/>
  <c r="M101" i="4"/>
  <c r="G102" i="4"/>
  <c r="K102" i="4"/>
  <c r="E103" i="4"/>
  <c r="I103" i="4"/>
  <c r="M103" i="4"/>
  <c r="G104" i="4"/>
  <c r="K104" i="4"/>
  <c r="E105" i="4"/>
  <c r="I105" i="4"/>
  <c r="M105" i="4"/>
  <c r="G106" i="4"/>
  <c r="K106" i="4"/>
  <c r="E107" i="4"/>
  <c r="I107" i="4"/>
  <c r="M107" i="4"/>
  <c r="G108" i="4"/>
  <c r="K108" i="4"/>
  <c r="E109" i="4"/>
  <c r="I109" i="4"/>
  <c r="M109" i="4"/>
  <c r="G110" i="4"/>
  <c r="K110" i="4"/>
  <c r="E111" i="4"/>
  <c r="I111" i="4"/>
  <c r="M111" i="4"/>
  <c r="G112" i="4"/>
  <c r="K112" i="4"/>
  <c r="E113" i="4"/>
  <c r="I113" i="4"/>
  <c r="M113" i="4"/>
  <c r="G115" i="4"/>
  <c r="K115" i="4"/>
  <c r="Y115" i="4"/>
  <c r="AC115" i="4"/>
  <c r="AG115" i="4"/>
  <c r="G116" i="4"/>
  <c r="K116" i="4"/>
  <c r="Y116" i="4"/>
  <c r="AC116" i="4"/>
  <c r="AG116" i="4"/>
  <c r="G117" i="4"/>
  <c r="K117" i="4"/>
  <c r="Y117" i="4"/>
  <c r="AC117" i="4"/>
  <c r="AG117" i="4"/>
  <c r="G118" i="4"/>
  <c r="K118" i="4"/>
  <c r="Y118" i="4"/>
  <c r="AC118" i="4"/>
  <c r="AG118" i="4"/>
  <c r="G119" i="4"/>
  <c r="K119" i="4"/>
  <c r="Y119" i="4"/>
  <c r="AC119" i="4"/>
  <c r="AG119" i="4"/>
  <c r="G120" i="4"/>
  <c r="K120" i="4"/>
  <c r="Y120" i="4"/>
  <c r="AC120" i="4"/>
  <c r="AG120" i="4"/>
  <c r="G121" i="4"/>
  <c r="K121" i="4"/>
  <c r="Y121" i="4"/>
  <c r="AC121" i="4"/>
  <c r="AG121" i="4"/>
  <c r="G122" i="4"/>
  <c r="K122" i="4"/>
  <c r="Y122" i="4"/>
  <c r="AC122" i="4"/>
  <c r="AG122" i="4"/>
  <c r="G123" i="4"/>
  <c r="K123" i="4"/>
  <c r="Y123" i="4"/>
  <c r="AC123" i="4"/>
  <c r="AG123" i="4"/>
  <c r="G124" i="4"/>
  <c r="K124" i="4"/>
  <c r="Y124" i="4"/>
  <c r="AC124" i="4"/>
  <c r="AG124" i="4"/>
  <c r="G125" i="4"/>
  <c r="K125" i="4"/>
  <c r="Y125" i="4"/>
  <c r="AC125" i="4"/>
  <c r="AG125" i="4"/>
  <c r="G126" i="4"/>
  <c r="K126" i="4"/>
  <c r="Y126" i="4"/>
  <c r="AC126" i="4"/>
  <c r="AG126" i="4"/>
  <c r="G127" i="4"/>
  <c r="K127" i="4"/>
  <c r="Y127" i="4"/>
  <c r="AC127" i="4"/>
  <c r="AG127" i="4"/>
  <c r="G129" i="4"/>
  <c r="K129" i="4"/>
  <c r="O129" i="4"/>
  <c r="S129" i="4"/>
  <c r="W129" i="4"/>
  <c r="AA129" i="4"/>
  <c r="AE129" i="4"/>
  <c r="G131" i="4"/>
  <c r="K131" i="4"/>
  <c r="O131" i="4"/>
  <c r="S131" i="4"/>
  <c r="W131" i="4"/>
  <c r="AA131" i="4"/>
  <c r="AE131" i="4"/>
  <c r="G134" i="4"/>
  <c r="K134" i="4"/>
  <c r="O134" i="4"/>
  <c r="S134" i="4"/>
  <c r="W134" i="4"/>
  <c r="AA134" i="4"/>
  <c r="AE134" i="4"/>
  <c r="E135" i="4"/>
  <c r="I135" i="4"/>
  <c r="M135" i="4"/>
  <c r="Q135" i="4"/>
  <c r="U135" i="4"/>
  <c r="Y135" i="4"/>
  <c r="AC135" i="4"/>
  <c r="AG135" i="4"/>
  <c r="G136" i="4"/>
  <c r="K136" i="4"/>
  <c r="O136" i="4"/>
  <c r="S136" i="4"/>
  <c r="W136" i="4"/>
  <c r="AA136" i="4"/>
  <c r="AE136" i="4"/>
  <c r="E137" i="4"/>
  <c r="I137" i="4"/>
  <c r="M137" i="4"/>
  <c r="Q137" i="4"/>
  <c r="U137" i="4"/>
  <c r="Y137" i="4"/>
  <c r="AC137" i="4"/>
  <c r="AG137" i="4"/>
  <c r="J138" i="4"/>
  <c r="P138" i="4"/>
  <c r="Y138" i="4"/>
  <c r="D139" i="4"/>
  <c r="K139" i="4"/>
  <c r="T139" i="4"/>
  <c r="Z139" i="4"/>
  <c r="E140" i="4"/>
  <c r="N140" i="4"/>
  <c r="U140" i="4"/>
  <c r="AD140" i="4"/>
  <c r="F141" i="4"/>
  <c r="O141" i="4"/>
  <c r="X141" i="4"/>
  <c r="AE141" i="4"/>
  <c r="J142" i="4"/>
  <c r="P142" i="4"/>
  <c r="Y142" i="4"/>
  <c r="D144" i="4"/>
  <c r="N144" i="4"/>
  <c r="X144" i="4"/>
  <c r="D145" i="4"/>
  <c r="N145" i="4"/>
  <c r="X145" i="4"/>
  <c r="D146" i="4"/>
  <c r="N146" i="4"/>
  <c r="X146" i="4"/>
  <c r="D147" i="4"/>
  <c r="N147" i="4"/>
  <c r="X147" i="4"/>
  <c r="D148" i="4"/>
  <c r="N148" i="4"/>
  <c r="X148" i="4"/>
  <c r="D151" i="4"/>
  <c r="N151" i="4"/>
  <c r="X151" i="4"/>
  <c r="D152" i="4"/>
  <c r="N152" i="4"/>
  <c r="X152" i="4"/>
  <c r="D153" i="4"/>
  <c r="N153" i="4"/>
  <c r="X153" i="4"/>
  <c r="D154" i="4"/>
  <c r="N154" i="4"/>
  <c r="X154" i="4"/>
  <c r="D173" i="4"/>
  <c r="N173" i="4"/>
  <c r="X173" i="4"/>
  <c r="D174" i="4"/>
  <c r="N174" i="4"/>
  <c r="X174" i="4"/>
  <c r="D175" i="4"/>
  <c r="N175" i="4"/>
  <c r="X175" i="4"/>
  <c r="J176" i="4"/>
  <c r="AD176" i="4"/>
  <c r="T177" i="4"/>
  <c r="J178" i="4"/>
  <c r="AD178" i="4"/>
  <c r="T179" i="4"/>
  <c r="D180" i="4"/>
  <c r="N180" i="4"/>
  <c r="X180" i="4"/>
  <c r="D181" i="4"/>
  <c r="N181" i="4"/>
  <c r="X181" i="4"/>
  <c r="D182" i="4"/>
  <c r="N182" i="4"/>
  <c r="X182" i="4"/>
  <c r="D183" i="4"/>
  <c r="N183" i="4"/>
  <c r="X183" i="4"/>
  <c r="D184" i="4"/>
  <c r="N184" i="4"/>
  <c r="X184" i="4"/>
  <c r="D185" i="4"/>
  <c r="N185" i="4"/>
  <c r="X185" i="4"/>
  <c r="E187" i="4"/>
  <c r="Y187" i="4"/>
  <c r="O188" i="4"/>
  <c r="E189" i="4"/>
  <c r="Y189" i="4"/>
  <c r="O190" i="4"/>
  <c r="E191" i="4"/>
  <c r="Y191" i="4"/>
  <c r="O192" i="4"/>
  <c r="E193" i="4"/>
  <c r="Y193" i="4"/>
  <c r="K195" i="4"/>
  <c r="U195" i="4"/>
  <c r="AE195" i="4"/>
  <c r="K196" i="4"/>
  <c r="U196" i="4"/>
  <c r="AE196" i="4"/>
  <c r="K197" i="4"/>
  <c r="U197" i="4"/>
  <c r="AE197" i="4"/>
  <c r="U198" i="4"/>
  <c r="F199" i="4"/>
  <c r="Z199" i="4"/>
  <c r="P200" i="4"/>
  <c r="F201" i="4"/>
  <c r="Z201" i="4"/>
  <c r="P202" i="4"/>
  <c r="F203" i="4"/>
  <c r="Z203" i="4"/>
  <c r="K204" i="4"/>
  <c r="U204" i="4"/>
  <c r="AE204" i="4"/>
  <c r="F208" i="4"/>
  <c r="J208" i="4"/>
  <c r="N208" i="4"/>
  <c r="R208" i="4"/>
  <c r="V208" i="4"/>
  <c r="Z208" i="4"/>
  <c r="AD208" i="4"/>
  <c r="D209" i="4"/>
  <c r="H209" i="4"/>
  <c r="L209" i="4"/>
  <c r="P209" i="4"/>
  <c r="T209" i="4"/>
  <c r="D210" i="4"/>
  <c r="H210" i="4"/>
  <c r="L210" i="4"/>
  <c r="P210" i="4"/>
  <c r="T210" i="4"/>
  <c r="N211" i="4"/>
  <c r="R211" i="4"/>
  <c r="V211" i="4"/>
  <c r="P212" i="4"/>
  <c r="T212" i="4"/>
  <c r="D214" i="4"/>
  <c r="H214" i="4"/>
  <c r="L214" i="4"/>
  <c r="P214" i="4"/>
  <c r="T214" i="4"/>
  <c r="X214" i="4"/>
  <c r="AB214" i="4"/>
  <c r="AF214" i="4"/>
  <c r="F215" i="4"/>
  <c r="J215" i="4"/>
  <c r="N215" i="4"/>
  <c r="R215" i="4"/>
  <c r="V215" i="4"/>
  <c r="F216" i="4"/>
  <c r="J216" i="4"/>
  <c r="N216" i="4"/>
  <c r="R216" i="4"/>
  <c r="V216" i="4"/>
  <c r="P217" i="4"/>
  <c r="T217" i="4"/>
  <c r="N218" i="4"/>
  <c r="R218" i="4"/>
  <c r="V218" i="4"/>
  <c r="F222" i="4"/>
  <c r="J222" i="4"/>
  <c r="N222" i="4"/>
  <c r="R222" i="4"/>
  <c r="V222" i="4"/>
  <c r="P224" i="4"/>
  <c r="T224" i="4"/>
  <c r="N229" i="4"/>
  <c r="R229" i="4"/>
  <c r="V229" i="4"/>
  <c r="Z229" i="4"/>
  <c r="AD229" i="4"/>
  <c r="D237" i="4"/>
  <c r="H237" i="4"/>
  <c r="L237" i="4"/>
  <c r="F238" i="4"/>
  <c r="J238" i="4"/>
  <c r="F243" i="4"/>
  <c r="J243" i="4"/>
  <c r="Z243" i="4"/>
  <c r="AD243" i="4"/>
  <c r="D245" i="4"/>
  <c r="H245" i="4"/>
  <c r="L245" i="4"/>
  <c r="Z209" i="4"/>
  <c r="AD209" i="4"/>
  <c r="X210" i="4"/>
  <c r="AB210" i="4"/>
  <c r="AF210" i="4"/>
  <c r="F211" i="4"/>
  <c r="J211" i="4"/>
  <c r="X211" i="4"/>
  <c r="AB211" i="4"/>
  <c r="AF211" i="4"/>
  <c r="Z212" i="4"/>
  <c r="AD212" i="4"/>
  <c r="N213" i="4"/>
  <c r="R213" i="4"/>
  <c r="V213" i="4"/>
  <c r="Z215" i="4"/>
  <c r="AD215" i="4"/>
  <c r="X216" i="4"/>
  <c r="AB216" i="4"/>
  <c r="AF216" i="4"/>
  <c r="X217" i="4"/>
  <c r="AB217" i="4"/>
  <c r="AF217" i="4"/>
  <c r="Z218" i="4"/>
  <c r="AD218" i="4"/>
  <c r="R219" i="4"/>
  <c r="P220" i="4"/>
  <c r="X220" i="4"/>
  <c r="AF220" i="4"/>
  <c r="Z221" i="4"/>
  <c r="X222" i="4"/>
  <c r="AF222" i="4"/>
  <c r="J223" i="4"/>
  <c r="AB223" i="4"/>
  <c r="AA224" i="4"/>
  <c r="S226" i="4"/>
  <c r="AE227" i="4"/>
  <c r="W230" i="4"/>
  <c r="O234" i="4"/>
  <c r="G236" i="4"/>
  <c r="AC237" i="4"/>
  <c r="AE239" i="4"/>
  <c r="M241" i="4"/>
  <c r="E244" i="4"/>
  <c r="AB245" i="4"/>
  <c r="AF249" i="4"/>
  <c r="F248" i="4"/>
  <c r="O250" i="4"/>
  <c r="O257" i="4"/>
  <c r="S266" i="4"/>
  <c r="E280" i="4"/>
  <c r="AC296" i="4"/>
  <c r="G304" i="4"/>
  <c r="AE315" i="4"/>
  <c r="G334" i="4"/>
  <c r="J341" i="4"/>
  <c r="D28" i="4"/>
  <c r="J34" i="4"/>
  <c r="J28" i="4"/>
  <c r="G34" i="4"/>
  <c r="K34" i="4"/>
  <c r="O34" i="4"/>
  <c r="S34" i="4"/>
  <c r="W34" i="4"/>
  <c r="AA34" i="4"/>
  <c r="AE34" i="4"/>
  <c r="E35" i="4"/>
  <c r="I35" i="4"/>
  <c r="M35" i="4"/>
  <c r="Q35" i="4"/>
  <c r="U35" i="4"/>
  <c r="Y35" i="4"/>
  <c r="AC35" i="4"/>
  <c r="AG35" i="4"/>
  <c r="G36" i="4"/>
  <c r="K36" i="4"/>
  <c r="O36" i="4"/>
  <c r="S36" i="4"/>
  <c r="W36" i="4"/>
  <c r="AA36" i="4"/>
  <c r="AE36" i="4"/>
  <c r="E38" i="4"/>
  <c r="R38" i="4"/>
  <c r="W38" i="4"/>
  <c r="AB38" i="4"/>
  <c r="AG38" i="4"/>
  <c r="H39" i="4"/>
  <c r="O39" i="4"/>
  <c r="U39" i="4"/>
  <c r="Y39" i="4"/>
  <c r="AE39" i="4"/>
  <c r="E40" i="4"/>
  <c r="R40" i="4"/>
  <c r="W40" i="4"/>
  <c r="AB40" i="4"/>
  <c r="AG40" i="4"/>
  <c r="H43" i="4"/>
  <c r="L43" i="4"/>
  <c r="P43" i="4"/>
  <c r="T43" i="4"/>
  <c r="X43" i="4"/>
  <c r="AB43" i="4"/>
  <c r="AF43" i="4"/>
  <c r="F44" i="4"/>
  <c r="J44" i="4"/>
  <c r="N44" i="4"/>
  <c r="R44" i="4"/>
  <c r="V44" i="4"/>
  <c r="Z44" i="4"/>
  <c r="AD44" i="4"/>
  <c r="D45" i="4"/>
  <c r="H45" i="4"/>
  <c r="L45" i="4"/>
  <c r="P45" i="4"/>
  <c r="T45" i="4"/>
  <c r="X45" i="4"/>
  <c r="AB45" i="4"/>
  <c r="AF45" i="4"/>
  <c r="F47" i="4"/>
  <c r="J47" i="4"/>
  <c r="N47" i="4"/>
  <c r="R47" i="4"/>
  <c r="V47" i="4"/>
  <c r="Z47" i="4"/>
  <c r="AD47" i="4"/>
  <c r="D48" i="4"/>
  <c r="H48" i="4"/>
  <c r="L48" i="4"/>
  <c r="P48" i="4"/>
  <c r="T48" i="4"/>
  <c r="X48" i="4"/>
  <c r="AB48" i="4"/>
  <c r="AF48" i="4"/>
  <c r="F49" i="4"/>
  <c r="J49" i="4"/>
  <c r="N49" i="4"/>
  <c r="R49" i="4"/>
  <c r="V49" i="4"/>
  <c r="Z49" i="4"/>
  <c r="AD49" i="4"/>
  <c r="N62" i="4"/>
  <c r="F66" i="4"/>
  <c r="J66" i="4"/>
  <c r="N66" i="4"/>
  <c r="D71" i="4"/>
  <c r="H71" i="4"/>
  <c r="L71" i="4"/>
  <c r="I78" i="4"/>
  <c r="G80" i="4"/>
  <c r="H81" i="4"/>
  <c r="I82" i="4"/>
  <c r="R78" i="4"/>
  <c r="L79" i="4"/>
  <c r="S79" i="4"/>
  <c r="M80" i="4"/>
  <c r="V80" i="4"/>
  <c r="Q81" i="4"/>
  <c r="W81" i="4"/>
  <c r="R82" i="4"/>
  <c r="D75" i="4"/>
  <c r="H75" i="4"/>
  <c r="L75" i="4"/>
  <c r="P75" i="4"/>
  <c r="T75" i="4"/>
  <c r="D76" i="4"/>
  <c r="H76" i="4"/>
  <c r="L76" i="4"/>
  <c r="P76" i="4"/>
  <c r="T76" i="4"/>
  <c r="D77" i="4"/>
  <c r="H77" i="4"/>
  <c r="L77" i="4"/>
  <c r="P77" i="4"/>
  <c r="T77" i="4"/>
  <c r="D78" i="4"/>
  <c r="K78" i="4"/>
  <c r="T78" i="4"/>
  <c r="F79" i="4"/>
  <c r="O79" i="4"/>
  <c r="D80" i="4"/>
  <c r="K80" i="4"/>
  <c r="T80" i="4"/>
  <c r="F81" i="4"/>
  <c r="O81" i="4"/>
  <c r="D82" i="4"/>
  <c r="K82" i="4"/>
  <c r="T82" i="4"/>
  <c r="P84" i="4"/>
  <c r="T84" i="4"/>
  <c r="N85" i="4"/>
  <c r="R85" i="4"/>
  <c r="V85" i="4"/>
  <c r="P86" i="4"/>
  <c r="T86" i="4"/>
  <c r="N87" i="4"/>
  <c r="R87" i="4"/>
  <c r="V87" i="4"/>
  <c r="P88" i="4"/>
  <c r="T88" i="4"/>
  <c r="N89" i="4"/>
  <c r="R89" i="4"/>
  <c r="V89" i="4"/>
  <c r="P90" i="4"/>
  <c r="T90" i="4"/>
  <c r="N91" i="4"/>
  <c r="R91" i="4"/>
  <c r="V91" i="4"/>
  <c r="P92" i="4"/>
  <c r="T92" i="4"/>
  <c r="N93" i="4"/>
  <c r="R93" i="4"/>
  <c r="V93" i="4"/>
  <c r="P94" i="4"/>
  <c r="T94" i="4"/>
  <c r="N95" i="4"/>
  <c r="R95" i="4"/>
  <c r="V95" i="4"/>
  <c r="P96" i="4"/>
  <c r="T96" i="4"/>
  <c r="N97" i="4"/>
  <c r="R97" i="4"/>
  <c r="V97" i="4"/>
  <c r="P98" i="4"/>
  <c r="T98" i="4"/>
  <c r="N99" i="4"/>
  <c r="R99" i="4"/>
  <c r="V99" i="4"/>
  <c r="F101" i="4"/>
  <c r="J101" i="4"/>
  <c r="D102" i="4"/>
  <c r="H102" i="4"/>
  <c r="L102" i="4"/>
  <c r="F103" i="4"/>
  <c r="J103" i="4"/>
  <c r="D104" i="4"/>
  <c r="H104" i="4"/>
  <c r="L104" i="4"/>
  <c r="F105" i="4"/>
  <c r="J105" i="4"/>
  <c r="D106" i="4"/>
  <c r="H106" i="4"/>
  <c r="L106" i="4"/>
  <c r="F107" i="4"/>
  <c r="J107" i="4"/>
  <c r="D108" i="4"/>
  <c r="H108" i="4"/>
  <c r="L108" i="4"/>
  <c r="F109" i="4"/>
  <c r="J109" i="4"/>
  <c r="D110" i="4"/>
  <c r="H110" i="4"/>
  <c r="L110" i="4"/>
  <c r="F111" i="4"/>
  <c r="J111" i="4"/>
  <c r="D112" i="4"/>
  <c r="H112" i="4"/>
  <c r="L112" i="4"/>
  <c r="F113" i="4"/>
  <c r="J113" i="4"/>
  <c r="D115" i="4"/>
  <c r="H115" i="4"/>
  <c r="L115" i="4"/>
  <c r="Z115" i="4"/>
  <c r="AD115" i="4"/>
  <c r="D116" i="4"/>
  <c r="H116" i="4"/>
  <c r="L116" i="4"/>
  <c r="Z116" i="4"/>
  <c r="AD116" i="4"/>
  <c r="D117" i="4"/>
  <c r="H117" i="4"/>
  <c r="L117" i="4"/>
  <c r="Z117" i="4"/>
  <c r="AD117" i="4"/>
  <c r="D118" i="4"/>
  <c r="H118" i="4"/>
  <c r="L118" i="4"/>
  <c r="Z118" i="4"/>
  <c r="AD118" i="4"/>
  <c r="D119" i="4"/>
  <c r="H119" i="4"/>
  <c r="L119" i="4"/>
  <c r="Z119" i="4"/>
  <c r="AD119" i="4"/>
  <c r="D120" i="4"/>
  <c r="H120" i="4"/>
  <c r="L120" i="4"/>
  <c r="Z120" i="4"/>
  <c r="AD120" i="4"/>
  <c r="D121" i="4"/>
  <c r="H121" i="4"/>
  <c r="L121" i="4"/>
  <c r="Z121" i="4"/>
  <c r="AD121" i="4"/>
  <c r="D122" i="4"/>
  <c r="H122" i="4"/>
  <c r="L122" i="4"/>
  <c r="Z122" i="4"/>
  <c r="AD122" i="4"/>
  <c r="D123" i="4"/>
  <c r="H123" i="4"/>
  <c r="L123" i="4"/>
  <c r="Z123" i="4"/>
  <c r="AD123" i="4"/>
  <c r="D124" i="4"/>
  <c r="H124" i="4"/>
  <c r="L124" i="4"/>
  <c r="Z124" i="4"/>
  <c r="AD124" i="4"/>
  <c r="D125" i="4"/>
  <c r="H125" i="4"/>
  <c r="L125" i="4"/>
  <c r="Z125" i="4"/>
  <c r="AD125" i="4"/>
  <c r="D126" i="4"/>
  <c r="H126" i="4"/>
  <c r="L126" i="4"/>
  <c r="Z126" i="4"/>
  <c r="AD126" i="4"/>
  <c r="D127" i="4"/>
  <c r="H127" i="4"/>
  <c r="L127" i="4"/>
  <c r="Z127" i="4"/>
  <c r="AD127" i="4"/>
  <c r="D129" i="4"/>
  <c r="H129" i="4"/>
  <c r="L129" i="4"/>
  <c r="P129" i="4"/>
  <c r="T129" i="4"/>
  <c r="X129" i="4"/>
  <c r="AB129" i="4"/>
  <c r="AF129" i="4"/>
  <c r="D131" i="4"/>
  <c r="H131" i="4"/>
  <c r="L131" i="4"/>
  <c r="P131" i="4"/>
  <c r="T131" i="4"/>
  <c r="X131" i="4"/>
  <c r="AB131" i="4"/>
  <c r="AF131" i="4"/>
  <c r="D134" i="4"/>
  <c r="H134" i="4"/>
  <c r="L134" i="4"/>
  <c r="P134" i="4"/>
  <c r="T134" i="4"/>
  <c r="X134" i="4"/>
  <c r="AB134" i="4"/>
  <c r="AF134" i="4"/>
  <c r="F135" i="4"/>
  <c r="J135" i="4"/>
  <c r="N135" i="4"/>
  <c r="R135" i="4"/>
  <c r="V135" i="4"/>
  <c r="Z135" i="4"/>
  <c r="AD135" i="4"/>
  <c r="D136" i="4"/>
  <c r="H136" i="4"/>
  <c r="L136" i="4"/>
  <c r="P136" i="4"/>
  <c r="T136" i="4"/>
  <c r="X136" i="4"/>
  <c r="AB136" i="4"/>
  <c r="AF136" i="4"/>
  <c r="F137" i="4"/>
  <c r="J137" i="4"/>
  <c r="N137" i="4"/>
  <c r="R137" i="4"/>
  <c r="V137" i="4"/>
  <c r="Z137" i="4"/>
  <c r="AD137" i="4"/>
  <c r="D138" i="4"/>
  <c r="K138" i="4"/>
  <c r="T138" i="4"/>
  <c r="Z138" i="4"/>
  <c r="E139" i="4"/>
  <c r="N139" i="4"/>
  <c r="U139" i="4"/>
  <c r="AD139" i="4"/>
  <c r="F140" i="4"/>
  <c r="O140" i="4"/>
  <c r="X140" i="4"/>
  <c r="AE140" i="4"/>
  <c r="J141" i="4"/>
  <c r="P141" i="4"/>
  <c r="Y141" i="4"/>
  <c r="D142" i="4"/>
  <c r="K142" i="4"/>
  <c r="T142" i="4"/>
  <c r="Z142" i="4"/>
  <c r="G144" i="4"/>
  <c r="Q144" i="4"/>
  <c r="AA144" i="4"/>
  <c r="G145" i="4"/>
  <c r="Q145" i="4"/>
  <c r="AA145" i="4"/>
  <c r="G146" i="4"/>
  <c r="Q146" i="4"/>
  <c r="AA146" i="4"/>
  <c r="G147" i="4"/>
  <c r="Q147" i="4"/>
  <c r="AA147" i="4"/>
  <c r="G148" i="4"/>
  <c r="Q148" i="4"/>
  <c r="AA148" i="4"/>
  <c r="G151" i="4"/>
  <c r="Q151" i="4"/>
  <c r="AA151" i="4"/>
  <c r="G152" i="4"/>
  <c r="Q152" i="4"/>
  <c r="AA152" i="4"/>
  <c r="G153" i="4"/>
  <c r="Q153" i="4"/>
  <c r="AA153" i="4"/>
  <c r="G154" i="4"/>
  <c r="Q154" i="4"/>
  <c r="AA154" i="4"/>
  <c r="G173" i="4"/>
  <c r="Q173" i="4"/>
  <c r="AA173" i="4"/>
  <c r="G174" i="4"/>
  <c r="Q174" i="4"/>
  <c r="AA174" i="4"/>
  <c r="G175" i="4"/>
  <c r="Q175" i="4"/>
  <c r="AA175" i="4"/>
  <c r="L176" i="4"/>
  <c r="AF176" i="4"/>
  <c r="V177" i="4"/>
  <c r="L178" i="4"/>
  <c r="AF178" i="4"/>
  <c r="V179" i="4"/>
  <c r="G180" i="4"/>
  <c r="Q180" i="4"/>
  <c r="AA180" i="4"/>
  <c r="G181" i="4"/>
  <c r="Q181" i="4"/>
  <c r="AA181" i="4"/>
  <c r="G182" i="4"/>
  <c r="Q182" i="4"/>
  <c r="AA182" i="4"/>
  <c r="G183" i="4"/>
  <c r="Q183" i="4"/>
  <c r="AA183" i="4"/>
  <c r="G184" i="4"/>
  <c r="Q184" i="4"/>
  <c r="AA184" i="4"/>
  <c r="G185" i="4"/>
  <c r="Q185" i="4"/>
  <c r="AA185" i="4"/>
  <c r="H187" i="4"/>
  <c r="AB187" i="4"/>
  <c r="R188" i="4"/>
  <c r="H189" i="4"/>
  <c r="AB189" i="4"/>
  <c r="R190" i="4"/>
  <c r="H191" i="4"/>
  <c r="AB191" i="4"/>
  <c r="R192" i="4"/>
  <c r="H193" i="4"/>
  <c r="AB193" i="4"/>
  <c r="M195" i="4"/>
  <c r="W195" i="4"/>
  <c r="AG195" i="4"/>
  <c r="M196" i="4"/>
  <c r="W196" i="4"/>
  <c r="AG196" i="4"/>
  <c r="M197" i="4"/>
  <c r="W197" i="4"/>
  <c r="AG197" i="4"/>
  <c r="W198" i="4"/>
  <c r="I199" i="4"/>
  <c r="AC199" i="4"/>
  <c r="S200" i="4"/>
  <c r="I201" i="4"/>
  <c r="AC201" i="4"/>
  <c r="S202" i="4"/>
  <c r="I203" i="4"/>
  <c r="AC203" i="4"/>
  <c r="M204" i="4"/>
  <c r="W204" i="4"/>
  <c r="AG204" i="4"/>
  <c r="G208" i="4"/>
  <c r="K208" i="4"/>
  <c r="O208" i="4"/>
  <c r="S208" i="4"/>
  <c r="W208" i="4"/>
  <c r="AA208" i="4"/>
  <c r="AE208" i="4"/>
  <c r="E209" i="4"/>
  <c r="I209" i="4"/>
  <c r="M209" i="4"/>
  <c r="Q209" i="4"/>
  <c r="U209" i="4"/>
  <c r="E210" i="4"/>
  <c r="I210" i="4"/>
  <c r="M210" i="4"/>
  <c r="Q210" i="4"/>
  <c r="U210" i="4"/>
  <c r="O211" i="4"/>
  <c r="S211" i="4"/>
  <c r="W211" i="4"/>
  <c r="Q212" i="4"/>
  <c r="U212" i="4"/>
  <c r="E214" i="4"/>
  <c r="I214" i="4"/>
  <c r="M214" i="4"/>
  <c r="Q214" i="4"/>
  <c r="U214" i="4"/>
  <c r="Y214" i="4"/>
  <c r="AC214" i="4"/>
  <c r="AG214" i="4"/>
  <c r="G215" i="4"/>
  <c r="K215" i="4"/>
  <c r="O215" i="4"/>
  <c r="S215" i="4"/>
  <c r="W215" i="4"/>
  <c r="G216" i="4"/>
  <c r="K216" i="4"/>
  <c r="O216" i="4"/>
  <c r="S216" i="4"/>
  <c r="W216" i="4"/>
  <c r="Q217" i="4"/>
  <c r="U217" i="4"/>
  <c r="O218" i="4"/>
  <c r="S218" i="4"/>
  <c r="W218" i="4"/>
  <c r="G222" i="4"/>
  <c r="K222" i="4"/>
  <c r="O222" i="4"/>
  <c r="S222" i="4"/>
  <c r="W222" i="4"/>
  <c r="Q224" i="4"/>
  <c r="U224" i="4"/>
  <c r="O229" i="4"/>
  <c r="S229" i="4"/>
  <c r="W229" i="4"/>
  <c r="AA229" i="4"/>
  <c r="AE229" i="4"/>
  <c r="E237" i="4"/>
  <c r="I237" i="4"/>
  <c r="M237" i="4"/>
  <c r="G238" i="4"/>
  <c r="K238" i="4"/>
  <c r="G243" i="4"/>
  <c r="K243" i="4"/>
  <c r="AA243" i="4"/>
  <c r="AE243" i="4"/>
  <c r="E245" i="4"/>
  <c r="I245" i="4"/>
  <c r="M245" i="4"/>
  <c r="AA209" i="4"/>
  <c r="AE209" i="4"/>
  <c r="Y210" i="4"/>
  <c r="AC210" i="4"/>
  <c r="AG210" i="4"/>
  <c r="G211" i="4"/>
  <c r="K211" i="4"/>
  <c r="Y211" i="4"/>
  <c r="AC211" i="4"/>
  <c r="AG211" i="4"/>
  <c r="AA212" i="4"/>
  <c r="AE212" i="4"/>
  <c r="O213" i="4"/>
  <c r="S213" i="4"/>
  <c r="W213" i="4"/>
  <c r="AA215" i="4"/>
  <c r="AE215" i="4"/>
  <c r="Y216" i="4"/>
  <c r="AC216" i="4"/>
  <c r="AG216" i="4"/>
  <c r="K217" i="4"/>
  <c r="Y217" i="4"/>
  <c r="AC217" i="4"/>
  <c r="AG217" i="4"/>
  <c r="AA218" i="4"/>
  <c r="AE218" i="4"/>
  <c r="S219" i="4"/>
  <c r="Q220" i="4"/>
  <c r="Y220" i="4"/>
  <c r="AG220" i="4"/>
  <c r="AA221" i="4"/>
  <c r="Y222" i="4"/>
  <c r="AG222" i="4"/>
  <c r="K223" i="4"/>
  <c r="AC223" i="4"/>
  <c r="V225" i="4"/>
  <c r="N227" i="4"/>
  <c r="F229" i="4"/>
  <c r="R232" i="4"/>
  <c r="J235" i="4"/>
  <c r="AF236" i="4"/>
  <c r="N239" i="4"/>
  <c r="Z240" i="4"/>
  <c r="H242" i="4"/>
  <c r="T244" i="4"/>
  <c r="Q247" i="4"/>
  <c r="U251" i="4"/>
  <c r="U255" i="4"/>
  <c r="P280" i="4"/>
  <c r="V297" i="4"/>
  <c r="AD304" i="4"/>
  <c r="X316" i="4"/>
  <c r="E548" i="4"/>
  <c r="F43" i="4"/>
  <c r="N225" i="4"/>
  <c r="J226" i="4"/>
  <c r="F227" i="4"/>
  <c r="V227" i="4"/>
  <c r="R228" i="4"/>
  <c r="N230" i="4"/>
  <c r="T231" i="4"/>
  <c r="P233" i="4"/>
  <c r="V234" i="4"/>
  <c r="R235" i="4"/>
  <c r="X236" i="4"/>
  <c r="T237" i="4"/>
  <c r="P238" i="4"/>
  <c r="V239" i="4"/>
  <c r="R240" i="4"/>
  <c r="D241" i="4"/>
  <c r="AD241" i="4"/>
  <c r="P242" i="4"/>
  <c r="L244" i="4"/>
  <c r="AB244" i="4"/>
  <c r="K246" i="4"/>
  <c r="AG247" i="4"/>
  <c r="E251" i="4"/>
  <c r="Q252" i="4"/>
  <c r="S248" i="4"/>
  <c r="N249" i="4"/>
  <c r="P245" i="4"/>
  <c r="R254" i="4"/>
  <c r="E255" i="4"/>
  <c r="V266" i="4"/>
  <c r="AC256" i="4"/>
  <c r="W280" i="4"/>
  <c r="AA286" i="4"/>
  <c r="AE297" i="4"/>
  <c r="E303" i="4"/>
  <c r="I306" i="4"/>
  <c r="Z312" i="4"/>
  <c r="AG316" i="4"/>
  <c r="AG324" i="4"/>
  <c r="J339" i="4"/>
  <c r="E277" i="4"/>
  <c r="R338" i="4"/>
  <c r="S341" i="4"/>
  <c r="AF584" i="4"/>
  <c r="O225" i="4"/>
  <c r="K226" i="4"/>
  <c r="G227" i="4"/>
  <c r="W227" i="4"/>
  <c r="S228" i="4"/>
  <c r="O230" i="4"/>
  <c r="U231" i="4"/>
  <c r="Q233" i="4"/>
  <c r="W234" i="4"/>
  <c r="S235" i="4"/>
  <c r="Y236" i="4"/>
  <c r="U237" i="4"/>
  <c r="Q238" i="4"/>
  <c r="W239" i="4"/>
  <c r="S240" i="4"/>
  <c r="E241" i="4"/>
  <c r="AE241" i="4"/>
  <c r="Q242" i="4"/>
  <c r="M244" i="4"/>
  <c r="AC244" i="4"/>
  <c r="X246" i="4"/>
  <c r="H251" i="4"/>
  <c r="T252" i="4"/>
  <c r="V248" i="4"/>
  <c r="S249" i="4"/>
  <c r="U245" i="4"/>
  <c r="W254" i="4"/>
  <c r="H255" i="4"/>
  <c r="J257" i="4"/>
  <c r="M258" i="4"/>
  <c r="J263" i="4"/>
  <c r="Z281" i="4"/>
  <c r="T296" i="4"/>
  <c r="X299" i="4"/>
  <c r="AB303" i="4"/>
  <c r="AD309" i="4"/>
  <c r="V315" i="4"/>
  <c r="U320" i="4"/>
  <c r="D332" i="4"/>
  <c r="S345" i="4"/>
  <c r="K279" i="4"/>
  <c r="AA584" i="4"/>
  <c r="AG595" i="4"/>
  <c r="X578" i="4"/>
  <c r="X578" i="5" s="1"/>
  <c r="N298" i="4"/>
  <c r="W291" i="4"/>
  <c r="AD289" i="4"/>
  <c r="X278" i="4"/>
  <c r="T269" i="4"/>
  <c r="D345" i="4"/>
  <c r="F337" i="4"/>
  <c r="AB329" i="4"/>
  <c r="AG323" i="4"/>
  <c r="I320" i="4"/>
  <c r="Q316" i="4"/>
  <c r="O315" i="4"/>
  <c r="AC311" i="4"/>
  <c r="AF308" i="4"/>
  <c r="W304" i="4"/>
  <c r="U303" i="4"/>
  <c r="S300" i="4"/>
  <c r="Q299" i="4"/>
  <c r="O297" i="4"/>
  <c r="M296" i="4"/>
  <c r="K285" i="4"/>
  <c r="S281" i="4"/>
  <c r="M280" i="4"/>
  <c r="G263" i="4"/>
  <c r="U256" i="4"/>
  <c r="T267" i="4"/>
  <c r="N266" i="4"/>
  <c r="H258" i="4"/>
  <c r="W257" i="4"/>
  <c r="G257" i="4"/>
  <c r="P255" i="4"/>
  <c r="O254" i="4"/>
  <c r="W250" i="4"/>
  <c r="G250" i="4"/>
  <c r="N248" i="4"/>
  <c r="AB252" i="4"/>
  <c r="AF251" i="4"/>
  <c r="P251" i="4"/>
  <c r="AD250" i="4"/>
  <c r="X249" i="4"/>
  <c r="AB247" i="4"/>
  <c r="AF246" i="4"/>
  <c r="F246" i="4"/>
  <c r="AG244" i="4"/>
  <c r="Y244" i="4"/>
  <c r="Q244" i="4"/>
  <c r="I244" i="4"/>
  <c r="U242" i="4"/>
  <c r="M242" i="4"/>
  <c r="E242" i="4"/>
  <c r="AA241" i="4"/>
  <c r="I241" i="4"/>
  <c r="AE240" i="4"/>
  <c r="W240" i="4"/>
  <c r="O240" i="4"/>
  <c r="AA239" i="4"/>
  <c r="S239" i="4"/>
  <c r="U238" i="4"/>
  <c r="AG237" i="4"/>
  <c r="Y237" i="4"/>
  <c r="Q237" i="4"/>
  <c r="AC236" i="4"/>
  <c r="K236" i="4"/>
  <c r="W235" i="4"/>
  <c r="O235" i="4"/>
  <c r="G235" i="4"/>
  <c r="S234" i="4"/>
  <c r="U233" i="4"/>
  <c r="W232" i="4"/>
  <c r="O232" i="4"/>
  <c r="Q231" i="4"/>
  <c r="S230" i="4"/>
  <c r="K229" i="4"/>
  <c r="W228" i="4"/>
  <c r="O228" i="4"/>
  <c r="AA227" i="4"/>
  <c r="S227" i="4"/>
  <c r="K227" i="4"/>
  <c r="W226" i="4"/>
  <c r="O226" i="4"/>
  <c r="G226" i="4"/>
  <c r="S225" i="4"/>
  <c r="AE224" i="4"/>
  <c r="S578" i="4"/>
  <c r="S578" i="5" s="1"/>
  <c r="AA337" i="4"/>
  <c r="G295" i="4"/>
  <c r="F291" i="4"/>
  <c r="N277" i="4"/>
  <c r="L354" i="4"/>
  <c r="Q344" i="4"/>
  <c r="P336" i="4"/>
  <c r="D326" i="4"/>
  <c r="K323" i="4"/>
  <c r="U319" i="4"/>
  <c r="H316" i="4"/>
  <c r="F315" i="4"/>
  <c r="O311" i="4"/>
  <c r="D308" i="4"/>
  <c r="N304" i="4"/>
  <c r="L303" i="4"/>
  <c r="J300" i="4"/>
  <c r="H299" i="4"/>
  <c r="F297" i="4"/>
  <c r="D296" i="4"/>
  <c r="L284" i="4"/>
  <c r="AD280" i="4"/>
  <c r="H280" i="4"/>
  <c r="AF256" i="4"/>
  <c r="P256" i="4"/>
  <c r="Q267" i="4"/>
  <c r="U265" i="4"/>
  <c r="E258" i="4"/>
  <c r="R257" i="4"/>
  <c r="M255" i="4"/>
  <c r="J254" i="4"/>
  <c r="R250" i="4"/>
  <c r="V249" i="4"/>
  <c r="K248" i="4"/>
  <c r="Y252" i="4"/>
  <c r="AC251" i="4"/>
  <c r="M251" i="4"/>
  <c r="AA250" i="4"/>
  <c r="Y247" i="4"/>
  <c r="AC246" i="4"/>
  <c r="AG245" i="4"/>
  <c r="AF244" i="4"/>
  <c r="X244" i="4"/>
  <c r="P244" i="4"/>
  <c r="H244" i="4"/>
  <c r="T242" i="4"/>
  <c r="L242" i="4"/>
  <c r="D242" i="4"/>
  <c r="Z241" i="4"/>
  <c r="H241" i="4"/>
  <c r="AD240" i="4"/>
  <c r="V240" i="4"/>
  <c r="N240" i="4"/>
  <c r="Z239" i="4"/>
  <c r="R239" i="4"/>
  <c r="T238" i="4"/>
  <c r="AF237" i="4"/>
  <c r="X237" i="4"/>
  <c r="P237" i="4"/>
  <c r="AB236" i="4"/>
  <c r="J236" i="4"/>
  <c r="V235" i="4"/>
  <c r="N235" i="4"/>
  <c r="F235" i="4"/>
  <c r="R234" i="4"/>
  <c r="T233" i="4"/>
  <c r="V232" i="4"/>
  <c r="N232" i="4"/>
  <c r="P231" i="4"/>
  <c r="R230" i="4"/>
  <c r="J229" i="4"/>
  <c r="V228" i="4"/>
  <c r="N228" i="4"/>
  <c r="Z227" i="4"/>
  <c r="R227" i="4"/>
  <c r="J227" i="4"/>
  <c r="V226" i="4"/>
  <c r="N226" i="4"/>
  <c r="F226" i="4"/>
  <c r="R225" i="4"/>
  <c r="AD224" i="4"/>
  <c r="AF223" i="4"/>
  <c r="AE595" i="4"/>
  <c r="F595" i="4"/>
  <c r="AE584" i="4"/>
  <c r="W584" i="4"/>
  <c r="O584" i="4"/>
  <c r="G584" i="4"/>
  <c r="AC581" i="4"/>
  <c r="AC581" i="5" s="1"/>
  <c r="U581" i="4"/>
  <c r="U581" i="5" s="1"/>
  <c r="M581" i="4"/>
  <c r="M581" i="5" s="1"/>
  <c r="E581" i="4"/>
  <c r="E581" i="5" s="1"/>
  <c r="AA580" i="4"/>
  <c r="S580" i="4"/>
  <c r="K580" i="4"/>
  <c r="AG579" i="4"/>
  <c r="AG579" i="5" s="1"/>
  <c r="Y579" i="4"/>
  <c r="Y579" i="5" s="1"/>
  <c r="Q579" i="4"/>
  <c r="Q579" i="5" s="1"/>
  <c r="I579" i="4"/>
  <c r="I579" i="5" s="1"/>
  <c r="AE578" i="4"/>
  <c r="AE578" i="5" s="1"/>
  <c r="W578" i="4"/>
  <c r="W578" i="5" s="1"/>
  <c r="O578" i="4"/>
  <c r="O578" i="5" s="1"/>
  <c r="G578" i="4"/>
  <c r="G578" i="5" s="1"/>
  <c r="W576" i="4"/>
  <c r="AF575" i="4"/>
  <c r="R575" i="4"/>
  <c r="E575" i="4"/>
  <c r="AA574" i="4"/>
  <c r="S574" i="4"/>
  <c r="K574" i="4"/>
  <c r="AC560" i="4"/>
  <c r="I548" i="4"/>
  <c r="H353" i="4"/>
  <c r="AF341" i="4"/>
  <c r="U341" i="4"/>
  <c r="Q341" i="4"/>
  <c r="M341" i="4"/>
  <c r="I341" i="4"/>
  <c r="E341" i="4"/>
  <c r="O338" i="4"/>
  <c r="AF337" i="4"/>
  <c r="AF335" i="4"/>
  <c r="AB333" i="4"/>
  <c r="R333" i="4"/>
  <c r="H333" i="4"/>
  <c r="AA332" i="4"/>
  <c r="R325" i="4"/>
  <c r="H325" i="4"/>
  <c r="V321" i="4"/>
  <c r="AF320" i="4"/>
  <c r="L318" i="4"/>
  <c r="L314" i="4"/>
  <c r="AF298" i="4"/>
  <c r="V298" i="4"/>
  <c r="L298" i="4"/>
  <c r="AF295" i="4"/>
  <c r="V295" i="4"/>
  <c r="L295" i="4"/>
  <c r="U291" i="4"/>
  <c r="Q291" i="4"/>
  <c r="M291" i="4"/>
  <c r="I291" i="4"/>
  <c r="E291" i="4"/>
  <c r="AG289" i="4"/>
  <c r="AC289" i="4"/>
  <c r="Y289" i="4"/>
  <c r="AG279" i="4"/>
  <c r="AC279" i="4"/>
  <c r="Y279" i="4"/>
  <c r="U279" i="4"/>
  <c r="Q279" i="4"/>
  <c r="M279" i="4"/>
  <c r="I279" i="4"/>
  <c r="E279" i="4"/>
  <c r="AE278" i="4"/>
  <c r="AA278" i="4"/>
  <c r="W278" i="4"/>
  <c r="S278" i="4"/>
  <c r="O278" i="4"/>
  <c r="K278" i="4"/>
  <c r="G278" i="4"/>
  <c r="AG277" i="4"/>
  <c r="AC277" i="4"/>
  <c r="Y277" i="4"/>
  <c r="AB584" i="4"/>
  <c r="T584" i="4"/>
  <c r="L584" i="4"/>
  <c r="D584" i="4"/>
  <c r="Z581" i="4"/>
  <c r="Z581" i="5" s="1"/>
  <c r="R581" i="4"/>
  <c r="R581" i="5" s="1"/>
  <c r="J581" i="4"/>
  <c r="J581" i="5" s="1"/>
  <c r="AF580" i="4"/>
  <c r="X580" i="4"/>
  <c r="P580" i="4"/>
  <c r="H580" i="4"/>
  <c r="AD579" i="4"/>
  <c r="AD579" i="5" s="1"/>
  <c r="V579" i="4"/>
  <c r="V579" i="5" s="1"/>
  <c r="N579" i="4"/>
  <c r="N579" i="5" s="1"/>
  <c r="F579" i="4"/>
  <c r="F579" i="5" s="1"/>
  <c r="AB578" i="4"/>
  <c r="AB578" i="5" s="1"/>
  <c r="T578" i="4"/>
  <c r="T578" i="5" s="1"/>
  <c r="L578" i="4"/>
  <c r="L578" i="5" s="1"/>
  <c r="D578" i="4"/>
  <c r="P576" i="4"/>
  <c r="AA575" i="4"/>
  <c r="N575" i="4"/>
  <c r="AF574" i="4"/>
  <c r="X574" i="4"/>
  <c r="P574" i="4"/>
  <c r="H574" i="4"/>
  <c r="Y560" i="4"/>
  <c r="H548" i="4"/>
  <c r="E353" i="4"/>
  <c r="AD341" i="4"/>
  <c r="X341" i="4"/>
  <c r="T341" i="4"/>
  <c r="P341" i="4"/>
  <c r="L341" i="4"/>
  <c r="H341" i="4"/>
  <c r="D341" i="4"/>
  <c r="AD337" i="4"/>
  <c r="AD335" i="4"/>
  <c r="Y333" i="4"/>
  <c r="E333" i="4"/>
  <c r="X332" i="4"/>
  <c r="E325" i="4"/>
  <c r="T321" i="4"/>
  <c r="N321" i="4"/>
  <c r="AD320" i="4"/>
  <c r="J318" i="4"/>
  <c r="J314" i="4"/>
  <c r="AD298" i="4"/>
  <c r="T298" i="4"/>
  <c r="J298" i="4"/>
  <c r="AD295" i="4"/>
  <c r="T295" i="4"/>
  <c r="J295" i="4"/>
  <c r="T291" i="4"/>
  <c r="P291" i="4"/>
  <c r="L291" i="4"/>
  <c r="H291" i="4"/>
  <c r="D291" i="4"/>
  <c r="AF289" i="4"/>
  <c r="AB289" i="4"/>
  <c r="X289" i="4"/>
  <c r="AF279" i="4"/>
  <c r="AB279" i="4"/>
  <c r="X279" i="4"/>
  <c r="T279" i="4"/>
  <c r="P279" i="4"/>
  <c r="L279" i="4"/>
  <c r="H279" i="4"/>
  <c r="D279" i="4"/>
  <c r="AD278" i="4"/>
  <c r="Z278" i="4"/>
  <c r="V278" i="4"/>
  <c r="R278" i="4"/>
  <c r="N278" i="4"/>
  <c r="J278" i="4"/>
  <c r="F278" i="4"/>
  <c r="AF277" i="4"/>
  <c r="AB277" i="4"/>
  <c r="X277" i="4"/>
  <c r="T277" i="4"/>
  <c r="X584" i="4"/>
  <c r="H584" i="4"/>
  <c r="V581" i="4"/>
  <c r="V581" i="5" s="1"/>
  <c r="F581" i="4"/>
  <c r="F581" i="5" s="1"/>
  <c r="T580" i="4"/>
  <c r="D580" i="4"/>
  <c r="R579" i="4"/>
  <c r="R579" i="5" s="1"/>
  <c r="AF578" i="4"/>
  <c r="AF578" i="5" s="1"/>
  <c r="P578" i="4"/>
  <c r="P578" i="5" s="1"/>
  <c r="Z576" i="4"/>
  <c r="T575" i="4"/>
  <c r="AB574" i="4"/>
  <c r="L574" i="4"/>
  <c r="K548" i="4"/>
  <c r="Y350" i="4"/>
  <c r="W341" i="4"/>
  <c r="O341" i="4"/>
  <c r="G341" i="4"/>
  <c r="X337" i="4"/>
  <c r="AF332" i="4"/>
  <c r="Y321" i="4"/>
  <c r="H321" i="4"/>
  <c r="G318" i="4"/>
  <c r="AA298" i="4"/>
  <c r="G298" i="4"/>
  <c r="Q295" i="4"/>
  <c r="S291" i="4"/>
  <c r="K291" i="4"/>
  <c r="AA289" i="4"/>
  <c r="AE279" i="4"/>
  <c r="W279" i="4"/>
  <c r="O279" i="4"/>
  <c r="G279" i="4"/>
  <c r="AC278" i="4"/>
  <c r="U278" i="4"/>
  <c r="M278" i="4"/>
  <c r="E278" i="4"/>
  <c r="AA277" i="4"/>
  <c r="U277" i="4"/>
  <c r="P277" i="4"/>
  <c r="L277" i="4"/>
  <c r="H277" i="4"/>
  <c r="D277" i="4"/>
  <c r="AD275" i="4"/>
  <c r="Z275" i="4"/>
  <c r="V275" i="4"/>
  <c r="R275" i="4"/>
  <c r="N275" i="4"/>
  <c r="J275" i="4"/>
  <c r="F275" i="4"/>
  <c r="T273" i="4"/>
  <c r="P273" i="4"/>
  <c r="AD269" i="4"/>
  <c r="Z269" i="4"/>
  <c r="V269" i="4"/>
  <c r="R269" i="4"/>
  <c r="N269" i="4"/>
  <c r="J269" i="4"/>
  <c r="F269" i="4"/>
  <c r="J354" i="4"/>
  <c r="Y353" i="4"/>
  <c r="D353" i="4"/>
  <c r="D349" i="4"/>
  <c r="D348" i="4"/>
  <c r="AD345" i="4"/>
  <c r="Z345" i="4"/>
  <c r="V345" i="4"/>
  <c r="R345" i="4"/>
  <c r="N345" i="4"/>
  <c r="J345" i="4"/>
  <c r="F345" i="4"/>
  <c r="AF344" i="4"/>
  <c r="AB344" i="4"/>
  <c r="X344" i="4"/>
  <c r="T344" i="4"/>
  <c r="P344" i="4"/>
  <c r="L344" i="4"/>
  <c r="H344" i="4"/>
  <c r="D344" i="4"/>
  <c r="D339" i="4"/>
  <c r="Z337" i="4"/>
  <c r="S584" i="4"/>
  <c r="AG581" i="4"/>
  <c r="AG581" i="5" s="1"/>
  <c r="Q581" i="4"/>
  <c r="Q581" i="5" s="1"/>
  <c r="AE580" i="4"/>
  <c r="O580" i="4"/>
  <c r="AC579" i="4"/>
  <c r="AC579" i="5" s="1"/>
  <c r="M579" i="4"/>
  <c r="M579" i="5" s="1"/>
  <c r="AA578" i="4"/>
  <c r="AA578" i="5" s="1"/>
  <c r="K578" i="4"/>
  <c r="K578" i="5" s="1"/>
  <c r="M576" i="4"/>
  <c r="L575" i="4"/>
  <c r="W574" i="4"/>
  <c r="G574" i="4"/>
  <c r="F548" i="4"/>
  <c r="V341" i="4"/>
  <c r="N341" i="4"/>
  <c r="F341" i="4"/>
  <c r="H338" i="4"/>
  <c r="AA335" i="4"/>
  <c r="AD332" i="4"/>
  <c r="O325" i="4"/>
  <c r="E321" i="4"/>
  <c r="D318" i="4"/>
  <c r="X298" i="4"/>
  <c r="D298" i="4"/>
  <c r="N295" i="4"/>
  <c r="R291" i="4"/>
  <c r="J291" i="4"/>
  <c r="Z289" i="4"/>
  <c r="AD279" i="4"/>
  <c r="V279" i="4"/>
  <c r="N279" i="4"/>
  <c r="F279" i="4"/>
  <c r="AB278" i="4"/>
  <c r="T278" i="4"/>
  <c r="L278" i="4"/>
  <c r="D278" i="4"/>
  <c r="Z277" i="4"/>
  <c r="S277" i="4"/>
  <c r="O277" i="4"/>
  <c r="K277" i="4"/>
  <c r="G277" i="4"/>
  <c r="AG275" i="4"/>
  <c r="AC275" i="4"/>
  <c r="Y275" i="4"/>
  <c r="U275" i="4"/>
  <c r="Q275" i="4"/>
  <c r="M275" i="4"/>
  <c r="I275" i="4"/>
  <c r="E275" i="4"/>
  <c r="W273" i="4"/>
  <c r="S273" i="4"/>
  <c r="O273" i="4"/>
  <c r="AG269" i="4"/>
  <c r="AC269" i="4"/>
  <c r="Y269" i="4"/>
  <c r="U269" i="4"/>
  <c r="Q269" i="4"/>
  <c r="M269" i="4"/>
  <c r="I269" i="4"/>
  <c r="E269" i="4"/>
  <c r="G354" i="4"/>
  <c r="L353" i="4"/>
  <c r="L349" i="4"/>
  <c r="L348" i="4"/>
  <c r="AG345" i="4"/>
  <c r="AC345" i="4"/>
  <c r="Y345" i="4"/>
  <c r="U345" i="4"/>
  <c r="Q345" i="4"/>
  <c r="M345" i="4"/>
  <c r="I345" i="4"/>
  <c r="E345" i="4"/>
  <c r="AE344" i="4"/>
  <c r="AA344" i="4"/>
  <c r="W344" i="4"/>
  <c r="S344" i="4"/>
  <c r="O344" i="4"/>
  <c r="K344" i="4"/>
  <c r="G344" i="4"/>
  <c r="L339" i="4"/>
  <c r="AG337" i="4"/>
  <c r="P584" i="4"/>
  <c r="N581" i="4"/>
  <c r="N581" i="5" s="1"/>
  <c r="L580" i="4"/>
  <c r="J579" i="4"/>
  <c r="J579" i="5" s="1"/>
  <c r="H578" i="4"/>
  <c r="H578" i="5" s="1"/>
  <c r="G575" i="4"/>
  <c r="D574" i="4"/>
  <c r="AE560" i="4"/>
  <c r="R341" i="4"/>
  <c r="Y338" i="4"/>
  <c r="X335" i="4"/>
  <c r="O333" i="4"/>
  <c r="Q321" i="4"/>
  <c r="G314" i="4"/>
  <c r="AA295" i="4"/>
  <c r="O291" i="4"/>
  <c r="S279" i="4"/>
  <c r="AG278" i="4"/>
  <c r="Q278" i="4"/>
  <c r="AE277" i="4"/>
  <c r="R277" i="4"/>
  <c r="J277" i="4"/>
  <c r="AF275" i="4"/>
  <c r="X275" i="4"/>
  <c r="P275" i="4"/>
  <c r="H275" i="4"/>
  <c r="Q273" i="4"/>
  <c r="AF269" i="4"/>
  <c r="X269" i="4"/>
  <c r="P269" i="4"/>
  <c r="H269" i="4"/>
  <c r="D354" i="4"/>
  <c r="J349" i="4"/>
  <c r="AF345" i="4"/>
  <c r="X345" i="4"/>
  <c r="P345" i="4"/>
  <c r="H345" i="4"/>
  <c r="AD344" i="4"/>
  <c r="V344" i="4"/>
  <c r="N344" i="4"/>
  <c r="F344" i="4"/>
  <c r="W337" i="4"/>
  <c r="M337" i="4"/>
  <c r="I337" i="4"/>
  <c r="AG336" i="4"/>
  <c r="W336" i="4"/>
  <c r="M336" i="4"/>
  <c r="L334" i="4"/>
  <c r="L332" i="4"/>
  <c r="H331" i="4"/>
  <c r="R330" i="4"/>
  <c r="L326" i="4"/>
  <c r="AC324" i="4"/>
  <c r="S324" i="4"/>
  <c r="K324" i="4"/>
  <c r="F324" i="4"/>
  <c r="AC323" i="4"/>
  <c r="S323" i="4"/>
  <c r="I323" i="4"/>
  <c r="G322" i="4"/>
  <c r="AC320" i="4"/>
  <c r="S320" i="4"/>
  <c r="K320" i="4"/>
  <c r="F320" i="4"/>
  <c r="AC319" i="4"/>
  <c r="S319" i="4"/>
  <c r="I319" i="4"/>
  <c r="AE316" i="4"/>
  <c r="AA316" i="4"/>
  <c r="W316" i="4"/>
  <c r="S316" i="4"/>
  <c r="O316" i="4"/>
  <c r="K316" i="4"/>
  <c r="G316" i="4"/>
  <c r="AG315" i="4"/>
  <c r="AC315" i="4"/>
  <c r="Y315" i="4"/>
  <c r="U315" i="4"/>
  <c r="Q315" i="4"/>
  <c r="M315" i="4"/>
  <c r="I315" i="4"/>
  <c r="E315" i="4"/>
  <c r="AC312" i="4"/>
  <c r="W312" i="4"/>
  <c r="P312" i="4"/>
  <c r="I312" i="4"/>
  <c r="AG311" i="4"/>
  <c r="Z311" i="4"/>
  <c r="S310" i="4"/>
  <c r="I310" i="4"/>
  <c r="AA309" i="4"/>
  <c r="G309" i="4"/>
  <c r="AB308" i="4"/>
  <c r="L308" i="4"/>
  <c r="W306" i="4"/>
  <c r="M306" i="4"/>
  <c r="AG305" i="4"/>
  <c r="AG304" i="4"/>
  <c r="AC304" i="4"/>
  <c r="Y304" i="4"/>
  <c r="U304" i="4"/>
  <c r="Q304" i="4"/>
  <c r="M304" i="4"/>
  <c r="I304" i="4"/>
  <c r="E304" i="4"/>
  <c r="AA303" i="4"/>
  <c r="W303" i="4"/>
  <c r="S303" i="4"/>
  <c r="O303" i="4"/>
  <c r="K303" i="4"/>
  <c r="G303" i="4"/>
  <c r="AG300" i="4"/>
  <c r="AC300" i="4"/>
  <c r="Y300" i="4"/>
  <c r="U300" i="4"/>
  <c r="Q300" i="4"/>
  <c r="M300" i="4"/>
  <c r="I300" i="4"/>
  <c r="E300" i="4"/>
  <c r="AE299" i="4"/>
  <c r="AA299" i="4"/>
  <c r="W299" i="4"/>
  <c r="S299" i="4"/>
  <c r="O299" i="4"/>
  <c r="K299" i="4"/>
  <c r="G299" i="4"/>
  <c r="AG297" i="4"/>
  <c r="AC297" i="4"/>
  <c r="Y297" i="4"/>
  <c r="U297" i="4"/>
  <c r="Q297" i="4"/>
  <c r="M297" i="4"/>
  <c r="I297" i="4"/>
  <c r="E297" i="4"/>
  <c r="AE296" i="4"/>
  <c r="AA296" i="4"/>
  <c r="W296" i="4"/>
  <c r="S296" i="4"/>
  <c r="O296" i="4"/>
  <c r="K296" i="4"/>
  <c r="G296" i="4"/>
  <c r="AG286" i="4"/>
  <c r="AC286" i="4"/>
  <c r="Y286" i="4"/>
  <c r="AE285" i="4"/>
  <c r="AA285" i="4"/>
  <c r="M285" i="4"/>
  <c r="I285" i="4"/>
  <c r="E285" i="4"/>
  <c r="K284" i="4"/>
  <c r="G284" i="4"/>
  <c r="AG281" i="4"/>
  <c r="AC281" i="4"/>
  <c r="Y281" i="4"/>
  <c r="U281" i="4"/>
  <c r="Q281" i="4"/>
  <c r="AG280" i="4"/>
  <c r="AC280" i="4"/>
  <c r="Y280" i="4"/>
  <c r="U280" i="4"/>
  <c r="K584" i="4"/>
  <c r="I581" i="4"/>
  <c r="I581" i="5" s="1"/>
  <c r="G580" i="4"/>
  <c r="E579" i="4"/>
  <c r="E579" i="5" s="1"/>
  <c r="AG576" i="4"/>
  <c r="AE574" i="4"/>
  <c r="M548" i="4"/>
  <c r="AA341" i="4"/>
  <c r="K341" i="4"/>
  <c r="D314" i="4"/>
  <c r="X295" i="4"/>
  <c r="N291" i="4"/>
  <c r="R279" i="4"/>
  <c r="AF278" i="4"/>
  <c r="P278" i="4"/>
  <c r="AD277" i="4"/>
  <c r="Q277" i="4"/>
  <c r="I277" i="4"/>
  <c r="AE275" i="4"/>
  <c r="W275" i="4"/>
  <c r="O275" i="4"/>
  <c r="G275" i="4"/>
  <c r="V273" i="4"/>
  <c r="N273" i="4"/>
  <c r="AE269" i="4"/>
  <c r="W269" i="4"/>
  <c r="O269" i="4"/>
  <c r="G269" i="4"/>
  <c r="AB353" i="4"/>
  <c r="G349" i="4"/>
  <c r="AE345" i="4"/>
  <c r="W345" i="4"/>
  <c r="O345" i="4"/>
  <c r="G345" i="4"/>
  <c r="AC344" i="4"/>
  <c r="U344" i="4"/>
  <c r="M344" i="4"/>
  <c r="E344" i="4"/>
  <c r="U337" i="4"/>
  <c r="L337" i="4"/>
  <c r="G337" i="4"/>
  <c r="AE336" i="4"/>
  <c r="U336" i="4"/>
  <c r="K336" i="4"/>
  <c r="J334" i="4"/>
  <c r="J332" i="4"/>
  <c r="E331" i="4"/>
  <c r="O330" i="4"/>
  <c r="J326" i="4"/>
  <c r="Z324" i="4"/>
  <c r="P324" i="4"/>
  <c r="J324" i="4"/>
  <c r="D324" i="4"/>
  <c r="Z323" i="4"/>
  <c r="P323" i="4"/>
  <c r="F323" i="4"/>
  <c r="D322" i="4"/>
  <c r="Z320" i="4"/>
  <c r="P320" i="4"/>
  <c r="J320" i="4"/>
  <c r="D320" i="4"/>
  <c r="Z319" i="4"/>
  <c r="P319" i="4"/>
  <c r="F319" i="4"/>
  <c r="AD316" i="4"/>
  <c r="Z316" i="4"/>
  <c r="V316" i="4"/>
  <c r="R316" i="4"/>
  <c r="N316" i="4"/>
  <c r="J316" i="4"/>
  <c r="F316" i="4"/>
  <c r="AF315" i="4"/>
  <c r="AB315" i="4"/>
  <c r="X315" i="4"/>
  <c r="T315" i="4"/>
  <c r="P315" i="4"/>
  <c r="L315" i="4"/>
  <c r="H315" i="4"/>
  <c r="D315" i="4"/>
  <c r="AB312" i="4"/>
  <c r="U312" i="4"/>
  <c r="O312" i="4"/>
  <c r="H312" i="4"/>
  <c r="AE311" i="4"/>
  <c r="Y311" i="4"/>
  <c r="R311" i="4"/>
  <c r="E311" i="4"/>
  <c r="P310" i="4"/>
  <c r="F310" i="4"/>
  <c r="X309" i="4"/>
  <c r="D309" i="4"/>
  <c r="AA308" i="4"/>
  <c r="J308" i="4"/>
  <c r="U306" i="4"/>
  <c r="K306" i="4"/>
  <c r="AE305" i="4"/>
  <c r="AF304" i="4"/>
  <c r="AB304" i="4"/>
  <c r="X304" i="4"/>
  <c r="T304" i="4"/>
  <c r="P304" i="4"/>
  <c r="L304" i="4"/>
  <c r="H304" i="4"/>
  <c r="D304" i="4"/>
  <c r="AD303" i="4"/>
  <c r="V303" i="4"/>
  <c r="R303" i="4"/>
  <c r="N303" i="4"/>
  <c r="J303" i="4"/>
  <c r="F303" i="4"/>
  <c r="AF300" i="4"/>
  <c r="AB300" i="4"/>
  <c r="X300" i="4"/>
  <c r="T300" i="4"/>
  <c r="P300" i="4"/>
  <c r="L300" i="4"/>
  <c r="H300" i="4"/>
  <c r="D300" i="4"/>
  <c r="AD299" i="4"/>
  <c r="Z299" i="4"/>
  <c r="V299" i="4"/>
  <c r="R299" i="4"/>
  <c r="N299" i="4"/>
  <c r="J299" i="4"/>
  <c r="F299" i="4"/>
  <c r="AF297" i="4"/>
  <c r="AB297" i="4"/>
  <c r="X297" i="4"/>
  <c r="T297" i="4"/>
  <c r="P297" i="4"/>
  <c r="L297" i="4"/>
  <c r="H297" i="4"/>
  <c r="D297" i="4"/>
  <c r="AD296" i="4"/>
  <c r="Z296" i="4"/>
  <c r="V296" i="4"/>
  <c r="R296" i="4"/>
  <c r="N296" i="4"/>
  <c r="J296" i="4"/>
  <c r="F296" i="4"/>
  <c r="AF286" i="4"/>
  <c r="AB286" i="4"/>
  <c r="X286" i="4"/>
  <c r="AD285" i="4"/>
  <c r="Z285" i="4"/>
  <c r="L285" i="4"/>
  <c r="H285" i="4"/>
  <c r="D285" i="4"/>
  <c r="J284" i="4"/>
  <c r="F284" i="4"/>
  <c r="AF281" i="4"/>
  <c r="AB281" i="4"/>
  <c r="X281" i="4"/>
  <c r="T281" i="4"/>
  <c r="P281" i="4"/>
  <c r="AF280" i="4"/>
  <c r="AB280" i="4"/>
  <c r="X280" i="4"/>
  <c r="T280" i="4"/>
  <c r="AD581" i="4"/>
  <c r="AD581" i="5" s="1"/>
  <c r="Z579" i="4"/>
  <c r="Z579" i="5" s="1"/>
  <c r="F576" i="4"/>
  <c r="AB338" i="4"/>
  <c r="AB321" i="4"/>
  <c r="X320" i="4"/>
  <c r="D295" i="4"/>
  <c r="V291" i="4"/>
  <c r="J279" i="4"/>
  <c r="H278" i="4"/>
  <c r="M277" i="4"/>
  <c r="AA275" i="4"/>
  <c r="K275" i="4"/>
  <c r="U273" i="4"/>
  <c r="AB269" i="4"/>
  <c r="L269" i="4"/>
  <c r="J353" i="4"/>
  <c r="AB345" i="4"/>
  <c r="L345" i="4"/>
  <c r="Z344" i="4"/>
  <c r="J344" i="4"/>
  <c r="AE337" i="4"/>
  <c r="K337" i="4"/>
  <c r="AC336" i="4"/>
  <c r="I336" i="4"/>
  <c r="AB330" i="4"/>
  <c r="W324" i="4"/>
  <c r="I324" i="4"/>
  <c r="W323" i="4"/>
  <c r="L322" i="4"/>
  <c r="AG320" i="4"/>
  <c r="M320" i="4"/>
  <c r="AG319" i="4"/>
  <c r="M319" i="4"/>
  <c r="AC316" i="4"/>
  <c r="U316" i="4"/>
  <c r="M316" i="4"/>
  <c r="E316" i="4"/>
  <c r="AA315" i="4"/>
  <c r="S315" i="4"/>
  <c r="K315" i="4"/>
  <c r="AG312" i="4"/>
  <c r="S312" i="4"/>
  <c r="F312" i="4"/>
  <c r="M310" i="4"/>
  <c r="L309" i="4"/>
  <c r="Y308" i="4"/>
  <c r="S306" i="4"/>
  <c r="AC305" i="4"/>
  <c r="AA304" i="4"/>
  <c r="S304" i="4"/>
  <c r="K304" i="4"/>
  <c r="Y303" i="4"/>
  <c r="Q303" i="4"/>
  <c r="I303" i="4"/>
  <c r="AE300" i="4"/>
  <c r="W300" i="4"/>
  <c r="O300" i="4"/>
  <c r="G300" i="4"/>
  <c r="AC299" i="4"/>
  <c r="U299" i="4"/>
  <c r="M299" i="4"/>
  <c r="E299" i="4"/>
  <c r="AA297" i="4"/>
  <c r="S297" i="4"/>
  <c r="K297" i="4"/>
  <c r="AG296" i="4"/>
  <c r="Y296" i="4"/>
  <c r="Q296" i="4"/>
  <c r="I296" i="4"/>
  <c r="AE286" i="4"/>
  <c r="AG285" i="4"/>
  <c r="Y285" i="4"/>
  <c r="G285" i="4"/>
  <c r="I284" i="4"/>
  <c r="AE281" i="4"/>
  <c r="W281" i="4"/>
  <c r="O281" i="4"/>
  <c r="AA280" i="4"/>
  <c r="S280" i="4"/>
  <c r="O280" i="4"/>
  <c r="K280" i="4"/>
  <c r="G280" i="4"/>
  <c r="M263" i="4"/>
  <c r="I263" i="4"/>
  <c r="E263" i="4"/>
  <c r="AE256" i="4"/>
  <c r="AA256" i="4"/>
  <c r="W256" i="4"/>
  <c r="S256" i="4"/>
  <c r="O256" i="4"/>
  <c r="W267" i="4"/>
  <c r="S267" i="4"/>
  <c r="O267" i="4"/>
  <c r="U266" i="4"/>
  <c r="Q266" i="4"/>
  <c r="W265" i="4"/>
  <c r="S265" i="4"/>
  <c r="O265" i="4"/>
  <c r="K258" i="4"/>
  <c r="G258" i="4"/>
  <c r="U257" i="4"/>
  <c r="Q257" i="4"/>
  <c r="M257" i="4"/>
  <c r="I257" i="4"/>
  <c r="E257" i="4"/>
  <c r="W255" i="4"/>
  <c r="S255" i="4"/>
  <c r="O255" i="4"/>
  <c r="K255" i="4"/>
  <c r="G255" i="4"/>
  <c r="U254" i="4"/>
  <c r="Q254" i="4"/>
  <c r="M254" i="4"/>
  <c r="I254" i="4"/>
  <c r="E254" i="4"/>
  <c r="W245" i="4"/>
  <c r="S245" i="4"/>
  <c r="O245" i="4"/>
  <c r="U250" i="4"/>
  <c r="Q250" i="4"/>
  <c r="M250" i="4"/>
  <c r="I250" i="4"/>
  <c r="E250" i="4"/>
  <c r="U249" i="4"/>
  <c r="Q249" i="4"/>
  <c r="U248" i="4"/>
  <c r="Q248" i="4"/>
  <c r="M248" i="4"/>
  <c r="I248" i="4"/>
  <c r="E248" i="4"/>
  <c r="AE252" i="4"/>
  <c r="AA252" i="4"/>
  <c r="W252" i="4"/>
  <c r="S252" i="4"/>
  <c r="O252" i="4"/>
  <c r="AE251" i="4"/>
  <c r="AA251" i="4"/>
  <c r="W251" i="4"/>
  <c r="S251" i="4"/>
  <c r="O251" i="4"/>
  <c r="K251" i="4"/>
  <c r="G251" i="4"/>
  <c r="AG250" i="4"/>
  <c r="AC250" i="4"/>
  <c r="Y250" i="4"/>
  <c r="AE249" i="4"/>
  <c r="AA249" i="4"/>
  <c r="AE247" i="4"/>
  <c r="AA247" i="4"/>
  <c r="W247" i="4"/>
  <c r="S247" i="4"/>
  <c r="O247" i="4"/>
  <c r="AE246" i="4"/>
  <c r="AA246" i="4"/>
  <c r="M246" i="4"/>
  <c r="I246" i="4"/>
  <c r="E246" i="4"/>
  <c r="AE245" i="4"/>
  <c r="AA245" i="4"/>
  <c r="Y581" i="4"/>
  <c r="Y581" i="5" s="1"/>
  <c r="U579" i="4"/>
  <c r="U579" i="5" s="1"/>
  <c r="Y575" i="4"/>
  <c r="Q298" i="4"/>
  <c r="G291" i="4"/>
  <c r="AE289" i="4"/>
  <c r="AA279" i="4"/>
  <c r="Y278" i="4"/>
  <c r="W277" i="4"/>
  <c r="F277" i="4"/>
  <c r="T275" i="4"/>
  <c r="D275" i="4"/>
  <c r="R273" i="4"/>
  <c r="AA269" i="4"/>
  <c r="K269" i="4"/>
  <c r="G353" i="4"/>
  <c r="AA345" i="4"/>
  <c r="K345" i="4"/>
  <c r="Y344" i="4"/>
  <c r="I344" i="4"/>
  <c r="AC337" i="4"/>
  <c r="J337" i="4"/>
  <c r="Z336" i="4"/>
  <c r="F336" i="4"/>
  <c r="Y330" i="4"/>
  <c r="U324" i="4"/>
  <c r="G324" i="4"/>
  <c r="U323" i="4"/>
  <c r="J322" i="4"/>
  <c r="AE320" i="4"/>
  <c r="L320" i="4"/>
  <c r="AE319" i="4"/>
  <c r="K319" i="4"/>
  <c r="AB316" i="4"/>
  <c r="T316" i="4"/>
  <c r="L316" i="4"/>
  <c r="D316" i="4"/>
  <c r="Z315" i="4"/>
  <c r="R315" i="4"/>
  <c r="J315" i="4"/>
  <c r="AE312" i="4"/>
  <c r="R312" i="4"/>
  <c r="E312" i="4"/>
  <c r="H311" i="4"/>
  <c r="K310" i="4"/>
  <c r="J309" i="4"/>
  <c r="X308" i="4"/>
  <c r="P306" i="4"/>
  <c r="Z305" i="4"/>
  <c r="Z304" i="4"/>
  <c r="R304" i="4"/>
  <c r="J304" i="4"/>
  <c r="AF303" i="4"/>
  <c r="X303" i="4"/>
  <c r="P303" i="4"/>
  <c r="H303" i="4"/>
  <c r="AD300" i="4"/>
  <c r="V300" i="4"/>
  <c r="N300" i="4"/>
  <c r="F300" i="4"/>
  <c r="AB299" i="4"/>
  <c r="T299" i="4"/>
  <c r="L299" i="4"/>
  <c r="D299" i="4"/>
  <c r="Z297" i="4"/>
  <c r="R297" i="4"/>
  <c r="J297" i="4"/>
  <c r="AF296" i="4"/>
  <c r="X296" i="4"/>
  <c r="P296" i="4"/>
  <c r="H296" i="4"/>
  <c r="AD286" i="4"/>
  <c r="AF285" i="4"/>
  <c r="X285" i="4"/>
  <c r="F285" i="4"/>
  <c r="H284" i="4"/>
  <c r="AD281" i="4"/>
  <c r="V281" i="4"/>
  <c r="N281" i="4"/>
  <c r="Z280" i="4"/>
  <c r="R280" i="4"/>
  <c r="N280" i="4"/>
  <c r="J280" i="4"/>
  <c r="F280" i="4"/>
  <c r="L263" i="4"/>
  <c r="H263" i="4"/>
  <c r="D263" i="4"/>
  <c r="AD256" i="4"/>
  <c r="Z256" i="4"/>
  <c r="V256" i="4"/>
  <c r="R256" i="4"/>
  <c r="N256" i="4"/>
  <c r="V267" i="4"/>
  <c r="R267" i="4"/>
  <c r="N267" i="4"/>
  <c r="T266" i="4"/>
  <c r="P266" i="4"/>
  <c r="V265" i="4"/>
  <c r="R265" i="4"/>
  <c r="N265" i="4"/>
  <c r="J258" i="4"/>
  <c r="F258" i="4"/>
  <c r="T257" i="4"/>
  <c r="P257" i="4"/>
  <c r="L257" i="4"/>
  <c r="H257" i="4"/>
  <c r="D257" i="4"/>
  <c r="V255" i="4"/>
  <c r="R255" i="4"/>
  <c r="N255" i="4"/>
  <c r="J255" i="4"/>
  <c r="F255" i="4"/>
  <c r="T254" i="4"/>
  <c r="P254" i="4"/>
  <c r="L254" i="4"/>
  <c r="H254" i="4"/>
  <c r="D254" i="4"/>
  <c r="V245" i="4"/>
  <c r="R245" i="4"/>
  <c r="N245" i="4"/>
  <c r="T250" i="4"/>
  <c r="P250" i="4"/>
  <c r="L250" i="4"/>
  <c r="H250" i="4"/>
  <c r="D250" i="4"/>
  <c r="T249" i="4"/>
  <c r="P249" i="4"/>
  <c r="T248" i="4"/>
  <c r="P248" i="4"/>
  <c r="L248" i="4"/>
  <c r="H248" i="4"/>
  <c r="D248" i="4"/>
  <c r="AD252" i="4"/>
  <c r="Z252" i="4"/>
  <c r="V252" i="4"/>
  <c r="R252" i="4"/>
  <c r="N252" i="4"/>
  <c r="AD251" i="4"/>
  <c r="Z251" i="4"/>
  <c r="V251" i="4"/>
  <c r="R251" i="4"/>
  <c r="N251" i="4"/>
  <c r="J251" i="4"/>
  <c r="F251" i="4"/>
  <c r="AF250" i="4"/>
  <c r="AB250" i="4"/>
  <c r="X250" i="4"/>
  <c r="AD249" i="4"/>
  <c r="Z249" i="4"/>
  <c r="AD247" i="4"/>
  <c r="Z247" i="4"/>
  <c r="V247" i="4"/>
  <c r="R247" i="4"/>
  <c r="N247" i="4"/>
  <c r="AD246" i="4"/>
  <c r="Z246" i="4"/>
  <c r="L246" i="4"/>
  <c r="H246" i="4"/>
  <c r="D246" i="4"/>
  <c r="AD245" i="4"/>
  <c r="AF218" i="4"/>
  <c r="P219" i="4"/>
  <c r="T219" i="4"/>
  <c r="N220" i="4"/>
  <c r="R220" i="4"/>
  <c r="V220" i="4"/>
  <c r="Z220" i="4"/>
  <c r="AD220" i="4"/>
  <c r="X221" i="4"/>
  <c r="AB221" i="4"/>
  <c r="AF221" i="4"/>
  <c r="Z222" i="4"/>
  <c r="AD222" i="4"/>
  <c r="D223" i="4"/>
  <c r="H223" i="4"/>
  <c r="L223" i="4"/>
  <c r="Z223" i="4"/>
  <c r="AD223" i="4"/>
  <c r="X224" i="4"/>
  <c r="AB224" i="4"/>
  <c r="AF224" i="4"/>
  <c r="P225" i="4"/>
  <c r="T225" i="4"/>
  <c r="D226" i="4"/>
  <c r="H226" i="4"/>
  <c r="L226" i="4"/>
  <c r="P226" i="4"/>
  <c r="T226" i="4"/>
  <c r="D227" i="4"/>
  <c r="H227" i="4"/>
  <c r="L227" i="4"/>
  <c r="P227" i="4"/>
  <c r="T227" i="4"/>
  <c r="X227" i="4"/>
  <c r="AB227" i="4"/>
  <c r="AF227" i="4"/>
  <c r="P228" i="4"/>
  <c r="T228" i="4"/>
  <c r="D229" i="4"/>
  <c r="H229" i="4"/>
  <c r="L229" i="4"/>
  <c r="P230" i="4"/>
  <c r="T230" i="4"/>
  <c r="N231" i="4"/>
  <c r="R231" i="4"/>
  <c r="V231" i="4"/>
  <c r="P232" i="4"/>
  <c r="T232" i="4"/>
  <c r="N233" i="4"/>
  <c r="R233" i="4"/>
  <c r="V233" i="4"/>
  <c r="P234" i="4"/>
  <c r="T234" i="4"/>
  <c r="D235" i="4"/>
  <c r="H235" i="4"/>
  <c r="L235" i="4"/>
  <c r="P235" i="4"/>
  <c r="T235" i="4"/>
  <c r="D236" i="4"/>
  <c r="H236" i="4"/>
  <c r="L236" i="4"/>
  <c r="Z236" i="4"/>
  <c r="AD236" i="4"/>
  <c r="N237" i="4"/>
  <c r="R237" i="4"/>
  <c r="V237" i="4"/>
  <c r="Z237" i="4"/>
  <c r="AD237" i="4"/>
  <c r="N238" i="4"/>
  <c r="R238" i="4"/>
  <c r="V238" i="4"/>
  <c r="P239" i="4"/>
  <c r="T239" i="4"/>
  <c r="X239" i="4"/>
  <c r="AB239" i="4"/>
  <c r="AF239" i="4"/>
  <c r="P240" i="4"/>
  <c r="T240" i="4"/>
  <c r="X240" i="4"/>
  <c r="AB240" i="4"/>
  <c r="AF240" i="4"/>
  <c r="F241" i="4"/>
  <c r="J241" i="4"/>
  <c r="X241" i="4"/>
  <c r="AB241" i="4"/>
  <c r="AF241" i="4"/>
  <c r="F242" i="4"/>
  <c r="J242" i="4"/>
  <c r="N242" i="4"/>
  <c r="R242" i="4"/>
  <c r="V242" i="4"/>
  <c r="F244" i="4"/>
  <c r="J244" i="4"/>
  <c r="N244" i="4"/>
  <c r="R244" i="4"/>
  <c r="V244" i="4"/>
  <c r="Z244" i="4"/>
  <c r="AD244" i="4"/>
  <c r="X245" i="4"/>
  <c r="AC245" i="4"/>
  <c r="G246" i="4"/>
  <c r="Y246" i="4"/>
  <c r="AG246" i="4"/>
  <c r="U247" i="4"/>
  <c r="AC247" i="4"/>
  <c r="Y249" i="4"/>
  <c r="AG249" i="4"/>
  <c r="AE250" i="4"/>
  <c r="I251" i="4"/>
  <c r="Q251" i="4"/>
  <c r="Y251" i="4"/>
  <c r="AG251" i="4"/>
  <c r="U252" i="4"/>
  <c r="AC252" i="4"/>
  <c r="G248" i="4"/>
  <c r="O248" i="4"/>
  <c r="W248" i="4"/>
  <c r="O249" i="4"/>
  <c r="W249" i="4"/>
  <c r="K250" i="4"/>
  <c r="S250" i="4"/>
  <c r="Q245" i="4"/>
  <c r="K254" i="4"/>
  <c r="S254" i="4"/>
  <c r="I255" i="4"/>
  <c r="Q255" i="4"/>
  <c r="K257" i="4"/>
  <c r="S257" i="4"/>
  <c r="I258" i="4"/>
  <c r="Q265" i="4"/>
  <c r="O266" i="4"/>
  <c r="W266" i="4"/>
  <c r="U267" i="4"/>
  <c r="Q256" i="4"/>
  <c r="Y256" i="4"/>
  <c r="AG256" i="4"/>
  <c r="K263" i="4"/>
  <c r="I280" i="4"/>
  <c r="Q280" i="4"/>
  <c r="AE280" i="4"/>
  <c r="AA281" i="4"/>
  <c r="M284" i="4"/>
  <c r="AC285" i="4"/>
  <c r="E296" i="4"/>
  <c r="U296" i="4"/>
  <c r="G297" i="4"/>
  <c r="W297" i="4"/>
  <c r="I299" i="4"/>
  <c r="Y299" i="4"/>
  <c r="K300" i="4"/>
  <c r="AA300" i="4"/>
  <c r="M303" i="4"/>
  <c r="O304" i="4"/>
  <c r="AE304" i="4"/>
  <c r="G308" i="4"/>
  <c r="AF309" i="4"/>
  <c r="M312" i="4"/>
  <c r="G315" i="4"/>
  <c r="W315" i="4"/>
  <c r="I316" i="4"/>
  <c r="Y316" i="4"/>
  <c r="W319" i="4"/>
  <c r="W320" i="4"/>
  <c r="M323" i="4"/>
  <c r="M324" i="4"/>
  <c r="G326" i="4"/>
  <c r="G332" i="4"/>
  <c r="S336" i="4"/>
  <c r="S337" i="4"/>
  <c r="R344" i="4"/>
  <c r="T345" i="4"/>
  <c r="D269" i="4"/>
  <c r="S275" i="4"/>
  <c r="V277" i="4"/>
  <c r="Z279" i="4"/>
  <c r="AA320" i="4"/>
  <c r="E338" i="4"/>
  <c r="O574" i="4"/>
  <c r="W580" i="4"/>
  <c r="AG218" i="4"/>
  <c r="Q219" i="4"/>
  <c r="U219" i="4"/>
  <c r="O220" i="4"/>
  <c r="S220" i="4"/>
  <c r="W220" i="4"/>
  <c r="AA220" i="4"/>
  <c r="AE220" i="4"/>
  <c r="Y221" i="4"/>
  <c r="AC221" i="4"/>
  <c r="AG221" i="4"/>
  <c r="AA222" i="4"/>
  <c r="AE222" i="4"/>
  <c r="E223" i="4"/>
  <c r="I223" i="4"/>
  <c r="M223" i="4"/>
  <c r="AA223" i="4"/>
  <c r="AE223" i="4"/>
  <c r="Y224" i="4"/>
  <c r="AC224" i="4"/>
  <c r="AG224" i="4"/>
  <c r="Q225" i="4"/>
  <c r="U225" i="4"/>
  <c r="E226" i="4"/>
  <c r="I226" i="4"/>
  <c r="M226" i="4"/>
  <c r="Q226" i="4"/>
  <c r="U226" i="4"/>
  <c r="E227" i="4"/>
  <c r="I227" i="4"/>
  <c r="M227" i="4"/>
  <c r="Q227" i="4"/>
  <c r="U227" i="4"/>
  <c r="Y227" i="4"/>
  <c r="AC227" i="4"/>
  <c r="AG227" i="4"/>
  <c r="Q228" i="4"/>
  <c r="U228" i="4"/>
  <c r="E229" i="4"/>
  <c r="I229" i="4"/>
  <c r="M229" i="4"/>
  <c r="Q230" i="4"/>
  <c r="U230" i="4"/>
  <c r="O231" i="4"/>
  <c r="S231" i="4"/>
  <c r="W231" i="4"/>
  <c r="Q232" i="4"/>
  <c r="U232" i="4"/>
  <c r="O233" i="4"/>
  <c r="S233" i="4"/>
  <c r="W233" i="4"/>
  <c r="Q234" i="4"/>
  <c r="U234" i="4"/>
  <c r="E235" i="4"/>
  <c r="I235" i="4"/>
  <c r="M235" i="4"/>
  <c r="Q235" i="4"/>
  <c r="U235" i="4"/>
  <c r="E236" i="4"/>
  <c r="I236" i="4"/>
  <c r="M236" i="4"/>
  <c r="AA236" i="4"/>
  <c r="AE236" i="4"/>
  <c r="O237" i="4"/>
  <c r="S237" i="4"/>
  <c r="W237" i="4"/>
  <c r="AA237" i="4"/>
  <c r="AE237" i="4"/>
  <c r="O238" i="4"/>
  <c r="S238" i="4"/>
  <c r="W238" i="4"/>
  <c r="Q239" i="4"/>
  <c r="U239" i="4"/>
  <c r="Y239" i="4"/>
  <c r="AC239" i="4"/>
  <c r="AG239" i="4"/>
  <c r="Q240" i="4"/>
  <c r="U240" i="4"/>
  <c r="Y240" i="4"/>
  <c r="AC240" i="4"/>
  <c r="AG240" i="4"/>
  <c r="G241" i="4"/>
  <c r="K241" i="4"/>
  <c r="Y241" i="4"/>
  <c r="AC241" i="4"/>
  <c r="AG241" i="4"/>
  <c r="G242" i="4"/>
  <c r="K242" i="4"/>
  <c r="O242" i="4"/>
  <c r="S242" i="4"/>
  <c r="W242" i="4"/>
  <c r="G244" i="4"/>
  <c r="K244" i="4"/>
  <c r="O244" i="4"/>
  <c r="S244" i="4"/>
  <c r="W244" i="4"/>
  <c r="AA244" i="4"/>
  <c r="AE244" i="4"/>
  <c r="Y245" i="4"/>
  <c r="AF245" i="4"/>
  <c r="J246" i="4"/>
  <c r="AB246" i="4"/>
  <c r="P247" i="4"/>
  <c r="X247" i="4"/>
  <c r="AF247" i="4"/>
  <c r="AB249" i="4"/>
  <c r="Z250" i="4"/>
  <c r="D251" i="4"/>
  <c r="L251" i="4"/>
  <c r="T251" i="4"/>
  <c r="AB251" i="4"/>
  <c r="P252" i="4"/>
  <c r="X252" i="4"/>
  <c r="AF252" i="4"/>
  <c r="J248" i="4"/>
  <c r="R248" i="4"/>
  <c r="R249" i="4"/>
  <c r="F250" i="4"/>
  <c r="N250" i="4"/>
  <c r="V250" i="4"/>
  <c r="T245" i="4"/>
  <c r="F254" i="4"/>
  <c r="N254" i="4"/>
  <c r="V254" i="4"/>
  <c r="D255" i="4"/>
  <c r="L255" i="4"/>
  <c r="T255" i="4"/>
  <c r="F257" i="4"/>
  <c r="N257" i="4"/>
  <c r="V257" i="4"/>
  <c r="D258" i="4"/>
  <c r="L258" i="4"/>
  <c r="T265" i="4"/>
  <c r="R266" i="4"/>
  <c r="P267" i="4"/>
  <c r="T256" i="4"/>
  <c r="AB256" i="4"/>
  <c r="F263" i="4"/>
  <c r="D280" i="4"/>
  <c r="L280" i="4"/>
  <c r="V280" i="4"/>
  <c r="R281" i="4"/>
  <c r="D284" i="4"/>
  <c r="J285" i="4"/>
  <c r="Z286" i="4"/>
  <c r="L296" i="4"/>
  <c r="AB296" i="4"/>
  <c r="N297" i="4"/>
  <c r="AD297" i="4"/>
  <c r="P299" i="4"/>
  <c r="AF299" i="4"/>
  <c r="R300" i="4"/>
  <c r="D303" i="4"/>
  <c r="T303" i="4"/>
  <c r="F304" i="4"/>
  <c r="V304" i="4"/>
  <c r="F306" i="4"/>
  <c r="AD308" i="4"/>
  <c r="U310" i="4"/>
  <c r="AB311" i="4"/>
  <c r="Y312" i="4"/>
  <c r="N315" i="4"/>
  <c r="AD315" i="4"/>
  <c r="P316" i="4"/>
  <c r="AF316" i="4"/>
  <c r="G320" i="4"/>
  <c r="AE323" i="4"/>
  <c r="AE324" i="4"/>
  <c r="Y329" i="4"/>
  <c r="D334" i="4"/>
  <c r="D337" i="4"/>
  <c r="G339" i="4"/>
  <c r="AG344" i="4"/>
  <c r="G348" i="4"/>
  <c r="S269" i="4"/>
  <c r="AB275" i="4"/>
  <c r="I278" i="4"/>
  <c r="T574" i="4"/>
  <c r="AB580" i="4"/>
  <c r="Z560" i="4"/>
  <c r="AG560" i="4"/>
  <c r="E574" i="4"/>
  <c r="I574" i="4"/>
  <c r="M574" i="4"/>
  <c r="Q574" i="4"/>
  <c r="U574" i="4"/>
  <c r="Y574" i="4"/>
  <c r="AC574" i="4"/>
  <c r="AG574" i="4"/>
  <c r="H575" i="4"/>
  <c r="O575" i="4"/>
  <c r="V575" i="4"/>
  <c r="AB575" i="4"/>
  <c r="I576" i="4"/>
  <c r="S576" i="4"/>
  <c r="AC576" i="4"/>
  <c r="E578" i="4"/>
  <c r="E578" i="5" s="1"/>
  <c r="I578" i="4"/>
  <c r="I578" i="5" s="1"/>
  <c r="M578" i="4"/>
  <c r="M578" i="5" s="1"/>
  <c r="Q578" i="4"/>
  <c r="Q578" i="5" s="1"/>
  <c r="U578" i="4"/>
  <c r="U578" i="5" s="1"/>
  <c r="Y578" i="4"/>
  <c r="Y578" i="5" s="1"/>
  <c r="AC578" i="4"/>
  <c r="AC578" i="5" s="1"/>
  <c r="AG578" i="4"/>
  <c r="AG578" i="5" s="1"/>
  <c r="G579" i="4"/>
  <c r="G579" i="5" s="1"/>
  <c r="K579" i="4"/>
  <c r="K579" i="5" s="1"/>
  <c r="O579" i="4"/>
  <c r="O579" i="5" s="1"/>
  <c r="S579" i="4"/>
  <c r="S579" i="5" s="1"/>
  <c r="W579" i="4"/>
  <c r="W579" i="5" s="1"/>
  <c r="AA579" i="4"/>
  <c r="AA579" i="5" s="1"/>
  <c r="AE579" i="4"/>
  <c r="AE579" i="5" s="1"/>
  <c r="E580" i="4"/>
  <c r="I580" i="4"/>
  <c r="M580" i="4"/>
  <c r="Q580" i="4"/>
  <c r="U580" i="4"/>
  <c r="Y580" i="4"/>
  <c r="AC580" i="4"/>
  <c r="AG580" i="4"/>
  <c r="G581" i="4"/>
  <c r="G581" i="5" s="1"/>
  <c r="K581" i="4"/>
  <c r="K581" i="5" s="1"/>
  <c r="O581" i="4"/>
  <c r="O581" i="5" s="1"/>
  <c r="S581" i="4"/>
  <c r="S581" i="5" s="1"/>
  <c r="W581" i="4"/>
  <c r="W581" i="5" s="1"/>
  <c r="AA581" i="4"/>
  <c r="AA581" i="5" s="1"/>
  <c r="AE581" i="4"/>
  <c r="AE581" i="5" s="1"/>
  <c r="E584" i="4"/>
  <c r="I584" i="4"/>
  <c r="M584" i="4"/>
  <c r="Q584" i="4"/>
  <c r="U584" i="4"/>
  <c r="Y584" i="4"/>
  <c r="AC584" i="4"/>
  <c r="AG584" i="4"/>
  <c r="M595" i="4"/>
  <c r="AB560" i="4"/>
  <c r="F574" i="4"/>
  <c r="J574" i="4"/>
  <c r="N574" i="4"/>
  <c r="R574" i="4"/>
  <c r="V574" i="4"/>
  <c r="Z574" i="4"/>
  <c r="AD574" i="4"/>
  <c r="D575" i="4"/>
  <c r="J575" i="4"/>
  <c r="Q575" i="4"/>
  <c r="X575" i="4"/>
  <c r="AD575" i="4"/>
  <c r="K576" i="4"/>
  <c r="U576" i="4"/>
  <c r="AE576" i="4"/>
  <c r="F578" i="4"/>
  <c r="F578" i="5" s="1"/>
  <c r="J578" i="4"/>
  <c r="J578" i="5" s="1"/>
  <c r="N578" i="4"/>
  <c r="N578" i="5" s="1"/>
  <c r="R578" i="4"/>
  <c r="R578" i="5" s="1"/>
  <c r="V578" i="4"/>
  <c r="V578" i="5" s="1"/>
  <c r="Z578" i="4"/>
  <c r="Z578" i="5" s="1"/>
  <c r="AD578" i="4"/>
  <c r="AD578" i="5" s="1"/>
  <c r="D579" i="4"/>
  <c r="D579" i="5" s="1"/>
  <c r="H579" i="4"/>
  <c r="H579" i="5" s="1"/>
  <c r="L579" i="4"/>
  <c r="L579" i="5" s="1"/>
  <c r="P579" i="4"/>
  <c r="P579" i="5" s="1"/>
  <c r="T579" i="4"/>
  <c r="T579" i="5" s="1"/>
  <c r="X579" i="4"/>
  <c r="X579" i="5" s="1"/>
  <c r="AB579" i="4"/>
  <c r="AB579" i="5" s="1"/>
  <c r="AF579" i="4"/>
  <c r="AF579" i="5" s="1"/>
  <c r="F580" i="4"/>
  <c r="J580" i="4"/>
  <c r="N580" i="4"/>
  <c r="R580" i="4"/>
  <c r="V580" i="4"/>
  <c r="Z580" i="4"/>
  <c r="AD580" i="4"/>
  <c r="D581" i="4"/>
  <c r="D581" i="5" s="1"/>
  <c r="H581" i="4"/>
  <c r="H581" i="5" s="1"/>
  <c r="L581" i="4"/>
  <c r="L581" i="5" s="1"/>
  <c r="P581" i="4"/>
  <c r="P581" i="5" s="1"/>
  <c r="T581" i="4"/>
  <c r="T581" i="5" s="1"/>
  <c r="X581" i="4"/>
  <c r="X581" i="5" s="1"/>
  <c r="AB581" i="4"/>
  <c r="AB581" i="5" s="1"/>
  <c r="AF581" i="4"/>
  <c r="AF581" i="5" s="1"/>
  <c r="F584" i="4"/>
  <c r="J584" i="4"/>
  <c r="N584" i="4"/>
  <c r="R584" i="4"/>
  <c r="V584" i="4"/>
  <c r="Z584" i="4"/>
  <c r="AD584" i="4"/>
  <c r="Z595" i="4"/>
  <c r="I595" i="4"/>
  <c r="AC595" i="4"/>
  <c r="K595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I28" i="4"/>
  <c r="H28" i="4"/>
  <c r="G28" i="4"/>
  <c r="F28" i="4"/>
  <c r="E28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D21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E12" i="5" s="1"/>
  <c r="T44" i="11" l="1"/>
  <c r="F21" i="11"/>
  <c r="K54" i="11"/>
  <c r="R44" i="11"/>
  <c r="AC44" i="11"/>
  <c r="P44" i="11"/>
  <c r="K21" i="11"/>
  <c r="I21" i="11"/>
  <c r="O54" i="11"/>
  <c r="D40" i="11"/>
  <c r="D108" i="11" s="1"/>
  <c r="J44" i="11"/>
  <c r="F44" i="11"/>
  <c r="L30" i="11"/>
  <c r="L100" i="11" s="1"/>
  <c r="R40" i="11"/>
  <c r="R108" i="11" s="1"/>
  <c r="T40" i="11"/>
  <c r="T108" i="11" s="1"/>
  <c r="AE55" i="11"/>
  <c r="AE116" i="11" s="1"/>
  <c r="AC55" i="11"/>
  <c r="AC116" i="11" s="1"/>
  <c r="M55" i="11"/>
  <c r="M116" i="11" s="1"/>
  <c r="Z55" i="11"/>
  <c r="Z116" i="11" s="1"/>
  <c r="J55" i="11"/>
  <c r="J116" i="11" s="1"/>
  <c r="X55" i="11"/>
  <c r="X116" i="11" s="1"/>
  <c r="H55" i="11"/>
  <c r="H116" i="11" s="1"/>
  <c r="R54" i="11"/>
  <c r="Z54" i="11"/>
  <c r="V44" i="11"/>
  <c r="S44" i="11"/>
  <c r="AC40" i="11"/>
  <c r="AC108" i="11" s="1"/>
  <c r="Y40" i="11"/>
  <c r="Y108" i="11" s="1"/>
  <c r="Z40" i="11"/>
  <c r="Z108" i="11" s="1"/>
  <c r="AB40" i="11"/>
  <c r="AB108" i="11" s="1"/>
  <c r="F40" i="11"/>
  <c r="F108" i="11" s="1"/>
  <c r="N40" i="11"/>
  <c r="N108" i="11" s="1"/>
  <c r="J40" i="11"/>
  <c r="J108" i="11" s="1"/>
  <c r="L40" i="11"/>
  <c r="L108" i="11" s="1"/>
  <c r="V40" i="11"/>
  <c r="V108" i="11" s="1"/>
  <c r="AF40" i="11"/>
  <c r="AF108" i="11" s="1"/>
  <c r="P40" i="11"/>
  <c r="P108" i="11" s="1"/>
  <c r="AD40" i="11"/>
  <c r="AD108" i="11" s="1"/>
  <c r="X40" i="11"/>
  <c r="X108" i="11" s="1"/>
  <c r="H40" i="11"/>
  <c r="H108" i="11" s="1"/>
  <c r="AD44" i="11"/>
  <c r="I44" i="11"/>
  <c r="U40" i="11"/>
  <c r="U108" i="11" s="1"/>
  <c r="Z44" i="11"/>
  <c r="W54" i="11"/>
  <c r="U54" i="11"/>
  <c r="C54" i="11"/>
  <c r="V54" i="11"/>
  <c r="M54" i="11"/>
  <c r="AA56" i="11"/>
  <c r="AA117" i="11" s="1"/>
  <c r="I56" i="11"/>
  <c r="I117" i="11" s="1"/>
  <c r="C43" i="11"/>
  <c r="T56" i="11"/>
  <c r="T117" i="11" s="1"/>
  <c r="K43" i="11"/>
  <c r="S56" i="11"/>
  <c r="S117" i="11" s="1"/>
  <c r="O55" i="11"/>
  <c r="O116" i="11" s="1"/>
  <c r="Y41" i="11"/>
  <c r="Y109" i="11" s="1"/>
  <c r="AE41" i="11"/>
  <c r="AE109" i="11" s="1"/>
  <c r="U41" i="11"/>
  <c r="U109" i="11" s="1"/>
  <c r="Q41" i="11"/>
  <c r="Q109" i="11" s="1"/>
  <c r="AD41" i="11"/>
  <c r="AD109" i="11" s="1"/>
  <c r="J41" i="11"/>
  <c r="J109" i="11" s="1"/>
  <c r="N41" i="11"/>
  <c r="N109" i="11" s="1"/>
  <c r="AB41" i="11"/>
  <c r="AB109" i="11" s="1"/>
  <c r="L41" i="11"/>
  <c r="L109" i="11" s="1"/>
  <c r="Z41" i="11"/>
  <c r="Z109" i="11" s="1"/>
  <c r="H41" i="11"/>
  <c r="H109" i="11" s="1"/>
  <c r="R41" i="11"/>
  <c r="R109" i="11" s="1"/>
  <c r="AF41" i="11"/>
  <c r="AF109" i="11" s="1"/>
  <c r="P41" i="11"/>
  <c r="P109" i="11" s="1"/>
  <c r="Q40" i="11"/>
  <c r="Q108" i="11" s="1"/>
  <c r="O40" i="11"/>
  <c r="O108" i="11" s="1"/>
  <c r="AD55" i="11"/>
  <c r="AD116" i="11" s="1"/>
  <c r="R43" i="11"/>
  <c r="X41" i="11"/>
  <c r="X109" i="11" s="1"/>
  <c r="W56" i="11"/>
  <c r="W117" i="11" s="1"/>
  <c r="G56" i="11"/>
  <c r="G117" i="11" s="1"/>
  <c r="U56" i="11"/>
  <c r="U117" i="11" s="1"/>
  <c r="E56" i="11"/>
  <c r="E117" i="11" s="1"/>
  <c r="AA55" i="11"/>
  <c r="AA116" i="11" s="1"/>
  <c r="K55" i="11"/>
  <c r="K116" i="11" s="1"/>
  <c r="Y55" i="11"/>
  <c r="Y116" i="11" s="1"/>
  <c r="I55" i="11"/>
  <c r="I116" i="11" s="1"/>
  <c r="T54" i="11"/>
  <c r="AC54" i="11"/>
  <c r="Y44" i="11"/>
  <c r="W44" i="11"/>
  <c r="I43" i="11"/>
  <c r="I42" i="11" s="1"/>
  <c r="I110" i="11" s="1"/>
  <c r="U43" i="11"/>
  <c r="AD56" i="11"/>
  <c r="AD117" i="11" s="1"/>
  <c r="F56" i="11"/>
  <c r="F117" i="11" s="1"/>
  <c r="P56" i="11"/>
  <c r="P117" i="11" s="1"/>
  <c r="F55" i="11"/>
  <c r="F116" i="11" s="1"/>
  <c r="T55" i="11"/>
  <c r="T116" i="11" s="1"/>
  <c r="D55" i="11"/>
  <c r="D116" i="11" s="1"/>
  <c r="P54" i="11"/>
  <c r="L44" i="11"/>
  <c r="K44" i="11"/>
  <c r="O56" i="11"/>
  <c r="O117" i="11" s="1"/>
  <c r="W55" i="11"/>
  <c r="W116" i="11" s="1"/>
  <c r="S43" i="11"/>
  <c r="I41" i="11"/>
  <c r="I109" i="11" s="1"/>
  <c r="E41" i="11"/>
  <c r="E109" i="11" s="1"/>
  <c r="M41" i="11"/>
  <c r="M109" i="11" s="1"/>
  <c r="M40" i="11"/>
  <c r="M108" i="11" s="1"/>
  <c r="I40" i="11"/>
  <c r="I108" i="11" s="1"/>
  <c r="V55" i="11"/>
  <c r="V116" i="11" s="1"/>
  <c r="K56" i="11"/>
  <c r="K117" i="11" s="1"/>
  <c r="N56" i="11"/>
  <c r="N117" i="11" s="1"/>
  <c r="N43" i="11"/>
  <c r="N42" i="11" s="1"/>
  <c r="N110" i="11" s="1"/>
  <c r="C56" i="11"/>
  <c r="C117" i="11" s="1"/>
  <c r="C147" i="11" s="1"/>
  <c r="Q56" i="11"/>
  <c r="Q117" i="11" s="1"/>
  <c r="U55" i="11"/>
  <c r="U116" i="11" s="1"/>
  <c r="E55" i="11"/>
  <c r="E116" i="11" s="1"/>
  <c r="S54" i="11"/>
  <c r="O44" i="11"/>
  <c r="M44" i="11"/>
  <c r="Q43" i="11"/>
  <c r="Q42" i="11" s="1"/>
  <c r="Q110" i="11" s="1"/>
  <c r="L56" i="11"/>
  <c r="L117" i="11" s="1"/>
  <c r="V56" i="11"/>
  <c r="V117" i="11" s="1"/>
  <c r="AF56" i="11"/>
  <c r="AF117" i="11" s="1"/>
  <c r="H56" i="11"/>
  <c r="H117" i="11" s="1"/>
  <c r="R55" i="11"/>
  <c r="R116" i="11" s="1"/>
  <c r="AF55" i="11"/>
  <c r="AF116" i="11" s="1"/>
  <c r="P55" i="11"/>
  <c r="P116" i="11" s="1"/>
  <c r="F54" i="11"/>
  <c r="AE44" i="11"/>
  <c r="V43" i="11"/>
  <c r="V42" i="11" s="1"/>
  <c r="V110" i="11" s="1"/>
  <c r="T43" i="11"/>
  <c r="T42" i="11" s="1"/>
  <c r="T110" i="11" s="1"/>
  <c r="V41" i="11"/>
  <c r="V109" i="11" s="1"/>
  <c r="F41" i="11"/>
  <c r="F109" i="11" s="1"/>
  <c r="T41" i="11"/>
  <c r="T109" i="11" s="1"/>
  <c r="AE56" i="11"/>
  <c r="AE117" i="11" s="1"/>
  <c r="G55" i="11"/>
  <c r="G116" i="11" s="1"/>
  <c r="AA41" i="11"/>
  <c r="AA109" i="11" s="1"/>
  <c r="W41" i="11"/>
  <c r="W109" i="11" s="1"/>
  <c r="AC41" i="11"/>
  <c r="AC109" i="11" s="1"/>
  <c r="S41" i="11"/>
  <c r="S109" i="11" s="1"/>
  <c r="E40" i="11"/>
  <c r="E108" i="11" s="1"/>
  <c r="AE40" i="11"/>
  <c r="AE108" i="11" s="1"/>
  <c r="G40" i="11"/>
  <c r="G108" i="11" s="1"/>
  <c r="AA40" i="11"/>
  <c r="AA108" i="11" s="1"/>
  <c r="C40" i="11"/>
  <c r="C108" i="11" s="1"/>
  <c r="C137" i="11" s="1"/>
  <c r="F43" i="11"/>
  <c r="F42" i="11" s="1"/>
  <c r="F110" i="11" s="1"/>
  <c r="Y56" i="11"/>
  <c r="Y117" i="11" s="1"/>
  <c r="J56" i="11"/>
  <c r="J117" i="11" s="1"/>
  <c r="AC56" i="11"/>
  <c r="AC117" i="11" s="1"/>
  <c r="M56" i="11"/>
  <c r="M117" i="11" s="1"/>
  <c r="S55" i="11"/>
  <c r="S116" i="11" s="1"/>
  <c r="Q55" i="11"/>
  <c r="Q116" i="11" s="1"/>
  <c r="I54" i="11"/>
  <c r="E44" i="11"/>
  <c r="C44" i="11"/>
  <c r="O43" i="11"/>
  <c r="M43" i="11"/>
  <c r="AB56" i="11"/>
  <c r="AB117" i="11" s="1"/>
  <c r="R56" i="11"/>
  <c r="R117" i="11" s="1"/>
  <c r="X56" i="11"/>
  <c r="X117" i="11" s="1"/>
  <c r="D56" i="11"/>
  <c r="D117" i="11" s="1"/>
  <c r="N55" i="11"/>
  <c r="N116" i="11" s="1"/>
  <c r="AB55" i="11"/>
  <c r="AB116" i="11" s="1"/>
  <c r="L55" i="11"/>
  <c r="L116" i="11" s="1"/>
  <c r="AF44" i="11"/>
  <c r="U44" i="11"/>
  <c r="P43" i="11"/>
  <c r="P42" i="11" s="1"/>
  <c r="P110" i="11" s="1"/>
  <c r="D41" i="11"/>
  <c r="D109" i="11" s="1"/>
  <c r="C55" i="11"/>
  <c r="C116" i="11" s="1"/>
  <c r="C146" i="11" s="1"/>
  <c r="K41" i="11"/>
  <c r="K109" i="11" s="1"/>
  <c r="G41" i="11"/>
  <c r="G109" i="11" s="1"/>
  <c r="O41" i="11"/>
  <c r="O109" i="11" s="1"/>
  <c r="C41" i="11"/>
  <c r="C109" i="11" s="1"/>
  <c r="C138" i="11" s="1"/>
  <c r="S40" i="11"/>
  <c r="S108" i="11" s="1"/>
  <c r="W40" i="11"/>
  <c r="W108" i="11" s="1"/>
  <c r="K40" i="11"/>
  <c r="K108" i="11" s="1"/>
  <c r="Z56" i="11"/>
  <c r="Z117" i="11" s="1"/>
  <c r="P19" i="5"/>
  <c r="R19" i="6" s="1"/>
  <c r="AB19" i="5"/>
  <c r="AD19" i="6" s="1"/>
  <c r="J20" i="5"/>
  <c r="L20" i="6" s="1"/>
  <c r="V20" i="5"/>
  <c r="X20" i="6" s="1"/>
  <c r="H21" i="5"/>
  <c r="J21" i="6" s="1"/>
  <c r="T21" i="5"/>
  <c r="V21" i="6" s="1"/>
  <c r="AF21" i="5"/>
  <c r="AH21" i="6" s="1"/>
  <c r="N22" i="5"/>
  <c r="P22" i="6" s="1"/>
  <c r="Z22" i="5"/>
  <c r="AB22" i="6" s="1"/>
  <c r="L23" i="5"/>
  <c r="N23" i="6" s="1"/>
  <c r="D29" i="5"/>
  <c r="F29" i="6" s="1"/>
  <c r="P29" i="5"/>
  <c r="R29" i="6" s="1"/>
  <c r="AB29" i="5"/>
  <c r="AD29" i="6" s="1"/>
  <c r="N30" i="5"/>
  <c r="P30" i="6" s="1"/>
  <c r="Z30" i="5"/>
  <c r="AB30" i="6" s="1"/>
  <c r="E19" i="5"/>
  <c r="G19" i="6" s="1"/>
  <c r="I19" i="5"/>
  <c r="K19" i="6" s="1"/>
  <c r="M19" i="5"/>
  <c r="O19" i="6" s="1"/>
  <c r="Q19" i="5"/>
  <c r="S19" i="6" s="1"/>
  <c r="U19" i="5"/>
  <c r="W19" i="6" s="1"/>
  <c r="Y19" i="5"/>
  <c r="AA19" i="6" s="1"/>
  <c r="AC19" i="5"/>
  <c r="AE19" i="6" s="1"/>
  <c r="AG19" i="5"/>
  <c r="AI19" i="6" s="1"/>
  <c r="G20" i="5"/>
  <c r="I20" i="6" s="1"/>
  <c r="K20" i="5"/>
  <c r="M20" i="6" s="1"/>
  <c r="O20" i="5"/>
  <c r="Q20" i="6" s="1"/>
  <c r="S20" i="5"/>
  <c r="U20" i="6" s="1"/>
  <c r="W20" i="5"/>
  <c r="Y20" i="6" s="1"/>
  <c r="AA20" i="5"/>
  <c r="AC20" i="6" s="1"/>
  <c r="AE20" i="5"/>
  <c r="AG20" i="6" s="1"/>
  <c r="E21" i="5"/>
  <c r="G21" i="6" s="1"/>
  <c r="I21" i="5"/>
  <c r="K21" i="6" s="1"/>
  <c r="M21" i="5"/>
  <c r="O21" i="6" s="1"/>
  <c r="Q21" i="5"/>
  <c r="S21" i="6" s="1"/>
  <c r="U21" i="5"/>
  <c r="W21" i="6" s="1"/>
  <c r="Y21" i="5"/>
  <c r="AA21" i="6" s="1"/>
  <c r="AC21" i="5"/>
  <c r="AE21" i="6" s="1"/>
  <c r="AG21" i="5"/>
  <c r="AI21" i="6" s="1"/>
  <c r="G22" i="5"/>
  <c r="I22" i="6" s="1"/>
  <c r="K22" i="5"/>
  <c r="M22" i="6" s="1"/>
  <c r="O22" i="5"/>
  <c r="Q22" i="6" s="1"/>
  <c r="S22" i="5"/>
  <c r="U22" i="6" s="1"/>
  <c r="W22" i="5"/>
  <c r="Y22" i="6" s="1"/>
  <c r="AA22" i="5"/>
  <c r="AC22" i="6" s="1"/>
  <c r="AE22" i="5"/>
  <c r="AG22" i="6" s="1"/>
  <c r="E23" i="5"/>
  <c r="G23" i="6" s="1"/>
  <c r="I23" i="5"/>
  <c r="K23" i="6" s="1"/>
  <c r="M23" i="5"/>
  <c r="O23" i="6" s="1"/>
  <c r="Q23" i="5"/>
  <c r="S23" i="6" s="1"/>
  <c r="U23" i="5"/>
  <c r="W23" i="6" s="1"/>
  <c r="Y23" i="5"/>
  <c r="AA23" i="6" s="1"/>
  <c r="AC23" i="5"/>
  <c r="AE23" i="6" s="1"/>
  <c r="AG23" i="5"/>
  <c r="AI23" i="6" s="1"/>
  <c r="E29" i="5"/>
  <c r="G29" i="6" s="1"/>
  <c r="I29" i="5"/>
  <c r="K29" i="6" s="1"/>
  <c r="M29" i="5"/>
  <c r="O29" i="6" s="1"/>
  <c r="Q29" i="5"/>
  <c r="S29" i="6" s="1"/>
  <c r="U29" i="5"/>
  <c r="W29" i="6" s="1"/>
  <c r="Y29" i="5"/>
  <c r="AA29" i="6" s="1"/>
  <c r="AC29" i="5"/>
  <c r="AE29" i="6" s="1"/>
  <c r="AG29" i="5"/>
  <c r="AI29" i="6" s="1"/>
  <c r="G30" i="5"/>
  <c r="I30" i="6" s="1"/>
  <c r="K30" i="5"/>
  <c r="M30" i="6" s="1"/>
  <c r="O30" i="5"/>
  <c r="Q30" i="6" s="1"/>
  <c r="S30" i="5"/>
  <c r="U30" i="6" s="1"/>
  <c r="W30" i="5"/>
  <c r="Y30" i="6" s="1"/>
  <c r="AA30" i="5"/>
  <c r="AC30" i="6" s="1"/>
  <c r="AE30" i="5"/>
  <c r="AG30" i="6" s="1"/>
  <c r="H19" i="5"/>
  <c r="J19" i="6" s="1"/>
  <c r="T19" i="5"/>
  <c r="V19" i="6" s="1"/>
  <c r="AF19" i="5"/>
  <c r="AH19" i="6" s="1"/>
  <c r="N20" i="5"/>
  <c r="P20" i="6" s="1"/>
  <c r="Z20" i="5"/>
  <c r="AB20" i="6" s="1"/>
  <c r="L21" i="5"/>
  <c r="N21" i="6" s="1"/>
  <c r="X21" i="5"/>
  <c r="Z21" i="6" s="1"/>
  <c r="F22" i="5"/>
  <c r="H22" i="6" s="1"/>
  <c r="R22" i="5"/>
  <c r="T22" i="6" s="1"/>
  <c r="AD22" i="5"/>
  <c r="AF22" i="6" s="1"/>
  <c r="H23" i="5"/>
  <c r="J23" i="6" s="1"/>
  <c r="T23" i="5"/>
  <c r="V23" i="6" s="1"/>
  <c r="AB23" i="5"/>
  <c r="AD23" i="6" s="1"/>
  <c r="L29" i="5"/>
  <c r="N29" i="6" s="1"/>
  <c r="X29" i="5"/>
  <c r="Z29" i="6" s="1"/>
  <c r="F30" i="5"/>
  <c r="H30" i="6" s="1"/>
  <c r="R30" i="5"/>
  <c r="T30" i="6" s="1"/>
  <c r="AD30" i="5"/>
  <c r="AF30" i="6" s="1"/>
  <c r="F19" i="5"/>
  <c r="H19" i="6" s="1"/>
  <c r="N19" i="5"/>
  <c r="P19" i="6" s="1"/>
  <c r="V19" i="5"/>
  <c r="X19" i="6" s="1"/>
  <c r="AD19" i="5"/>
  <c r="AF19" i="6" s="1"/>
  <c r="H20" i="5"/>
  <c r="J20" i="6" s="1"/>
  <c r="P20" i="5"/>
  <c r="R20" i="6" s="1"/>
  <c r="X20" i="5"/>
  <c r="Z20" i="6" s="1"/>
  <c r="AF20" i="5"/>
  <c r="AH20" i="6" s="1"/>
  <c r="N21" i="5"/>
  <c r="P21" i="6" s="1"/>
  <c r="V21" i="5"/>
  <c r="X21" i="6" s="1"/>
  <c r="AD21" i="5"/>
  <c r="AF21" i="6" s="1"/>
  <c r="H22" i="5"/>
  <c r="J22" i="6" s="1"/>
  <c r="P22" i="5"/>
  <c r="R22" i="6" s="1"/>
  <c r="T22" i="5"/>
  <c r="V22" i="6" s="1"/>
  <c r="AB22" i="5"/>
  <c r="AD22" i="6" s="1"/>
  <c r="F23" i="5"/>
  <c r="H23" i="6" s="1"/>
  <c r="N23" i="5"/>
  <c r="P23" i="6" s="1"/>
  <c r="V23" i="5"/>
  <c r="X23" i="6" s="1"/>
  <c r="J29" i="5"/>
  <c r="L29" i="6" s="1"/>
  <c r="R29" i="5"/>
  <c r="T29" i="6" s="1"/>
  <c r="Z29" i="5"/>
  <c r="AB29" i="6" s="1"/>
  <c r="D30" i="5"/>
  <c r="F30" i="6" s="1"/>
  <c r="P30" i="5"/>
  <c r="R30" i="6" s="1"/>
  <c r="X30" i="5"/>
  <c r="Z30" i="6" s="1"/>
  <c r="AF30" i="5"/>
  <c r="AH30" i="6" s="1"/>
  <c r="D19" i="5"/>
  <c r="F19" i="6" s="1"/>
  <c r="L19" i="5"/>
  <c r="N19" i="6" s="1"/>
  <c r="X19" i="5"/>
  <c r="Z19" i="6" s="1"/>
  <c r="F20" i="5"/>
  <c r="H20" i="6" s="1"/>
  <c r="R20" i="5"/>
  <c r="T20" i="6" s="1"/>
  <c r="AD20" i="5"/>
  <c r="AF20" i="6" s="1"/>
  <c r="D21" i="5"/>
  <c r="F21" i="6" s="1"/>
  <c r="P21" i="5"/>
  <c r="R21" i="6" s="1"/>
  <c r="AB21" i="5"/>
  <c r="AD21" i="6" s="1"/>
  <c r="J22" i="5"/>
  <c r="L22" i="6" s="1"/>
  <c r="V22" i="5"/>
  <c r="X22" i="6" s="1"/>
  <c r="D23" i="5"/>
  <c r="F23" i="6" s="1"/>
  <c r="P23" i="5"/>
  <c r="R23" i="6" s="1"/>
  <c r="X23" i="5"/>
  <c r="Z23" i="6" s="1"/>
  <c r="AF23" i="5"/>
  <c r="AH23" i="6" s="1"/>
  <c r="H29" i="5"/>
  <c r="J29" i="6" s="1"/>
  <c r="T29" i="5"/>
  <c r="V29" i="6" s="1"/>
  <c r="AF29" i="5"/>
  <c r="AH29" i="6" s="1"/>
  <c r="J30" i="5"/>
  <c r="L30" i="6" s="1"/>
  <c r="V30" i="5"/>
  <c r="X30" i="6" s="1"/>
  <c r="J19" i="5"/>
  <c r="L19" i="6" s="1"/>
  <c r="R19" i="5"/>
  <c r="T19" i="6" s="1"/>
  <c r="Z19" i="5"/>
  <c r="AB19" i="6" s="1"/>
  <c r="D20" i="5"/>
  <c r="F20" i="6" s="1"/>
  <c r="L20" i="5"/>
  <c r="N20" i="6" s="1"/>
  <c r="T20" i="5"/>
  <c r="V20" i="6" s="1"/>
  <c r="AB20" i="5"/>
  <c r="AD20" i="6" s="1"/>
  <c r="F21" i="5"/>
  <c r="H21" i="6" s="1"/>
  <c r="J21" i="5"/>
  <c r="L21" i="6" s="1"/>
  <c r="R21" i="5"/>
  <c r="T21" i="6" s="1"/>
  <c r="Z21" i="5"/>
  <c r="AB21" i="6" s="1"/>
  <c r="D22" i="5"/>
  <c r="F22" i="6" s="1"/>
  <c r="L22" i="5"/>
  <c r="N22" i="6" s="1"/>
  <c r="X22" i="5"/>
  <c r="Z22" i="6" s="1"/>
  <c r="AF22" i="5"/>
  <c r="AH22" i="6" s="1"/>
  <c r="J23" i="5"/>
  <c r="L23" i="6" s="1"/>
  <c r="R23" i="5"/>
  <c r="T23" i="6" s="1"/>
  <c r="Z23" i="5"/>
  <c r="AB23" i="6" s="1"/>
  <c r="AD23" i="5"/>
  <c r="AF23" i="6" s="1"/>
  <c r="F29" i="5"/>
  <c r="H29" i="6" s="1"/>
  <c r="N29" i="5"/>
  <c r="P29" i="6" s="1"/>
  <c r="V29" i="5"/>
  <c r="X29" i="6" s="1"/>
  <c r="AD29" i="5"/>
  <c r="AF29" i="6" s="1"/>
  <c r="H30" i="5"/>
  <c r="J30" i="6" s="1"/>
  <c r="L30" i="5"/>
  <c r="N30" i="6" s="1"/>
  <c r="T30" i="5"/>
  <c r="V30" i="6" s="1"/>
  <c r="AB30" i="5"/>
  <c r="AD30" i="6" s="1"/>
  <c r="G19" i="5"/>
  <c r="I19" i="6" s="1"/>
  <c r="K19" i="5"/>
  <c r="M19" i="6" s="1"/>
  <c r="O19" i="5"/>
  <c r="Q19" i="6" s="1"/>
  <c r="S19" i="5"/>
  <c r="U19" i="6" s="1"/>
  <c r="W19" i="5"/>
  <c r="Y19" i="6" s="1"/>
  <c r="AA19" i="5"/>
  <c r="AC19" i="6" s="1"/>
  <c r="AE19" i="5"/>
  <c r="AG19" i="6" s="1"/>
  <c r="E20" i="5"/>
  <c r="G20" i="6" s="1"/>
  <c r="I20" i="5"/>
  <c r="K20" i="6" s="1"/>
  <c r="M20" i="5"/>
  <c r="O20" i="6" s="1"/>
  <c r="Q20" i="5"/>
  <c r="S20" i="6" s="1"/>
  <c r="U20" i="5"/>
  <c r="W20" i="6" s="1"/>
  <c r="Y20" i="5"/>
  <c r="AA20" i="6" s="1"/>
  <c r="AC20" i="5"/>
  <c r="AE20" i="6" s="1"/>
  <c r="AG20" i="5"/>
  <c r="AI20" i="6" s="1"/>
  <c r="G21" i="5"/>
  <c r="I21" i="6" s="1"/>
  <c r="K21" i="5"/>
  <c r="M21" i="6" s="1"/>
  <c r="O21" i="5"/>
  <c r="Q21" i="6" s="1"/>
  <c r="S21" i="5"/>
  <c r="U21" i="6" s="1"/>
  <c r="W21" i="5"/>
  <c r="Y21" i="6" s="1"/>
  <c r="AA21" i="5"/>
  <c r="AC21" i="6" s="1"/>
  <c r="AE21" i="5"/>
  <c r="AG21" i="6" s="1"/>
  <c r="E22" i="5"/>
  <c r="G22" i="6" s="1"/>
  <c r="I22" i="5"/>
  <c r="K22" i="6" s="1"/>
  <c r="M22" i="5"/>
  <c r="O22" i="6" s="1"/>
  <c r="Q22" i="5"/>
  <c r="S22" i="6" s="1"/>
  <c r="U22" i="5"/>
  <c r="W22" i="6" s="1"/>
  <c r="Y22" i="5"/>
  <c r="AA22" i="6" s="1"/>
  <c r="AC22" i="5"/>
  <c r="AE22" i="6" s="1"/>
  <c r="AG22" i="5"/>
  <c r="AI22" i="6" s="1"/>
  <c r="G23" i="5"/>
  <c r="I23" i="6" s="1"/>
  <c r="K23" i="5"/>
  <c r="M23" i="6" s="1"/>
  <c r="O23" i="5"/>
  <c r="Q23" i="6" s="1"/>
  <c r="S23" i="5"/>
  <c r="U23" i="6" s="1"/>
  <c r="W23" i="5"/>
  <c r="Y23" i="6" s="1"/>
  <c r="AA23" i="5"/>
  <c r="AC23" i="6" s="1"/>
  <c r="AE23" i="5"/>
  <c r="AG23" i="6" s="1"/>
  <c r="G29" i="5"/>
  <c r="I29" i="6" s="1"/>
  <c r="K29" i="5"/>
  <c r="M29" i="6" s="1"/>
  <c r="O29" i="5"/>
  <c r="Q29" i="6" s="1"/>
  <c r="S29" i="5"/>
  <c r="U29" i="6" s="1"/>
  <c r="W29" i="5"/>
  <c r="Y29" i="6" s="1"/>
  <c r="AA29" i="5"/>
  <c r="AC29" i="6" s="1"/>
  <c r="AE29" i="5"/>
  <c r="AG29" i="6" s="1"/>
  <c r="E30" i="5"/>
  <c r="G30" i="6" s="1"/>
  <c r="I30" i="5"/>
  <c r="K30" i="6" s="1"/>
  <c r="M30" i="5"/>
  <c r="O30" i="6" s="1"/>
  <c r="Q30" i="5"/>
  <c r="S30" i="6" s="1"/>
  <c r="U30" i="5"/>
  <c r="W30" i="6" s="1"/>
  <c r="Y30" i="5"/>
  <c r="AA30" i="6" s="1"/>
  <c r="AC30" i="5"/>
  <c r="AE30" i="6" s="1"/>
  <c r="AG30" i="5"/>
  <c r="AI30" i="6" s="1"/>
  <c r="AB30" i="11"/>
  <c r="AB100" i="11" s="1"/>
  <c r="T30" i="11"/>
  <c r="T100" i="11" s="1"/>
  <c r="D29" i="11"/>
  <c r="D99" i="11" s="1"/>
  <c r="I32" i="11"/>
  <c r="I102" i="11" s="1"/>
  <c r="AF30" i="11"/>
  <c r="AF100" i="11" s="1"/>
  <c r="L29" i="11"/>
  <c r="L99" i="11" s="1"/>
  <c r="Z29" i="11"/>
  <c r="Z99" i="11" s="1"/>
  <c r="AD29" i="11"/>
  <c r="AD99" i="11" s="1"/>
  <c r="S32" i="11"/>
  <c r="S102" i="11" s="1"/>
  <c r="AC33" i="11"/>
  <c r="AC103" i="11" s="1"/>
  <c r="H29" i="11"/>
  <c r="H99" i="11" s="1"/>
  <c r="H30" i="11"/>
  <c r="H100" i="11" s="1"/>
  <c r="P30" i="11"/>
  <c r="P100" i="11" s="1"/>
  <c r="X30" i="11"/>
  <c r="X100" i="11" s="1"/>
  <c r="I33" i="11"/>
  <c r="I103" i="11" s="1"/>
  <c r="D30" i="11"/>
  <c r="D100" i="11" s="1"/>
  <c r="AC32" i="11"/>
  <c r="AC102" i="11" s="1"/>
  <c r="S33" i="11"/>
  <c r="S103" i="11" s="1"/>
  <c r="J12" i="5"/>
  <c r="L12" i="6" s="1"/>
  <c r="I14" i="11" s="1"/>
  <c r="Z12" i="5"/>
  <c r="AB12" i="6" s="1"/>
  <c r="Y14" i="11" s="1"/>
  <c r="H13" i="5"/>
  <c r="J13" i="6" s="1"/>
  <c r="G15" i="11" s="1"/>
  <c r="T13" i="5"/>
  <c r="V13" i="6" s="1"/>
  <c r="S15" i="11" s="1"/>
  <c r="AF13" i="5"/>
  <c r="AH13" i="6" s="1"/>
  <c r="AE15" i="11" s="1"/>
  <c r="R16" i="5"/>
  <c r="T16" i="6" s="1"/>
  <c r="P17" i="5"/>
  <c r="R17" i="6" s="1"/>
  <c r="AF17" i="5"/>
  <c r="AH17" i="6" s="1"/>
  <c r="J18" i="5"/>
  <c r="L18" i="6" s="1"/>
  <c r="V18" i="5"/>
  <c r="X18" i="6" s="1"/>
  <c r="F24" i="5"/>
  <c r="H24" i="6" s="1"/>
  <c r="R24" i="5"/>
  <c r="T24" i="6" s="1"/>
  <c r="AD24" i="5"/>
  <c r="AF24" i="6" s="1"/>
  <c r="P26" i="5"/>
  <c r="R26" i="6" s="1"/>
  <c r="AB26" i="5"/>
  <c r="AD26" i="6" s="1"/>
  <c r="J27" i="5"/>
  <c r="L27" i="6" s="1"/>
  <c r="V27" i="5"/>
  <c r="X27" i="6" s="1"/>
  <c r="E28" i="5"/>
  <c r="G28" i="6" s="1"/>
  <c r="I28" i="5"/>
  <c r="K28" i="6" s="1"/>
  <c r="V28" i="5"/>
  <c r="X28" i="6" s="1"/>
  <c r="P31" i="5"/>
  <c r="R31" i="6" s="1"/>
  <c r="AF31" i="5"/>
  <c r="AH31" i="6" s="1"/>
  <c r="F584" i="5"/>
  <c r="H584" i="6" s="1"/>
  <c r="R579" i="6"/>
  <c r="E584" i="5"/>
  <c r="G584" i="6" s="1"/>
  <c r="S580" i="6"/>
  <c r="O578" i="6"/>
  <c r="Y574" i="5"/>
  <c r="AA574" i="6" s="1"/>
  <c r="F304" i="5"/>
  <c r="H304" i="6" s="1"/>
  <c r="D284" i="5"/>
  <c r="F284" i="6" s="1"/>
  <c r="T255" i="5"/>
  <c r="V255" i="6" s="1"/>
  <c r="P252" i="5"/>
  <c r="R252" i="6" s="1"/>
  <c r="AF245" i="5"/>
  <c r="AH245" i="6" s="1"/>
  <c r="K242" i="5"/>
  <c r="M242" i="6" s="1"/>
  <c r="AG239" i="5"/>
  <c r="AI239" i="6" s="1"/>
  <c r="O237" i="5"/>
  <c r="Q237" i="6" s="1"/>
  <c r="M235" i="5"/>
  <c r="O235" i="6" s="1"/>
  <c r="O231" i="5"/>
  <c r="Q231" i="6" s="1"/>
  <c r="Q227" i="5"/>
  <c r="S227" i="6" s="1"/>
  <c r="AC224" i="5"/>
  <c r="AE224" i="6" s="1"/>
  <c r="Q219" i="5"/>
  <c r="S219" i="6" s="1"/>
  <c r="M324" i="5"/>
  <c r="O324" i="6" s="1"/>
  <c r="AE304" i="5"/>
  <c r="AG304" i="6" s="1"/>
  <c r="M284" i="5"/>
  <c r="O284" i="6" s="1"/>
  <c r="Q265" i="5"/>
  <c r="S265" i="6" s="1"/>
  <c r="G248" i="5"/>
  <c r="I248" i="6" s="1"/>
  <c r="U247" i="5"/>
  <c r="W247" i="6" s="1"/>
  <c r="F244" i="5"/>
  <c r="H244" i="6" s="1"/>
  <c r="AF239" i="5"/>
  <c r="AH239" i="6" s="1"/>
  <c r="N237" i="5"/>
  <c r="P237" i="6" s="1"/>
  <c r="P234" i="5"/>
  <c r="R234" i="6" s="1"/>
  <c r="AF227" i="5"/>
  <c r="AH227" i="6" s="1"/>
  <c r="D226" i="5"/>
  <c r="F226" i="6" s="1"/>
  <c r="Z222" i="5"/>
  <c r="AB222" i="6" s="1"/>
  <c r="T219" i="5"/>
  <c r="V219" i="6" s="1"/>
  <c r="Z247" i="5"/>
  <c r="AB247" i="6" s="1"/>
  <c r="AD252" i="5"/>
  <c r="AF252" i="6" s="1"/>
  <c r="H257" i="5"/>
  <c r="J257" i="6" s="1"/>
  <c r="R267" i="5"/>
  <c r="T267" i="6" s="1"/>
  <c r="N280" i="5"/>
  <c r="P280" i="6" s="1"/>
  <c r="P296" i="5"/>
  <c r="R296" i="6" s="1"/>
  <c r="X303" i="5"/>
  <c r="Z303" i="6" s="1"/>
  <c r="R312" i="5"/>
  <c r="T312" i="6" s="1"/>
  <c r="U324" i="5"/>
  <c r="W324" i="6" s="1"/>
  <c r="AA269" i="5"/>
  <c r="AC269" i="6" s="1"/>
  <c r="E246" i="5"/>
  <c r="G246" i="6" s="1"/>
  <c r="AA249" i="5"/>
  <c r="AC249" i="6" s="1"/>
  <c r="O252" i="5"/>
  <c r="Q252" i="6" s="1"/>
  <c r="E254" i="5"/>
  <c r="G254" i="6" s="1"/>
  <c r="M257" i="5"/>
  <c r="O257" i="6" s="1"/>
  <c r="W267" i="5"/>
  <c r="Y267" i="6" s="1"/>
  <c r="S280" i="5"/>
  <c r="U280" i="6" s="1"/>
  <c r="Y296" i="5"/>
  <c r="AA296" i="6" s="1"/>
  <c r="AE300" i="5"/>
  <c r="AG300" i="6" s="1"/>
  <c r="S306" i="5"/>
  <c r="U306" i="6" s="1"/>
  <c r="AG319" i="5"/>
  <c r="AI319" i="6" s="1"/>
  <c r="AE337" i="5"/>
  <c r="AG337" i="6" s="1"/>
  <c r="H278" i="5"/>
  <c r="J278" i="6" s="1"/>
  <c r="X281" i="5"/>
  <c r="Z281" i="6" s="1"/>
  <c r="AF286" i="5"/>
  <c r="AH286" i="6" s="1"/>
  <c r="T297" i="5"/>
  <c r="V297" i="6" s="1"/>
  <c r="H300" i="5"/>
  <c r="J300" i="6" s="1"/>
  <c r="AD303" i="5"/>
  <c r="AF303" i="6" s="1"/>
  <c r="J308" i="5"/>
  <c r="L308" i="6" s="1"/>
  <c r="U312" i="5"/>
  <c r="W312" i="6" s="1"/>
  <c r="AD316" i="5"/>
  <c r="AF316" i="6" s="1"/>
  <c r="J332" i="5"/>
  <c r="L332" i="6" s="1"/>
  <c r="M285" i="5"/>
  <c r="O285" i="6" s="1"/>
  <c r="AE296" i="5"/>
  <c r="AG296" i="6" s="1"/>
  <c r="S299" i="5"/>
  <c r="U299" i="6" s="1"/>
  <c r="G303" i="5"/>
  <c r="I303" i="6" s="1"/>
  <c r="M306" i="5"/>
  <c r="O306" i="6" s="1"/>
  <c r="I315" i="5"/>
  <c r="K315" i="6" s="1"/>
  <c r="AA316" i="5"/>
  <c r="AC316" i="6" s="1"/>
  <c r="H331" i="5"/>
  <c r="J331" i="6" s="1"/>
  <c r="V344" i="5"/>
  <c r="X344" i="6" s="1"/>
  <c r="Q273" i="5"/>
  <c r="S273" i="6" s="1"/>
  <c r="Q278" i="5"/>
  <c r="S278" i="6" s="1"/>
  <c r="D574" i="5"/>
  <c r="F574" i="6" s="1"/>
  <c r="E345" i="5"/>
  <c r="G345" i="6" s="1"/>
  <c r="E269" i="5"/>
  <c r="G269" i="6" s="1"/>
  <c r="I275" i="5"/>
  <c r="K275" i="6" s="1"/>
  <c r="Z289" i="5"/>
  <c r="AB289" i="6" s="1"/>
  <c r="F341" i="5"/>
  <c r="H341" i="6" s="1"/>
  <c r="H344" i="5"/>
  <c r="J344" i="6" s="1"/>
  <c r="D353" i="5"/>
  <c r="F353" i="6" s="1"/>
  <c r="F275" i="5"/>
  <c r="H275" i="6" s="1"/>
  <c r="AC278" i="5"/>
  <c r="AE278" i="6" s="1"/>
  <c r="G341" i="5"/>
  <c r="I341" i="6" s="1"/>
  <c r="T579" i="6"/>
  <c r="J278" i="5"/>
  <c r="L278" i="6" s="1"/>
  <c r="AF289" i="5"/>
  <c r="AH289" i="6" s="1"/>
  <c r="J314" i="5"/>
  <c r="L314" i="6" s="1"/>
  <c r="H341" i="5"/>
  <c r="J341" i="6" s="1"/>
  <c r="H579" i="6"/>
  <c r="L584" i="5"/>
  <c r="N584" i="6" s="1"/>
  <c r="AE278" i="5"/>
  <c r="AG278" i="6" s="1"/>
  <c r="E291" i="5"/>
  <c r="G291" i="6" s="1"/>
  <c r="AB333" i="5"/>
  <c r="AD333" i="6" s="1"/>
  <c r="AA574" i="5"/>
  <c r="AC574" i="6" s="1"/>
  <c r="AI579" i="6"/>
  <c r="F595" i="5"/>
  <c r="H595" i="6" s="1"/>
  <c r="N232" i="5"/>
  <c r="P232" i="6" s="1"/>
  <c r="T238" i="5"/>
  <c r="V238" i="6" s="1"/>
  <c r="P244" i="5"/>
  <c r="R244" i="6" s="1"/>
  <c r="E258" i="5"/>
  <c r="G258" i="6" s="1"/>
  <c r="L303" i="5"/>
  <c r="N303" i="6" s="1"/>
  <c r="N277" i="5"/>
  <c r="P277" i="6" s="1"/>
  <c r="AA227" i="5"/>
  <c r="AC227" i="6" s="1"/>
  <c r="AA239" i="5"/>
  <c r="AC239" i="6" s="1"/>
  <c r="X249" i="5"/>
  <c r="Z249" i="6" s="1"/>
  <c r="M296" i="5"/>
  <c r="O296" i="6" s="1"/>
  <c r="Z578" i="6"/>
  <c r="H255" i="5"/>
  <c r="J255" i="6" s="1"/>
  <c r="W234" i="5"/>
  <c r="Y234" i="6" s="1"/>
  <c r="AA286" i="5"/>
  <c r="AC286" i="6" s="1"/>
  <c r="AD241" i="5"/>
  <c r="AF241" i="6" s="1"/>
  <c r="AD304" i="5"/>
  <c r="AF304" i="6" s="1"/>
  <c r="AA221" i="5"/>
  <c r="AC221" i="6" s="1"/>
  <c r="AC216" i="5"/>
  <c r="AE216" i="6" s="1"/>
  <c r="Y210" i="5"/>
  <c r="AA210" i="6" s="1"/>
  <c r="U224" i="5"/>
  <c r="W224" i="6" s="1"/>
  <c r="W216" i="5"/>
  <c r="Y216" i="6" s="1"/>
  <c r="Y214" i="5"/>
  <c r="AA214" i="6" s="1"/>
  <c r="Q210" i="5"/>
  <c r="S210" i="6" s="1"/>
  <c r="S208" i="5"/>
  <c r="U208" i="6" s="1"/>
  <c r="S200" i="5"/>
  <c r="U200" i="6" s="1"/>
  <c r="M195" i="5"/>
  <c r="O195" i="6" s="1"/>
  <c r="Q184" i="5"/>
  <c r="S184" i="6" s="1"/>
  <c r="Q180" i="5"/>
  <c r="S180" i="6" s="1"/>
  <c r="Q174" i="5"/>
  <c r="S174" i="6" s="1"/>
  <c r="G151" i="5"/>
  <c r="I151" i="6" s="1"/>
  <c r="G145" i="5"/>
  <c r="I145" i="6" s="1"/>
  <c r="U139" i="5"/>
  <c r="W139" i="6" s="1"/>
  <c r="Z137" i="5"/>
  <c r="AB137" i="6" s="1"/>
  <c r="H136" i="5"/>
  <c r="J136" i="6" s="1"/>
  <c r="T134" i="5"/>
  <c r="V134" i="6" s="1"/>
  <c r="T131" i="5"/>
  <c r="V131" i="6" s="1"/>
  <c r="H127" i="5"/>
  <c r="J127" i="6" s="1"/>
  <c r="D124" i="5"/>
  <c r="F124" i="6" s="1"/>
  <c r="Z121" i="5"/>
  <c r="AB121" i="6" s="1"/>
  <c r="H119" i="5"/>
  <c r="J119" i="6" s="1"/>
  <c r="AD116" i="5"/>
  <c r="AF116" i="6" s="1"/>
  <c r="L112" i="5"/>
  <c r="N112" i="6" s="1"/>
  <c r="D108" i="5"/>
  <c r="F108" i="6" s="1"/>
  <c r="F103" i="5"/>
  <c r="H103" i="6" s="1"/>
  <c r="R97" i="5"/>
  <c r="T97" i="6" s="1"/>
  <c r="N91" i="5"/>
  <c r="P91" i="6" s="1"/>
  <c r="P86" i="5"/>
  <c r="R86" i="6" s="1"/>
  <c r="T78" i="5"/>
  <c r="V78" i="6" s="1"/>
  <c r="Q81" i="5"/>
  <c r="S81" i="6" s="1"/>
  <c r="D48" i="5"/>
  <c r="F48" i="6" s="1"/>
  <c r="P45" i="5"/>
  <c r="R45" i="6" s="1"/>
  <c r="AB43" i="5"/>
  <c r="AD43" i="6" s="1"/>
  <c r="E38" i="5"/>
  <c r="G38" i="6" s="1"/>
  <c r="AE34" i="5"/>
  <c r="AG34" i="6" s="1"/>
  <c r="S266" i="5"/>
  <c r="U266" i="6" s="1"/>
  <c r="AB223" i="5"/>
  <c r="AD223" i="6" s="1"/>
  <c r="AB217" i="5"/>
  <c r="AD217" i="6" s="1"/>
  <c r="AD209" i="5"/>
  <c r="AF209" i="6" s="1"/>
  <c r="V229" i="5"/>
  <c r="X229" i="6" s="1"/>
  <c r="N218" i="5"/>
  <c r="P218" i="6" s="1"/>
  <c r="T214" i="5"/>
  <c r="V214" i="6" s="1"/>
  <c r="P209" i="5"/>
  <c r="R209" i="6" s="1"/>
  <c r="U204" i="5"/>
  <c r="W204" i="6" s="1"/>
  <c r="U197" i="5"/>
  <c r="W197" i="6" s="1"/>
  <c r="Y193" i="5"/>
  <c r="AA193" i="6" s="1"/>
  <c r="N185" i="5"/>
  <c r="P185" i="6" s="1"/>
  <c r="D180" i="5"/>
  <c r="F180" i="6" s="1"/>
  <c r="X154" i="5"/>
  <c r="Z154" i="6" s="1"/>
  <c r="N147" i="5"/>
  <c r="P147" i="6" s="1"/>
  <c r="P142" i="5"/>
  <c r="R142" i="6" s="1"/>
  <c r="K139" i="5"/>
  <c r="M139" i="6" s="1"/>
  <c r="E137" i="5"/>
  <c r="G137" i="6" s="1"/>
  <c r="Q135" i="5"/>
  <c r="S135" i="6" s="1"/>
  <c r="K131" i="5"/>
  <c r="M131" i="6" s="1"/>
  <c r="K127" i="5"/>
  <c r="M127" i="6" s="1"/>
  <c r="AG124" i="5"/>
  <c r="AI124" i="6" s="1"/>
  <c r="AC121" i="5"/>
  <c r="AE121" i="6" s="1"/>
  <c r="K119" i="5"/>
  <c r="M119" i="6" s="1"/>
  <c r="AG116" i="5"/>
  <c r="AI116" i="6" s="1"/>
  <c r="I111" i="5"/>
  <c r="K111" i="6" s="1"/>
  <c r="K106" i="5"/>
  <c r="M106" i="6" s="1"/>
  <c r="M101" i="5"/>
  <c r="O101" i="6" s="1"/>
  <c r="O96" i="5"/>
  <c r="Q96" i="6" s="1"/>
  <c r="Q91" i="5"/>
  <c r="S91" i="6" s="1"/>
  <c r="J82" i="5"/>
  <c r="L82" i="6" s="1"/>
  <c r="G76" i="5"/>
  <c r="I76" i="6" s="1"/>
  <c r="G81" i="5"/>
  <c r="I81" i="6" s="1"/>
  <c r="W48" i="5"/>
  <c r="Y48" i="6" s="1"/>
  <c r="V24" i="11" s="1"/>
  <c r="E47" i="5"/>
  <c r="G47" i="6" s="1"/>
  <c r="AE43" i="5"/>
  <c r="AG43" i="6" s="1"/>
  <c r="Z36" i="5"/>
  <c r="AB36" i="6" s="1"/>
  <c r="F236" i="5"/>
  <c r="H236" i="6" s="1"/>
  <c r="P49" i="5"/>
  <c r="R49" i="6" s="1"/>
  <c r="AB47" i="5"/>
  <c r="AD47" i="6" s="1"/>
  <c r="X44" i="5"/>
  <c r="Z44" i="6" s="1"/>
  <c r="W39" i="5"/>
  <c r="Y39" i="6" s="1"/>
  <c r="O35" i="5"/>
  <c r="Q35" i="6" s="1"/>
  <c r="G12" i="5"/>
  <c r="I12" i="6" s="1"/>
  <c r="F14" i="11" s="1"/>
  <c r="K12" i="5"/>
  <c r="M12" i="6" s="1"/>
  <c r="J14" i="11" s="1"/>
  <c r="O12" i="5"/>
  <c r="Q12" i="6" s="1"/>
  <c r="N14" i="11" s="1"/>
  <c r="S12" i="5"/>
  <c r="U12" i="6" s="1"/>
  <c r="R14" i="11" s="1"/>
  <c r="W12" i="5"/>
  <c r="Y12" i="6" s="1"/>
  <c r="V14" i="11" s="1"/>
  <c r="AA12" i="5"/>
  <c r="AC12" i="6" s="1"/>
  <c r="Z14" i="11" s="1"/>
  <c r="AE12" i="5"/>
  <c r="AG12" i="6" s="1"/>
  <c r="AD14" i="11" s="1"/>
  <c r="E13" i="5"/>
  <c r="G13" i="6" s="1"/>
  <c r="D15" i="11" s="1"/>
  <c r="I13" i="5"/>
  <c r="K13" i="6" s="1"/>
  <c r="H15" i="11" s="1"/>
  <c r="M13" i="5"/>
  <c r="O13" i="6" s="1"/>
  <c r="L15" i="11" s="1"/>
  <c r="Q13" i="5"/>
  <c r="S13" i="6" s="1"/>
  <c r="P15" i="11" s="1"/>
  <c r="U13" i="5"/>
  <c r="W13" i="6" s="1"/>
  <c r="T15" i="11" s="1"/>
  <c r="Y13" i="5"/>
  <c r="AA13" i="6" s="1"/>
  <c r="X15" i="11" s="1"/>
  <c r="AC13" i="5"/>
  <c r="AE13" i="6" s="1"/>
  <c r="AB15" i="11" s="1"/>
  <c r="AG13" i="5"/>
  <c r="AI13" i="6" s="1"/>
  <c r="AF15" i="11" s="1"/>
  <c r="G16" i="5"/>
  <c r="I16" i="6" s="1"/>
  <c r="K16" i="5"/>
  <c r="M16" i="6" s="1"/>
  <c r="O16" i="5"/>
  <c r="Q16" i="6" s="1"/>
  <c r="S16" i="5"/>
  <c r="U16" i="6" s="1"/>
  <c r="W16" i="5"/>
  <c r="Y16" i="6" s="1"/>
  <c r="AA16" i="5"/>
  <c r="AC16" i="6" s="1"/>
  <c r="AE16" i="5"/>
  <c r="AG16" i="6" s="1"/>
  <c r="E17" i="5"/>
  <c r="G17" i="6" s="1"/>
  <c r="I17" i="5"/>
  <c r="K17" i="6" s="1"/>
  <c r="M17" i="5"/>
  <c r="O17" i="6" s="1"/>
  <c r="Q17" i="5"/>
  <c r="S17" i="6" s="1"/>
  <c r="U17" i="5"/>
  <c r="W17" i="6" s="1"/>
  <c r="Y17" i="5"/>
  <c r="AA17" i="6" s="1"/>
  <c r="AC17" i="5"/>
  <c r="AE17" i="6" s="1"/>
  <c r="AG17" i="5"/>
  <c r="AI17" i="6" s="1"/>
  <c r="G18" i="5"/>
  <c r="I18" i="6" s="1"/>
  <c r="K18" i="5"/>
  <c r="M18" i="6" s="1"/>
  <c r="O18" i="5"/>
  <c r="Q18" i="6" s="1"/>
  <c r="S18" i="5"/>
  <c r="U18" i="6" s="1"/>
  <c r="W18" i="5"/>
  <c r="Y18" i="6" s="1"/>
  <c r="AA18" i="5"/>
  <c r="AC18" i="6" s="1"/>
  <c r="AE18" i="5"/>
  <c r="AG18" i="6" s="1"/>
  <c r="G24" i="5"/>
  <c r="I24" i="6" s="1"/>
  <c r="K24" i="5"/>
  <c r="M24" i="6" s="1"/>
  <c r="O24" i="5"/>
  <c r="Q24" i="6" s="1"/>
  <c r="S24" i="5"/>
  <c r="U24" i="6" s="1"/>
  <c r="W24" i="5"/>
  <c r="Y24" i="6" s="1"/>
  <c r="AA24" i="5"/>
  <c r="AC24" i="6" s="1"/>
  <c r="AE24" i="5"/>
  <c r="AG24" i="6" s="1"/>
  <c r="E26" i="5"/>
  <c r="G26" i="6" s="1"/>
  <c r="I26" i="5"/>
  <c r="K26" i="6" s="1"/>
  <c r="M26" i="5"/>
  <c r="O26" i="6" s="1"/>
  <c r="Q26" i="5"/>
  <c r="S26" i="6" s="1"/>
  <c r="U26" i="5"/>
  <c r="W26" i="6" s="1"/>
  <c r="Y26" i="5"/>
  <c r="AA26" i="6" s="1"/>
  <c r="AC26" i="5"/>
  <c r="AE26" i="6" s="1"/>
  <c r="AG26" i="5"/>
  <c r="AI26" i="6" s="1"/>
  <c r="G27" i="5"/>
  <c r="I27" i="6" s="1"/>
  <c r="K27" i="5"/>
  <c r="M27" i="6" s="1"/>
  <c r="O27" i="5"/>
  <c r="Q27" i="6" s="1"/>
  <c r="S27" i="5"/>
  <c r="U27" i="6" s="1"/>
  <c r="W27" i="5"/>
  <c r="Y27" i="6" s="1"/>
  <c r="AA27" i="5"/>
  <c r="AC27" i="6" s="1"/>
  <c r="AE27" i="5"/>
  <c r="AG27" i="6" s="1"/>
  <c r="F28" i="5"/>
  <c r="H28" i="6" s="1"/>
  <c r="K28" i="5"/>
  <c r="M28" i="6" s="1"/>
  <c r="O28" i="5"/>
  <c r="Q28" i="6" s="1"/>
  <c r="S28" i="5"/>
  <c r="U28" i="6" s="1"/>
  <c r="W28" i="5"/>
  <c r="Y28" i="6" s="1"/>
  <c r="AA28" i="5"/>
  <c r="AC28" i="6" s="1"/>
  <c r="AE28" i="5"/>
  <c r="AG28" i="6" s="1"/>
  <c r="E31" i="5"/>
  <c r="G31" i="6" s="1"/>
  <c r="I31" i="5"/>
  <c r="K31" i="6" s="1"/>
  <c r="M31" i="5"/>
  <c r="O31" i="6" s="1"/>
  <c r="Q31" i="5"/>
  <c r="S31" i="6" s="1"/>
  <c r="U31" i="5"/>
  <c r="W31" i="6" s="1"/>
  <c r="Y31" i="5"/>
  <c r="AA31" i="6" s="1"/>
  <c r="AC31" i="5"/>
  <c r="AE31" i="6" s="1"/>
  <c r="AG31" i="5"/>
  <c r="AI31" i="6" s="1"/>
  <c r="Z595" i="5"/>
  <c r="AB595" i="6" s="1"/>
  <c r="R584" i="5"/>
  <c r="T584" i="6" s="1"/>
  <c r="AH581" i="6"/>
  <c r="R581" i="6"/>
  <c r="AF580" i="6"/>
  <c r="P580" i="6"/>
  <c r="AD579" i="6"/>
  <c r="N579" i="6"/>
  <c r="AB578" i="6"/>
  <c r="L578" i="6"/>
  <c r="K576" i="5"/>
  <c r="M576" i="6" s="1"/>
  <c r="J575" i="5"/>
  <c r="L575" i="6" s="1"/>
  <c r="V574" i="5"/>
  <c r="X574" i="6" s="1"/>
  <c r="F574" i="5"/>
  <c r="H574" i="6" s="1"/>
  <c r="AG584" i="5"/>
  <c r="AI584" i="6" s="1"/>
  <c r="Q584" i="5"/>
  <c r="S584" i="6" s="1"/>
  <c r="AG581" i="6"/>
  <c r="Q581" i="6"/>
  <c r="AE580" i="6"/>
  <c r="O580" i="6"/>
  <c r="AC579" i="6"/>
  <c r="M579" i="6"/>
  <c r="AA578" i="6"/>
  <c r="K578" i="6"/>
  <c r="I576" i="5"/>
  <c r="K576" i="6" s="1"/>
  <c r="H575" i="5"/>
  <c r="J575" i="6" s="1"/>
  <c r="U574" i="5"/>
  <c r="W574" i="6" s="1"/>
  <c r="E574" i="5"/>
  <c r="G574" i="6" s="1"/>
  <c r="AG560" i="5"/>
  <c r="AI560" i="6" s="1"/>
  <c r="AF43" i="11" s="1"/>
  <c r="I278" i="5"/>
  <c r="K278" i="6" s="1"/>
  <c r="AG344" i="5"/>
  <c r="AI344" i="6" s="1"/>
  <c r="Y329" i="5"/>
  <c r="AA329" i="6" s="1"/>
  <c r="G320" i="5"/>
  <c r="I320" i="6" s="1"/>
  <c r="N315" i="5"/>
  <c r="P315" i="6" s="1"/>
  <c r="AD308" i="5"/>
  <c r="AF308" i="6" s="1"/>
  <c r="T303" i="5"/>
  <c r="V303" i="6" s="1"/>
  <c r="P299" i="5"/>
  <c r="R299" i="6" s="1"/>
  <c r="L296" i="5"/>
  <c r="N296" i="6" s="1"/>
  <c r="R281" i="5"/>
  <c r="T281" i="6" s="1"/>
  <c r="F263" i="5"/>
  <c r="H263" i="6" s="1"/>
  <c r="R266" i="5"/>
  <c r="T266" i="6" s="1"/>
  <c r="V257" i="5"/>
  <c r="X257" i="6" s="1"/>
  <c r="L255" i="5"/>
  <c r="N255" i="6" s="1"/>
  <c r="F254" i="5"/>
  <c r="H254" i="6" s="1"/>
  <c r="N250" i="5"/>
  <c r="P250" i="6" s="1"/>
  <c r="J248" i="5"/>
  <c r="L248" i="6" s="1"/>
  <c r="AB251" i="5"/>
  <c r="AD251" i="6" s="1"/>
  <c r="Z250" i="5"/>
  <c r="AB250" i="6" s="1"/>
  <c r="P247" i="5"/>
  <c r="R247" i="6" s="1"/>
  <c r="Y245" i="5"/>
  <c r="AA245" i="6" s="1"/>
  <c r="S244" i="5"/>
  <c r="U244" i="6" s="1"/>
  <c r="W242" i="5"/>
  <c r="Y242" i="6" s="1"/>
  <c r="G242" i="5"/>
  <c r="I242" i="6" s="1"/>
  <c r="K241" i="5"/>
  <c r="M241" i="6" s="1"/>
  <c r="Y240" i="5"/>
  <c r="AA240" i="6" s="1"/>
  <c r="AC239" i="5"/>
  <c r="AE239" i="6" s="1"/>
  <c r="W238" i="5"/>
  <c r="Y238" i="6" s="1"/>
  <c r="AA237" i="5"/>
  <c r="AC237" i="6" s="1"/>
  <c r="AE236" i="5"/>
  <c r="AG236" i="6" s="1"/>
  <c r="E236" i="5"/>
  <c r="G236" i="6" s="1"/>
  <c r="I235" i="5"/>
  <c r="K235" i="6" s="1"/>
  <c r="W233" i="5"/>
  <c r="Y233" i="6" s="1"/>
  <c r="Q232" i="5"/>
  <c r="S232" i="6" s="1"/>
  <c r="U230" i="5"/>
  <c r="W230" i="6" s="1"/>
  <c r="E229" i="5"/>
  <c r="G229" i="6" s="1"/>
  <c r="AC227" i="5"/>
  <c r="AE227" i="6" s="1"/>
  <c r="M227" i="5"/>
  <c r="O227" i="6" s="1"/>
  <c r="Q226" i="5"/>
  <c r="S226" i="6" s="1"/>
  <c r="U225" i="5"/>
  <c r="W225" i="6" s="1"/>
  <c r="Y224" i="5"/>
  <c r="AA224" i="6" s="1"/>
  <c r="I223" i="5"/>
  <c r="K223" i="6" s="1"/>
  <c r="AG221" i="5"/>
  <c r="AI221" i="6" s="1"/>
  <c r="S220" i="5"/>
  <c r="U220" i="6" s="1"/>
  <c r="AG218" i="5"/>
  <c r="AI218" i="6" s="1"/>
  <c r="AA320" i="5"/>
  <c r="AC320" i="6" s="1"/>
  <c r="D269" i="5"/>
  <c r="F269" i="6" s="1"/>
  <c r="S336" i="5"/>
  <c r="U336" i="6" s="1"/>
  <c r="M323" i="5"/>
  <c r="O323" i="6" s="1"/>
  <c r="I316" i="5"/>
  <c r="K316" i="6" s="1"/>
  <c r="O304" i="5"/>
  <c r="Q304" i="6" s="1"/>
  <c r="Y299" i="5"/>
  <c r="AA299" i="6" s="1"/>
  <c r="U296" i="5"/>
  <c r="W296" i="6" s="1"/>
  <c r="AA281" i="5"/>
  <c r="AC281" i="6" s="1"/>
  <c r="K263" i="5"/>
  <c r="M263" i="6" s="1"/>
  <c r="U267" i="5"/>
  <c r="W267" i="6" s="1"/>
  <c r="I258" i="5"/>
  <c r="K258" i="6" s="1"/>
  <c r="I255" i="5"/>
  <c r="K255" i="6" s="1"/>
  <c r="Q245" i="5"/>
  <c r="S245" i="6" s="1"/>
  <c r="O249" i="5"/>
  <c r="Q249" i="6" s="1"/>
  <c r="AC252" i="5"/>
  <c r="AE252" i="6" s="1"/>
  <c r="Q251" i="5"/>
  <c r="S251" i="6" s="1"/>
  <c r="Y249" i="5"/>
  <c r="AA249" i="6" s="1"/>
  <c r="AG246" i="5"/>
  <c r="AI246" i="6" s="1"/>
  <c r="X245" i="5"/>
  <c r="Z245" i="6" s="1"/>
  <c r="R244" i="5"/>
  <c r="T244" i="6" s="1"/>
  <c r="V242" i="5"/>
  <c r="X242" i="6" s="1"/>
  <c r="F242" i="5"/>
  <c r="H242" i="6" s="1"/>
  <c r="J241" i="5"/>
  <c r="L241" i="6" s="1"/>
  <c r="X240" i="5"/>
  <c r="Z240" i="6" s="1"/>
  <c r="AB239" i="5"/>
  <c r="AD239" i="6" s="1"/>
  <c r="V238" i="5"/>
  <c r="X238" i="6" s="1"/>
  <c r="Z237" i="5"/>
  <c r="AB237" i="6" s="1"/>
  <c r="AD236" i="5"/>
  <c r="AF236" i="6" s="1"/>
  <c r="D236" i="5"/>
  <c r="F236" i="6" s="1"/>
  <c r="H235" i="5"/>
  <c r="J235" i="6" s="1"/>
  <c r="V233" i="5"/>
  <c r="X233" i="6" s="1"/>
  <c r="P232" i="5"/>
  <c r="R232" i="6" s="1"/>
  <c r="T230" i="5"/>
  <c r="V230" i="6" s="1"/>
  <c r="D229" i="5"/>
  <c r="F229" i="6" s="1"/>
  <c r="AB227" i="5"/>
  <c r="AD227" i="6" s="1"/>
  <c r="L227" i="5"/>
  <c r="N227" i="6" s="1"/>
  <c r="P226" i="5"/>
  <c r="R226" i="6" s="1"/>
  <c r="T225" i="5"/>
  <c r="V225" i="6" s="1"/>
  <c r="X224" i="5"/>
  <c r="Z224" i="6" s="1"/>
  <c r="H223" i="5"/>
  <c r="J223" i="6" s="1"/>
  <c r="AF221" i="5"/>
  <c r="AH221" i="6" s="1"/>
  <c r="V220" i="5"/>
  <c r="X220" i="6" s="1"/>
  <c r="P219" i="5"/>
  <c r="R219" i="6" s="1"/>
  <c r="H246" i="5"/>
  <c r="J246" i="6" s="1"/>
  <c r="N247" i="5"/>
  <c r="P247" i="6" s="1"/>
  <c r="AD247" i="5"/>
  <c r="AF247" i="6" s="1"/>
  <c r="AD249" i="5"/>
  <c r="AF249" i="6" s="1"/>
  <c r="F251" i="5"/>
  <c r="H251" i="6" s="1"/>
  <c r="V251" i="5"/>
  <c r="X251" i="6" s="1"/>
  <c r="R252" i="5"/>
  <c r="T252" i="6" s="1"/>
  <c r="D248" i="5"/>
  <c r="F248" i="6" s="1"/>
  <c r="T248" i="5"/>
  <c r="V248" i="6" s="1"/>
  <c r="H250" i="5"/>
  <c r="J250" i="6" s="1"/>
  <c r="N245" i="5"/>
  <c r="P245" i="6" s="1"/>
  <c r="D254" i="5"/>
  <c r="F254" i="6" s="1"/>
  <c r="T254" i="5"/>
  <c r="V254" i="6" s="1"/>
  <c r="R255" i="5"/>
  <c r="T255" i="6" s="1"/>
  <c r="L257" i="5"/>
  <c r="N257" i="6" s="1"/>
  <c r="J258" i="5"/>
  <c r="L258" i="6" s="1"/>
  <c r="P266" i="5"/>
  <c r="R266" i="6" s="1"/>
  <c r="V267" i="5"/>
  <c r="X267" i="6" s="1"/>
  <c r="Z256" i="5"/>
  <c r="AB256" i="6" s="1"/>
  <c r="L263" i="5"/>
  <c r="N263" i="6" s="1"/>
  <c r="R280" i="5"/>
  <c r="T280" i="6" s="1"/>
  <c r="AD281" i="5"/>
  <c r="AF281" i="6" s="1"/>
  <c r="AF285" i="5"/>
  <c r="AH285" i="6" s="1"/>
  <c r="X296" i="5"/>
  <c r="Z296" i="6" s="1"/>
  <c r="Z297" i="5"/>
  <c r="AB297" i="6" s="1"/>
  <c r="AB299" i="5"/>
  <c r="AD299" i="6" s="1"/>
  <c r="AD300" i="5"/>
  <c r="AF300" i="6" s="1"/>
  <c r="AF303" i="5"/>
  <c r="AH303" i="6" s="1"/>
  <c r="Z305" i="5"/>
  <c r="AB305" i="6" s="1"/>
  <c r="K310" i="5"/>
  <c r="M310" i="6" s="1"/>
  <c r="AE312" i="5"/>
  <c r="AG312" i="6" s="1"/>
  <c r="D316" i="5"/>
  <c r="F316" i="6" s="1"/>
  <c r="K319" i="5"/>
  <c r="M319" i="6" s="1"/>
  <c r="J322" i="5"/>
  <c r="L322" i="6" s="1"/>
  <c r="Y330" i="5"/>
  <c r="AA330" i="6" s="1"/>
  <c r="AC337" i="5"/>
  <c r="AE337" i="6" s="1"/>
  <c r="AA345" i="5"/>
  <c r="AC345" i="6" s="1"/>
  <c r="R273" i="5"/>
  <c r="T273" i="6" s="1"/>
  <c r="W277" i="5"/>
  <c r="Y277" i="6" s="1"/>
  <c r="G291" i="5"/>
  <c r="I291" i="6" s="1"/>
  <c r="AA581" i="6"/>
  <c r="I246" i="5"/>
  <c r="K246" i="6" s="1"/>
  <c r="O247" i="5"/>
  <c r="Q247" i="6" s="1"/>
  <c r="AE247" i="5"/>
  <c r="AG247" i="6" s="1"/>
  <c r="AE249" i="5"/>
  <c r="AG249" i="6" s="1"/>
  <c r="G251" i="5"/>
  <c r="I251" i="6" s="1"/>
  <c r="W251" i="5"/>
  <c r="Y251" i="6" s="1"/>
  <c r="S252" i="5"/>
  <c r="U252" i="6" s="1"/>
  <c r="E248" i="5"/>
  <c r="G248" i="6" s="1"/>
  <c r="U248" i="5"/>
  <c r="W248" i="6" s="1"/>
  <c r="I250" i="5"/>
  <c r="K250" i="6" s="1"/>
  <c r="O245" i="5"/>
  <c r="Q245" i="6" s="1"/>
  <c r="I254" i="5"/>
  <c r="K254" i="6" s="1"/>
  <c r="G255" i="5"/>
  <c r="I255" i="6" s="1"/>
  <c r="W255" i="5"/>
  <c r="Y255" i="6" s="1"/>
  <c r="Q257" i="5"/>
  <c r="S257" i="6" s="1"/>
  <c r="O265" i="5"/>
  <c r="Q265" i="6" s="1"/>
  <c r="U266" i="5"/>
  <c r="W266" i="6" s="1"/>
  <c r="O256" i="5"/>
  <c r="Q256" i="6" s="1"/>
  <c r="AE256" i="5"/>
  <c r="AG256" i="6" s="1"/>
  <c r="G280" i="5"/>
  <c r="I280" i="6" s="1"/>
  <c r="AA280" i="5"/>
  <c r="AC280" i="6" s="1"/>
  <c r="I284" i="5"/>
  <c r="K284" i="6" s="1"/>
  <c r="AE286" i="5"/>
  <c r="AG286" i="6" s="1"/>
  <c r="AG296" i="5"/>
  <c r="AI296" i="6" s="1"/>
  <c r="E299" i="5"/>
  <c r="G299" i="6" s="1"/>
  <c r="G300" i="5"/>
  <c r="I300" i="6" s="1"/>
  <c r="I303" i="5"/>
  <c r="K303" i="6" s="1"/>
  <c r="S304" i="5"/>
  <c r="U304" i="6" s="1"/>
  <c r="Y308" i="5"/>
  <c r="AA308" i="6" s="1"/>
  <c r="F312" i="5"/>
  <c r="H312" i="6" s="1"/>
  <c r="S315" i="5"/>
  <c r="U315" i="6" s="1"/>
  <c r="U316" i="5"/>
  <c r="W316" i="6" s="1"/>
  <c r="M320" i="5"/>
  <c r="O320" i="6" s="1"/>
  <c r="I324" i="5"/>
  <c r="K324" i="6" s="1"/>
  <c r="I336" i="5"/>
  <c r="K336" i="6" s="1"/>
  <c r="J344" i="5"/>
  <c r="L344" i="6" s="1"/>
  <c r="J353" i="5"/>
  <c r="L353" i="6" s="1"/>
  <c r="K275" i="5"/>
  <c r="M275" i="6" s="1"/>
  <c r="J279" i="5"/>
  <c r="L279" i="6" s="1"/>
  <c r="AB321" i="5"/>
  <c r="AD321" i="6" s="1"/>
  <c r="AF581" i="6"/>
  <c r="AF280" i="5"/>
  <c r="AH280" i="6" s="1"/>
  <c r="AB281" i="5"/>
  <c r="AD281" i="6" s="1"/>
  <c r="D285" i="5"/>
  <c r="F285" i="6" s="1"/>
  <c r="AD285" i="5"/>
  <c r="AF285" i="6" s="1"/>
  <c r="F296" i="5"/>
  <c r="H296" i="6" s="1"/>
  <c r="V296" i="5"/>
  <c r="X296" i="6" s="1"/>
  <c r="H297" i="5"/>
  <c r="J297" i="6" s="1"/>
  <c r="X297" i="5"/>
  <c r="Z297" i="6" s="1"/>
  <c r="J299" i="5"/>
  <c r="L299" i="6" s="1"/>
  <c r="Z299" i="5"/>
  <c r="AB299" i="6" s="1"/>
  <c r="L300" i="5"/>
  <c r="N300" i="6" s="1"/>
  <c r="AB300" i="5"/>
  <c r="AD300" i="6" s="1"/>
  <c r="N303" i="5"/>
  <c r="P303" i="6" s="1"/>
  <c r="D304" i="5"/>
  <c r="F304" i="6" s="1"/>
  <c r="T304" i="5"/>
  <c r="V304" i="6" s="1"/>
  <c r="AE305" i="5"/>
  <c r="AG305" i="6" s="1"/>
  <c r="AA308" i="5"/>
  <c r="AC308" i="6" s="1"/>
  <c r="P310" i="5"/>
  <c r="R310" i="6" s="1"/>
  <c r="AE311" i="5"/>
  <c r="AG311" i="6" s="1"/>
  <c r="AB312" i="5"/>
  <c r="AD312" i="6" s="1"/>
  <c r="P315" i="5"/>
  <c r="R315" i="6" s="1"/>
  <c r="AF315" i="5"/>
  <c r="AH315" i="6" s="1"/>
  <c r="R316" i="5"/>
  <c r="T316" i="6" s="1"/>
  <c r="F319" i="5"/>
  <c r="H319" i="6" s="1"/>
  <c r="J320" i="5"/>
  <c r="L320" i="6" s="1"/>
  <c r="F323" i="5"/>
  <c r="H323" i="6" s="1"/>
  <c r="J324" i="5"/>
  <c r="L324" i="6" s="1"/>
  <c r="J334" i="5"/>
  <c r="L334" i="6" s="1"/>
  <c r="G337" i="5"/>
  <c r="I337" i="6" s="1"/>
  <c r="M344" i="5"/>
  <c r="O344" i="6" s="1"/>
  <c r="O345" i="5"/>
  <c r="Q345" i="6" s="1"/>
  <c r="AB353" i="5"/>
  <c r="AD353" i="6" s="1"/>
  <c r="AE269" i="5"/>
  <c r="AG269" i="6" s="1"/>
  <c r="O275" i="5"/>
  <c r="Q275" i="6" s="1"/>
  <c r="Q277" i="5"/>
  <c r="S277" i="6" s="1"/>
  <c r="R279" i="5"/>
  <c r="T279" i="6" s="1"/>
  <c r="K341" i="5"/>
  <c r="M341" i="6" s="1"/>
  <c r="AE574" i="5"/>
  <c r="AG574" i="6" s="1"/>
  <c r="K581" i="6"/>
  <c r="AC280" i="5"/>
  <c r="AE280" i="6" s="1"/>
  <c r="Y281" i="5"/>
  <c r="AA281" i="6" s="1"/>
  <c r="K284" i="5"/>
  <c r="M284" i="6" s="1"/>
  <c r="AA285" i="5"/>
  <c r="AC285" i="6" s="1"/>
  <c r="AG286" i="5"/>
  <c r="AI286" i="6" s="1"/>
  <c r="S296" i="5"/>
  <c r="U296" i="6" s="1"/>
  <c r="E297" i="5"/>
  <c r="G297" i="6" s="1"/>
  <c r="U297" i="5"/>
  <c r="W297" i="6" s="1"/>
  <c r="G299" i="5"/>
  <c r="I299" i="6" s="1"/>
  <c r="W299" i="5"/>
  <c r="Y299" i="6" s="1"/>
  <c r="I300" i="5"/>
  <c r="K300" i="6" s="1"/>
  <c r="Y300" i="5"/>
  <c r="AA300" i="6" s="1"/>
  <c r="K303" i="5"/>
  <c r="M303" i="6" s="1"/>
  <c r="AA303" i="5"/>
  <c r="AC303" i="6" s="1"/>
  <c r="M304" i="5"/>
  <c r="O304" i="6" s="1"/>
  <c r="AC304" i="5"/>
  <c r="AE304" i="6" s="1"/>
  <c r="W306" i="5"/>
  <c r="Y306" i="6" s="1"/>
  <c r="AA309" i="5"/>
  <c r="AC309" i="6" s="1"/>
  <c r="Z311" i="5"/>
  <c r="AB311" i="6" s="1"/>
  <c r="W312" i="5"/>
  <c r="Y312" i="6" s="1"/>
  <c r="M315" i="5"/>
  <c r="O315" i="6" s="1"/>
  <c r="AC315" i="5"/>
  <c r="AE315" i="6" s="1"/>
  <c r="O316" i="5"/>
  <c r="Q316" i="6" s="1"/>
  <c r="AE316" i="5"/>
  <c r="AG316" i="6" s="1"/>
  <c r="F320" i="5"/>
  <c r="H320" i="6" s="1"/>
  <c r="AC323" i="5"/>
  <c r="AE323" i="6" s="1"/>
  <c r="AC324" i="5"/>
  <c r="AE324" i="6" s="1"/>
  <c r="L332" i="5"/>
  <c r="N332" i="6" s="1"/>
  <c r="W336" i="5"/>
  <c r="Y336" i="6" s="1"/>
  <c r="W337" i="5"/>
  <c r="Y337" i="6" s="1"/>
  <c r="AD344" i="5"/>
  <c r="AF344" i="6" s="1"/>
  <c r="AF345" i="5"/>
  <c r="AH345" i="6" s="1"/>
  <c r="P269" i="5"/>
  <c r="R269" i="6" s="1"/>
  <c r="H275" i="5"/>
  <c r="J275" i="6" s="1"/>
  <c r="J277" i="5"/>
  <c r="L277" i="6" s="1"/>
  <c r="AG278" i="5"/>
  <c r="AI278" i="6" s="1"/>
  <c r="G314" i="5"/>
  <c r="I314" i="6" s="1"/>
  <c r="Y338" i="5"/>
  <c r="AA338" i="6" s="1"/>
  <c r="G575" i="5"/>
  <c r="I575" i="6" s="1"/>
  <c r="P581" i="6"/>
  <c r="G344" i="5"/>
  <c r="I344" i="6" s="1"/>
  <c r="W344" i="5"/>
  <c r="Y344" i="6" s="1"/>
  <c r="I345" i="5"/>
  <c r="K345" i="6" s="1"/>
  <c r="Y345" i="5"/>
  <c r="AA345" i="6" s="1"/>
  <c r="L349" i="5"/>
  <c r="N349" i="6" s="1"/>
  <c r="I269" i="5"/>
  <c r="K269" i="6" s="1"/>
  <c r="Y269" i="5"/>
  <c r="AA269" i="6" s="1"/>
  <c r="S273" i="5"/>
  <c r="U273" i="6" s="1"/>
  <c r="M275" i="5"/>
  <c r="O275" i="6" s="1"/>
  <c r="AC275" i="5"/>
  <c r="AE275" i="6" s="1"/>
  <c r="O277" i="5"/>
  <c r="Q277" i="6" s="1"/>
  <c r="L278" i="5"/>
  <c r="N278" i="6" s="1"/>
  <c r="N279" i="5"/>
  <c r="P279" i="6" s="1"/>
  <c r="J291" i="5"/>
  <c r="L291" i="6" s="1"/>
  <c r="X298" i="5"/>
  <c r="Z298" i="6" s="1"/>
  <c r="AD332" i="5"/>
  <c r="AF332" i="6" s="1"/>
  <c r="N341" i="5"/>
  <c r="P341" i="6" s="1"/>
  <c r="W574" i="5"/>
  <c r="Y574" i="6" s="1"/>
  <c r="AC578" i="6"/>
  <c r="AG580" i="6"/>
  <c r="Z337" i="5"/>
  <c r="AB337" i="6" s="1"/>
  <c r="L344" i="5"/>
  <c r="N344" i="6" s="1"/>
  <c r="AB344" i="5"/>
  <c r="AD344" i="6" s="1"/>
  <c r="N345" i="5"/>
  <c r="P345" i="6" s="1"/>
  <c r="AD345" i="5"/>
  <c r="AF345" i="6" s="1"/>
  <c r="Y353" i="5"/>
  <c r="AA353" i="6" s="1"/>
  <c r="N269" i="5"/>
  <c r="P269" i="6" s="1"/>
  <c r="AD269" i="5"/>
  <c r="AF269" i="6" s="1"/>
  <c r="J275" i="5"/>
  <c r="L275" i="6" s="1"/>
  <c r="Z275" i="5"/>
  <c r="AB275" i="6" s="1"/>
  <c r="L277" i="5"/>
  <c r="N277" i="6" s="1"/>
  <c r="E278" i="5"/>
  <c r="G278" i="6" s="1"/>
  <c r="G279" i="5"/>
  <c r="I279" i="6" s="1"/>
  <c r="AA289" i="5"/>
  <c r="AC289" i="6" s="1"/>
  <c r="G298" i="5"/>
  <c r="I298" i="6" s="1"/>
  <c r="Y321" i="5"/>
  <c r="AA321" i="6" s="1"/>
  <c r="O341" i="5"/>
  <c r="Q341" i="6" s="1"/>
  <c r="Z576" i="5"/>
  <c r="AB576" i="6" s="1"/>
  <c r="F580" i="6"/>
  <c r="H584" i="5"/>
  <c r="J584" i="6" s="1"/>
  <c r="AB277" i="5"/>
  <c r="AD277" i="6" s="1"/>
  <c r="N278" i="5"/>
  <c r="P278" i="6" s="1"/>
  <c r="AD278" i="5"/>
  <c r="AF278" i="6" s="1"/>
  <c r="P279" i="5"/>
  <c r="R279" i="6" s="1"/>
  <c r="AF279" i="5"/>
  <c r="AH279" i="6" s="1"/>
  <c r="D291" i="5"/>
  <c r="F291" i="6" s="1"/>
  <c r="T291" i="5"/>
  <c r="V291" i="6" s="1"/>
  <c r="J298" i="5"/>
  <c r="L298" i="6" s="1"/>
  <c r="J318" i="5"/>
  <c r="L318" i="6" s="1"/>
  <c r="E325" i="5"/>
  <c r="G325" i="6" s="1"/>
  <c r="AD335" i="5"/>
  <c r="AF335" i="6" s="1"/>
  <c r="L341" i="5"/>
  <c r="N341" i="6" s="1"/>
  <c r="AD341" i="5"/>
  <c r="AF341" i="6" s="1"/>
  <c r="H574" i="5"/>
  <c r="J574" i="6" s="1"/>
  <c r="N575" i="5"/>
  <c r="P575" i="6" s="1"/>
  <c r="N578" i="6"/>
  <c r="P579" i="6"/>
  <c r="R580" i="6"/>
  <c r="T581" i="6"/>
  <c r="T584" i="5"/>
  <c r="V584" i="6" s="1"/>
  <c r="AG277" i="5"/>
  <c r="AI277" i="6" s="1"/>
  <c r="S278" i="5"/>
  <c r="U278" i="6" s="1"/>
  <c r="E279" i="5"/>
  <c r="G279" i="6" s="1"/>
  <c r="U279" i="5"/>
  <c r="W279" i="6" s="1"/>
  <c r="Y289" i="5"/>
  <c r="AA289" i="6" s="1"/>
  <c r="I291" i="5"/>
  <c r="K291" i="6" s="1"/>
  <c r="L295" i="5"/>
  <c r="N295" i="6" s="1"/>
  <c r="V298" i="5"/>
  <c r="X298" i="6" s="1"/>
  <c r="AF320" i="5"/>
  <c r="AH320" i="6" s="1"/>
  <c r="AA332" i="5"/>
  <c r="AC332" i="6" s="1"/>
  <c r="AF335" i="5"/>
  <c r="AH335" i="6" s="1"/>
  <c r="I341" i="5"/>
  <c r="K341" i="6" s="1"/>
  <c r="AF341" i="5"/>
  <c r="AH341" i="6" s="1"/>
  <c r="E575" i="5"/>
  <c r="G575" i="6" s="1"/>
  <c r="I578" i="6"/>
  <c r="K579" i="6"/>
  <c r="M580" i="6"/>
  <c r="O581" i="6"/>
  <c r="O584" i="5"/>
  <c r="Q584" i="6" s="1"/>
  <c r="AE595" i="5"/>
  <c r="AG595" i="6" s="1"/>
  <c r="F226" i="5"/>
  <c r="H226" i="6" s="1"/>
  <c r="R227" i="5"/>
  <c r="T227" i="6" s="1"/>
  <c r="J229" i="5"/>
  <c r="L229" i="6" s="1"/>
  <c r="V232" i="5"/>
  <c r="X232" i="6" s="1"/>
  <c r="N235" i="5"/>
  <c r="P235" i="6" s="1"/>
  <c r="P237" i="5"/>
  <c r="R237" i="6" s="1"/>
  <c r="R239" i="5"/>
  <c r="T239" i="6" s="1"/>
  <c r="AD240" i="5"/>
  <c r="AF240" i="6" s="1"/>
  <c r="L242" i="5"/>
  <c r="N242" i="6" s="1"/>
  <c r="X244" i="5"/>
  <c r="Z244" i="6" s="1"/>
  <c r="Y247" i="5"/>
  <c r="AA247" i="6" s="1"/>
  <c r="Y252" i="5"/>
  <c r="AA252" i="6" s="1"/>
  <c r="J254" i="5"/>
  <c r="L254" i="6" s="1"/>
  <c r="U265" i="5"/>
  <c r="W265" i="6" s="1"/>
  <c r="H280" i="5"/>
  <c r="J280" i="6" s="1"/>
  <c r="F297" i="5"/>
  <c r="H297" i="6" s="1"/>
  <c r="N304" i="5"/>
  <c r="P304" i="6" s="1"/>
  <c r="H316" i="5"/>
  <c r="J316" i="6" s="1"/>
  <c r="P336" i="5"/>
  <c r="R336" i="6" s="1"/>
  <c r="F291" i="5"/>
  <c r="H291" i="6" s="1"/>
  <c r="AE224" i="5"/>
  <c r="AG224" i="6" s="1"/>
  <c r="W226" i="5"/>
  <c r="Y226" i="6" s="1"/>
  <c r="O228" i="5"/>
  <c r="Q228" i="6" s="1"/>
  <c r="Q231" i="5"/>
  <c r="S231" i="6" s="1"/>
  <c r="S234" i="5"/>
  <c r="U234" i="6" s="1"/>
  <c r="K236" i="5"/>
  <c r="M236" i="6" s="1"/>
  <c r="AG237" i="5"/>
  <c r="AI237" i="6" s="1"/>
  <c r="O240" i="5"/>
  <c r="Q240" i="6" s="1"/>
  <c r="AA241" i="5"/>
  <c r="AC241" i="6" s="1"/>
  <c r="I244" i="5"/>
  <c r="K244" i="6" s="1"/>
  <c r="F246" i="5"/>
  <c r="H246" i="6" s="1"/>
  <c r="AD250" i="5"/>
  <c r="AF250" i="6" s="1"/>
  <c r="N248" i="5"/>
  <c r="P248" i="6" s="1"/>
  <c r="P255" i="5"/>
  <c r="R255" i="6" s="1"/>
  <c r="N266" i="5"/>
  <c r="P266" i="6" s="1"/>
  <c r="M280" i="5"/>
  <c r="O280" i="6" s="1"/>
  <c r="O297" i="5"/>
  <c r="Q297" i="6" s="1"/>
  <c r="W304" i="5"/>
  <c r="Y304" i="6" s="1"/>
  <c r="Q316" i="5"/>
  <c r="S316" i="6" s="1"/>
  <c r="F337" i="5"/>
  <c r="H337" i="6" s="1"/>
  <c r="AD289" i="5"/>
  <c r="AF289" i="6" s="1"/>
  <c r="AG595" i="5"/>
  <c r="AI595" i="6" s="1"/>
  <c r="D332" i="5"/>
  <c r="F332" i="6" s="1"/>
  <c r="AB303" i="5"/>
  <c r="AD303" i="6" s="1"/>
  <c r="J263" i="5"/>
  <c r="L263" i="6" s="1"/>
  <c r="W254" i="5"/>
  <c r="Y254" i="6" s="1"/>
  <c r="T252" i="5"/>
  <c r="V252" i="6" s="1"/>
  <c r="AC244" i="5"/>
  <c r="AE244" i="6" s="1"/>
  <c r="E241" i="5"/>
  <c r="G241" i="6" s="1"/>
  <c r="U237" i="5"/>
  <c r="W237" i="6" s="1"/>
  <c r="Q233" i="5"/>
  <c r="S233" i="6" s="1"/>
  <c r="W227" i="5"/>
  <c r="Y227" i="6" s="1"/>
  <c r="AF584" i="5"/>
  <c r="AH584" i="6" s="1"/>
  <c r="J339" i="5"/>
  <c r="L339" i="6" s="1"/>
  <c r="I306" i="5"/>
  <c r="K306" i="6" s="1"/>
  <c r="W280" i="5"/>
  <c r="Y280" i="6" s="1"/>
  <c r="R254" i="5"/>
  <c r="T254" i="6" s="1"/>
  <c r="Q252" i="5"/>
  <c r="S252" i="6" s="1"/>
  <c r="AB244" i="5"/>
  <c r="AD244" i="6" s="1"/>
  <c r="D241" i="5"/>
  <c r="F241" i="6" s="1"/>
  <c r="T237" i="5"/>
  <c r="V237" i="6" s="1"/>
  <c r="P233" i="5"/>
  <c r="R233" i="6" s="1"/>
  <c r="V227" i="5"/>
  <c r="X227" i="6" s="1"/>
  <c r="F43" i="5"/>
  <c r="H43" i="6" s="1"/>
  <c r="V297" i="5"/>
  <c r="X297" i="6" s="1"/>
  <c r="Q247" i="5"/>
  <c r="S247" i="6" s="1"/>
  <c r="N239" i="5"/>
  <c r="P239" i="6" s="1"/>
  <c r="F229" i="5"/>
  <c r="H229" i="6" s="1"/>
  <c r="K223" i="5"/>
  <c r="M223" i="6" s="1"/>
  <c r="AG220" i="5"/>
  <c r="AI220" i="6" s="1"/>
  <c r="AE218" i="5"/>
  <c r="AG218" i="6" s="1"/>
  <c r="Y217" i="5"/>
  <c r="AA217" i="6" s="1"/>
  <c r="Y216" i="5"/>
  <c r="AA216" i="6" s="1"/>
  <c r="S213" i="5"/>
  <c r="U213" i="6" s="1"/>
  <c r="AG211" i="5"/>
  <c r="AI211" i="6" s="1"/>
  <c r="G211" i="5"/>
  <c r="I211" i="6" s="1"/>
  <c r="AE209" i="5"/>
  <c r="AG209" i="6" s="1"/>
  <c r="E245" i="5"/>
  <c r="G245" i="6" s="1"/>
  <c r="G243" i="5"/>
  <c r="I243" i="6" s="1"/>
  <c r="I237" i="5"/>
  <c r="K237" i="6" s="1"/>
  <c r="W229" i="5"/>
  <c r="Y229" i="6" s="1"/>
  <c r="Q224" i="5"/>
  <c r="S224" i="6" s="1"/>
  <c r="K222" i="5"/>
  <c r="M222" i="6" s="1"/>
  <c r="O218" i="5"/>
  <c r="Q218" i="6" s="1"/>
  <c r="S216" i="5"/>
  <c r="U216" i="6" s="1"/>
  <c r="W215" i="5"/>
  <c r="Y215" i="6" s="1"/>
  <c r="G215" i="5"/>
  <c r="I215" i="6" s="1"/>
  <c r="U214" i="5"/>
  <c r="W214" i="6" s="1"/>
  <c r="E214" i="5"/>
  <c r="G214" i="6" s="1"/>
  <c r="S211" i="5"/>
  <c r="U211" i="6" s="1"/>
  <c r="M210" i="5"/>
  <c r="O210" i="6" s="1"/>
  <c r="Q209" i="5"/>
  <c r="S209" i="6" s="1"/>
  <c r="AE208" i="5"/>
  <c r="AG208" i="6" s="1"/>
  <c r="O208" i="5"/>
  <c r="Q208" i="6" s="1"/>
  <c r="W204" i="5"/>
  <c r="Y204" i="6" s="1"/>
  <c r="S202" i="5"/>
  <c r="U202" i="6" s="1"/>
  <c r="AC199" i="5"/>
  <c r="AE199" i="6" s="1"/>
  <c r="W197" i="5"/>
  <c r="Y197" i="6" s="1"/>
  <c r="M196" i="5"/>
  <c r="O196" i="6" s="1"/>
  <c r="AB193" i="5"/>
  <c r="AD193" i="6" s="1"/>
  <c r="H191" i="5"/>
  <c r="J191" i="6" s="1"/>
  <c r="R188" i="5"/>
  <c r="T188" i="6" s="1"/>
  <c r="Q185" i="5"/>
  <c r="S185" i="6" s="1"/>
  <c r="G184" i="5"/>
  <c r="I184" i="6" s="1"/>
  <c r="AA182" i="5"/>
  <c r="AC182" i="6" s="1"/>
  <c r="Q181" i="5"/>
  <c r="S181" i="6" s="1"/>
  <c r="G180" i="5"/>
  <c r="I180" i="6" s="1"/>
  <c r="V177" i="5"/>
  <c r="X177" i="6" s="1"/>
  <c r="Q175" i="5"/>
  <c r="S175" i="6" s="1"/>
  <c r="G174" i="5"/>
  <c r="I174" i="6" s="1"/>
  <c r="AA154" i="5"/>
  <c r="AC154" i="6" s="1"/>
  <c r="Q153" i="5"/>
  <c r="S153" i="6" s="1"/>
  <c r="G152" i="5"/>
  <c r="I152" i="6" s="1"/>
  <c r="AA148" i="5"/>
  <c r="AC148" i="6" s="1"/>
  <c r="Q147" i="5"/>
  <c r="S147" i="6" s="1"/>
  <c r="G146" i="5"/>
  <c r="I146" i="6" s="1"/>
  <c r="AA144" i="5"/>
  <c r="AC144" i="6" s="1"/>
  <c r="T142" i="5"/>
  <c r="V142" i="6" s="1"/>
  <c r="P141" i="5"/>
  <c r="R141" i="6" s="1"/>
  <c r="O140" i="5"/>
  <c r="Q140" i="6" s="1"/>
  <c r="N139" i="5"/>
  <c r="P139" i="6" s="1"/>
  <c r="K138" i="5"/>
  <c r="M138" i="6" s="1"/>
  <c r="V137" i="5"/>
  <c r="X137" i="6" s="1"/>
  <c r="F137" i="5"/>
  <c r="H137" i="6" s="1"/>
  <c r="T136" i="5"/>
  <c r="V136" i="6" s="1"/>
  <c r="D136" i="5"/>
  <c r="F136" i="6" s="1"/>
  <c r="R135" i="5"/>
  <c r="T135" i="6" s="1"/>
  <c r="AF134" i="5"/>
  <c r="AH134" i="6" s="1"/>
  <c r="P134" i="5"/>
  <c r="R134" i="6" s="1"/>
  <c r="AF131" i="5"/>
  <c r="AH131" i="6" s="1"/>
  <c r="P131" i="5"/>
  <c r="R131" i="6" s="1"/>
  <c r="AF129" i="5"/>
  <c r="AH129" i="6" s="1"/>
  <c r="P129" i="5"/>
  <c r="R129" i="6" s="1"/>
  <c r="AD127" i="5"/>
  <c r="AF127" i="6" s="1"/>
  <c r="D127" i="5"/>
  <c r="F127" i="6" s="1"/>
  <c r="H126" i="5"/>
  <c r="J126" i="6" s="1"/>
  <c r="L125" i="5"/>
  <c r="N125" i="6" s="1"/>
  <c r="Z124" i="5"/>
  <c r="AB124" i="6" s="1"/>
  <c r="AD123" i="5"/>
  <c r="AF123" i="6" s="1"/>
  <c r="D123" i="5"/>
  <c r="F123" i="6" s="1"/>
  <c r="H122" i="5"/>
  <c r="J122" i="6" s="1"/>
  <c r="L121" i="5"/>
  <c r="N121" i="6" s="1"/>
  <c r="Z120" i="5"/>
  <c r="AB120" i="6" s="1"/>
  <c r="AD119" i="5"/>
  <c r="AF119" i="6" s="1"/>
  <c r="D119" i="5"/>
  <c r="F119" i="6" s="1"/>
  <c r="H118" i="5"/>
  <c r="J118" i="6" s="1"/>
  <c r="L117" i="5"/>
  <c r="N117" i="6" s="1"/>
  <c r="Z116" i="5"/>
  <c r="AB116" i="6" s="1"/>
  <c r="AD115" i="5"/>
  <c r="AF115" i="6" s="1"/>
  <c r="D115" i="5"/>
  <c r="F115" i="6" s="1"/>
  <c r="H112" i="5"/>
  <c r="J112" i="6" s="1"/>
  <c r="L110" i="5"/>
  <c r="N110" i="6" s="1"/>
  <c r="F109" i="5"/>
  <c r="H109" i="6" s="1"/>
  <c r="J107" i="5"/>
  <c r="L107" i="6" s="1"/>
  <c r="D106" i="5"/>
  <c r="F106" i="6" s="1"/>
  <c r="H104" i="5"/>
  <c r="J104" i="6" s="1"/>
  <c r="L102" i="5"/>
  <c r="N102" i="6" s="1"/>
  <c r="F101" i="5"/>
  <c r="H101" i="6" s="1"/>
  <c r="T98" i="5"/>
  <c r="V98" i="6" s="1"/>
  <c r="N97" i="5"/>
  <c r="P97" i="6" s="1"/>
  <c r="R95" i="5"/>
  <c r="T95" i="6" s="1"/>
  <c r="V93" i="5"/>
  <c r="X93" i="6" s="1"/>
  <c r="P92" i="5"/>
  <c r="R92" i="6" s="1"/>
  <c r="T90" i="5"/>
  <c r="V90" i="6" s="1"/>
  <c r="N89" i="5"/>
  <c r="P89" i="6" s="1"/>
  <c r="R87" i="5"/>
  <c r="T87" i="6" s="1"/>
  <c r="V85" i="5"/>
  <c r="X85" i="6" s="1"/>
  <c r="P84" i="5"/>
  <c r="R84" i="6" s="1"/>
  <c r="O81" i="5"/>
  <c r="Q81" i="6" s="1"/>
  <c r="D80" i="5"/>
  <c r="F80" i="6" s="1"/>
  <c r="K78" i="5"/>
  <c r="M78" i="6" s="1"/>
  <c r="L77" i="5"/>
  <c r="N77" i="6" s="1"/>
  <c r="P76" i="5"/>
  <c r="R76" i="6" s="1"/>
  <c r="T75" i="5"/>
  <c r="V75" i="6" s="1"/>
  <c r="D75" i="5"/>
  <c r="F75" i="6" s="1"/>
  <c r="V80" i="5"/>
  <c r="X80" i="6" s="1"/>
  <c r="R78" i="5"/>
  <c r="T78" i="6" s="1"/>
  <c r="I78" i="5"/>
  <c r="K78" i="6" s="1"/>
  <c r="D71" i="5"/>
  <c r="F71" i="6" s="1"/>
  <c r="F66" i="5"/>
  <c r="H66" i="6" s="1"/>
  <c r="R49" i="5"/>
  <c r="T49" i="6" s="1"/>
  <c r="AF48" i="5"/>
  <c r="AH48" i="6" s="1"/>
  <c r="P48" i="5"/>
  <c r="R48" i="6" s="1"/>
  <c r="AD47" i="5"/>
  <c r="AF47" i="6" s="1"/>
  <c r="N47" i="5"/>
  <c r="P47" i="6" s="1"/>
  <c r="AB45" i="5"/>
  <c r="AD45" i="6" s="1"/>
  <c r="L45" i="5"/>
  <c r="N45" i="6" s="1"/>
  <c r="Z44" i="5"/>
  <c r="AB44" i="6" s="1"/>
  <c r="J44" i="5"/>
  <c r="L44" i="6" s="1"/>
  <c r="X43" i="5"/>
  <c r="Z43" i="6" s="1"/>
  <c r="H43" i="5"/>
  <c r="J43" i="6" s="1"/>
  <c r="R40" i="5"/>
  <c r="T40" i="6" s="1"/>
  <c r="U39" i="5"/>
  <c r="W39" i="6" s="1"/>
  <c r="AB38" i="5"/>
  <c r="AD38" i="6" s="1"/>
  <c r="AE36" i="5"/>
  <c r="AG36" i="6" s="1"/>
  <c r="O36" i="5"/>
  <c r="Q36" i="6" s="1"/>
  <c r="AC35" i="5"/>
  <c r="AE35" i="6" s="1"/>
  <c r="M35" i="5"/>
  <c r="O35" i="6" s="1"/>
  <c r="AA34" i="5"/>
  <c r="AC34" i="6" s="1"/>
  <c r="K34" i="5"/>
  <c r="M34" i="6" s="1"/>
  <c r="G304" i="5"/>
  <c r="I304" i="6" s="1"/>
  <c r="O257" i="5"/>
  <c r="Q257" i="6" s="1"/>
  <c r="AB245" i="5"/>
  <c r="AD245" i="6" s="1"/>
  <c r="AC237" i="5"/>
  <c r="AE237" i="6" s="1"/>
  <c r="AE227" i="5"/>
  <c r="AG227" i="6" s="1"/>
  <c r="J223" i="5"/>
  <c r="L223" i="6" s="1"/>
  <c r="AF220" i="5"/>
  <c r="AH220" i="6" s="1"/>
  <c r="AD218" i="5"/>
  <c r="AF218" i="6" s="1"/>
  <c r="X217" i="5"/>
  <c r="Z217" i="6" s="1"/>
  <c r="AD215" i="5"/>
  <c r="AF215" i="6" s="1"/>
  <c r="N213" i="5"/>
  <c r="P213" i="6" s="1"/>
  <c r="AB211" i="5"/>
  <c r="AD211" i="6" s="1"/>
  <c r="AF210" i="5"/>
  <c r="AH210" i="6" s="1"/>
  <c r="Z209" i="5"/>
  <c r="AB209" i="6" s="1"/>
  <c r="AD243" i="5"/>
  <c r="AF243" i="6" s="1"/>
  <c r="J238" i="5"/>
  <c r="L238" i="6" s="1"/>
  <c r="D237" i="5"/>
  <c r="F237" i="6" s="1"/>
  <c r="R229" i="5"/>
  <c r="T229" i="6" s="1"/>
  <c r="V222" i="5"/>
  <c r="X222" i="6" s="1"/>
  <c r="F222" i="5"/>
  <c r="H222" i="6" s="1"/>
  <c r="T217" i="5"/>
  <c r="V217" i="6" s="1"/>
  <c r="N216" i="5"/>
  <c r="P216" i="6" s="1"/>
  <c r="R215" i="5"/>
  <c r="T215" i="6" s="1"/>
  <c r="AF214" i="5"/>
  <c r="AH214" i="6" s="1"/>
  <c r="P214" i="5"/>
  <c r="R214" i="6" s="1"/>
  <c r="T212" i="5"/>
  <c r="V212" i="6" s="1"/>
  <c r="N211" i="5"/>
  <c r="P211" i="6" s="1"/>
  <c r="H210" i="5"/>
  <c r="J210" i="6" s="1"/>
  <c r="L209" i="5"/>
  <c r="N209" i="6" s="1"/>
  <c r="Z208" i="5"/>
  <c r="AB208" i="6" s="1"/>
  <c r="J208" i="5"/>
  <c r="L208" i="6" s="1"/>
  <c r="K204" i="5"/>
  <c r="M204" i="6" s="1"/>
  <c r="Z201" i="5"/>
  <c r="AB201" i="6" s="1"/>
  <c r="F199" i="5"/>
  <c r="H199" i="6" s="1"/>
  <c r="K197" i="5"/>
  <c r="M197" i="6" s="1"/>
  <c r="AE195" i="5"/>
  <c r="AG195" i="6" s="1"/>
  <c r="E193" i="5"/>
  <c r="G193" i="6" s="1"/>
  <c r="O190" i="5"/>
  <c r="Q190" i="6" s="1"/>
  <c r="Y187" i="5"/>
  <c r="AA187" i="6" s="1"/>
  <c r="D185" i="5"/>
  <c r="F185" i="6" s="1"/>
  <c r="X183" i="5"/>
  <c r="Z183" i="6" s="1"/>
  <c r="N182" i="5"/>
  <c r="P182" i="6" s="1"/>
  <c r="D181" i="5"/>
  <c r="F181" i="6" s="1"/>
  <c r="T179" i="5"/>
  <c r="V179" i="6" s="1"/>
  <c r="AD176" i="5"/>
  <c r="AF176" i="6" s="1"/>
  <c r="D175" i="5"/>
  <c r="F175" i="6" s="1"/>
  <c r="X173" i="5"/>
  <c r="Z173" i="6" s="1"/>
  <c r="N154" i="5"/>
  <c r="P154" i="6" s="1"/>
  <c r="D153" i="5"/>
  <c r="F153" i="6" s="1"/>
  <c r="X151" i="5"/>
  <c r="Z151" i="6" s="1"/>
  <c r="N148" i="5"/>
  <c r="P148" i="6" s="1"/>
  <c r="D147" i="5"/>
  <c r="F147" i="6" s="1"/>
  <c r="X145" i="5"/>
  <c r="Z145" i="6" s="1"/>
  <c r="N144" i="5"/>
  <c r="P144" i="6" s="1"/>
  <c r="J142" i="5"/>
  <c r="L142" i="6" s="1"/>
  <c r="F141" i="5"/>
  <c r="H141" i="6" s="1"/>
  <c r="E140" i="5"/>
  <c r="G140" i="6" s="1"/>
  <c r="D139" i="5"/>
  <c r="F139" i="6" s="1"/>
  <c r="AG137" i="5"/>
  <c r="AI137" i="6" s="1"/>
  <c r="Q137" i="5"/>
  <c r="S137" i="6" s="1"/>
  <c r="AE136" i="5"/>
  <c r="AG136" i="6" s="1"/>
  <c r="O136" i="5"/>
  <c r="Q136" i="6" s="1"/>
  <c r="AC135" i="5"/>
  <c r="AE135" i="6" s="1"/>
  <c r="M135" i="5"/>
  <c r="O135" i="6" s="1"/>
  <c r="AA134" i="5"/>
  <c r="AC134" i="6" s="1"/>
  <c r="K134" i="5"/>
  <c r="M134" i="6" s="1"/>
  <c r="W131" i="5"/>
  <c r="Y131" i="6" s="1"/>
  <c r="G131" i="5"/>
  <c r="I131" i="6" s="1"/>
  <c r="S129" i="5"/>
  <c r="U129" i="6" s="1"/>
  <c r="AG127" i="5"/>
  <c r="AI127" i="6" s="1"/>
  <c r="G127" i="5"/>
  <c r="I127" i="6" s="1"/>
  <c r="K126" i="5"/>
  <c r="M126" i="6" s="1"/>
  <c r="Y125" i="5"/>
  <c r="AA125" i="6" s="1"/>
  <c r="AC124" i="5"/>
  <c r="AE124" i="6" s="1"/>
  <c r="AG123" i="5"/>
  <c r="AI123" i="6" s="1"/>
  <c r="G123" i="5"/>
  <c r="I123" i="6" s="1"/>
  <c r="K122" i="5"/>
  <c r="M122" i="6" s="1"/>
  <c r="Y121" i="5"/>
  <c r="AA121" i="6" s="1"/>
  <c r="AC120" i="5"/>
  <c r="AE120" i="6" s="1"/>
  <c r="AG119" i="5"/>
  <c r="AI119" i="6" s="1"/>
  <c r="G119" i="5"/>
  <c r="I119" i="6" s="1"/>
  <c r="K118" i="5"/>
  <c r="M118" i="6" s="1"/>
  <c r="Y117" i="5"/>
  <c r="AA117" i="6" s="1"/>
  <c r="AC116" i="5"/>
  <c r="AE116" i="6" s="1"/>
  <c r="AG115" i="5"/>
  <c r="AI115" i="6" s="1"/>
  <c r="G115" i="5"/>
  <c r="I115" i="6" s="1"/>
  <c r="K112" i="5"/>
  <c r="M112" i="6" s="1"/>
  <c r="E111" i="5"/>
  <c r="G111" i="6" s="1"/>
  <c r="I109" i="5"/>
  <c r="K109" i="6" s="1"/>
  <c r="M107" i="5"/>
  <c r="O107" i="6" s="1"/>
  <c r="G106" i="5"/>
  <c r="I106" i="6" s="1"/>
  <c r="K104" i="5"/>
  <c r="M104" i="6" s="1"/>
  <c r="E103" i="5"/>
  <c r="G103" i="6" s="1"/>
  <c r="I101" i="5"/>
  <c r="K101" i="6" s="1"/>
  <c r="W98" i="5"/>
  <c r="Y98" i="6" s="1"/>
  <c r="Q97" i="5"/>
  <c r="S97" i="6" s="1"/>
  <c r="U95" i="5"/>
  <c r="W95" i="6" s="1"/>
  <c r="O94" i="5"/>
  <c r="Q94" i="6" s="1"/>
  <c r="S92" i="5"/>
  <c r="U92" i="6" s="1"/>
  <c r="W90" i="5"/>
  <c r="Y90" i="6" s="1"/>
  <c r="Q89" i="5"/>
  <c r="S89" i="6" s="1"/>
  <c r="U87" i="5"/>
  <c r="W87" i="6" s="1"/>
  <c r="O86" i="5"/>
  <c r="Q86" i="6" s="1"/>
  <c r="S84" i="5"/>
  <c r="U84" i="6" s="1"/>
  <c r="U81" i="5"/>
  <c r="W81" i="6" s="1"/>
  <c r="J80" i="5"/>
  <c r="L80" i="6" s="1"/>
  <c r="P78" i="5"/>
  <c r="R78" i="6" s="1"/>
  <c r="O77" i="5"/>
  <c r="Q77" i="6" s="1"/>
  <c r="S76" i="5"/>
  <c r="U76" i="6" s="1"/>
  <c r="W75" i="5"/>
  <c r="Y75" i="6" s="1"/>
  <c r="G75" i="5"/>
  <c r="I75" i="6" s="1"/>
  <c r="M81" i="5"/>
  <c r="O81" i="6" s="1"/>
  <c r="W78" i="5"/>
  <c r="Y78" i="6" s="1"/>
  <c r="I79" i="5"/>
  <c r="K79" i="6" s="1"/>
  <c r="G71" i="5"/>
  <c r="I71" i="6" s="1"/>
  <c r="U49" i="5"/>
  <c r="W49" i="6" s="1"/>
  <c r="E49" i="5"/>
  <c r="G49" i="6" s="1"/>
  <c r="S48" i="5"/>
  <c r="U48" i="6" s="1"/>
  <c r="R24" i="11" s="1"/>
  <c r="AG47" i="5"/>
  <c r="AI47" i="6" s="1"/>
  <c r="Q47" i="5"/>
  <c r="S47" i="6" s="1"/>
  <c r="AE45" i="5"/>
  <c r="AG45" i="6" s="1"/>
  <c r="O45" i="5"/>
  <c r="Q45" i="6" s="1"/>
  <c r="AC44" i="5"/>
  <c r="AE44" i="6" s="1"/>
  <c r="AB23" i="11" s="1"/>
  <c r="M44" i="5"/>
  <c r="O44" i="6" s="1"/>
  <c r="L23" i="11" s="1"/>
  <c r="AA43" i="5"/>
  <c r="AC43" i="6" s="1"/>
  <c r="K43" i="5"/>
  <c r="M43" i="6" s="1"/>
  <c r="V40" i="5"/>
  <c r="X40" i="6" s="1"/>
  <c r="T39" i="5"/>
  <c r="V39" i="6" s="1"/>
  <c r="S21" i="11" s="1"/>
  <c r="V38" i="5"/>
  <c r="X38" i="6" s="1"/>
  <c r="V36" i="5"/>
  <c r="X36" i="6" s="1"/>
  <c r="F36" i="5"/>
  <c r="H36" i="6" s="1"/>
  <c r="T35" i="5"/>
  <c r="V35" i="6" s="1"/>
  <c r="S20" i="11" s="1"/>
  <c r="G217" i="5"/>
  <c r="I217" i="6" s="1"/>
  <c r="AF572" i="5"/>
  <c r="AH572" i="6" s="1"/>
  <c r="AE49" i="11" s="1"/>
  <c r="AE112" i="11" s="1"/>
  <c r="AA572" i="5"/>
  <c r="AC572" i="6" s="1"/>
  <c r="Z49" i="11" s="1"/>
  <c r="Z112" i="11" s="1"/>
  <c r="K572" i="5"/>
  <c r="M572" i="6" s="1"/>
  <c r="J49" i="11" s="1"/>
  <c r="J112" i="11" s="1"/>
  <c r="Q572" i="5"/>
  <c r="S572" i="6" s="1"/>
  <c r="P49" i="11" s="1"/>
  <c r="P112" i="11" s="1"/>
  <c r="AD572" i="5"/>
  <c r="AF572" i="6" s="1"/>
  <c r="AC49" i="11" s="1"/>
  <c r="AC112" i="11" s="1"/>
  <c r="N572" i="5"/>
  <c r="P572" i="6" s="1"/>
  <c r="M49" i="11" s="1"/>
  <c r="M112" i="11" s="1"/>
  <c r="N12" i="5"/>
  <c r="P12" i="6" s="1"/>
  <c r="M14" i="11" s="1"/>
  <c r="V12" i="5"/>
  <c r="X12" i="6" s="1"/>
  <c r="U14" i="11" s="1"/>
  <c r="P13" i="5"/>
  <c r="R13" i="6" s="1"/>
  <c r="O15" i="11" s="1"/>
  <c r="AB13" i="5"/>
  <c r="AD13" i="6" s="1"/>
  <c r="AA15" i="11" s="1"/>
  <c r="F16" i="5"/>
  <c r="H16" i="6" s="1"/>
  <c r="N16" i="5"/>
  <c r="P16" i="6" s="1"/>
  <c r="Z16" i="5"/>
  <c r="AB16" i="6" s="1"/>
  <c r="H17" i="5"/>
  <c r="J17" i="6" s="1"/>
  <c r="T17" i="5"/>
  <c r="V17" i="6" s="1"/>
  <c r="AB17" i="5"/>
  <c r="AD17" i="6" s="1"/>
  <c r="F18" i="5"/>
  <c r="H18" i="6" s="1"/>
  <c r="N18" i="5"/>
  <c r="P18" i="6" s="1"/>
  <c r="AD18" i="5"/>
  <c r="AF18" i="6" s="1"/>
  <c r="J24" i="5"/>
  <c r="L24" i="6" s="1"/>
  <c r="V24" i="5"/>
  <c r="X24" i="6" s="1"/>
  <c r="L26" i="5"/>
  <c r="N26" i="6" s="1"/>
  <c r="X26" i="5"/>
  <c r="Z26" i="6" s="1"/>
  <c r="F27" i="5"/>
  <c r="H27" i="6" s="1"/>
  <c r="R27" i="5"/>
  <c r="T27" i="6" s="1"/>
  <c r="AD27" i="5"/>
  <c r="AF27" i="6" s="1"/>
  <c r="R28" i="5"/>
  <c r="T28" i="6" s="1"/>
  <c r="AD28" i="5"/>
  <c r="AF28" i="6" s="1"/>
  <c r="L31" i="5"/>
  <c r="N31" i="6" s="1"/>
  <c r="X31" i="5"/>
  <c r="Z31" i="6" s="1"/>
  <c r="I595" i="5"/>
  <c r="K595" i="6" s="1"/>
  <c r="F581" i="6"/>
  <c r="AH579" i="6"/>
  <c r="U576" i="5"/>
  <c r="W576" i="6" s="1"/>
  <c r="Q575" i="5"/>
  <c r="S575" i="6" s="1"/>
  <c r="J574" i="5"/>
  <c r="L574" i="6" s="1"/>
  <c r="U584" i="5"/>
  <c r="W584" i="6" s="1"/>
  <c r="AI580" i="6"/>
  <c r="Q579" i="6"/>
  <c r="G348" i="5"/>
  <c r="I348" i="6" s="1"/>
  <c r="AD315" i="5"/>
  <c r="AF315" i="6" s="1"/>
  <c r="AB296" i="5"/>
  <c r="AD296" i="6" s="1"/>
  <c r="P267" i="5"/>
  <c r="R267" i="6" s="1"/>
  <c r="N254" i="5"/>
  <c r="P254" i="6" s="1"/>
  <c r="R248" i="5"/>
  <c r="T248" i="6" s="1"/>
  <c r="D251" i="5"/>
  <c r="F251" i="6" s="1"/>
  <c r="G244" i="5"/>
  <c r="I244" i="6" s="1"/>
  <c r="Y241" i="5"/>
  <c r="AA241" i="6" s="1"/>
  <c r="Q239" i="5"/>
  <c r="S239" i="6" s="1"/>
  <c r="Q234" i="5"/>
  <c r="S234" i="6" s="1"/>
  <c r="AG227" i="5"/>
  <c r="AI227" i="6" s="1"/>
  <c r="E226" i="5"/>
  <c r="G226" i="6" s="1"/>
  <c r="M223" i="5"/>
  <c r="O223" i="6" s="1"/>
  <c r="E338" i="5"/>
  <c r="G338" i="6" s="1"/>
  <c r="S337" i="5"/>
  <c r="U337" i="6" s="1"/>
  <c r="M312" i="5"/>
  <c r="O312" i="6" s="1"/>
  <c r="G297" i="5"/>
  <c r="I297" i="6" s="1"/>
  <c r="Q256" i="5"/>
  <c r="S256" i="6" s="1"/>
  <c r="Q255" i="5"/>
  <c r="S255" i="6" s="1"/>
  <c r="W249" i="5"/>
  <c r="Y249" i="6" s="1"/>
  <c r="AG249" i="5"/>
  <c r="AI249" i="6" s="1"/>
  <c r="V244" i="5"/>
  <c r="X244" i="6" s="1"/>
  <c r="X241" i="5"/>
  <c r="Z241" i="6" s="1"/>
  <c r="P239" i="5"/>
  <c r="R239" i="6" s="1"/>
  <c r="H236" i="5"/>
  <c r="J236" i="6" s="1"/>
  <c r="T232" i="5"/>
  <c r="V232" i="6" s="1"/>
  <c r="H229" i="5"/>
  <c r="J229" i="6" s="1"/>
  <c r="P227" i="5"/>
  <c r="R227" i="6" s="1"/>
  <c r="AB224" i="5"/>
  <c r="AD224" i="6" s="1"/>
  <c r="Z220" i="5"/>
  <c r="AB220" i="6" s="1"/>
  <c r="AD246" i="5"/>
  <c r="AF246" i="6" s="1"/>
  <c r="AF250" i="5"/>
  <c r="AH250" i="6" s="1"/>
  <c r="N252" i="5"/>
  <c r="P252" i="6" s="1"/>
  <c r="D250" i="5"/>
  <c r="F250" i="6" s="1"/>
  <c r="P254" i="5"/>
  <c r="R254" i="6" s="1"/>
  <c r="V265" i="5"/>
  <c r="X265" i="6" s="1"/>
  <c r="H263" i="5"/>
  <c r="J263" i="6" s="1"/>
  <c r="X285" i="5"/>
  <c r="Z285" i="6" s="1"/>
  <c r="R297" i="5"/>
  <c r="T297" i="6" s="1"/>
  <c r="V300" i="5"/>
  <c r="X300" i="6" s="1"/>
  <c r="J309" i="5"/>
  <c r="L309" i="6" s="1"/>
  <c r="AB316" i="5"/>
  <c r="AD316" i="6" s="1"/>
  <c r="J337" i="5"/>
  <c r="L337" i="6" s="1"/>
  <c r="AE289" i="5"/>
  <c r="AG289" i="6" s="1"/>
  <c r="AE246" i="5"/>
  <c r="AG246" i="6" s="1"/>
  <c r="AG250" i="5"/>
  <c r="AI250" i="6" s="1"/>
  <c r="AE252" i="5"/>
  <c r="AG252" i="6" s="1"/>
  <c r="E250" i="5"/>
  <c r="G250" i="6" s="1"/>
  <c r="S255" i="5"/>
  <c r="U255" i="6" s="1"/>
  <c r="K258" i="5"/>
  <c r="M258" i="6" s="1"/>
  <c r="AA256" i="5"/>
  <c r="AC256" i="6" s="1"/>
  <c r="AE281" i="5"/>
  <c r="AG281" i="6" s="1"/>
  <c r="AA297" i="5"/>
  <c r="AC297" i="6" s="1"/>
  <c r="M316" i="5"/>
  <c r="O316" i="6" s="1"/>
  <c r="W323" i="5"/>
  <c r="Y323" i="6" s="1"/>
  <c r="AB345" i="5"/>
  <c r="AD345" i="6" s="1"/>
  <c r="X320" i="5"/>
  <c r="Z320" i="6" s="1"/>
  <c r="AB280" i="5"/>
  <c r="AD280" i="6" s="1"/>
  <c r="Z285" i="5"/>
  <c r="AB285" i="6" s="1"/>
  <c r="D297" i="5"/>
  <c r="F297" i="6" s="1"/>
  <c r="V299" i="5"/>
  <c r="X299" i="6" s="1"/>
  <c r="J303" i="5"/>
  <c r="L303" i="6" s="1"/>
  <c r="AF304" i="5"/>
  <c r="AH304" i="6" s="1"/>
  <c r="L315" i="5"/>
  <c r="N315" i="6" s="1"/>
  <c r="N316" i="5"/>
  <c r="P316" i="6" s="1"/>
  <c r="D322" i="5"/>
  <c r="F322" i="6" s="1"/>
  <c r="J326" i="5"/>
  <c r="L326" i="6" s="1"/>
  <c r="E344" i="5"/>
  <c r="G344" i="6" s="1"/>
  <c r="G349" i="5"/>
  <c r="I349" i="6" s="1"/>
  <c r="G275" i="5"/>
  <c r="I275" i="6" s="1"/>
  <c r="AF278" i="5"/>
  <c r="AH278" i="6" s="1"/>
  <c r="I580" i="6"/>
  <c r="U281" i="5"/>
  <c r="W281" i="6" s="1"/>
  <c r="AC286" i="5"/>
  <c r="AE286" i="6" s="1"/>
  <c r="Q297" i="5"/>
  <c r="S297" i="6" s="1"/>
  <c r="E300" i="5"/>
  <c r="G300" i="6" s="1"/>
  <c r="I304" i="5"/>
  <c r="K304" i="6" s="1"/>
  <c r="Y315" i="5"/>
  <c r="AA315" i="6" s="1"/>
  <c r="AC319" i="5"/>
  <c r="AE319" i="6" s="1"/>
  <c r="S323" i="5"/>
  <c r="U323" i="6" s="1"/>
  <c r="M336" i="5"/>
  <c r="O336" i="6" s="1"/>
  <c r="X345" i="5"/>
  <c r="Z345" i="6" s="1"/>
  <c r="AF275" i="5"/>
  <c r="AH275" i="6" s="1"/>
  <c r="X335" i="5"/>
  <c r="Z335" i="6" s="1"/>
  <c r="L339" i="5"/>
  <c r="N339" i="6" s="1"/>
  <c r="U345" i="5"/>
  <c r="W345" i="6" s="1"/>
  <c r="U269" i="5"/>
  <c r="W269" i="6" s="1"/>
  <c r="Y275" i="5"/>
  <c r="AA275" i="6" s="1"/>
  <c r="D278" i="5"/>
  <c r="F278" i="6" s="1"/>
  <c r="O325" i="5"/>
  <c r="Q325" i="6" s="1"/>
  <c r="G574" i="5"/>
  <c r="I574" i="6" s="1"/>
  <c r="Q580" i="6"/>
  <c r="X344" i="5"/>
  <c r="Z344" i="6" s="1"/>
  <c r="Z345" i="5"/>
  <c r="AB345" i="6" s="1"/>
  <c r="Z269" i="5"/>
  <c r="AB269" i="6" s="1"/>
  <c r="H277" i="5"/>
  <c r="J277" i="6" s="1"/>
  <c r="AE279" i="5"/>
  <c r="AG279" i="6" s="1"/>
  <c r="H321" i="5"/>
  <c r="J321" i="6" s="1"/>
  <c r="T575" i="5"/>
  <c r="V575" i="6" s="1"/>
  <c r="X277" i="5"/>
  <c r="Z277" i="6" s="1"/>
  <c r="L279" i="5"/>
  <c r="N279" i="6" s="1"/>
  <c r="P291" i="5"/>
  <c r="R291" i="6" s="1"/>
  <c r="T321" i="5"/>
  <c r="V321" i="6" s="1"/>
  <c r="X341" i="5"/>
  <c r="Z341" i="6" s="1"/>
  <c r="AF574" i="5"/>
  <c r="AH574" i="6" s="1"/>
  <c r="J580" i="6"/>
  <c r="AC277" i="5"/>
  <c r="AE277" i="6" s="1"/>
  <c r="Q279" i="5"/>
  <c r="S279" i="6" s="1"/>
  <c r="U291" i="5"/>
  <c r="W291" i="6" s="1"/>
  <c r="R325" i="5"/>
  <c r="T325" i="6" s="1"/>
  <c r="U341" i="5"/>
  <c r="W341" i="6" s="1"/>
  <c r="W576" i="5"/>
  <c r="Y576" i="6" s="1"/>
  <c r="G581" i="6"/>
  <c r="R225" i="5"/>
  <c r="T225" i="6" s="1"/>
  <c r="V228" i="5"/>
  <c r="X228" i="6" s="1"/>
  <c r="F235" i="5"/>
  <c r="H235" i="6" s="1"/>
  <c r="V240" i="5"/>
  <c r="X240" i="6" s="1"/>
  <c r="AC246" i="5"/>
  <c r="AE246" i="6" s="1"/>
  <c r="R250" i="5"/>
  <c r="T250" i="6" s="1"/>
  <c r="D296" i="5"/>
  <c r="F296" i="6" s="1"/>
  <c r="D326" i="5"/>
  <c r="F326" i="6" s="1"/>
  <c r="O226" i="5"/>
  <c r="Q226" i="6" s="1"/>
  <c r="U233" i="5"/>
  <c r="W233" i="6" s="1"/>
  <c r="Y237" i="5"/>
  <c r="AA237" i="6" s="1"/>
  <c r="U242" i="5"/>
  <c r="W242" i="6" s="1"/>
  <c r="AB252" i="5"/>
  <c r="AD252" i="6" s="1"/>
  <c r="H258" i="5"/>
  <c r="J258" i="6" s="1"/>
  <c r="U303" i="5"/>
  <c r="W303" i="6" s="1"/>
  <c r="AB329" i="5"/>
  <c r="AD329" i="6" s="1"/>
  <c r="S345" i="5"/>
  <c r="U345" i="6" s="1"/>
  <c r="Z281" i="5"/>
  <c r="AB281" i="6" s="1"/>
  <c r="X246" i="5"/>
  <c r="Z246" i="6" s="1"/>
  <c r="Q238" i="5"/>
  <c r="S238" i="6" s="1"/>
  <c r="S228" i="5"/>
  <c r="U228" i="6" s="1"/>
  <c r="E277" i="5"/>
  <c r="G277" i="6" s="1"/>
  <c r="E255" i="5"/>
  <c r="G255" i="6" s="1"/>
  <c r="K246" i="5"/>
  <c r="M246" i="6" s="1"/>
  <c r="V234" i="5"/>
  <c r="X234" i="6" s="1"/>
  <c r="N225" i="5"/>
  <c r="P225" i="6" s="1"/>
  <c r="Z240" i="5"/>
  <c r="AB240" i="6" s="1"/>
  <c r="AC223" i="5"/>
  <c r="AE223" i="6" s="1"/>
  <c r="AC217" i="5"/>
  <c r="AE217" i="6" s="1"/>
  <c r="AA212" i="5"/>
  <c r="AC212" i="6" s="1"/>
  <c r="I245" i="5"/>
  <c r="K245" i="6" s="1"/>
  <c r="M237" i="5"/>
  <c r="O237" i="6" s="1"/>
  <c r="O222" i="5"/>
  <c r="Q222" i="6" s="1"/>
  <c r="K215" i="5"/>
  <c r="M215" i="6" s="1"/>
  <c r="W211" i="5"/>
  <c r="Y211" i="6" s="1"/>
  <c r="E209" i="5"/>
  <c r="G209" i="6" s="1"/>
  <c r="I203" i="5"/>
  <c r="K203" i="6" s="1"/>
  <c r="W196" i="5"/>
  <c r="Y196" i="6" s="1"/>
  <c r="H189" i="5"/>
  <c r="J189" i="6" s="1"/>
  <c r="G183" i="5"/>
  <c r="I183" i="6" s="1"/>
  <c r="L178" i="5"/>
  <c r="N178" i="6" s="1"/>
  <c r="G173" i="5"/>
  <c r="I173" i="6" s="1"/>
  <c r="AA153" i="5"/>
  <c r="AC153" i="6" s="1"/>
  <c r="Q146" i="5"/>
  <c r="S146" i="6" s="1"/>
  <c r="Y141" i="5"/>
  <c r="AA141" i="6" s="1"/>
  <c r="T138" i="5"/>
  <c r="V138" i="6" s="1"/>
  <c r="X136" i="5"/>
  <c r="Z136" i="6" s="1"/>
  <c r="F135" i="5"/>
  <c r="H135" i="6" s="1"/>
  <c r="D131" i="5"/>
  <c r="F131" i="6" s="1"/>
  <c r="D129" i="5"/>
  <c r="F129" i="6" s="1"/>
  <c r="Z125" i="5"/>
  <c r="AB125" i="6" s="1"/>
  <c r="H123" i="5"/>
  <c r="J123" i="6" s="1"/>
  <c r="AD120" i="5"/>
  <c r="AF120" i="6" s="1"/>
  <c r="L118" i="5"/>
  <c r="N118" i="6" s="1"/>
  <c r="D116" i="5"/>
  <c r="F116" i="6" s="1"/>
  <c r="F111" i="5"/>
  <c r="H111" i="6" s="1"/>
  <c r="H106" i="5"/>
  <c r="J106" i="6" s="1"/>
  <c r="N99" i="5"/>
  <c r="P99" i="6" s="1"/>
  <c r="P94" i="5"/>
  <c r="R94" i="6" s="1"/>
  <c r="R89" i="5"/>
  <c r="T89" i="6" s="1"/>
  <c r="T84" i="5"/>
  <c r="V84" i="6" s="1"/>
  <c r="K80" i="5"/>
  <c r="M80" i="6" s="1"/>
  <c r="T76" i="5"/>
  <c r="V76" i="6" s="1"/>
  <c r="H75" i="5"/>
  <c r="J75" i="6" s="1"/>
  <c r="G80" i="5"/>
  <c r="I80" i="6" s="1"/>
  <c r="J66" i="5"/>
  <c r="L66" i="6" s="1"/>
  <c r="F49" i="5"/>
  <c r="H49" i="6" s="1"/>
  <c r="R47" i="5"/>
  <c r="T47" i="6" s="1"/>
  <c r="AD44" i="5"/>
  <c r="AF44" i="6" s="1"/>
  <c r="L43" i="5"/>
  <c r="N43" i="6" s="1"/>
  <c r="AG38" i="5"/>
  <c r="AI38" i="6" s="1"/>
  <c r="AG35" i="5"/>
  <c r="AI35" i="6" s="1"/>
  <c r="O34" i="5"/>
  <c r="Q34" i="6" s="1"/>
  <c r="AE315" i="5"/>
  <c r="AG315" i="6" s="1"/>
  <c r="AE239" i="5"/>
  <c r="AG239" i="6" s="1"/>
  <c r="Z221" i="5"/>
  <c r="AB221" i="6" s="1"/>
  <c r="X216" i="5"/>
  <c r="Z216" i="6" s="1"/>
  <c r="AF211" i="5"/>
  <c r="AH211" i="6" s="1"/>
  <c r="D245" i="5"/>
  <c r="F245" i="6" s="1"/>
  <c r="H237" i="5"/>
  <c r="J237" i="6" s="1"/>
  <c r="J222" i="5"/>
  <c r="L222" i="6" s="1"/>
  <c r="V215" i="5"/>
  <c r="X215" i="6" s="1"/>
  <c r="D214" i="5"/>
  <c r="F214" i="6" s="1"/>
  <c r="L210" i="5"/>
  <c r="N210" i="6" s="1"/>
  <c r="N208" i="5"/>
  <c r="P208" i="6" s="1"/>
  <c r="P202" i="5"/>
  <c r="R202" i="6" s="1"/>
  <c r="K196" i="5"/>
  <c r="M196" i="6" s="1"/>
  <c r="O188" i="5"/>
  <c r="Q188" i="6" s="1"/>
  <c r="X182" i="5"/>
  <c r="Z182" i="6" s="1"/>
  <c r="T177" i="5"/>
  <c r="V177" i="6" s="1"/>
  <c r="S34" i="11" s="1"/>
  <c r="S104" i="11" s="1"/>
  <c r="D174" i="5"/>
  <c r="F174" i="6" s="1"/>
  <c r="D152" i="5"/>
  <c r="F152" i="6" s="1"/>
  <c r="D146" i="5"/>
  <c r="F146" i="6" s="1"/>
  <c r="O141" i="5"/>
  <c r="Q141" i="6" s="1"/>
  <c r="U137" i="5"/>
  <c r="W137" i="6" s="1"/>
  <c r="AG135" i="5"/>
  <c r="AI135" i="6" s="1"/>
  <c r="O134" i="5"/>
  <c r="Q134" i="6" s="1"/>
  <c r="W129" i="5"/>
  <c r="Y129" i="6" s="1"/>
  <c r="Y126" i="5"/>
  <c r="AA126" i="6" s="1"/>
  <c r="G124" i="5"/>
  <c r="I124" i="6" s="1"/>
  <c r="Y122" i="5"/>
  <c r="AA122" i="6" s="1"/>
  <c r="G120" i="5"/>
  <c r="I120" i="6" s="1"/>
  <c r="AC117" i="5"/>
  <c r="AE117" i="6" s="1"/>
  <c r="K115" i="5"/>
  <c r="M115" i="6" s="1"/>
  <c r="M109" i="5"/>
  <c r="O109" i="6" s="1"/>
  <c r="E105" i="5"/>
  <c r="G105" i="6" s="1"/>
  <c r="Q99" i="5"/>
  <c r="S99" i="6" s="1"/>
  <c r="S94" i="5"/>
  <c r="U94" i="6" s="1"/>
  <c r="U89" i="5"/>
  <c r="W89" i="6" s="1"/>
  <c r="W84" i="5"/>
  <c r="Y84" i="6" s="1"/>
  <c r="E79" i="5"/>
  <c r="G79" i="6" s="1"/>
  <c r="W76" i="5"/>
  <c r="Y76" i="6" s="1"/>
  <c r="V81" i="5"/>
  <c r="X81" i="6" s="1"/>
  <c r="K71" i="5"/>
  <c r="M71" i="6" s="1"/>
  <c r="Y49" i="5"/>
  <c r="AA49" i="6" s="1"/>
  <c r="G48" i="5"/>
  <c r="I48" i="6" s="1"/>
  <c r="F24" i="11" s="1"/>
  <c r="S45" i="5"/>
  <c r="U45" i="6" s="1"/>
  <c r="Q44" i="5"/>
  <c r="S44" i="6" s="1"/>
  <c r="P23" i="11" s="1"/>
  <c r="X39" i="5"/>
  <c r="Z39" i="6" s="1"/>
  <c r="W21" i="11" s="1"/>
  <c r="J36" i="5"/>
  <c r="L36" i="6" s="1"/>
  <c r="H35" i="5"/>
  <c r="J35" i="6" s="1"/>
  <c r="G20" i="11" s="1"/>
  <c r="AB350" i="5"/>
  <c r="AD350" i="6" s="1"/>
  <c r="D244" i="5"/>
  <c r="F244" i="6" s="1"/>
  <c r="R226" i="5"/>
  <c r="T226" i="6" s="1"/>
  <c r="AD48" i="5"/>
  <c r="AF48" i="6" s="1"/>
  <c r="L47" i="5"/>
  <c r="N47" i="6" s="1"/>
  <c r="J45" i="5"/>
  <c r="L45" i="6" s="1"/>
  <c r="V43" i="5"/>
  <c r="X43" i="6" s="1"/>
  <c r="O40" i="5"/>
  <c r="Q40" i="6" s="1"/>
  <c r="AG36" i="5"/>
  <c r="AI36" i="6" s="1"/>
  <c r="AE35" i="5"/>
  <c r="AG35" i="6" s="1"/>
  <c r="M34" i="5"/>
  <c r="O34" i="6" s="1"/>
  <c r="L12" i="5"/>
  <c r="N12" i="6" s="1"/>
  <c r="K14" i="11" s="1"/>
  <c r="T12" i="5"/>
  <c r="V12" i="6" s="1"/>
  <c r="S14" i="11" s="1"/>
  <c r="S13" i="11" s="1"/>
  <c r="S91" i="11" s="1"/>
  <c r="AB12" i="5"/>
  <c r="AD12" i="6" s="1"/>
  <c r="AA14" i="11" s="1"/>
  <c r="F13" i="5"/>
  <c r="H13" i="6" s="1"/>
  <c r="E15" i="11" s="1"/>
  <c r="N13" i="5"/>
  <c r="P13" i="6" s="1"/>
  <c r="M15" i="11" s="1"/>
  <c r="V13" i="5"/>
  <c r="X13" i="6" s="1"/>
  <c r="U15" i="11" s="1"/>
  <c r="AD13" i="5"/>
  <c r="AF13" i="6" s="1"/>
  <c r="AC15" i="11" s="1"/>
  <c r="H16" i="5"/>
  <c r="J16" i="6" s="1"/>
  <c r="P16" i="5"/>
  <c r="R16" i="6" s="1"/>
  <c r="AB16" i="5"/>
  <c r="AD16" i="6" s="1"/>
  <c r="F17" i="5"/>
  <c r="H17" i="6" s="1"/>
  <c r="N17" i="5"/>
  <c r="P17" i="6" s="1"/>
  <c r="V17" i="5"/>
  <c r="X17" i="6" s="1"/>
  <c r="AD17" i="5"/>
  <c r="AF17" i="6" s="1"/>
  <c r="H18" i="5"/>
  <c r="J18" i="6" s="1"/>
  <c r="P18" i="5"/>
  <c r="R18" i="6" s="1"/>
  <c r="T18" i="5"/>
  <c r="V18" i="6" s="1"/>
  <c r="AB18" i="5"/>
  <c r="AD18" i="6" s="1"/>
  <c r="L24" i="5"/>
  <c r="N24" i="6" s="1"/>
  <c r="T24" i="5"/>
  <c r="V24" i="6" s="1"/>
  <c r="AB24" i="5"/>
  <c r="AD24" i="6" s="1"/>
  <c r="F26" i="5"/>
  <c r="H26" i="6" s="1"/>
  <c r="N26" i="5"/>
  <c r="P26" i="6" s="1"/>
  <c r="V26" i="5"/>
  <c r="X26" i="6" s="1"/>
  <c r="AD26" i="5"/>
  <c r="AF26" i="6" s="1"/>
  <c r="H27" i="5"/>
  <c r="J27" i="6" s="1"/>
  <c r="P27" i="5"/>
  <c r="R27" i="6" s="1"/>
  <c r="X27" i="5"/>
  <c r="Z27" i="6" s="1"/>
  <c r="AF27" i="5"/>
  <c r="AH27" i="6" s="1"/>
  <c r="L28" i="5"/>
  <c r="N28" i="6" s="1"/>
  <c r="T28" i="5"/>
  <c r="V28" i="6" s="1"/>
  <c r="AF28" i="5"/>
  <c r="AH28" i="6" s="1"/>
  <c r="F31" i="5"/>
  <c r="H31" i="6" s="1"/>
  <c r="N31" i="5"/>
  <c r="P31" i="6" s="1"/>
  <c r="V31" i="5"/>
  <c r="X31" i="6" s="1"/>
  <c r="K595" i="5"/>
  <c r="M595" i="6" s="1"/>
  <c r="AD584" i="5"/>
  <c r="AF584" i="6" s="1"/>
  <c r="AD581" i="6"/>
  <c r="AB580" i="6"/>
  <c r="Z579" i="6"/>
  <c r="X578" i="6"/>
  <c r="AD575" i="5"/>
  <c r="AF575" i="6" s="1"/>
  <c r="AC584" i="5"/>
  <c r="AE584" i="6" s="1"/>
  <c r="AC581" i="6"/>
  <c r="AA580" i="6"/>
  <c r="I579" i="6"/>
  <c r="G578" i="6"/>
  <c r="AG574" i="5"/>
  <c r="AI574" i="6" s="1"/>
  <c r="Q574" i="5"/>
  <c r="S574" i="6" s="1"/>
  <c r="Z560" i="5"/>
  <c r="AB560" i="6" s="1"/>
  <c r="Y43" i="11" s="1"/>
  <c r="G339" i="5"/>
  <c r="I339" i="6" s="1"/>
  <c r="AF316" i="5"/>
  <c r="AH316" i="6" s="1"/>
  <c r="F306" i="5"/>
  <c r="H306" i="6" s="1"/>
  <c r="Z286" i="5"/>
  <c r="AB286" i="6" s="1"/>
  <c r="AB256" i="5"/>
  <c r="AD256" i="6" s="1"/>
  <c r="N257" i="5"/>
  <c r="P257" i="6" s="1"/>
  <c r="AF252" i="5"/>
  <c r="AH252" i="6" s="1"/>
  <c r="AB249" i="5"/>
  <c r="AD249" i="6" s="1"/>
  <c r="O244" i="5"/>
  <c r="Q244" i="6" s="1"/>
  <c r="AG241" i="5"/>
  <c r="AI241" i="6" s="1"/>
  <c r="U240" i="5"/>
  <c r="W240" i="6" s="1"/>
  <c r="Y239" i="5"/>
  <c r="AA239" i="6" s="1"/>
  <c r="W237" i="5"/>
  <c r="Y237" i="6" s="1"/>
  <c r="U235" i="5"/>
  <c r="W235" i="6" s="1"/>
  <c r="S233" i="5"/>
  <c r="U233" i="6" s="1"/>
  <c r="Q230" i="5"/>
  <c r="S230" i="6" s="1"/>
  <c r="Y227" i="5"/>
  <c r="AA227" i="6" s="1"/>
  <c r="M226" i="5"/>
  <c r="O226" i="6" s="1"/>
  <c r="AE223" i="5"/>
  <c r="AG223" i="6" s="1"/>
  <c r="AC221" i="5"/>
  <c r="AE221" i="6" s="1"/>
  <c r="O220" i="5"/>
  <c r="Q220" i="6" s="1"/>
  <c r="Z279" i="5"/>
  <c r="AB279" i="6" s="1"/>
  <c r="G332" i="5"/>
  <c r="I332" i="6" s="1"/>
  <c r="W315" i="5"/>
  <c r="Y315" i="6" s="1"/>
  <c r="M303" i="5"/>
  <c r="O303" i="6" s="1"/>
  <c r="E296" i="5"/>
  <c r="G296" i="6" s="1"/>
  <c r="AG256" i="5"/>
  <c r="AI256" i="6" s="1"/>
  <c r="S257" i="5"/>
  <c r="U257" i="6" s="1"/>
  <c r="S250" i="5"/>
  <c r="U250" i="6" s="1"/>
  <c r="U252" i="5"/>
  <c r="W252" i="6" s="1"/>
  <c r="N244" i="5"/>
  <c r="P244" i="6" s="1"/>
  <c r="AF241" i="5"/>
  <c r="AH241" i="6" s="1"/>
  <c r="T240" i="5"/>
  <c r="V240" i="6" s="1"/>
  <c r="R238" i="5"/>
  <c r="T238" i="6" s="1"/>
  <c r="T235" i="5"/>
  <c r="V235" i="6" s="1"/>
  <c r="R233" i="5"/>
  <c r="T233" i="6" s="1"/>
  <c r="P230" i="5"/>
  <c r="R230" i="6" s="1"/>
  <c r="X227" i="5"/>
  <c r="Z227" i="6" s="1"/>
  <c r="L226" i="5"/>
  <c r="N226" i="6" s="1"/>
  <c r="AD223" i="5"/>
  <c r="AF223" i="6" s="1"/>
  <c r="AB221" i="5"/>
  <c r="AD221" i="6" s="1"/>
  <c r="R220" i="5"/>
  <c r="T220" i="6" s="1"/>
  <c r="AF218" i="5"/>
  <c r="AH218" i="6" s="1"/>
  <c r="R247" i="5"/>
  <c r="T247" i="6" s="1"/>
  <c r="X250" i="5"/>
  <c r="Z250" i="6" s="1"/>
  <c r="Z251" i="5"/>
  <c r="AB251" i="6" s="1"/>
  <c r="H248" i="5"/>
  <c r="J248" i="6" s="1"/>
  <c r="R245" i="5"/>
  <c r="T245" i="6" s="1"/>
  <c r="F255" i="5"/>
  <c r="H255" i="6" s="1"/>
  <c r="V255" i="5"/>
  <c r="X255" i="6" s="1"/>
  <c r="N265" i="5"/>
  <c r="P265" i="6" s="1"/>
  <c r="N256" i="5"/>
  <c r="P256" i="6" s="1"/>
  <c r="Z280" i="5"/>
  <c r="AB280" i="6" s="1"/>
  <c r="AD286" i="5"/>
  <c r="AF286" i="6" s="1"/>
  <c r="D299" i="5"/>
  <c r="F299" i="6" s="1"/>
  <c r="H303" i="5"/>
  <c r="J303" i="6" s="1"/>
  <c r="P306" i="5"/>
  <c r="R306" i="6" s="1"/>
  <c r="J315" i="5"/>
  <c r="L315" i="6" s="1"/>
  <c r="AE319" i="5"/>
  <c r="AG319" i="6" s="1"/>
  <c r="F336" i="5"/>
  <c r="H336" i="6" s="1"/>
  <c r="G353" i="5"/>
  <c r="I353" i="6" s="1"/>
  <c r="Y278" i="5"/>
  <c r="AA278" i="6" s="1"/>
  <c r="AA245" i="5"/>
  <c r="AC245" i="6" s="1"/>
  <c r="S247" i="5"/>
  <c r="U247" i="6" s="1"/>
  <c r="Y250" i="5"/>
  <c r="AA250" i="6" s="1"/>
  <c r="K251" i="5"/>
  <c r="M251" i="6" s="1"/>
  <c r="W252" i="5"/>
  <c r="Y252" i="6" s="1"/>
  <c r="Q249" i="5"/>
  <c r="S249" i="6" s="1"/>
  <c r="S245" i="5"/>
  <c r="U245" i="6" s="1"/>
  <c r="K255" i="5"/>
  <c r="M255" i="6" s="1"/>
  <c r="U257" i="5"/>
  <c r="W257" i="6" s="1"/>
  <c r="O267" i="5"/>
  <c r="Q267" i="6" s="1"/>
  <c r="E263" i="5"/>
  <c r="G263" i="6" s="1"/>
  <c r="O281" i="5"/>
  <c r="Q281" i="6" s="1"/>
  <c r="I296" i="5"/>
  <c r="K296" i="6" s="1"/>
  <c r="M299" i="5"/>
  <c r="O299" i="6" s="1"/>
  <c r="Q303" i="5"/>
  <c r="S303" i="6" s="1"/>
  <c r="L309" i="5"/>
  <c r="N309" i="6" s="1"/>
  <c r="AC316" i="5"/>
  <c r="AE316" i="6" s="1"/>
  <c r="W324" i="5"/>
  <c r="Y324" i="6" s="1"/>
  <c r="Z344" i="5"/>
  <c r="AB344" i="6" s="1"/>
  <c r="AA275" i="5"/>
  <c r="AC275" i="6" s="1"/>
  <c r="V291" i="5"/>
  <c r="X291" i="6" s="1"/>
  <c r="T280" i="5"/>
  <c r="V280" i="6" s="1"/>
  <c r="AF281" i="5"/>
  <c r="AH281" i="6" s="1"/>
  <c r="X286" i="5"/>
  <c r="Z286" i="6" s="1"/>
  <c r="Z296" i="5"/>
  <c r="AB296" i="6" s="1"/>
  <c r="AB297" i="5"/>
  <c r="AD297" i="6" s="1"/>
  <c r="AD299" i="5"/>
  <c r="AF299" i="6" s="1"/>
  <c r="R303" i="5"/>
  <c r="T303" i="6" s="1"/>
  <c r="X304" i="5"/>
  <c r="Z304" i="6" s="1"/>
  <c r="D309" i="5"/>
  <c r="F309" i="6" s="1"/>
  <c r="H312" i="5"/>
  <c r="J312" i="6" s="1"/>
  <c r="T315" i="5"/>
  <c r="V315" i="6" s="1"/>
  <c r="V316" i="5"/>
  <c r="X316" i="6" s="1"/>
  <c r="P320" i="5"/>
  <c r="R320" i="6" s="1"/>
  <c r="P324" i="5"/>
  <c r="R324" i="6" s="1"/>
  <c r="K336" i="5"/>
  <c r="M336" i="6" s="1"/>
  <c r="U344" i="5"/>
  <c r="W344" i="6" s="1"/>
  <c r="W345" i="5"/>
  <c r="Y345" i="6" s="1"/>
  <c r="N273" i="5"/>
  <c r="P273" i="6" s="1"/>
  <c r="W275" i="5"/>
  <c r="Y275" i="6" s="1"/>
  <c r="AD277" i="5"/>
  <c r="AF277" i="6" s="1"/>
  <c r="N291" i="5"/>
  <c r="P291" i="6" s="1"/>
  <c r="AA341" i="5"/>
  <c r="AC341" i="6" s="1"/>
  <c r="AG576" i="5"/>
  <c r="AI576" i="6" s="1"/>
  <c r="K584" i="5"/>
  <c r="M584" i="6" s="1"/>
  <c r="AG280" i="5"/>
  <c r="AI280" i="6" s="1"/>
  <c r="AC281" i="5"/>
  <c r="AE281" i="6" s="1"/>
  <c r="E285" i="5"/>
  <c r="G285" i="6" s="1"/>
  <c r="AE285" i="5"/>
  <c r="AG285" i="6" s="1"/>
  <c r="G296" i="5"/>
  <c r="I296" i="6" s="1"/>
  <c r="W296" i="5"/>
  <c r="Y296" i="6" s="1"/>
  <c r="I297" i="5"/>
  <c r="K297" i="6" s="1"/>
  <c r="Y297" i="5"/>
  <c r="AA297" i="6" s="1"/>
  <c r="K299" i="5"/>
  <c r="M299" i="6" s="1"/>
  <c r="AA299" i="5"/>
  <c r="AC299" i="6" s="1"/>
  <c r="M300" i="5"/>
  <c r="O300" i="6" s="1"/>
  <c r="AC300" i="5"/>
  <c r="AE300" i="6" s="1"/>
  <c r="Q304" i="5"/>
  <c r="S304" i="6" s="1"/>
  <c r="AG304" i="5"/>
  <c r="AI304" i="6" s="1"/>
  <c r="L308" i="5"/>
  <c r="N308" i="6" s="1"/>
  <c r="I310" i="5"/>
  <c r="K310" i="6" s="1"/>
  <c r="AG311" i="5"/>
  <c r="AI311" i="6" s="1"/>
  <c r="AC312" i="5"/>
  <c r="AE312" i="6" s="1"/>
  <c r="Q315" i="5"/>
  <c r="S315" i="6" s="1"/>
  <c r="AG315" i="5"/>
  <c r="AI315" i="6" s="1"/>
  <c r="S316" i="5"/>
  <c r="U316" i="6" s="1"/>
  <c r="I319" i="5"/>
  <c r="K319" i="6" s="1"/>
  <c r="K320" i="5"/>
  <c r="M320" i="6" s="1"/>
  <c r="G322" i="5"/>
  <c r="I322" i="6" s="1"/>
  <c r="F324" i="5"/>
  <c r="H324" i="6" s="1"/>
  <c r="L326" i="5"/>
  <c r="N326" i="6" s="1"/>
  <c r="AG336" i="5"/>
  <c r="AI336" i="6" s="1"/>
  <c r="F344" i="5"/>
  <c r="H344" i="6" s="1"/>
  <c r="H345" i="5"/>
  <c r="J345" i="6" s="1"/>
  <c r="J349" i="5"/>
  <c r="L349" i="6" s="1"/>
  <c r="X269" i="5"/>
  <c r="Z269" i="6" s="1"/>
  <c r="P275" i="5"/>
  <c r="R275" i="6" s="1"/>
  <c r="R277" i="5"/>
  <c r="T277" i="6" s="1"/>
  <c r="S279" i="5"/>
  <c r="U279" i="6" s="1"/>
  <c r="Q321" i="5"/>
  <c r="S321" i="6" s="1"/>
  <c r="R341" i="5"/>
  <c r="T341" i="6" s="1"/>
  <c r="J578" i="6"/>
  <c r="P584" i="5"/>
  <c r="R584" i="6" s="1"/>
  <c r="K344" i="5"/>
  <c r="M344" i="6" s="1"/>
  <c r="AA344" i="5"/>
  <c r="AC344" i="6" s="1"/>
  <c r="M345" i="5"/>
  <c r="O345" i="6" s="1"/>
  <c r="AC345" i="5"/>
  <c r="AE345" i="6" s="1"/>
  <c r="L353" i="5"/>
  <c r="N353" i="6" s="1"/>
  <c r="M269" i="5"/>
  <c r="O269" i="6" s="1"/>
  <c r="AC269" i="5"/>
  <c r="AE269" i="6" s="1"/>
  <c r="W273" i="5"/>
  <c r="Y273" i="6" s="1"/>
  <c r="Q275" i="5"/>
  <c r="S275" i="6" s="1"/>
  <c r="AG275" i="5"/>
  <c r="AI275" i="6" s="1"/>
  <c r="S277" i="5"/>
  <c r="U277" i="6" s="1"/>
  <c r="T278" i="5"/>
  <c r="V278" i="6" s="1"/>
  <c r="V279" i="5"/>
  <c r="X279" i="6" s="1"/>
  <c r="R291" i="5"/>
  <c r="T291" i="6" s="1"/>
  <c r="D318" i="5"/>
  <c r="F318" i="6" s="1"/>
  <c r="AA335" i="5"/>
  <c r="AC335" i="6" s="1"/>
  <c r="V341" i="5"/>
  <c r="X341" i="6" s="1"/>
  <c r="L575" i="5"/>
  <c r="N575" i="6" s="1"/>
  <c r="O579" i="6"/>
  <c r="S581" i="6"/>
  <c r="D339" i="5"/>
  <c r="F339" i="6" s="1"/>
  <c r="P344" i="5"/>
  <c r="R344" i="6" s="1"/>
  <c r="AF344" i="5"/>
  <c r="AH344" i="6" s="1"/>
  <c r="R345" i="5"/>
  <c r="T345" i="6" s="1"/>
  <c r="D348" i="5"/>
  <c r="F348" i="6" s="1"/>
  <c r="J354" i="5"/>
  <c r="L354" i="6" s="1"/>
  <c r="R269" i="5"/>
  <c r="T269" i="6" s="1"/>
  <c r="P273" i="5"/>
  <c r="R273" i="6" s="1"/>
  <c r="N275" i="5"/>
  <c r="P275" i="6" s="1"/>
  <c r="AD275" i="5"/>
  <c r="AF275" i="6" s="1"/>
  <c r="P277" i="5"/>
  <c r="R277" i="6" s="1"/>
  <c r="M278" i="5"/>
  <c r="O278" i="6" s="1"/>
  <c r="O279" i="5"/>
  <c r="Q279" i="6" s="1"/>
  <c r="K291" i="5"/>
  <c r="M291" i="6" s="1"/>
  <c r="AA298" i="5"/>
  <c r="AC298" i="6" s="1"/>
  <c r="AF332" i="5"/>
  <c r="AH332" i="6" s="1"/>
  <c r="W341" i="5"/>
  <c r="Y341" i="6" s="1"/>
  <c r="L574" i="5"/>
  <c r="N574" i="6" s="1"/>
  <c r="R578" i="6"/>
  <c r="V580" i="6"/>
  <c r="X584" i="5"/>
  <c r="Z584" i="6" s="1"/>
  <c r="AF277" i="5"/>
  <c r="AH277" i="6" s="1"/>
  <c r="R278" i="5"/>
  <c r="T278" i="6" s="1"/>
  <c r="D279" i="5"/>
  <c r="F279" i="6" s="1"/>
  <c r="T279" i="5"/>
  <c r="V279" i="6" s="1"/>
  <c r="X289" i="5"/>
  <c r="Z289" i="6" s="1"/>
  <c r="H291" i="5"/>
  <c r="J291" i="6" s="1"/>
  <c r="J295" i="5"/>
  <c r="L295" i="6" s="1"/>
  <c r="T298" i="5"/>
  <c r="V298" i="6" s="1"/>
  <c r="AD320" i="5"/>
  <c r="AF320" i="6" s="1"/>
  <c r="X332" i="5"/>
  <c r="Z332" i="6" s="1"/>
  <c r="AD337" i="5"/>
  <c r="AF337" i="6" s="1"/>
  <c r="P341" i="5"/>
  <c r="R341" i="6" s="1"/>
  <c r="E353" i="5"/>
  <c r="G353" i="6" s="1"/>
  <c r="P574" i="5"/>
  <c r="R574" i="6" s="1"/>
  <c r="AA575" i="5"/>
  <c r="AC575" i="6" s="1"/>
  <c r="V578" i="6"/>
  <c r="X579" i="6"/>
  <c r="Z580" i="6"/>
  <c r="AB581" i="6"/>
  <c r="AB584" i="5"/>
  <c r="AD584" i="6" s="1"/>
  <c r="G278" i="5"/>
  <c r="I278" i="6" s="1"/>
  <c r="W278" i="5"/>
  <c r="Y278" i="6" s="1"/>
  <c r="I279" i="5"/>
  <c r="K279" i="6" s="1"/>
  <c r="Y279" i="5"/>
  <c r="AA279" i="6" s="1"/>
  <c r="AC289" i="5"/>
  <c r="AE289" i="6" s="1"/>
  <c r="M291" i="5"/>
  <c r="O291" i="6" s="1"/>
  <c r="V295" i="5"/>
  <c r="X295" i="6" s="1"/>
  <c r="AF298" i="5"/>
  <c r="AH298" i="6" s="1"/>
  <c r="V321" i="5"/>
  <c r="X321" i="6" s="1"/>
  <c r="H333" i="5"/>
  <c r="J333" i="6" s="1"/>
  <c r="AF337" i="5"/>
  <c r="AH337" i="6" s="1"/>
  <c r="M341" i="5"/>
  <c r="O341" i="6" s="1"/>
  <c r="H353" i="5"/>
  <c r="J353" i="6" s="1"/>
  <c r="K574" i="5"/>
  <c r="M574" i="6" s="1"/>
  <c r="R575" i="5"/>
  <c r="T575" i="6" s="1"/>
  <c r="Q578" i="6"/>
  <c r="S579" i="6"/>
  <c r="U580" i="6"/>
  <c r="W581" i="6"/>
  <c r="W584" i="5"/>
  <c r="Y584" i="6" s="1"/>
  <c r="AF223" i="5"/>
  <c r="AH223" i="6" s="1"/>
  <c r="N226" i="5"/>
  <c r="P226" i="6" s="1"/>
  <c r="Z227" i="5"/>
  <c r="AB227" i="6" s="1"/>
  <c r="R230" i="5"/>
  <c r="T230" i="6" s="1"/>
  <c r="T233" i="5"/>
  <c r="V233" i="6" s="1"/>
  <c r="V235" i="5"/>
  <c r="X235" i="6" s="1"/>
  <c r="X237" i="5"/>
  <c r="Z237" i="6" s="1"/>
  <c r="Z239" i="5"/>
  <c r="AB239" i="6" s="1"/>
  <c r="H241" i="5"/>
  <c r="J241" i="6" s="1"/>
  <c r="T242" i="5"/>
  <c r="V242" i="6" s="1"/>
  <c r="AF244" i="5"/>
  <c r="AH244" i="6" s="1"/>
  <c r="AA250" i="5"/>
  <c r="AC250" i="6" s="1"/>
  <c r="K248" i="5"/>
  <c r="M248" i="6" s="1"/>
  <c r="M255" i="5"/>
  <c r="O255" i="6" s="1"/>
  <c r="Q267" i="5"/>
  <c r="S267" i="6" s="1"/>
  <c r="AD280" i="5"/>
  <c r="AF280" i="6" s="1"/>
  <c r="H299" i="5"/>
  <c r="J299" i="6" s="1"/>
  <c r="D308" i="5"/>
  <c r="F308" i="6" s="1"/>
  <c r="U319" i="5"/>
  <c r="W319" i="6" s="1"/>
  <c r="Q344" i="5"/>
  <c r="S344" i="6" s="1"/>
  <c r="G295" i="5"/>
  <c r="I295" i="6" s="1"/>
  <c r="S225" i="5"/>
  <c r="U225" i="6" s="1"/>
  <c r="K227" i="5"/>
  <c r="M227" i="6" s="1"/>
  <c r="W228" i="5"/>
  <c r="Y228" i="6" s="1"/>
  <c r="O232" i="5"/>
  <c r="Q232" i="6" s="1"/>
  <c r="G235" i="5"/>
  <c r="I235" i="6" s="1"/>
  <c r="AC236" i="5"/>
  <c r="AE236" i="6" s="1"/>
  <c r="U238" i="5"/>
  <c r="W238" i="6" s="1"/>
  <c r="W240" i="5"/>
  <c r="Y240" i="6" s="1"/>
  <c r="E242" i="5"/>
  <c r="G242" i="6" s="1"/>
  <c r="Q244" i="5"/>
  <c r="S244" i="6" s="1"/>
  <c r="AF246" i="5"/>
  <c r="AH246" i="6" s="1"/>
  <c r="P251" i="5"/>
  <c r="R251" i="6" s="1"/>
  <c r="G250" i="5"/>
  <c r="I250" i="6" s="1"/>
  <c r="G257" i="5"/>
  <c r="I257" i="6" s="1"/>
  <c r="T267" i="5"/>
  <c r="V267" i="6" s="1"/>
  <c r="S281" i="5"/>
  <c r="U281" i="6" s="1"/>
  <c r="Q299" i="5"/>
  <c r="S299" i="6" s="1"/>
  <c r="AF308" i="5"/>
  <c r="AH308" i="6" s="1"/>
  <c r="I320" i="5"/>
  <c r="K320" i="6" s="1"/>
  <c r="D345" i="5"/>
  <c r="F345" i="6" s="1"/>
  <c r="W291" i="5"/>
  <c r="Y291" i="6" s="1"/>
  <c r="AA584" i="5"/>
  <c r="AC584" i="6" s="1"/>
  <c r="U320" i="5"/>
  <c r="W320" i="6" s="1"/>
  <c r="X299" i="5"/>
  <c r="Z299" i="6" s="1"/>
  <c r="M258" i="5"/>
  <c r="O258" i="6" s="1"/>
  <c r="U245" i="5"/>
  <c r="W245" i="6" s="1"/>
  <c r="H251" i="5"/>
  <c r="J251" i="6" s="1"/>
  <c r="M244" i="5"/>
  <c r="O244" i="6" s="1"/>
  <c r="S240" i="5"/>
  <c r="U240" i="6" s="1"/>
  <c r="Y236" i="5"/>
  <c r="AA236" i="6" s="1"/>
  <c r="U231" i="5"/>
  <c r="W231" i="6" s="1"/>
  <c r="G227" i="5"/>
  <c r="I227" i="6" s="1"/>
  <c r="S341" i="5"/>
  <c r="U341" i="6" s="1"/>
  <c r="AG324" i="5"/>
  <c r="AI324" i="6" s="1"/>
  <c r="E303" i="5"/>
  <c r="G303" i="6" s="1"/>
  <c r="AC256" i="5"/>
  <c r="AE256" i="6" s="1"/>
  <c r="P245" i="5"/>
  <c r="R245" i="6" s="1"/>
  <c r="E251" i="5"/>
  <c r="G251" i="6" s="1"/>
  <c r="L244" i="5"/>
  <c r="N244" i="6" s="1"/>
  <c r="R240" i="5"/>
  <c r="T240" i="6" s="1"/>
  <c r="X236" i="5"/>
  <c r="Z236" i="6" s="1"/>
  <c r="T231" i="5"/>
  <c r="V231" i="6" s="1"/>
  <c r="F227" i="5"/>
  <c r="H227" i="6" s="1"/>
  <c r="E548" i="5"/>
  <c r="G548" i="6" s="1"/>
  <c r="D43" i="11" s="1"/>
  <c r="D42" i="11" s="1"/>
  <c r="D110" i="11" s="1"/>
  <c r="P280" i="5"/>
  <c r="R280" i="6" s="1"/>
  <c r="T244" i="5"/>
  <c r="V244" i="6" s="1"/>
  <c r="AF236" i="5"/>
  <c r="AH236" i="6" s="1"/>
  <c r="N227" i="5"/>
  <c r="P227" i="6" s="1"/>
  <c r="AG222" i="5"/>
  <c r="AI222" i="6" s="1"/>
  <c r="Y220" i="5"/>
  <c r="AA220" i="6" s="1"/>
  <c r="AA218" i="5"/>
  <c r="AC218" i="6" s="1"/>
  <c r="K217" i="5"/>
  <c r="M217" i="6" s="1"/>
  <c r="AE215" i="5"/>
  <c r="AG215" i="6" s="1"/>
  <c r="O213" i="5"/>
  <c r="Q213" i="6" s="1"/>
  <c r="AC211" i="5"/>
  <c r="AE211" i="6" s="1"/>
  <c r="AG210" i="5"/>
  <c r="AI210" i="6" s="1"/>
  <c r="AA209" i="5"/>
  <c r="AC209" i="6" s="1"/>
  <c r="AE243" i="5"/>
  <c r="AG243" i="6" s="1"/>
  <c r="K238" i="5"/>
  <c r="M238" i="6" s="1"/>
  <c r="E237" i="5"/>
  <c r="G237" i="6" s="1"/>
  <c r="S229" i="5"/>
  <c r="U229" i="6" s="1"/>
  <c r="W222" i="5"/>
  <c r="Y222" i="6" s="1"/>
  <c r="G222" i="5"/>
  <c r="I222" i="6" s="1"/>
  <c r="U217" i="5"/>
  <c r="W217" i="6" s="1"/>
  <c r="O216" i="5"/>
  <c r="Q216" i="6" s="1"/>
  <c r="S215" i="5"/>
  <c r="U215" i="6" s="1"/>
  <c r="AG214" i="5"/>
  <c r="AI214" i="6" s="1"/>
  <c r="Q214" i="5"/>
  <c r="S214" i="6" s="1"/>
  <c r="U212" i="5"/>
  <c r="W212" i="6" s="1"/>
  <c r="O211" i="5"/>
  <c r="Q211" i="6" s="1"/>
  <c r="I210" i="5"/>
  <c r="K210" i="6" s="1"/>
  <c r="M209" i="5"/>
  <c r="O209" i="6" s="1"/>
  <c r="AA208" i="5"/>
  <c r="AC208" i="6" s="1"/>
  <c r="K208" i="5"/>
  <c r="M208" i="6" s="1"/>
  <c r="M204" i="5"/>
  <c r="O204" i="6" s="1"/>
  <c r="AC201" i="5"/>
  <c r="AE201" i="6" s="1"/>
  <c r="I199" i="5"/>
  <c r="K199" i="6" s="1"/>
  <c r="M197" i="5"/>
  <c r="O197" i="6" s="1"/>
  <c r="AG195" i="5"/>
  <c r="AI195" i="6" s="1"/>
  <c r="H193" i="5"/>
  <c r="J193" i="6" s="1"/>
  <c r="R190" i="5"/>
  <c r="T190" i="6" s="1"/>
  <c r="AB187" i="5"/>
  <c r="AD187" i="6" s="1"/>
  <c r="G185" i="5"/>
  <c r="I185" i="6" s="1"/>
  <c r="AA183" i="5"/>
  <c r="AC183" i="6" s="1"/>
  <c r="Q182" i="5"/>
  <c r="S182" i="6" s="1"/>
  <c r="G181" i="5"/>
  <c r="I181" i="6" s="1"/>
  <c r="V179" i="5"/>
  <c r="X179" i="6" s="1"/>
  <c r="AF176" i="5"/>
  <c r="AH176" i="6" s="1"/>
  <c r="G175" i="5"/>
  <c r="I175" i="6" s="1"/>
  <c r="AA173" i="5"/>
  <c r="AC173" i="6" s="1"/>
  <c r="Q154" i="5"/>
  <c r="S154" i="6" s="1"/>
  <c r="G153" i="5"/>
  <c r="I153" i="6" s="1"/>
  <c r="AA151" i="5"/>
  <c r="AC151" i="6" s="1"/>
  <c r="Q148" i="5"/>
  <c r="S148" i="6" s="1"/>
  <c r="G147" i="5"/>
  <c r="I147" i="6" s="1"/>
  <c r="AA145" i="5"/>
  <c r="AC145" i="6" s="1"/>
  <c r="Q144" i="5"/>
  <c r="S144" i="6" s="1"/>
  <c r="K142" i="5"/>
  <c r="M142" i="6" s="1"/>
  <c r="J141" i="5"/>
  <c r="L141" i="6" s="1"/>
  <c r="F140" i="5"/>
  <c r="H140" i="6" s="1"/>
  <c r="E139" i="5"/>
  <c r="G139" i="6" s="1"/>
  <c r="D138" i="5"/>
  <c r="F138" i="6" s="1"/>
  <c r="R137" i="5"/>
  <c r="T137" i="6" s="1"/>
  <c r="AF136" i="5"/>
  <c r="AH136" i="6" s="1"/>
  <c r="P136" i="5"/>
  <c r="R136" i="6" s="1"/>
  <c r="AD135" i="5"/>
  <c r="AF135" i="6" s="1"/>
  <c r="N135" i="5"/>
  <c r="P135" i="6" s="1"/>
  <c r="AB134" i="5"/>
  <c r="AD134" i="6" s="1"/>
  <c r="L134" i="5"/>
  <c r="N134" i="6" s="1"/>
  <c r="AB131" i="5"/>
  <c r="AD131" i="6" s="1"/>
  <c r="L131" i="5"/>
  <c r="N131" i="6" s="1"/>
  <c r="AB129" i="5"/>
  <c r="AD129" i="6" s="1"/>
  <c r="L129" i="5"/>
  <c r="N129" i="6" s="1"/>
  <c r="Z127" i="5"/>
  <c r="AB127" i="6" s="1"/>
  <c r="AD126" i="5"/>
  <c r="AF126" i="6" s="1"/>
  <c r="D126" i="5"/>
  <c r="F126" i="6" s="1"/>
  <c r="H125" i="5"/>
  <c r="J125" i="6" s="1"/>
  <c r="L124" i="5"/>
  <c r="N124" i="6" s="1"/>
  <c r="Z123" i="5"/>
  <c r="AB123" i="6" s="1"/>
  <c r="AD122" i="5"/>
  <c r="AF122" i="6" s="1"/>
  <c r="D122" i="5"/>
  <c r="F122" i="6" s="1"/>
  <c r="H121" i="5"/>
  <c r="J121" i="6" s="1"/>
  <c r="L120" i="5"/>
  <c r="N120" i="6" s="1"/>
  <c r="Z119" i="5"/>
  <c r="AB119" i="6" s="1"/>
  <c r="AD118" i="5"/>
  <c r="AF118" i="6" s="1"/>
  <c r="D118" i="5"/>
  <c r="F118" i="6" s="1"/>
  <c r="H117" i="5"/>
  <c r="J117" i="6" s="1"/>
  <c r="L116" i="5"/>
  <c r="N116" i="6" s="1"/>
  <c r="Z115" i="5"/>
  <c r="AB115" i="6" s="1"/>
  <c r="J113" i="5"/>
  <c r="L113" i="6" s="1"/>
  <c r="D112" i="5"/>
  <c r="F112" i="6" s="1"/>
  <c r="H110" i="5"/>
  <c r="J110" i="6" s="1"/>
  <c r="L108" i="5"/>
  <c r="N108" i="6" s="1"/>
  <c r="F107" i="5"/>
  <c r="H107" i="6" s="1"/>
  <c r="J105" i="5"/>
  <c r="L105" i="6" s="1"/>
  <c r="D104" i="5"/>
  <c r="F104" i="6" s="1"/>
  <c r="H102" i="5"/>
  <c r="J102" i="6" s="1"/>
  <c r="V99" i="5"/>
  <c r="X99" i="6" s="1"/>
  <c r="P98" i="5"/>
  <c r="R98" i="6" s="1"/>
  <c r="T96" i="5"/>
  <c r="V96" i="6" s="1"/>
  <c r="N95" i="5"/>
  <c r="P95" i="6" s="1"/>
  <c r="R93" i="5"/>
  <c r="T93" i="6" s="1"/>
  <c r="V91" i="5"/>
  <c r="X91" i="6" s="1"/>
  <c r="P90" i="5"/>
  <c r="R90" i="6" s="1"/>
  <c r="T88" i="5"/>
  <c r="V88" i="6" s="1"/>
  <c r="N87" i="5"/>
  <c r="P87" i="6" s="1"/>
  <c r="R85" i="5"/>
  <c r="T85" i="6" s="1"/>
  <c r="T82" i="5"/>
  <c r="V82" i="6" s="1"/>
  <c r="F81" i="5"/>
  <c r="H81" i="6" s="1"/>
  <c r="O79" i="5"/>
  <c r="Q79" i="6" s="1"/>
  <c r="D78" i="5"/>
  <c r="F78" i="6" s="1"/>
  <c r="H77" i="5"/>
  <c r="J77" i="6" s="1"/>
  <c r="L76" i="5"/>
  <c r="N76" i="6" s="1"/>
  <c r="P75" i="5"/>
  <c r="R75" i="6" s="1"/>
  <c r="R82" i="5"/>
  <c r="T82" i="6" s="1"/>
  <c r="M80" i="5"/>
  <c r="O80" i="6" s="1"/>
  <c r="I82" i="5"/>
  <c r="K82" i="6" s="1"/>
  <c r="N62" i="5"/>
  <c r="P62" i="6" s="1"/>
  <c r="AD49" i="5"/>
  <c r="AF49" i="6" s="1"/>
  <c r="N49" i="5"/>
  <c r="P49" i="6" s="1"/>
  <c r="AB48" i="5"/>
  <c r="AD48" i="6" s="1"/>
  <c r="L48" i="5"/>
  <c r="N48" i="6" s="1"/>
  <c r="Z47" i="5"/>
  <c r="AB47" i="6" s="1"/>
  <c r="J47" i="5"/>
  <c r="L47" i="6" s="1"/>
  <c r="X45" i="5"/>
  <c r="Z45" i="6" s="1"/>
  <c r="H45" i="5"/>
  <c r="J45" i="6" s="1"/>
  <c r="V44" i="5"/>
  <c r="X44" i="6" s="1"/>
  <c r="F44" i="5"/>
  <c r="H44" i="6" s="1"/>
  <c r="T43" i="5"/>
  <c r="V43" i="6" s="1"/>
  <c r="AG40" i="5"/>
  <c r="AI40" i="6" s="1"/>
  <c r="E40" i="5"/>
  <c r="G40" i="6" s="1"/>
  <c r="O39" i="5"/>
  <c r="Q39" i="6" s="1"/>
  <c r="W38" i="5"/>
  <c r="Y38" i="6" s="1"/>
  <c r="AA36" i="5"/>
  <c r="AC36" i="6" s="1"/>
  <c r="K36" i="5"/>
  <c r="M36" i="6" s="1"/>
  <c r="Y35" i="5"/>
  <c r="AA35" i="6" s="1"/>
  <c r="I35" i="5"/>
  <c r="K35" i="6" s="1"/>
  <c r="W34" i="5"/>
  <c r="Y34" i="6" s="1"/>
  <c r="G34" i="5"/>
  <c r="I34" i="6" s="1"/>
  <c r="J341" i="5"/>
  <c r="L341" i="6" s="1"/>
  <c r="AC296" i="5"/>
  <c r="AE296" i="6" s="1"/>
  <c r="O250" i="5"/>
  <c r="Q250" i="6" s="1"/>
  <c r="E244" i="5"/>
  <c r="G244" i="6" s="1"/>
  <c r="G236" i="5"/>
  <c r="I236" i="6" s="1"/>
  <c r="S226" i="5"/>
  <c r="U226" i="6" s="1"/>
  <c r="AF222" i="5"/>
  <c r="AH222" i="6" s="1"/>
  <c r="X220" i="5"/>
  <c r="Z220" i="6" s="1"/>
  <c r="Z218" i="5"/>
  <c r="AB218" i="6" s="1"/>
  <c r="AF216" i="5"/>
  <c r="AH216" i="6" s="1"/>
  <c r="Z215" i="5"/>
  <c r="AB215" i="6" s="1"/>
  <c r="AD212" i="5"/>
  <c r="AF212" i="6" s="1"/>
  <c r="X211" i="5"/>
  <c r="Z211" i="6" s="1"/>
  <c r="AB210" i="5"/>
  <c r="AD210" i="6" s="1"/>
  <c r="L245" i="5"/>
  <c r="N245" i="6" s="1"/>
  <c r="Z243" i="5"/>
  <c r="AB243" i="6" s="1"/>
  <c r="F238" i="5"/>
  <c r="H238" i="6" s="1"/>
  <c r="AD229" i="5"/>
  <c r="AF229" i="6" s="1"/>
  <c r="N229" i="5"/>
  <c r="P229" i="6" s="1"/>
  <c r="R222" i="5"/>
  <c r="T222" i="6" s="1"/>
  <c r="V218" i="5"/>
  <c r="X218" i="6" s="1"/>
  <c r="P217" i="5"/>
  <c r="R217" i="6" s="1"/>
  <c r="J216" i="5"/>
  <c r="L216" i="6" s="1"/>
  <c r="N215" i="5"/>
  <c r="P215" i="6" s="1"/>
  <c r="AB214" i="5"/>
  <c r="AD214" i="6" s="1"/>
  <c r="L214" i="5"/>
  <c r="N214" i="6" s="1"/>
  <c r="P212" i="5"/>
  <c r="R212" i="6" s="1"/>
  <c r="T210" i="5"/>
  <c r="V210" i="6" s="1"/>
  <c r="D210" i="5"/>
  <c r="F210" i="6" s="1"/>
  <c r="H209" i="5"/>
  <c r="J209" i="6" s="1"/>
  <c r="V208" i="5"/>
  <c r="X208" i="6" s="1"/>
  <c r="F208" i="5"/>
  <c r="H208" i="6" s="1"/>
  <c r="Z203" i="5"/>
  <c r="AB203" i="6" s="1"/>
  <c r="F201" i="5"/>
  <c r="H201" i="6" s="1"/>
  <c r="U198" i="5"/>
  <c r="W198" i="6" s="1"/>
  <c r="AE196" i="5"/>
  <c r="AG196" i="6" s="1"/>
  <c r="U195" i="5"/>
  <c r="W195" i="6" s="1"/>
  <c r="O192" i="5"/>
  <c r="Q192" i="6" s="1"/>
  <c r="Y189" i="5"/>
  <c r="AA189" i="6" s="1"/>
  <c r="E187" i="5"/>
  <c r="G187" i="6" s="1"/>
  <c r="X184" i="5"/>
  <c r="Z184" i="6" s="1"/>
  <c r="N183" i="5"/>
  <c r="P183" i="6" s="1"/>
  <c r="D182" i="5"/>
  <c r="F182" i="6" s="1"/>
  <c r="X180" i="5"/>
  <c r="Z180" i="6" s="1"/>
  <c r="AD178" i="5"/>
  <c r="AF178" i="6" s="1"/>
  <c r="J176" i="5"/>
  <c r="L176" i="6" s="1"/>
  <c r="X174" i="5"/>
  <c r="Z174" i="6" s="1"/>
  <c r="N173" i="5"/>
  <c r="P173" i="6" s="1"/>
  <c r="D154" i="5"/>
  <c r="F154" i="6" s="1"/>
  <c r="X152" i="5"/>
  <c r="Z152" i="6" s="1"/>
  <c r="N151" i="5"/>
  <c r="P151" i="6" s="1"/>
  <c r="D148" i="5"/>
  <c r="F148" i="6" s="1"/>
  <c r="X146" i="5"/>
  <c r="Z146" i="6" s="1"/>
  <c r="N145" i="5"/>
  <c r="P145" i="6" s="1"/>
  <c r="D144" i="5"/>
  <c r="F144" i="6" s="1"/>
  <c r="AE141" i="5"/>
  <c r="AG141" i="6" s="1"/>
  <c r="AD140" i="5"/>
  <c r="AF140" i="6" s="1"/>
  <c r="Z139" i="5"/>
  <c r="AB139" i="6" s="1"/>
  <c r="Y138" i="5"/>
  <c r="AA138" i="6" s="1"/>
  <c r="AC137" i="5"/>
  <c r="AE137" i="6" s="1"/>
  <c r="M137" i="5"/>
  <c r="O137" i="6" s="1"/>
  <c r="AA136" i="5"/>
  <c r="AC136" i="6" s="1"/>
  <c r="K136" i="5"/>
  <c r="M136" i="6" s="1"/>
  <c r="Y135" i="5"/>
  <c r="AA135" i="6" s="1"/>
  <c r="I135" i="5"/>
  <c r="K135" i="6" s="1"/>
  <c r="W134" i="5"/>
  <c r="Y134" i="6" s="1"/>
  <c r="G134" i="5"/>
  <c r="I134" i="6" s="1"/>
  <c r="S131" i="5"/>
  <c r="U131" i="6" s="1"/>
  <c r="AE129" i="5"/>
  <c r="AG129" i="6" s="1"/>
  <c r="O129" i="5"/>
  <c r="Q129" i="6" s="1"/>
  <c r="AC127" i="5"/>
  <c r="AE127" i="6" s="1"/>
  <c r="AG126" i="5"/>
  <c r="AI126" i="6" s="1"/>
  <c r="G126" i="5"/>
  <c r="I126" i="6" s="1"/>
  <c r="K125" i="5"/>
  <c r="M125" i="6" s="1"/>
  <c r="Y124" i="5"/>
  <c r="AA124" i="6" s="1"/>
  <c r="AC123" i="5"/>
  <c r="AE123" i="6" s="1"/>
  <c r="AG122" i="5"/>
  <c r="AI122" i="6" s="1"/>
  <c r="G122" i="5"/>
  <c r="I122" i="6" s="1"/>
  <c r="K121" i="5"/>
  <c r="M121" i="6" s="1"/>
  <c r="Y120" i="5"/>
  <c r="AA120" i="6" s="1"/>
  <c r="AC119" i="5"/>
  <c r="AE119" i="6" s="1"/>
  <c r="AG118" i="5"/>
  <c r="AI118" i="6" s="1"/>
  <c r="G118" i="5"/>
  <c r="I118" i="6" s="1"/>
  <c r="K117" i="5"/>
  <c r="M117" i="6" s="1"/>
  <c r="Y116" i="5"/>
  <c r="AA116" i="6" s="1"/>
  <c r="AC115" i="5"/>
  <c r="AE115" i="6" s="1"/>
  <c r="M113" i="5"/>
  <c r="O113" i="6" s="1"/>
  <c r="G112" i="5"/>
  <c r="I112" i="6" s="1"/>
  <c r="K110" i="5"/>
  <c r="M110" i="6" s="1"/>
  <c r="E109" i="5"/>
  <c r="G109" i="6" s="1"/>
  <c r="I107" i="5"/>
  <c r="K107" i="6" s="1"/>
  <c r="M105" i="5"/>
  <c r="O105" i="6" s="1"/>
  <c r="G104" i="5"/>
  <c r="I104" i="6" s="1"/>
  <c r="K102" i="5"/>
  <c r="M102" i="6" s="1"/>
  <c r="E101" i="5"/>
  <c r="G101" i="6" s="1"/>
  <c r="S98" i="5"/>
  <c r="U98" i="6" s="1"/>
  <c r="W96" i="5"/>
  <c r="Y96" i="6" s="1"/>
  <c r="Q95" i="5"/>
  <c r="S95" i="6" s="1"/>
  <c r="U93" i="5"/>
  <c r="W93" i="6" s="1"/>
  <c r="O92" i="5"/>
  <c r="Q92" i="6" s="1"/>
  <c r="S90" i="5"/>
  <c r="U90" i="6" s="1"/>
  <c r="W88" i="5"/>
  <c r="Y88" i="6" s="1"/>
  <c r="Q87" i="5"/>
  <c r="S87" i="6" s="1"/>
  <c r="U85" i="5"/>
  <c r="W85" i="6" s="1"/>
  <c r="O84" i="5"/>
  <c r="Q84" i="6" s="1"/>
  <c r="N81" i="5"/>
  <c r="P81" i="6" s="1"/>
  <c r="U79" i="5"/>
  <c r="W79" i="6" s="1"/>
  <c r="T26" i="11" s="1"/>
  <c r="T96" i="11" s="1"/>
  <c r="J78" i="5"/>
  <c r="L78" i="6" s="1"/>
  <c r="K77" i="5"/>
  <c r="M77" i="6" s="1"/>
  <c r="O76" i="5"/>
  <c r="Q76" i="6" s="1"/>
  <c r="S75" i="5"/>
  <c r="U75" i="6" s="1"/>
  <c r="W82" i="5"/>
  <c r="Y82" i="6" s="1"/>
  <c r="S80" i="5"/>
  <c r="U80" i="6" s="1"/>
  <c r="Q78" i="5"/>
  <c r="S78" i="6" s="1"/>
  <c r="H78" i="5"/>
  <c r="J78" i="6" s="1"/>
  <c r="M66" i="5"/>
  <c r="O66" i="6" s="1"/>
  <c r="AG49" i="5"/>
  <c r="AI49" i="6" s="1"/>
  <c r="Q49" i="5"/>
  <c r="S49" i="6" s="1"/>
  <c r="AE48" i="5"/>
  <c r="AG48" i="6" s="1"/>
  <c r="AD24" i="11" s="1"/>
  <c r="O48" i="5"/>
  <c r="Q48" i="6" s="1"/>
  <c r="N24" i="11" s="1"/>
  <c r="AC47" i="5"/>
  <c r="AE47" i="6" s="1"/>
  <c r="M47" i="5"/>
  <c r="O47" i="6" s="1"/>
  <c r="AA45" i="5"/>
  <c r="AC45" i="6" s="1"/>
  <c r="K45" i="5"/>
  <c r="M45" i="6" s="1"/>
  <c r="Y44" i="5"/>
  <c r="AA44" i="6" s="1"/>
  <c r="X23" i="11" s="1"/>
  <c r="I44" i="5"/>
  <c r="K44" i="6" s="1"/>
  <c r="H23" i="11" s="1"/>
  <c r="W43" i="5"/>
  <c r="Y43" i="6" s="1"/>
  <c r="G43" i="5"/>
  <c r="I43" i="6" s="1"/>
  <c r="Q40" i="5"/>
  <c r="S40" i="6" s="1"/>
  <c r="N39" i="5"/>
  <c r="P39" i="6" s="1"/>
  <c r="M21" i="11" s="1"/>
  <c r="Q38" i="5"/>
  <c r="S38" i="6" s="1"/>
  <c r="R36" i="5"/>
  <c r="T36" i="6" s="1"/>
  <c r="AF35" i="5"/>
  <c r="AH35" i="6" s="1"/>
  <c r="AE20" i="11" s="1"/>
  <c r="P35" i="5"/>
  <c r="R35" i="6" s="1"/>
  <c r="O20" i="11" s="1"/>
  <c r="O19" i="11" s="1"/>
  <c r="O93" i="11" s="1"/>
  <c r="AD34" i="5"/>
  <c r="AF34" i="6" s="1"/>
  <c r="N34" i="5"/>
  <c r="P34" i="6" s="1"/>
  <c r="L324" i="5"/>
  <c r="N324" i="6" s="1"/>
  <c r="X256" i="5"/>
  <c r="Z256" i="6" s="1"/>
  <c r="AC249" i="5"/>
  <c r="AE249" i="6" s="1"/>
  <c r="AD239" i="5"/>
  <c r="AF239" i="6" s="1"/>
  <c r="V230" i="5"/>
  <c r="X230" i="6" s="1"/>
  <c r="Y223" i="5"/>
  <c r="AA223" i="6" s="1"/>
  <c r="AC220" i="5"/>
  <c r="AE220" i="6" s="1"/>
  <c r="AC218" i="5"/>
  <c r="AE218" i="6" s="1"/>
  <c r="M217" i="5"/>
  <c r="O217" i="6" s="1"/>
  <c r="AA216" i="5"/>
  <c r="AC216" i="6" s="1"/>
  <c r="U213" i="5"/>
  <c r="W213" i="6" s="1"/>
  <c r="Y212" i="5"/>
  <c r="AA212" i="6" s="1"/>
  <c r="I211" i="5"/>
  <c r="K211" i="6" s="1"/>
  <c r="AG209" i="5"/>
  <c r="AI209" i="6" s="1"/>
  <c r="G245" i="5"/>
  <c r="I245" i="6" s="1"/>
  <c r="M243" i="5"/>
  <c r="O243" i="6" s="1"/>
  <c r="I238" i="5"/>
  <c r="K238" i="6" s="1"/>
  <c r="AG229" i="5"/>
  <c r="AI229" i="6" s="1"/>
  <c r="Q229" i="5"/>
  <c r="S229" i="6" s="1"/>
  <c r="U222" i="5"/>
  <c r="W222" i="6" s="1"/>
  <c r="E222" i="5"/>
  <c r="G222" i="6" s="1"/>
  <c r="S217" i="5"/>
  <c r="U217" i="6" s="1"/>
  <c r="M216" i="5"/>
  <c r="O216" i="6" s="1"/>
  <c r="Q215" i="5"/>
  <c r="S215" i="6" s="1"/>
  <c r="AE214" i="5"/>
  <c r="AG214" i="6" s="1"/>
  <c r="O214" i="5"/>
  <c r="Q214" i="6" s="1"/>
  <c r="S212" i="5"/>
  <c r="U212" i="6" s="1"/>
  <c r="W210" i="5"/>
  <c r="Y210" i="6" s="1"/>
  <c r="G210" i="5"/>
  <c r="I210" i="6" s="1"/>
  <c r="K209" i="5"/>
  <c r="M209" i="6" s="1"/>
  <c r="Y208" i="5"/>
  <c r="AA208" i="6" s="1"/>
  <c r="I208" i="5"/>
  <c r="K208" i="6" s="1"/>
  <c r="I204" i="5"/>
  <c r="K204" i="6" s="1"/>
  <c r="S201" i="5"/>
  <c r="U201" i="6" s="1"/>
  <c r="AG198" i="5"/>
  <c r="AI198" i="6" s="1"/>
  <c r="I197" i="5"/>
  <c r="K197" i="6" s="1"/>
  <c r="AC195" i="5"/>
  <c r="AE195" i="6" s="1"/>
  <c r="AB192" i="5"/>
  <c r="AD192" i="6" s="1"/>
  <c r="H190" i="5"/>
  <c r="J190" i="6" s="1"/>
  <c r="R187" i="5"/>
  <c r="T187" i="6" s="1"/>
  <c r="AF184" i="5"/>
  <c r="AH184" i="6" s="1"/>
  <c r="V183" i="5"/>
  <c r="X183" i="6" s="1"/>
  <c r="L182" i="5"/>
  <c r="N182" i="6" s="1"/>
  <c r="AF180" i="5"/>
  <c r="AH180" i="6" s="1"/>
  <c r="L179" i="5"/>
  <c r="N179" i="6" s="1"/>
  <c r="V176" i="5"/>
  <c r="X176" i="6" s="1"/>
  <c r="AF174" i="5"/>
  <c r="AH174" i="6" s="1"/>
  <c r="V173" i="5"/>
  <c r="X173" i="6" s="1"/>
  <c r="L154" i="5"/>
  <c r="N154" i="6" s="1"/>
  <c r="AF152" i="5"/>
  <c r="AH152" i="6" s="1"/>
  <c r="V151" i="5"/>
  <c r="X151" i="6" s="1"/>
  <c r="L148" i="5"/>
  <c r="N148" i="6" s="1"/>
  <c r="AF146" i="5"/>
  <c r="AH146" i="6" s="1"/>
  <c r="V145" i="5"/>
  <c r="X145" i="6" s="1"/>
  <c r="L144" i="5"/>
  <c r="N144" i="6" s="1"/>
  <c r="F142" i="5"/>
  <c r="H142" i="6" s="1"/>
  <c r="E141" i="5"/>
  <c r="G141" i="6" s="1"/>
  <c r="D140" i="5"/>
  <c r="F140" i="6" s="1"/>
  <c r="AE138" i="5"/>
  <c r="AG138" i="6" s="1"/>
  <c r="AF137" i="5"/>
  <c r="AH137" i="6" s="1"/>
  <c r="P137" i="5"/>
  <c r="R137" i="6" s="1"/>
  <c r="AD136" i="5"/>
  <c r="AF136" i="6" s="1"/>
  <c r="N136" i="5"/>
  <c r="P136" i="6" s="1"/>
  <c r="AB135" i="5"/>
  <c r="AD135" i="6" s="1"/>
  <c r="L135" i="5"/>
  <c r="N135" i="6" s="1"/>
  <c r="Z134" i="5"/>
  <c r="AB134" i="6" s="1"/>
  <c r="J134" i="5"/>
  <c r="L134" i="6" s="1"/>
  <c r="V131" i="5"/>
  <c r="X131" i="6" s="1"/>
  <c r="F131" i="5"/>
  <c r="H131" i="6" s="1"/>
  <c r="R129" i="5"/>
  <c r="T129" i="6" s="1"/>
  <c r="AF127" i="5"/>
  <c r="AH127" i="6" s="1"/>
  <c r="F127" i="5"/>
  <c r="H127" i="6" s="1"/>
  <c r="J126" i="5"/>
  <c r="L126" i="6" s="1"/>
  <c r="X125" i="5"/>
  <c r="Z125" i="6" s="1"/>
  <c r="AB124" i="5"/>
  <c r="AD124" i="6" s="1"/>
  <c r="AF123" i="5"/>
  <c r="AH123" i="6" s="1"/>
  <c r="F123" i="5"/>
  <c r="H123" i="6" s="1"/>
  <c r="J122" i="5"/>
  <c r="L122" i="6" s="1"/>
  <c r="X121" i="5"/>
  <c r="Z121" i="6" s="1"/>
  <c r="AB120" i="5"/>
  <c r="AD120" i="6" s="1"/>
  <c r="AF119" i="5"/>
  <c r="AH119" i="6" s="1"/>
  <c r="F119" i="5"/>
  <c r="H119" i="6" s="1"/>
  <c r="J118" i="5"/>
  <c r="L118" i="6" s="1"/>
  <c r="X117" i="5"/>
  <c r="Z117" i="6" s="1"/>
  <c r="AB116" i="5"/>
  <c r="AD116" i="6" s="1"/>
  <c r="AF115" i="5"/>
  <c r="AH115" i="6" s="1"/>
  <c r="F115" i="5"/>
  <c r="H115" i="6" s="1"/>
  <c r="J112" i="5"/>
  <c r="L112" i="6" s="1"/>
  <c r="D111" i="5"/>
  <c r="F111" i="6" s="1"/>
  <c r="H109" i="5"/>
  <c r="J109" i="6" s="1"/>
  <c r="L107" i="5"/>
  <c r="N107" i="6" s="1"/>
  <c r="F106" i="5"/>
  <c r="H106" i="6" s="1"/>
  <c r="J104" i="5"/>
  <c r="L104" i="6" s="1"/>
  <c r="D103" i="5"/>
  <c r="F103" i="6" s="1"/>
  <c r="H101" i="5"/>
  <c r="J101" i="6" s="1"/>
  <c r="V98" i="5"/>
  <c r="X98" i="6" s="1"/>
  <c r="P97" i="5"/>
  <c r="R97" i="6" s="1"/>
  <c r="T95" i="5"/>
  <c r="V95" i="6" s="1"/>
  <c r="N94" i="5"/>
  <c r="P94" i="6" s="1"/>
  <c r="R92" i="5"/>
  <c r="T92" i="6" s="1"/>
  <c r="V90" i="5"/>
  <c r="X90" i="6" s="1"/>
  <c r="P89" i="5"/>
  <c r="R89" i="6" s="1"/>
  <c r="T87" i="5"/>
  <c r="V87" i="6" s="1"/>
  <c r="N86" i="5"/>
  <c r="P86" i="6" s="1"/>
  <c r="R84" i="5"/>
  <c r="T84" i="6" s="1"/>
  <c r="T81" i="5"/>
  <c r="V81" i="6" s="1"/>
  <c r="F80" i="5"/>
  <c r="H80" i="6" s="1"/>
  <c r="O78" i="5"/>
  <c r="Q78" i="6" s="1"/>
  <c r="N77" i="5"/>
  <c r="P77" i="6" s="1"/>
  <c r="R76" i="5"/>
  <c r="T76" i="6" s="1"/>
  <c r="V75" i="5"/>
  <c r="X75" i="6" s="1"/>
  <c r="F75" i="5"/>
  <c r="H75" i="6" s="1"/>
  <c r="L81" i="5"/>
  <c r="N81" i="6" s="1"/>
  <c r="V78" i="5"/>
  <c r="X78" i="6" s="1"/>
  <c r="H79" i="5"/>
  <c r="J79" i="6" s="1"/>
  <c r="H66" i="5"/>
  <c r="J66" i="6" s="1"/>
  <c r="V53" i="5"/>
  <c r="X53" i="6" s="1"/>
  <c r="S62" i="5"/>
  <c r="U62" i="6" s="1"/>
  <c r="AB66" i="5"/>
  <c r="AD66" i="6" s="1"/>
  <c r="K55" i="5"/>
  <c r="M55" i="6" s="1"/>
  <c r="N52" i="5"/>
  <c r="P52" i="6" s="1"/>
  <c r="O51" i="5"/>
  <c r="Q51" i="6" s="1"/>
  <c r="AA51" i="5"/>
  <c r="AC51" i="6" s="1"/>
  <c r="R67" i="5"/>
  <c r="T67" i="6" s="1"/>
  <c r="O71" i="5"/>
  <c r="Q71" i="6" s="1"/>
  <c r="AC66" i="5"/>
  <c r="AE66" i="6" s="1"/>
  <c r="H55" i="5"/>
  <c r="J55" i="6" s="1"/>
  <c r="W52" i="5"/>
  <c r="Y52" i="6" s="1"/>
  <c r="Q67" i="5"/>
  <c r="S67" i="6" s="1"/>
  <c r="T53" i="5"/>
  <c r="V53" i="6" s="1"/>
  <c r="X51" i="5"/>
  <c r="Z51" i="6" s="1"/>
  <c r="O67" i="5"/>
  <c r="Q67" i="6" s="1"/>
  <c r="V66" i="5"/>
  <c r="X66" i="6" s="1"/>
  <c r="AD66" i="5"/>
  <c r="AF66" i="6" s="1"/>
  <c r="L51" i="5"/>
  <c r="N51" i="6" s="1"/>
  <c r="S52" i="5"/>
  <c r="U52" i="6" s="1"/>
  <c r="U67" i="5"/>
  <c r="W67" i="6" s="1"/>
  <c r="N53" i="5"/>
  <c r="P53" i="6" s="1"/>
  <c r="P53" i="5"/>
  <c r="R53" i="6" s="1"/>
  <c r="E55" i="5"/>
  <c r="G55" i="6" s="1"/>
  <c r="N54" i="5"/>
  <c r="P54" i="6" s="1"/>
  <c r="R54" i="5"/>
  <c r="T54" i="6" s="1"/>
  <c r="T52" i="5"/>
  <c r="V52" i="6" s="1"/>
  <c r="AG55" i="5"/>
  <c r="AI55" i="6" s="1"/>
  <c r="AC51" i="5"/>
  <c r="AE51" i="6" s="1"/>
  <c r="P67" i="5"/>
  <c r="R67" i="6" s="1"/>
  <c r="W66" i="5"/>
  <c r="Y66" i="6" s="1"/>
  <c r="AE66" i="5"/>
  <c r="AG66" i="6" s="1"/>
  <c r="V246" i="5"/>
  <c r="X246" i="6" s="1"/>
  <c r="Q246" i="5"/>
  <c r="S246" i="6" s="1"/>
  <c r="S246" i="5"/>
  <c r="U246" i="6" s="1"/>
  <c r="D333" i="5"/>
  <c r="F333" i="6" s="1"/>
  <c r="M311" i="5"/>
  <c r="O311" i="6" s="1"/>
  <c r="I328" i="5"/>
  <c r="K328" i="6" s="1"/>
  <c r="K221" i="5"/>
  <c r="M221" i="6" s="1"/>
  <c r="Y325" i="5"/>
  <c r="AA325" i="6" s="1"/>
  <c r="I221" i="5"/>
  <c r="K221" i="6" s="1"/>
  <c r="J325" i="5"/>
  <c r="L325" i="6" s="1"/>
  <c r="AG303" i="5"/>
  <c r="AI303" i="6" s="1"/>
  <c r="P221" i="5"/>
  <c r="R221" i="6" s="1"/>
  <c r="M328" i="5"/>
  <c r="O328" i="6" s="1"/>
  <c r="I249" i="5"/>
  <c r="K249" i="6" s="1"/>
  <c r="D249" i="5"/>
  <c r="F249" i="6" s="1"/>
  <c r="J249" i="5"/>
  <c r="L249" i="6" s="1"/>
  <c r="AD560" i="5"/>
  <c r="AF560" i="6" s="1"/>
  <c r="AC43" i="11" s="1"/>
  <c r="AC42" i="11" s="1"/>
  <c r="AC110" i="11" s="1"/>
  <c r="F12" i="5"/>
  <c r="H12" i="6" s="1"/>
  <c r="E14" i="11" s="1"/>
  <c r="R12" i="5"/>
  <c r="T12" i="6" s="1"/>
  <c r="Q14" i="11" s="1"/>
  <c r="AD12" i="5"/>
  <c r="AF12" i="6" s="1"/>
  <c r="AC14" i="11" s="1"/>
  <c r="L13" i="5"/>
  <c r="N13" i="6" s="1"/>
  <c r="K15" i="11" s="1"/>
  <c r="X13" i="5"/>
  <c r="Z13" i="6" s="1"/>
  <c r="W15" i="11" s="1"/>
  <c r="J16" i="5"/>
  <c r="L16" i="6" s="1"/>
  <c r="V16" i="5"/>
  <c r="X16" i="6" s="1"/>
  <c r="AD16" i="5"/>
  <c r="AF16" i="6" s="1"/>
  <c r="L17" i="5"/>
  <c r="N17" i="6" s="1"/>
  <c r="X17" i="5"/>
  <c r="Z17" i="6" s="1"/>
  <c r="R18" i="5"/>
  <c r="T18" i="6" s="1"/>
  <c r="Z18" i="5"/>
  <c r="AB18" i="6" s="1"/>
  <c r="N24" i="5"/>
  <c r="P24" i="6" s="1"/>
  <c r="Z24" i="5"/>
  <c r="AB24" i="6" s="1"/>
  <c r="H26" i="5"/>
  <c r="J26" i="6" s="1"/>
  <c r="T26" i="5"/>
  <c r="V26" i="6" s="1"/>
  <c r="AF26" i="5"/>
  <c r="AH26" i="6" s="1"/>
  <c r="N27" i="5"/>
  <c r="P27" i="6" s="1"/>
  <c r="Z27" i="5"/>
  <c r="AB27" i="6" s="1"/>
  <c r="N28" i="5"/>
  <c r="P28" i="6" s="1"/>
  <c r="Z28" i="5"/>
  <c r="AB28" i="6" s="1"/>
  <c r="H31" i="5"/>
  <c r="J31" i="6" s="1"/>
  <c r="T31" i="5"/>
  <c r="V31" i="6" s="1"/>
  <c r="AB31" i="5"/>
  <c r="AD31" i="6" s="1"/>
  <c r="V584" i="5"/>
  <c r="X584" i="6" s="1"/>
  <c r="V581" i="6"/>
  <c r="T580" i="6"/>
  <c r="AF578" i="6"/>
  <c r="P578" i="6"/>
  <c r="Z574" i="5"/>
  <c r="AB574" i="6" s="1"/>
  <c r="M595" i="5"/>
  <c r="O595" i="6" s="1"/>
  <c r="U581" i="6"/>
  <c r="AG579" i="6"/>
  <c r="AE578" i="6"/>
  <c r="S576" i="5"/>
  <c r="U576" i="6" s="1"/>
  <c r="O575" i="5"/>
  <c r="Q575" i="6" s="1"/>
  <c r="I574" i="5"/>
  <c r="K574" i="6" s="1"/>
  <c r="T574" i="5"/>
  <c r="V574" i="6" s="1"/>
  <c r="D334" i="5"/>
  <c r="F334" i="6" s="1"/>
  <c r="U310" i="5"/>
  <c r="W310" i="6" s="1"/>
  <c r="AF299" i="5"/>
  <c r="AH299" i="6" s="1"/>
  <c r="D280" i="5"/>
  <c r="F280" i="6" s="1"/>
  <c r="D258" i="5"/>
  <c r="F258" i="6" s="1"/>
  <c r="V250" i="5"/>
  <c r="X250" i="6" s="1"/>
  <c r="X247" i="5"/>
  <c r="Z247" i="6" s="1"/>
  <c r="W244" i="5"/>
  <c r="Y244" i="6" s="1"/>
  <c r="AC240" i="5"/>
  <c r="AE240" i="6" s="1"/>
  <c r="AE237" i="5"/>
  <c r="AG237" i="6" s="1"/>
  <c r="I236" i="5"/>
  <c r="K236" i="6" s="1"/>
  <c r="U232" i="5"/>
  <c r="W232" i="6" s="1"/>
  <c r="I229" i="5"/>
  <c r="K229" i="6" s="1"/>
  <c r="U226" i="5"/>
  <c r="W226" i="6" s="1"/>
  <c r="AA222" i="5"/>
  <c r="AC222" i="6" s="1"/>
  <c r="W220" i="5"/>
  <c r="Y220" i="6" s="1"/>
  <c r="S275" i="5"/>
  <c r="U275" i="6" s="1"/>
  <c r="Y316" i="5"/>
  <c r="AA316" i="6" s="1"/>
  <c r="K300" i="5"/>
  <c r="M300" i="6" s="1"/>
  <c r="I280" i="5"/>
  <c r="K280" i="6" s="1"/>
  <c r="Y251" i="5"/>
  <c r="AA251" i="6" s="1"/>
  <c r="AC245" i="5"/>
  <c r="AE245" i="6" s="1"/>
  <c r="J242" i="5"/>
  <c r="L242" i="6" s="1"/>
  <c r="AB240" i="5"/>
  <c r="AD240" i="6" s="1"/>
  <c r="AD237" i="5"/>
  <c r="AF237" i="6" s="1"/>
  <c r="L235" i="5"/>
  <c r="N235" i="6" s="1"/>
  <c r="N231" i="5"/>
  <c r="P231" i="6" s="1"/>
  <c r="T226" i="5"/>
  <c r="V226" i="6" s="1"/>
  <c r="L223" i="5"/>
  <c r="N223" i="6" s="1"/>
  <c r="D246" i="5"/>
  <c r="F246" i="6" s="1"/>
  <c r="Z249" i="5"/>
  <c r="AB249" i="6" s="1"/>
  <c r="R251" i="5"/>
  <c r="T251" i="6" s="1"/>
  <c r="P248" i="5"/>
  <c r="R248" i="6" s="1"/>
  <c r="T250" i="5"/>
  <c r="V250" i="6" s="1"/>
  <c r="N255" i="5"/>
  <c r="P255" i="6" s="1"/>
  <c r="F258" i="5"/>
  <c r="H258" i="6" s="1"/>
  <c r="V256" i="5"/>
  <c r="X256" i="6" s="1"/>
  <c r="V281" i="5"/>
  <c r="X281" i="6" s="1"/>
  <c r="T299" i="5"/>
  <c r="V299" i="6" s="1"/>
  <c r="Z304" i="5"/>
  <c r="AB304" i="6" s="1"/>
  <c r="Z315" i="5"/>
  <c r="AB315" i="6" s="1"/>
  <c r="AE320" i="5"/>
  <c r="AG320" i="6" s="1"/>
  <c r="K345" i="5"/>
  <c r="M345" i="6" s="1"/>
  <c r="F277" i="5"/>
  <c r="H277" i="6" s="1"/>
  <c r="W579" i="6"/>
  <c r="AA247" i="5"/>
  <c r="AC247" i="6" s="1"/>
  <c r="S251" i="5"/>
  <c r="U251" i="6" s="1"/>
  <c r="Q248" i="5"/>
  <c r="S248" i="6" s="1"/>
  <c r="U250" i="5"/>
  <c r="W250" i="6" s="1"/>
  <c r="U254" i="5"/>
  <c r="W254" i="6" s="1"/>
  <c r="Q266" i="5"/>
  <c r="S266" i="6" s="1"/>
  <c r="M263" i="5"/>
  <c r="O263" i="6" s="1"/>
  <c r="AG285" i="5"/>
  <c r="AI285" i="6" s="1"/>
  <c r="AC299" i="5"/>
  <c r="AE299" i="6" s="1"/>
  <c r="K304" i="5"/>
  <c r="M304" i="6" s="1"/>
  <c r="K315" i="5"/>
  <c r="M315" i="6" s="1"/>
  <c r="U273" i="5"/>
  <c r="W273" i="6" s="1"/>
  <c r="AB579" i="6"/>
  <c r="J284" i="5"/>
  <c r="L284" i="6" s="1"/>
  <c r="R296" i="5"/>
  <c r="T296" i="6" s="1"/>
  <c r="F299" i="5"/>
  <c r="H299" i="6" s="1"/>
  <c r="X300" i="5"/>
  <c r="Z300" i="6" s="1"/>
  <c r="P304" i="5"/>
  <c r="R304" i="6" s="1"/>
  <c r="F310" i="5"/>
  <c r="H310" i="6" s="1"/>
  <c r="Y311" i="5"/>
  <c r="AA311" i="6" s="1"/>
  <c r="AB315" i="5"/>
  <c r="AD315" i="6" s="1"/>
  <c r="D320" i="5"/>
  <c r="F320" i="6" s="1"/>
  <c r="D324" i="5"/>
  <c r="F324" i="6" s="1"/>
  <c r="AE336" i="5"/>
  <c r="AG336" i="6" s="1"/>
  <c r="G345" i="5"/>
  <c r="I345" i="6" s="1"/>
  <c r="W269" i="5"/>
  <c r="Y269" i="6" s="1"/>
  <c r="I277" i="5"/>
  <c r="K277" i="6" s="1"/>
  <c r="D314" i="5"/>
  <c r="F314" i="6" s="1"/>
  <c r="Y280" i="5"/>
  <c r="AA280" i="6" s="1"/>
  <c r="G284" i="5"/>
  <c r="I284" i="6" s="1"/>
  <c r="O296" i="5"/>
  <c r="Q296" i="6" s="1"/>
  <c r="AG297" i="5"/>
  <c r="AI297" i="6" s="1"/>
  <c r="U300" i="5"/>
  <c r="W300" i="6" s="1"/>
  <c r="W303" i="5"/>
  <c r="Y303" i="6" s="1"/>
  <c r="Y304" i="5"/>
  <c r="AA304" i="6" s="1"/>
  <c r="G309" i="5"/>
  <c r="I309" i="6" s="1"/>
  <c r="P312" i="5"/>
  <c r="R312" i="6" s="1"/>
  <c r="K316" i="5"/>
  <c r="M316" i="6" s="1"/>
  <c r="AC320" i="5"/>
  <c r="AE320" i="6" s="1"/>
  <c r="S324" i="5"/>
  <c r="U324" i="6" s="1"/>
  <c r="M337" i="5"/>
  <c r="O337" i="6" s="1"/>
  <c r="H269" i="5"/>
  <c r="J269" i="6" s="1"/>
  <c r="AA295" i="5"/>
  <c r="AC295" i="6" s="1"/>
  <c r="N580" i="6"/>
  <c r="S344" i="5"/>
  <c r="U344" i="6" s="1"/>
  <c r="L348" i="5"/>
  <c r="N348" i="6" s="1"/>
  <c r="O273" i="5"/>
  <c r="Q273" i="6" s="1"/>
  <c r="K277" i="5"/>
  <c r="M277" i="6" s="1"/>
  <c r="F279" i="5"/>
  <c r="H279" i="6" s="1"/>
  <c r="D298" i="5"/>
  <c r="F298" i="6" s="1"/>
  <c r="M578" i="6"/>
  <c r="S584" i="5"/>
  <c r="U584" i="6" s="1"/>
  <c r="J345" i="5"/>
  <c r="L345" i="6" s="1"/>
  <c r="J269" i="5"/>
  <c r="L269" i="6" s="1"/>
  <c r="V275" i="5"/>
  <c r="X275" i="6" s="1"/>
  <c r="AA277" i="5"/>
  <c r="AC277" i="6" s="1"/>
  <c r="Q295" i="5"/>
  <c r="S295" i="6" s="1"/>
  <c r="K548" i="5"/>
  <c r="M548" i="6" s="1"/>
  <c r="J43" i="11" s="1"/>
  <c r="J42" i="11" s="1"/>
  <c r="J110" i="11" s="1"/>
  <c r="X581" i="6"/>
  <c r="Z278" i="5"/>
  <c r="AB278" i="6" s="1"/>
  <c r="AB279" i="5"/>
  <c r="AD279" i="6" s="1"/>
  <c r="AD295" i="5"/>
  <c r="AF295" i="6" s="1"/>
  <c r="Y333" i="5"/>
  <c r="AA333" i="6" s="1"/>
  <c r="Y560" i="5"/>
  <c r="AA560" i="6" s="1"/>
  <c r="X43" i="11" s="1"/>
  <c r="X42" i="11" s="1"/>
  <c r="X110" i="11" s="1"/>
  <c r="D578" i="5"/>
  <c r="F578" i="6" s="1"/>
  <c r="L581" i="6"/>
  <c r="O278" i="5"/>
  <c r="Q278" i="6" s="1"/>
  <c r="AG279" i="5"/>
  <c r="AI279" i="6" s="1"/>
  <c r="L298" i="5"/>
  <c r="N298" i="6" s="1"/>
  <c r="L318" i="5"/>
  <c r="N318" i="6" s="1"/>
  <c r="E341" i="5"/>
  <c r="G341" i="6" s="1"/>
  <c r="AC560" i="5"/>
  <c r="AE560" i="6" s="1"/>
  <c r="AB43" i="11" s="1"/>
  <c r="AB42" i="11" s="1"/>
  <c r="AB110" i="11" s="1"/>
  <c r="AG578" i="6"/>
  <c r="G584" i="5"/>
  <c r="I584" i="6" s="1"/>
  <c r="J227" i="5"/>
  <c r="L227" i="6" s="1"/>
  <c r="AB236" i="5"/>
  <c r="AD236" i="6" s="1"/>
  <c r="D242" i="5"/>
  <c r="F242" i="6" s="1"/>
  <c r="AC251" i="5"/>
  <c r="AE251" i="6" s="1"/>
  <c r="AF256" i="5"/>
  <c r="AH256" i="6" s="1"/>
  <c r="F315" i="5"/>
  <c r="H315" i="6" s="1"/>
  <c r="U578" i="6"/>
  <c r="S230" i="5"/>
  <c r="U230" i="6" s="1"/>
  <c r="W235" i="5"/>
  <c r="Y235" i="6" s="1"/>
  <c r="I241" i="5"/>
  <c r="K241" i="6" s="1"/>
  <c r="AG244" i="5"/>
  <c r="AI244" i="6" s="1"/>
  <c r="O254" i="5"/>
  <c r="Q254" i="6" s="1"/>
  <c r="G263" i="5"/>
  <c r="I263" i="6" s="1"/>
  <c r="O315" i="5"/>
  <c r="Q315" i="6" s="1"/>
  <c r="X278" i="5"/>
  <c r="Z278" i="6" s="1"/>
  <c r="AD309" i="5"/>
  <c r="AF309" i="6" s="1"/>
  <c r="V248" i="5"/>
  <c r="X248" i="6" s="1"/>
  <c r="AE241" i="5"/>
  <c r="AG241" i="6" s="1"/>
  <c r="O225" i="5"/>
  <c r="Q225" i="6" s="1"/>
  <c r="Z312" i="5"/>
  <c r="AB312" i="6" s="1"/>
  <c r="S248" i="5"/>
  <c r="U248" i="6" s="1"/>
  <c r="P238" i="5"/>
  <c r="R238" i="6" s="1"/>
  <c r="R228" i="5"/>
  <c r="T228" i="6" s="1"/>
  <c r="U251" i="5"/>
  <c r="W251" i="6" s="1"/>
  <c r="R232" i="5"/>
  <c r="T232" i="6" s="1"/>
  <c r="S219" i="5"/>
  <c r="U219" i="6" s="1"/>
  <c r="W213" i="5"/>
  <c r="Y213" i="6" s="1"/>
  <c r="K211" i="5"/>
  <c r="M211" i="6" s="1"/>
  <c r="K243" i="5"/>
  <c r="M243" i="6" s="1"/>
  <c r="AA229" i="5"/>
  <c r="AC229" i="6" s="1"/>
  <c r="S218" i="5"/>
  <c r="U218" i="6" s="1"/>
  <c r="G216" i="5"/>
  <c r="I216" i="6" s="1"/>
  <c r="I214" i="5"/>
  <c r="K214" i="6" s="1"/>
  <c r="U209" i="5"/>
  <c r="W209" i="6" s="1"/>
  <c r="AG204" i="5"/>
  <c r="AI204" i="6" s="1"/>
  <c r="AG197" i="5"/>
  <c r="AI197" i="6" s="1"/>
  <c r="AB191" i="5"/>
  <c r="AD191" i="6" s="1"/>
  <c r="AA185" i="5"/>
  <c r="AC185" i="6" s="1"/>
  <c r="AA181" i="5"/>
  <c r="AC181" i="6" s="1"/>
  <c r="AA175" i="5"/>
  <c r="AC175" i="6" s="1"/>
  <c r="Q152" i="5"/>
  <c r="S152" i="6" s="1"/>
  <c r="AA147" i="5"/>
  <c r="AC147" i="6" s="1"/>
  <c r="Z142" i="5"/>
  <c r="AB142" i="6" s="1"/>
  <c r="X140" i="5"/>
  <c r="Z140" i="6" s="1"/>
  <c r="J137" i="5"/>
  <c r="L137" i="6" s="1"/>
  <c r="V135" i="5"/>
  <c r="X135" i="6" s="1"/>
  <c r="D134" i="5"/>
  <c r="F134" i="6" s="1"/>
  <c r="T129" i="5"/>
  <c r="V129" i="6" s="1"/>
  <c r="L126" i="5"/>
  <c r="N126" i="6" s="1"/>
  <c r="AD124" i="5"/>
  <c r="AF124" i="6" s="1"/>
  <c r="L122" i="5"/>
  <c r="N122" i="6" s="1"/>
  <c r="D120" i="5"/>
  <c r="F120" i="6" s="1"/>
  <c r="Z117" i="5"/>
  <c r="AB117" i="6" s="1"/>
  <c r="H115" i="5"/>
  <c r="J115" i="6" s="1"/>
  <c r="J109" i="5"/>
  <c r="L109" i="6" s="1"/>
  <c r="L104" i="5"/>
  <c r="N104" i="6" s="1"/>
  <c r="J101" i="5"/>
  <c r="L101" i="6" s="1"/>
  <c r="V95" i="5"/>
  <c r="X95" i="6" s="1"/>
  <c r="T92" i="5"/>
  <c r="V92" i="6" s="1"/>
  <c r="V87" i="5"/>
  <c r="X87" i="6" s="1"/>
  <c r="D82" i="5"/>
  <c r="F82" i="6" s="1"/>
  <c r="P77" i="5"/>
  <c r="R77" i="6" s="1"/>
  <c r="D76" i="5"/>
  <c r="F76" i="6" s="1"/>
  <c r="L79" i="5"/>
  <c r="N79" i="6" s="1"/>
  <c r="H71" i="5"/>
  <c r="J71" i="6" s="1"/>
  <c r="V49" i="5"/>
  <c r="X49" i="6" s="1"/>
  <c r="T48" i="5"/>
  <c r="V48" i="6" s="1"/>
  <c r="AF45" i="5"/>
  <c r="AH45" i="6" s="1"/>
  <c r="N44" i="5"/>
  <c r="P44" i="6" s="1"/>
  <c r="W40" i="5"/>
  <c r="Y40" i="6" s="1"/>
  <c r="Y39" i="5"/>
  <c r="AA39" i="6" s="1"/>
  <c r="S36" i="5"/>
  <c r="U36" i="6" s="1"/>
  <c r="Q35" i="5"/>
  <c r="S35" i="6" s="1"/>
  <c r="J34" i="5"/>
  <c r="L34" i="6" s="1"/>
  <c r="I20" i="11" s="1"/>
  <c r="AF249" i="5"/>
  <c r="AH249" i="6" s="1"/>
  <c r="W230" i="5"/>
  <c r="Y230" i="6" s="1"/>
  <c r="R219" i="5"/>
  <c r="T219" i="6" s="1"/>
  <c r="R213" i="5"/>
  <c r="T213" i="6" s="1"/>
  <c r="F211" i="5"/>
  <c r="H211" i="6" s="1"/>
  <c r="F243" i="5"/>
  <c r="H243" i="6" s="1"/>
  <c r="P224" i="5"/>
  <c r="R224" i="6" s="1"/>
  <c r="R216" i="5"/>
  <c r="T216" i="6" s="1"/>
  <c r="F215" i="5"/>
  <c r="H215" i="6" s="1"/>
  <c r="R211" i="5"/>
  <c r="T211" i="6" s="1"/>
  <c r="AD208" i="5"/>
  <c r="AF208" i="6" s="1"/>
  <c r="Z199" i="5"/>
  <c r="AB199" i="6" s="1"/>
  <c r="E191" i="5"/>
  <c r="G191" i="6" s="1"/>
  <c r="D184" i="5"/>
  <c r="F184" i="6" s="1"/>
  <c r="N181" i="5"/>
  <c r="P181" i="6" s="1"/>
  <c r="N175" i="5"/>
  <c r="P175" i="6" s="1"/>
  <c r="N153" i="5"/>
  <c r="P153" i="6" s="1"/>
  <c r="X148" i="5"/>
  <c r="Z148" i="6" s="1"/>
  <c r="X144" i="5"/>
  <c r="Z144" i="6" s="1"/>
  <c r="N140" i="5"/>
  <c r="P140" i="6" s="1"/>
  <c r="J138" i="5"/>
  <c r="L138" i="6" s="1"/>
  <c r="S136" i="5"/>
  <c r="U136" i="6" s="1"/>
  <c r="AE134" i="5"/>
  <c r="AG134" i="6" s="1"/>
  <c r="AA131" i="5"/>
  <c r="AC131" i="6" s="1"/>
  <c r="G129" i="5"/>
  <c r="I129" i="6" s="1"/>
  <c r="AC125" i="5"/>
  <c r="AE125" i="6" s="1"/>
  <c r="K123" i="5"/>
  <c r="M123" i="6" s="1"/>
  <c r="AG120" i="5"/>
  <c r="AI120" i="6" s="1"/>
  <c r="Y118" i="5"/>
  <c r="AA118" i="6" s="1"/>
  <c r="G116" i="5"/>
  <c r="I116" i="6" s="1"/>
  <c r="E113" i="5"/>
  <c r="G113" i="6" s="1"/>
  <c r="G108" i="5"/>
  <c r="I108" i="6" s="1"/>
  <c r="I103" i="5"/>
  <c r="K103" i="6" s="1"/>
  <c r="U97" i="5"/>
  <c r="W97" i="6" s="1"/>
  <c r="W92" i="5"/>
  <c r="Y92" i="6" s="1"/>
  <c r="O88" i="5"/>
  <c r="Q88" i="6" s="1"/>
  <c r="S86" i="5"/>
  <c r="U86" i="6" s="1"/>
  <c r="P80" i="5"/>
  <c r="R80" i="6" s="1"/>
  <c r="S77" i="5"/>
  <c r="U77" i="6" s="1"/>
  <c r="K75" i="5"/>
  <c r="M75" i="6" s="1"/>
  <c r="R79" i="5"/>
  <c r="T79" i="6" s="1"/>
  <c r="E66" i="5"/>
  <c r="G66" i="6" s="1"/>
  <c r="I49" i="5"/>
  <c r="K49" i="6" s="1"/>
  <c r="U47" i="5"/>
  <c r="W47" i="6" s="1"/>
  <c r="AG44" i="5"/>
  <c r="AI44" i="6" s="1"/>
  <c r="AF23" i="11" s="1"/>
  <c r="O43" i="5"/>
  <c r="Q43" i="6" s="1"/>
  <c r="AA40" i="5"/>
  <c r="AC40" i="6" s="1"/>
  <c r="AA38" i="5"/>
  <c r="AC38" i="6" s="1"/>
  <c r="X35" i="5"/>
  <c r="Z35" i="6" s="1"/>
  <c r="W20" i="11" s="1"/>
  <c r="V34" i="5"/>
  <c r="X34" i="6" s="1"/>
  <c r="Z300" i="5"/>
  <c r="AB300" i="6" s="1"/>
  <c r="J250" i="5"/>
  <c r="L250" i="6" s="1"/>
  <c r="AC222" i="5"/>
  <c r="AE222" i="6" s="1"/>
  <c r="AF49" i="5"/>
  <c r="AH49" i="6" s="1"/>
  <c r="N48" i="5"/>
  <c r="P48" i="6" s="1"/>
  <c r="Z45" i="5"/>
  <c r="AB45" i="6" s="1"/>
  <c r="H44" i="5"/>
  <c r="J44" i="6" s="1"/>
  <c r="E43" i="5"/>
  <c r="G43" i="6" s="1"/>
  <c r="Y38" i="5"/>
  <c r="AA38" i="6" s="1"/>
  <c r="Q36" i="5"/>
  <c r="S36" i="6" s="1"/>
  <c r="AC34" i="5"/>
  <c r="AE34" i="6" s="1"/>
  <c r="H12" i="5"/>
  <c r="J12" i="6" s="1"/>
  <c r="G14" i="11" s="1"/>
  <c r="P12" i="5"/>
  <c r="R12" i="6" s="1"/>
  <c r="O14" i="11" s="1"/>
  <c r="X12" i="5"/>
  <c r="Z12" i="6" s="1"/>
  <c r="W14" i="11" s="1"/>
  <c r="AF12" i="5"/>
  <c r="AH12" i="6" s="1"/>
  <c r="AE14" i="11" s="1"/>
  <c r="J13" i="5"/>
  <c r="L13" i="6" s="1"/>
  <c r="I15" i="11" s="1"/>
  <c r="R13" i="5"/>
  <c r="T13" i="6" s="1"/>
  <c r="Q15" i="11" s="1"/>
  <c r="Z13" i="5"/>
  <c r="AB13" i="6" s="1"/>
  <c r="Y15" i="11" s="1"/>
  <c r="L16" i="5"/>
  <c r="N16" i="6" s="1"/>
  <c r="T16" i="5"/>
  <c r="V16" i="6" s="1"/>
  <c r="X16" i="5"/>
  <c r="Z16" i="6" s="1"/>
  <c r="AF16" i="5"/>
  <c r="AH16" i="6" s="1"/>
  <c r="J17" i="5"/>
  <c r="L17" i="6" s="1"/>
  <c r="R17" i="5"/>
  <c r="T17" i="6" s="1"/>
  <c r="Z17" i="5"/>
  <c r="AB17" i="6" s="1"/>
  <c r="L18" i="5"/>
  <c r="N18" i="6" s="1"/>
  <c r="X18" i="5"/>
  <c r="Z18" i="6" s="1"/>
  <c r="AF18" i="5"/>
  <c r="AH18" i="6" s="1"/>
  <c r="H24" i="5"/>
  <c r="J24" i="6" s="1"/>
  <c r="P24" i="5"/>
  <c r="R24" i="6" s="1"/>
  <c r="X24" i="5"/>
  <c r="Z24" i="6" s="1"/>
  <c r="AF24" i="5"/>
  <c r="AH24" i="6" s="1"/>
  <c r="J26" i="5"/>
  <c r="L26" i="6" s="1"/>
  <c r="R26" i="5"/>
  <c r="T26" i="6" s="1"/>
  <c r="Z26" i="5"/>
  <c r="AB26" i="6" s="1"/>
  <c r="L27" i="5"/>
  <c r="N27" i="6" s="1"/>
  <c r="T27" i="5"/>
  <c r="V27" i="6" s="1"/>
  <c r="AB27" i="5"/>
  <c r="AD27" i="6" s="1"/>
  <c r="G28" i="5"/>
  <c r="I28" i="6" s="1"/>
  <c r="P28" i="5"/>
  <c r="R28" i="6" s="1"/>
  <c r="X28" i="5"/>
  <c r="Z28" i="6" s="1"/>
  <c r="AB28" i="5"/>
  <c r="AD28" i="6" s="1"/>
  <c r="J31" i="5"/>
  <c r="L31" i="6" s="1"/>
  <c r="R31" i="5"/>
  <c r="T31" i="6" s="1"/>
  <c r="Z31" i="5"/>
  <c r="AB31" i="6" s="1"/>
  <c r="AD31" i="5"/>
  <c r="AF31" i="6" s="1"/>
  <c r="N584" i="5"/>
  <c r="P584" i="6" s="1"/>
  <c r="N581" i="6"/>
  <c r="L580" i="6"/>
  <c r="J579" i="6"/>
  <c r="H578" i="6"/>
  <c r="D575" i="5"/>
  <c r="F575" i="6" s="1"/>
  <c r="R574" i="5"/>
  <c r="T574" i="6" s="1"/>
  <c r="M584" i="5"/>
  <c r="O584" i="6" s="1"/>
  <c r="M581" i="6"/>
  <c r="K580" i="6"/>
  <c r="Y579" i="6"/>
  <c r="W578" i="6"/>
  <c r="AB575" i="5"/>
  <c r="AD575" i="6" s="1"/>
  <c r="AB275" i="5"/>
  <c r="AD275" i="6" s="1"/>
  <c r="AE324" i="5"/>
  <c r="AG324" i="6" s="1"/>
  <c r="Y312" i="5"/>
  <c r="AA312" i="6" s="1"/>
  <c r="D303" i="5"/>
  <c r="F303" i="6" s="1"/>
  <c r="AD297" i="5"/>
  <c r="AF297" i="6" s="1"/>
  <c r="V280" i="5"/>
  <c r="X280" i="6" s="1"/>
  <c r="T265" i="5"/>
  <c r="V265" i="6" s="1"/>
  <c r="D255" i="5"/>
  <c r="F255" i="6" s="1"/>
  <c r="F250" i="5"/>
  <c r="H250" i="6" s="1"/>
  <c r="T251" i="5"/>
  <c r="V251" i="6" s="1"/>
  <c r="AB246" i="5"/>
  <c r="AD246" i="6" s="1"/>
  <c r="AE244" i="5"/>
  <c r="AG244" i="6" s="1"/>
  <c r="S242" i="5"/>
  <c r="U242" i="6" s="1"/>
  <c r="G241" i="5"/>
  <c r="I241" i="6" s="1"/>
  <c r="S238" i="5"/>
  <c r="U238" i="6" s="1"/>
  <c r="AA236" i="5"/>
  <c r="AC236" i="6" s="1"/>
  <c r="E235" i="5"/>
  <c r="G235" i="6" s="1"/>
  <c r="W231" i="5"/>
  <c r="Y231" i="6" s="1"/>
  <c r="U228" i="5"/>
  <c r="W228" i="6" s="1"/>
  <c r="I227" i="5"/>
  <c r="K227" i="6" s="1"/>
  <c r="Q225" i="5"/>
  <c r="S225" i="6" s="1"/>
  <c r="E223" i="5"/>
  <c r="G223" i="6" s="1"/>
  <c r="AE220" i="5"/>
  <c r="AG220" i="6" s="1"/>
  <c r="Y580" i="6"/>
  <c r="T345" i="5"/>
  <c r="V345" i="6" s="1"/>
  <c r="W320" i="5"/>
  <c r="Y320" i="6" s="1"/>
  <c r="AF309" i="5"/>
  <c r="AH309" i="6" s="1"/>
  <c r="I299" i="5"/>
  <c r="K299" i="6" s="1"/>
  <c r="AE280" i="5"/>
  <c r="AG280" i="6" s="1"/>
  <c r="W266" i="5"/>
  <c r="Y266" i="6" s="1"/>
  <c r="S254" i="5"/>
  <c r="U254" i="6" s="1"/>
  <c r="W248" i="5"/>
  <c r="Y248" i="6" s="1"/>
  <c r="I251" i="5"/>
  <c r="K251" i="6" s="1"/>
  <c r="Y246" i="5"/>
  <c r="AA246" i="6" s="1"/>
  <c r="AD244" i="5"/>
  <c r="AF244" i="6" s="1"/>
  <c r="R242" i="5"/>
  <c r="T242" i="6" s="1"/>
  <c r="F241" i="5"/>
  <c r="H241" i="6" s="1"/>
  <c r="X239" i="5"/>
  <c r="Z239" i="6" s="1"/>
  <c r="V237" i="5"/>
  <c r="X237" i="6" s="1"/>
  <c r="Z236" i="5"/>
  <c r="AB236" i="6" s="1"/>
  <c r="D235" i="5"/>
  <c r="F235" i="6" s="1"/>
  <c r="V231" i="5"/>
  <c r="X231" i="6" s="1"/>
  <c r="T228" i="5"/>
  <c r="V228" i="6" s="1"/>
  <c r="H227" i="5"/>
  <c r="J227" i="6" s="1"/>
  <c r="P225" i="5"/>
  <c r="R225" i="6" s="1"/>
  <c r="D223" i="5"/>
  <c r="F223" i="6" s="1"/>
  <c r="L246" i="5"/>
  <c r="N246" i="6" s="1"/>
  <c r="J251" i="5"/>
  <c r="L251" i="6" s="1"/>
  <c r="V252" i="5"/>
  <c r="X252" i="6" s="1"/>
  <c r="P249" i="5"/>
  <c r="R249" i="6" s="1"/>
  <c r="L250" i="5"/>
  <c r="N250" i="6" s="1"/>
  <c r="H254" i="5"/>
  <c r="J254" i="6" s="1"/>
  <c r="P257" i="5"/>
  <c r="R257" i="6" s="1"/>
  <c r="T266" i="5"/>
  <c r="V266" i="6" s="1"/>
  <c r="AD256" i="5"/>
  <c r="AF256" i="6" s="1"/>
  <c r="F280" i="5"/>
  <c r="H280" i="6" s="1"/>
  <c r="H284" i="5"/>
  <c r="J284" i="6" s="1"/>
  <c r="AF296" i="5"/>
  <c r="AH296" i="6" s="1"/>
  <c r="F300" i="5"/>
  <c r="H300" i="6" s="1"/>
  <c r="J304" i="5"/>
  <c r="L304" i="6" s="1"/>
  <c r="H311" i="5"/>
  <c r="J311" i="6" s="1"/>
  <c r="L316" i="5"/>
  <c r="N316" i="6" s="1"/>
  <c r="U323" i="5"/>
  <c r="W323" i="6" s="1"/>
  <c r="I344" i="5"/>
  <c r="K344" i="6" s="1"/>
  <c r="D275" i="5"/>
  <c r="F275" i="6" s="1"/>
  <c r="Q298" i="5"/>
  <c r="S298" i="6" s="1"/>
  <c r="M246" i="5"/>
  <c r="O246" i="6" s="1"/>
  <c r="AA251" i="5"/>
  <c r="AC251" i="6" s="1"/>
  <c r="I248" i="5"/>
  <c r="K248" i="6" s="1"/>
  <c r="M250" i="5"/>
  <c r="O250" i="6" s="1"/>
  <c r="M254" i="5"/>
  <c r="O254" i="6" s="1"/>
  <c r="E257" i="5"/>
  <c r="G257" i="6" s="1"/>
  <c r="S265" i="5"/>
  <c r="U265" i="6" s="1"/>
  <c r="S256" i="5"/>
  <c r="U256" i="6" s="1"/>
  <c r="K280" i="5"/>
  <c r="M280" i="6" s="1"/>
  <c r="G285" i="5"/>
  <c r="I285" i="6" s="1"/>
  <c r="K297" i="5"/>
  <c r="M297" i="6" s="1"/>
  <c r="O300" i="5"/>
  <c r="Q300" i="6" s="1"/>
  <c r="AA304" i="5"/>
  <c r="AC304" i="6" s="1"/>
  <c r="S312" i="5"/>
  <c r="U312" i="6" s="1"/>
  <c r="AA315" i="5"/>
  <c r="AC315" i="6" s="1"/>
  <c r="AG320" i="5"/>
  <c r="AI320" i="6" s="1"/>
  <c r="AC336" i="5"/>
  <c r="AE336" i="6" s="1"/>
  <c r="L269" i="5"/>
  <c r="N269" i="6" s="1"/>
  <c r="AB338" i="5"/>
  <c r="AD338" i="6" s="1"/>
  <c r="P281" i="5"/>
  <c r="R281" i="6" s="1"/>
  <c r="H285" i="5"/>
  <c r="J285" i="6" s="1"/>
  <c r="J296" i="5"/>
  <c r="L296" i="6" s="1"/>
  <c r="L297" i="5"/>
  <c r="N297" i="6" s="1"/>
  <c r="N299" i="5"/>
  <c r="P299" i="6" s="1"/>
  <c r="P300" i="5"/>
  <c r="R300" i="6" s="1"/>
  <c r="AF300" i="5"/>
  <c r="AH300" i="6" s="1"/>
  <c r="H304" i="5"/>
  <c r="J304" i="6" s="1"/>
  <c r="K306" i="5"/>
  <c r="M306" i="6" s="1"/>
  <c r="E311" i="5"/>
  <c r="G311" i="6" s="1"/>
  <c r="D315" i="5"/>
  <c r="F315" i="6" s="1"/>
  <c r="F316" i="5"/>
  <c r="H316" i="6" s="1"/>
  <c r="P319" i="5"/>
  <c r="R319" i="6" s="1"/>
  <c r="P323" i="5"/>
  <c r="R323" i="6" s="1"/>
  <c r="O330" i="5"/>
  <c r="Q330" i="6" s="1"/>
  <c r="L337" i="5"/>
  <c r="N337" i="6" s="1"/>
  <c r="G269" i="5"/>
  <c r="I269" i="6" s="1"/>
  <c r="O303" i="5"/>
  <c r="Q303" i="6" s="1"/>
  <c r="I12" i="5"/>
  <c r="K12" i="6" s="1"/>
  <c r="H14" i="11" s="1"/>
  <c r="M12" i="5"/>
  <c r="O12" i="6" s="1"/>
  <c r="L14" i="11" s="1"/>
  <c r="Q12" i="5"/>
  <c r="S12" i="6" s="1"/>
  <c r="P14" i="11" s="1"/>
  <c r="U12" i="5"/>
  <c r="W12" i="6" s="1"/>
  <c r="T14" i="11" s="1"/>
  <c r="Y12" i="5"/>
  <c r="AA12" i="6" s="1"/>
  <c r="X14" i="11" s="1"/>
  <c r="AC12" i="5"/>
  <c r="AE12" i="6" s="1"/>
  <c r="AB14" i="11" s="1"/>
  <c r="AG12" i="5"/>
  <c r="AI12" i="6" s="1"/>
  <c r="AF14" i="11" s="1"/>
  <c r="G13" i="5"/>
  <c r="I13" i="6" s="1"/>
  <c r="F15" i="11" s="1"/>
  <c r="K13" i="5"/>
  <c r="M13" i="6" s="1"/>
  <c r="J15" i="11" s="1"/>
  <c r="O13" i="5"/>
  <c r="Q13" i="6" s="1"/>
  <c r="N15" i="11" s="1"/>
  <c r="S13" i="5"/>
  <c r="U13" i="6" s="1"/>
  <c r="R15" i="11" s="1"/>
  <c r="W13" i="5"/>
  <c r="Y13" i="6" s="1"/>
  <c r="V15" i="11" s="1"/>
  <c r="AA13" i="5"/>
  <c r="AC13" i="6" s="1"/>
  <c r="Z15" i="11" s="1"/>
  <c r="AE13" i="5"/>
  <c r="AG13" i="6" s="1"/>
  <c r="AD15" i="11" s="1"/>
  <c r="E16" i="5"/>
  <c r="G16" i="6" s="1"/>
  <c r="I16" i="5"/>
  <c r="K16" i="6" s="1"/>
  <c r="M16" i="5"/>
  <c r="O16" i="6" s="1"/>
  <c r="Q16" i="5"/>
  <c r="S16" i="6" s="1"/>
  <c r="U16" i="5"/>
  <c r="W16" i="6" s="1"/>
  <c r="Y16" i="5"/>
  <c r="AA16" i="6" s="1"/>
  <c r="AC16" i="5"/>
  <c r="AE16" i="6" s="1"/>
  <c r="AG16" i="5"/>
  <c r="AI16" i="6" s="1"/>
  <c r="G17" i="5"/>
  <c r="I17" i="6" s="1"/>
  <c r="K17" i="5"/>
  <c r="M17" i="6" s="1"/>
  <c r="O17" i="5"/>
  <c r="Q17" i="6" s="1"/>
  <c r="S17" i="5"/>
  <c r="U17" i="6" s="1"/>
  <c r="W17" i="5"/>
  <c r="Y17" i="6" s="1"/>
  <c r="AA17" i="5"/>
  <c r="AC17" i="6" s="1"/>
  <c r="AE17" i="5"/>
  <c r="AG17" i="6" s="1"/>
  <c r="E18" i="5"/>
  <c r="G18" i="6" s="1"/>
  <c r="I18" i="5"/>
  <c r="K18" i="6" s="1"/>
  <c r="M18" i="5"/>
  <c r="O18" i="6" s="1"/>
  <c r="Q18" i="5"/>
  <c r="S18" i="6" s="1"/>
  <c r="U18" i="5"/>
  <c r="W18" i="6" s="1"/>
  <c r="Y18" i="5"/>
  <c r="AA18" i="6" s="1"/>
  <c r="AC18" i="5"/>
  <c r="AE18" i="6" s="1"/>
  <c r="AG18" i="5"/>
  <c r="AI18" i="6" s="1"/>
  <c r="E24" i="5"/>
  <c r="G24" i="6" s="1"/>
  <c r="I24" i="5"/>
  <c r="K24" i="6" s="1"/>
  <c r="M24" i="5"/>
  <c r="O24" i="6" s="1"/>
  <c r="Q24" i="5"/>
  <c r="S24" i="6" s="1"/>
  <c r="U24" i="5"/>
  <c r="W24" i="6" s="1"/>
  <c r="Y24" i="5"/>
  <c r="AA24" i="6" s="1"/>
  <c r="AC24" i="5"/>
  <c r="AE24" i="6" s="1"/>
  <c r="AG24" i="5"/>
  <c r="AI24" i="6" s="1"/>
  <c r="G26" i="5"/>
  <c r="I26" i="6" s="1"/>
  <c r="K26" i="5"/>
  <c r="M26" i="6" s="1"/>
  <c r="O26" i="5"/>
  <c r="Q26" i="6" s="1"/>
  <c r="S26" i="5"/>
  <c r="U26" i="6" s="1"/>
  <c r="W26" i="5"/>
  <c r="Y26" i="6" s="1"/>
  <c r="AA26" i="5"/>
  <c r="AC26" i="6" s="1"/>
  <c r="AE26" i="5"/>
  <c r="AG26" i="6" s="1"/>
  <c r="E27" i="5"/>
  <c r="G27" i="6" s="1"/>
  <c r="I27" i="5"/>
  <c r="K27" i="6" s="1"/>
  <c r="M27" i="5"/>
  <c r="O27" i="6" s="1"/>
  <c r="Q27" i="5"/>
  <c r="S27" i="6" s="1"/>
  <c r="U27" i="5"/>
  <c r="W27" i="6" s="1"/>
  <c r="Y27" i="5"/>
  <c r="AA27" i="6" s="1"/>
  <c r="AC27" i="5"/>
  <c r="AE27" i="6" s="1"/>
  <c r="AG27" i="5"/>
  <c r="AI27" i="6" s="1"/>
  <c r="H28" i="5"/>
  <c r="J28" i="6" s="1"/>
  <c r="M28" i="5"/>
  <c r="O28" i="6" s="1"/>
  <c r="Q28" i="5"/>
  <c r="S28" i="6" s="1"/>
  <c r="U28" i="5"/>
  <c r="W28" i="6" s="1"/>
  <c r="Y28" i="5"/>
  <c r="AA28" i="6" s="1"/>
  <c r="AC28" i="5"/>
  <c r="AE28" i="6" s="1"/>
  <c r="AG28" i="5"/>
  <c r="AI28" i="6" s="1"/>
  <c r="G31" i="5"/>
  <c r="I31" i="6" s="1"/>
  <c r="K31" i="5"/>
  <c r="M31" i="6" s="1"/>
  <c r="O31" i="5"/>
  <c r="Q31" i="6" s="1"/>
  <c r="S31" i="5"/>
  <c r="U31" i="6" s="1"/>
  <c r="W31" i="5"/>
  <c r="Y31" i="6" s="1"/>
  <c r="AA31" i="5"/>
  <c r="AC31" i="6" s="1"/>
  <c r="AE31" i="5"/>
  <c r="AG31" i="6" s="1"/>
  <c r="AC595" i="5"/>
  <c r="AE595" i="6" s="1"/>
  <c r="Z584" i="5"/>
  <c r="AB584" i="6" s="1"/>
  <c r="J584" i="5"/>
  <c r="L584" i="6" s="1"/>
  <c r="Z581" i="6"/>
  <c r="J581" i="6"/>
  <c r="X580" i="6"/>
  <c r="H580" i="6"/>
  <c r="V579" i="6"/>
  <c r="F579" i="6"/>
  <c r="T578" i="6"/>
  <c r="AE576" i="5"/>
  <c r="AG576" i="6" s="1"/>
  <c r="X575" i="5"/>
  <c r="Z575" i="6" s="1"/>
  <c r="AD574" i="5"/>
  <c r="AF574" i="6" s="1"/>
  <c r="N574" i="5"/>
  <c r="P574" i="6" s="1"/>
  <c r="AB560" i="5"/>
  <c r="AD560" i="6" s="1"/>
  <c r="AA43" i="11" s="1"/>
  <c r="AA42" i="11" s="1"/>
  <c r="AA110" i="11" s="1"/>
  <c r="Y584" i="5"/>
  <c r="AA584" i="6" s="1"/>
  <c r="I584" i="5"/>
  <c r="K584" i="6" s="1"/>
  <c r="Y581" i="6"/>
  <c r="I581" i="6"/>
  <c r="W580" i="6"/>
  <c r="G580" i="6"/>
  <c r="U579" i="6"/>
  <c r="AI578" i="6"/>
  <c r="S578" i="6"/>
  <c r="AC576" i="5"/>
  <c r="AE576" i="6" s="1"/>
  <c r="V575" i="5"/>
  <c r="X575" i="6" s="1"/>
  <c r="AC574" i="5"/>
  <c r="AE574" i="6" s="1"/>
  <c r="M574" i="5"/>
  <c r="O574" i="6" s="1"/>
  <c r="AD580" i="6"/>
  <c r="S269" i="5"/>
  <c r="U269" i="6" s="1"/>
  <c r="D337" i="5"/>
  <c r="F337" i="6" s="1"/>
  <c r="AE323" i="5"/>
  <c r="AG323" i="6" s="1"/>
  <c r="P316" i="5"/>
  <c r="R316" i="6" s="1"/>
  <c r="AB311" i="5"/>
  <c r="AD311" i="6" s="1"/>
  <c r="V304" i="5"/>
  <c r="X304" i="6" s="1"/>
  <c r="R300" i="5"/>
  <c r="T300" i="6" s="1"/>
  <c r="N297" i="5"/>
  <c r="P297" i="6" s="1"/>
  <c r="J285" i="5"/>
  <c r="L285" i="6" s="1"/>
  <c r="L280" i="5"/>
  <c r="N280" i="6" s="1"/>
  <c r="T256" i="5"/>
  <c r="V256" i="6" s="1"/>
  <c r="L258" i="5"/>
  <c r="N258" i="6" s="1"/>
  <c r="F257" i="5"/>
  <c r="H257" i="6" s="1"/>
  <c r="V254" i="5"/>
  <c r="X254" i="6" s="1"/>
  <c r="T245" i="5"/>
  <c r="V245" i="6" s="1"/>
  <c r="R249" i="5"/>
  <c r="T249" i="6" s="1"/>
  <c r="X252" i="5"/>
  <c r="Z252" i="6" s="1"/>
  <c r="L251" i="5"/>
  <c r="N251" i="6" s="1"/>
  <c r="AF247" i="5"/>
  <c r="AH247" i="6" s="1"/>
  <c r="J246" i="5"/>
  <c r="L246" i="6" s="1"/>
  <c r="AA244" i="5"/>
  <c r="AC244" i="6" s="1"/>
  <c r="K244" i="5"/>
  <c r="M244" i="6" s="1"/>
  <c r="O242" i="5"/>
  <c r="Q242" i="6" s="1"/>
  <c r="AC241" i="5"/>
  <c r="AE241" i="6" s="1"/>
  <c r="AG240" i="5"/>
  <c r="AI240" i="6" s="1"/>
  <c r="Q240" i="5"/>
  <c r="S240" i="6" s="1"/>
  <c r="U239" i="5"/>
  <c r="W239" i="6" s="1"/>
  <c r="O238" i="5"/>
  <c r="Q238" i="6" s="1"/>
  <c r="S237" i="5"/>
  <c r="U237" i="6" s="1"/>
  <c r="M236" i="5"/>
  <c r="O236" i="6" s="1"/>
  <c r="Q235" i="5"/>
  <c r="S235" i="6" s="1"/>
  <c r="U234" i="5"/>
  <c r="W234" i="6" s="1"/>
  <c r="O233" i="5"/>
  <c r="Q233" i="6" s="1"/>
  <c r="S231" i="5"/>
  <c r="U231" i="6" s="1"/>
  <c r="M229" i="5"/>
  <c r="O229" i="6" s="1"/>
  <c r="Q228" i="5"/>
  <c r="S228" i="6" s="1"/>
  <c r="U227" i="5"/>
  <c r="W227" i="6" s="1"/>
  <c r="E227" i="5"/>
  <c r="G227" i="6" s="1"/>
  <c r="I226" i="5"/>
  <c r="K226" i="6" s="1"/>
  <c r="AG224" i="5"/>
  <c r="AI224" i="6" s="1"/>
  <c r="AA223" i="5"/>
  <c r="AC223" i="6" s="1"/>
  <c r="AE222" i="5"/>
  <c r="AG222" i="6" s="1"/>
  <c r="Y221" i="5"/>
  <c r="AA221" i="6" s="1"/>
  <c r="AA220" i="5"/>
  <c r="AC220" i="6" s="1"/>
  <c r="U219" i="5"/>
  <c r="W219" i="6" s="1"/>
  <c r="O574" i="5"/>
  <c r="Q574" i="6" s="1"/>
  <c r="V277" i="5"/>
  <c r="X277" i="6" s="1"/>
  <c r="R344" i="5"/>
  <c r="T344" i="6" s="1"/>
  <c r="G326" i="5"/>
  <c r="I326" i="6" s="1"/>
  <c r="W319" i="5"/>
  <c r="Y319" i="6" s="1"/>
  <c r="G315" i="5"/>
  <c r="I315" i="6" s="1"/>
  <c r="G308" i="5"/>
  <c r="I308" i="6" s="1"/>
  <c r="AA300" i="5"/>
  <c r="AC300" i="6" s="1"/>
  <c r="W297" i="5"/>
  <c r="Y297" i="6" s="1"/>
  <c r="AC285" i="5"/>
  <c r="AE285" i="6" s="1"/>
  <c r="Q280" i="5"/>
  <c r="S280" i="6" s="1"/>
  <c r="Y256" i="5"/>
  <c r="AA256" i="6" s="1"/>
  <c r="O266" i="5"/>
  <c r="Q266" i="6" s="1"/>
  <c r="K257" i="5"/>
  <c r="M257" i="6" s="1"/>
  <c r="K254" i="5"/>
  <c r="M254" i="6" s="1"/>
  <c r="K250" i="5"/>
  <c r="M250" i="6" s="1"/>
  <c r="O248" i="5"/>
  <c r="Q248" i="6" s="1"/>
  <c r="AG251" i="5"/>
  <c r="AI251" i="6" s="1"/>
  <c r="AE250" i="5"/>
  <c r="AG250" i="6" s="1"/>
  <c r="AC247" i="5"/>
  <c r="AE247" i="6" s="1"/>
  <c r="G246" i="5"/>
  <c r="I246" i="6" s="1"/>
  <c r="Z244" i="5"/>
  <c r="AB244" i="6" s="1"/>
  <c r="J244" i="5"/>
  <c r="L244" i="6" s="1"/>
  <c r="N242" i="5"/>
  <c r="P242" i="6" s="1"/>
  <c r="AB241" i="5"/>
  <c r="AD241" i="6" s="1"/>
  <c r="AF240" i="5"/>
  <c r="AH240" i="6" s="1"/>
  <c r="P240" i="5"/>
  <c r="R240" i="6" s="1"/>
  <c r="T239" i="5"/>
  <c r="V239" i="6" s="1"/>
  <c r="N238" i="5"/>
  <c r="P238" i="6" s="1"/>
  <c r="R237" i="5"/>
  <c r="T237" i="6" s="1"/>
  <c r="L236" i="5"/>
  <c r="N236" i="6" s="1"/>
  <c r="P235" i="5"/>
  <c r="R235" i="6" s="1"/>
  <c r="T234" i="5"/>
  <c r="V234" i="6" s="1"/>
  <c r="N233" i="5"/>
  <c r="P233" i="6" s="1"/>
  <c r="R231" i="5"/>
  <c r="T231" i="6" s="1"/>
  <c r="L229" i="5"/>
  <c r="N229" i="6" s="1"/>
  <c r="P228" i="5"/>
  <c r="R228" i="6" s="1"/>
  <c r="T227" i="5"/>
  <c r="V227" i="6" s="1"/>
  <c r="D227" i="5"/>
  <c r="F227" i="6" s="1"/>
  <c r="H226" i="5"/>
  <c r="J226" i="6" s="1"/>
  <c r="AF224" i="5"/>
  <c r="AH224" i="6" s="1"/>
  <c r="Z223" i="5"/>
  <c r="AB223" i="6" s="1"/>
  <c r="AD222" i="5"/>
  <c r="AF222" i="6" s="1"/>
  <c r="X221" i="5"/>
  <c r="Z221" i="6" s="1"/>
  <c r="AD220" i="5"/>
  <c r="AF220" i="6" s="1"/>
  <c r="N220" i="5"/>
  <c r="P220" i="6" s="1"/>
  <c r="AD245" i="5"/>
  <c r="AF245" i="6" s="1"/>
  <c r="Z246" i="5"/>
  <c r="AB246" i="6" s="1"/>
  <c r="V247" i="5"/>
  <c r="X247" i="6" s="1"/>
  <c r="AB250" i="5"/>
  <c r="AD250" i="6" s="1"/>
  <c r="N251" i="5"/>
  <c r="P251" i="6" s="1"/>
  <c r="AD251" i="5"/>
  <c r="AF251" i="6" s="1"/>
  <c r="Z252" i="5"/>
  <c r="AB252" i="6" s="1"/>
  <c r="L248" i="5"/>
  <c r="N248" i="6" s="1"/>
  <c r="T249" i="5"/>
  <c r="V249" i="6" s="1"/>
  <c r="P250" i="5"/>
  <c r="R250" i="6" s="1"/>
  <c r="V245" i="5"/>
  <c r="X245" i="6" s="1"/>
  <c r="L254" i="5"/>
  <c r="N254" i="6" s="1"/>
  <c r="J255" i="5"/>
  <c r="L255" i="6" s="1"/>
  <c r="D257" i="5"/>
  <c r="F257" i="6" s="1"/>
  <c r="T257" i="5"/>
  <c r="V257" i="6" s="1"/>
  <c r="R265" i="5"/>
  <c r="T265" i="6" s="1"/>
  <c r="N267" i="5"/>
  <c r="P267" i="6" s="1"/>
  <c r="R256" i="5"/>
  <c r="T256" i="6" s="1"/>
  <c r="D263" i="5"/>
  <c r="F263" i="6" s="1"/>
  <c r="J280" i="5"/>
  <c r="L280" i="6" s="1"/>
  <c r="N281" i="5"/>
  <c r="P281" i="6" s="1"/>
  <c r="F285" i="5"/>
  <c r="H285" i="6" s="1"/>
  <c r="H296" i="5"/>
  <c r="J296" i="6" s="1"/>
  <c r="J297" i="5"/>
  <c r="L297" i="6" s="1"/>
  <c r="L299" i="5"/>
  <c r="N299" i="6" s="1"/>
  <c r="N300" i="5"/>
  <c r="P300" i="6" s="1"/>
  <c r="P303" i="5"/>
  <c r="R303" i="6" s="1"/>
  <c r="R304" i="5"/>
  <c r="T304" i="6" s="1"/>
  <c r="X308" i="5"/>
  <c r="Z308" i="6" s="1"/>
  <c r="E312" i="5"/>
  <c r="G312" i="6" s="1"/>
  <c r="R315" i="5"/>
  <c r="T315" i="6" s="1"/>
  <c r="T316" i="5"/>
  <c r="V316" i="6" s="1"/>
  <c r="L320" i="5"/>
  <c r="N320" i="6" s="1"/>
  <c r="G324" i="5"/>
  <c r="I324" i="6" s="1"/>
  <c r="Z336" i="5"/>
  <c r="AB336" i="6" s="1"/>
  <c r="Y344" i="5"/>
  <c r="AA344" i="6" s="1"/>
  <c r="K269" i="5"/>
  <c r="M269" i="6" s="1"/>
  <c r="T275" i="5"/>
  <c r="V275" i="6" s="1"/>
  <c r="AA279" i="5"/>
  <c r="AC279" i="6" s="1"/>
  <c r="Y575" i="5"/>
  <c r="AA575" i="6" s="1"/>
  <c r="AE245" i="5"/>
  <c r="AG245" i="6" s="1"/>
  <c r="AA246" i="5"/>
  <c r="AC246" i="6" s="1"/>
  <c r="W247" i="5"/>
  <c r="Y247" i="6" s="1"/>
  <c r="AC250" i="5"/>
  <c r="AE250" i="6" s="1"/>
  <c r="O251" i="5"/>
  <c r="Q251" i="6" s="1"/>
  <c r="AE251" i="5"/>
  <c r="AG251" i="6" s="1"/>
  <c r="AA252" i="5"/>
  <c r="AC252" i="6" s="1"/>
  <c r="M248" i="5"/>
  <c r="O248" i="6" s="1"/>
  <c r="U249" i="5"/>
  <c r="W249" i="6" s="1"/>
  <c r="Q250" i="5"/>
  <c r="S250" i="6" s="1"/>
  <c r="W245" i="5"/>
  <c r="Y245" i="6" s="1"/>
  <c r="Q254" i="5"/>
  <c r="S254" i="6" s="1"/>
  <c r="O255" i="5"/>
  <c r="Q255" i="6" s="1"/>
  <c r="I257" i="5"/>
  <c r="K257" i="6" s="1"/>
  <c r="G258" i="5"/>
  <c r="I258" i="6" s="1"/>
  <c r="W265" i="5"/>
  <c r="Y265" i="6" s="1"/>
  <c r="S267" i="5"/>
  <c r="U267" i="6" s="1"/>
  <c r="W256" i="5"/>
  <c r="Y256" i="6" s="1"/>
  <c r="I263" i="5"/>
  <c r="K263" i="6" s="1"/>
  <c r="O280" i="5"/>
  <c r="Q280" i="6" s="1"/>
  <c r="W281" i="5"/>
  <c r="Y281" i="6" s="1"/>
  <c r="Y285" i="5"/>
  <c r="AA285" i="6" s="1"/>
  <c r="Q296" i="5"/>
  <c r="S296" i="6" s="1"/>
  <c r="S297" i="5"/>
  <c r="U297" i="6" s="1"/>
  <c r="U299" i="5"/>
  <c r="W299" i="6" s="1"/>
  <c r="W300" i="5"/>
  <c r="Y300" i="6" s="1"/>
  <c r="Y303" i="5"/>
  <c r="AA303" i="6" s="1"/>
  <c r="AC305" i="5"/>
  <c r="AE305" i="6" s="1"/>
  <c r="M310" i="5"/>
  <c r="O310" i="6" s="1"/>
  <c r="AG312" i="5"/>
  <c r="AI312" i="6" s="1"/>
  <c r="E316" i="5"/>
  <c r="G316" i="6" s="1"/>
  <c r="M319" i="5"/>
  <c r="O319" i="6" s="1"/>
  <c r="L322" i="5"/>
  <c r="N322" i="6" s="1"/>
  <c r="AB330" i="5"/>
  <c r="AD330" i="6" s="1"/>
  <c r="K337" i="5"/>
  <c r="M337" i="6" s="1"/>
  <c r="L345" i="5"/>
  <c r="N345" i="6" s="1"/>
  <c r="AB269" i="5"/>
  <c r="AD269" i="6" s="1"/>
  <c r="M277" i="5"/>
  <c r="O277" i="6" s="1"/>
  <c r="D295" i="5"/>
  <c r="F295" i="6" s="1"/>
  <c r="F576" i="5"/>
  <c r="H576" i="6" s="1"/>
  <c r="X280" i="5"/>
  <c r="Z280" i="6" s="1"/>
  <c r="T281" i="5"/>
  <c r="V281" i="6" s="1"/>
  <c r="F284" i="5"/>
  <c r="H284" i="6" s="1"/>
  <c r="L285" i="5"/>
  <c r="N285" i="6" s="1"/>
  <c r="AB286" i="5"/>
  <c r="AD286" i="6" s="1"/>
  <c r="N296" i="5"/>
  <c r="P296" i="6" s="1"/>
  <c r="AD296" i="5"/>
  <c r="AF296" i="6" s="1"/>
  <c r="P297" i="5"/>
  <c r="R297" i="6" s="1"/>
  <c r="AF297" i="5"/>
  <c r="AH297" i="6" s="1"/>
  <c r="R299" i="5"/>
  <c r="T299" i="6" s="1"/>
  <c r="D300" i="5"/>
  <c r="F300" i="6" s="1"/>
  <c r="T300" i="5"/>
  <c r="V300" i="6" s="1"/>
  <c r="F303" i="5"/>
  <c r="H303" i="6" s="1"/>
  <c r="V303" i="5"/>
  <c r="X303" i="6" s="1"/>
  <c r="L304" i="5"/>
  <c r="N304" i="6" s="1"/>
  <c r="AB304" i="5"/>
  <c r="AD304" i="6" s="1"/>
  <c r="U306" i="5"/>
  <c r="W306" i="6" s="1"/>
  <c r="X309" i="5"/>
  <c r="Z309" i="6" s="1"/>
  <c r="R311" i="5"/>
  <c r="T311" i="6" s="1"/>
  <c r="O312" i="5"/>
  <c r="Q312" i="6" s="1"/>
  <c r="H315" i="5"/>
  <c r="J315" i="6" s="1"/>
  <c r="X315" i="5"/>
  <c r="Z315" i="6" s="1"/>
  <c r="J316" i="5"/>
  <c r="L316" i="6" s="1"/>
  <c r="Z316" i="5"/>
  <c r="AB316" i="6" s="1"/>
  <c r="Z319" i="5"/>
  <c r="AB319" i="6" s="1"/>
  <c r="Z320" i="5"/>
  <c r="AB320" i="6" s="1"/>
  <c r="Z323" i="5"/>
  <c r="AB323" i="6" s="1"/>
  <c r="Z324" i="5"/>
  <c r="AB324" i="6" s="1"/>
  <c r="E331" i="5"/>
  <c r="G331" i="6" s="1"/>
  <c r="U336" i="5"/>
  <c r="W336" i="6" s="1"/>
  <c r="U337" i="5"/>
  <c r="W337" i="6" s="1"/>
  <c r="AC344" i="5"/>
  <c r="AE344" i="6" s="1"/>
  <c r="AE345" i="5"/>
  <c r="AG345" i="6" s="1"/>
  <c r="O269" i="5"/>
  <c r="Q269" i="6" s="1"/>
  <c r="V273" i="5"/>
  <c r="X273" i="6" s="1"/>
  <c r="AE275" i="5"/>
  <c r="AG275" i="6" s="1"/>
  <c r="P278" i="5"/>
  <c r="R278" i="6" s="1"/>
  <c r="X295" i="5"/>
  <c r="Z295" i="6" s="1"/>
  <c r="M548" i="5"/>
  <c r="O548" i="6" s="1"/>
  <c r="L43" i="11" s="1"/>
  <c r="L42" i="11" s="1"/>
  <c r="L110" i="11" s="1"/>
  <c r="G579" i="6"/>
  <c r="U280" i="5"/>
  <c r="W280" i="6" s="1"/>
  <c r="Q281" i="5"/>
  <c r="S281" i="6" s="1"/>
  <c r="AG281" i="5"/>
  <c r="AI281" i="6" s="1"/>
  <c r="I285" i="5"/>
  <c r="K285" i="6" s="1"/>
  <c r="Y286" i="5"/>
  <c r="AA286" i="6" s="1"/>
  <c r="K296" i="5"/>
  <c r="M296" i="6" s="1"/>
  <c r="AA296" i="5"/>
  <c r="AC296" i="6" s="1"/>
  <c r="M297" i="5"/>
  <c r="O297" i="6" s="1"/>
  <c r="AC297" i="5"/>
  <c r="AE297" i="6" s="1"/>
  <c r="O299" i="5"/>
  <c r="Q299" i="6" s="1"/>
  <c r="AE299" i="5"/>
  <c r="AG299" i="6" s="1"/>
  <c r="Q300" i="5"/>
  <c r="S300" i="6" s="1"/>
  <c r="AG300" i="5"/>
  <c r="AI300" i="6" s="1"/>
  <c r="S303" i="5"/>
  <c r="U303" i="6" s="1"/>
  <c r="E304" i="5"/>
  <c r="G304" i="6" s="1"/>
  <c r="U304" i="5"/>
  <c r="W304" i="6" s="1"/>
  <c r="AG305" i="5"/>
  <c r="AI305" i="6" s="1"/>
  <c r="AB308" i="5"/>
  <c r="AD308" i="6" s="1"/>
  <c r="S310" i="5"/>
  <c r="U310" i="6" s="1"/>
  <c r="I312" i="5"/>
  <c r="K312" i="6" s="1"/>
  <c r="E315" i="5"/>
  <c r="G315" i="6" s="1"/>
  <c r="U315" i="5"/>
  <c r="W315" i="6" s="1"/>
  <c r="G316" i="5"/>
  <c r="I316" i="6" s="1"/>
  <c r="W316" i="5"/>
  <c r="Y316" i="6" s="1"/>
  <c r="S319" i="5"/>
  <c r="U319" i="6" s="1"/>
  <c r="S320" i="5"/>
  <c r="U320" i="6" s="1"/>
  <c r="I323" i="5"/>
  <c r="K323" i="6" s="1"/>
  <c r="K324" i="5"/>
  <c r="M324" i="6" s="1"/>
  <c r="R330" i="5"/>
  <c r="T330" i="6" s="1"/>
  <c r="L334" i="5"/>
  <c r="N334" i="6" s="1"/>
  <c r="I337" i="5"/>
  <c r="K337" i="6" s="1"/>
  <c r="N344" i="5"/>
  <c r="P344" i="6" s="1"/>
  <c r="P345" i="5"/>
  <c r="R345" i="6" s="1"/>
  <c r="D354" i="5"/>
  <c r="F354" i="6" s="1"/>
  <c r="AF269" i="5"/>
  <c r="AH269" i="6" s="1"/>
  <c r="X275" i="5"/>
  <c r="Z275" i="6" s="1"/>
  <c r="AE277" i="5"/>
  <c r="AG277" i="6" s="1"/>
  <c r="O291" i="5"/>
  <c r="Q291" i="6" s="1"/>
  <c r="O333" i="5"/>
  <c r="Q333" i="6" s="1"/>
  <c r="AE560" i="5"/>
  <c r="AG560" i="6" s="1"/>
  <c r="AD43" i="11" s="1"/>
  <c r="AD42" i="11" s="1"/>
  <c r="AD110" i="11" s="1"/>
  <c r="L579" i="6"/>
  <c r="AG337" i="5"/>
  <c r="AI337" i="6" s="1"/>
  <c r="O344" i="5"/>
  <c r="Q344" i="6" s="1"/>
  <c r="AE344" i="5"/>
  <c r="AG344" i="6" s="1"/>
  <c r="Q345" i="5"/>
  <c r="S345" i="6" s="1"/>
  <c r="AG345" i="5"/>
  <c r="AI345" i="6" s="1"/>
  <c r="G354" i="5"/>
  <c r="I354" i="6" s="1"/>
  <c r="Q269" i="5"/>
  <c r="S269" i="6" s="1"/>
  <c r="AG269" i="5"/>
  <c r="AI269" i="6" s="1"/>
  <c r="E275" i="5"/>
  <c r="G275" i="6" s="1"/>
  <c r="U275" i="5"/>
  <c r="W275" i="6" s="1"/>
  <c r="G277" i="5"/>
  <c r="I277" i="6" s="1"/>
  <c r="Z277" i="5"/>
  <c r="AB277" i="6" s="1"/>
  <c r="AB278" i="5"/>
  <c r="AD278" i="6" s="1"/>
  <c r="AD279" i="5"/>
  <c r="AF279" i="6" s="1"/>
  <c r="N295" i="5"/>
  <c r="P295" i="6" s="1"/>
  <c r="E321" i="5"/>
  <c r="G321" i="6" s="1"/>
  <c r="H338" i="5"/>
  <c r="J338" i="6" s="1"/>
  <c r="F548" i="5"/>
  <c r="H548" i="6" s="1"/>
  <c r="E43" i="11" s="1"/>
  <c r="M576" i="5"/>
  <c r="O576" i="6" s="1"/>
  <c r="AE579" i="6"/>
  <c r="AI581" i="6"/>
  <c r="D344" i="5"/>
  <c r="F344" i="6" s="1"/>
  <c r="T344" i="5"/>
  <c r="V344" i="6" s="1"/>
  <c r="F345" i="5"/>
  <c r="H345" i="6" s="1"/>
  <c r="V345" i="5"/>
  <c r="X345" i="6" s="1"/>
  <c r="D349" i="5"/>
  <c r="F349" i="6" s="1"/>
  <c r="F269" i="5"/>
  <c r="H269" i="6" s="1"/>
  <c r="V269" i="5"/>
  <c r="X269" i="6" s="1"/>
  <c r="T273" i="5"/>
  <c r="V273" i="6" s="1"/>
  <c r="R275" i="5"/>
  <c r="T275" i="6" s="1"/>
  <c r="D277" i="5"/>
  <c r="F277" i="6" s="1"/>
  <c r="U277" i="5"/>
  <c r="W277" i="6" s="1"/>
  <c r="U278" i="5"/>
  <c r="W278" i="6" s="1"/>
  <c r="W279" i="5"/>
  <c r="Y279" i="6" s="1"/>
  <c r="S291" i="5"/>
  <c r="U291" i="6" s="1"/>
  <c r="G318" i="5"/>
  <c r="I318" i="6" s="1"/>
  <c r="X337" i="5"/>
  <c r="Z337" i="6" s="1"/>
  <c r="Y350" i="5"/>
  <c r="AA350" i="6" s="1"/>
  <c r="AB574" i="5"/>
  <c r="AD574" i="6" s="1"/>
  <c r="AH578" i="6"/>
  <c r="H581" i="6"/>
  <c r="T277" i="5"/>
  <c r="V277" i="6" s="1"/>
  <c r="F278" i="5"/>
  <c r="H278" i="6" s="1"/>
  <c r="V278" i="5"/>
  <c r="X278" i="6" s="1"/>
  <c r="H279" i="5"/>
  <c r="J279" i="6" s="1"/>
  <c r="X279" i="5"/>
  <c r="Z279" i="6" s="1"/>
  <c r="AB289" i="5"/>
  <c r="AD289" i="6" s="1"/>
  <c r="L291" i="5"/>
  <c r="N291" i="6" s="1"/>
  <c r="T295" i="5"/>
  <c r="V295" i="6" s="1"/>
  <c r="AD298" i="5"/>
  <c r="AF298" i="6" s="1"/>
  <c r="N321" i="5"/>
  <c r="P321" i="6" s="1"/>
  <c r="E333" i="5"/>
  <c r="G333" i="6" s="1"/>
  <c r="D341" i="5"/>
  <c r="F341" i="6" s="1"/>
  <c r="T341" i="5"/>
  <c r="V341" i="6" s="1"/>
  <c r="H548" i="5"/>
  <c r="J548" i="6" s="1"/>
  <c r="G43" i="11" s="1"/>
  <c r="G42" i="11" s="1"/>
  <c r="G110" i="11" s="1"/>
  <c r="X574" i="5"/>
  <c r="Z574" i="6" s="1"/>
  <c r="P576" i="5"/>
  <c r="R576" i="6" s="1"/>
  <c r="AD578" i="6"/>
  <c r="AF579" i="6"/>
  <c r="AH580" i="6"/>
  <c r="D584" i="5"/>
  <c r="F584" i="6" s="1"/>
  <c r="Y277" i="5"/>
  <c r="AA277" i="6" s="1"/>
  <c r="K278" i="5"/>
  <c r="M278" i="6" s="1"/>
  <c r="AA278" i="5"/>
  <c r="AC278" i="6" s="1"/>
  <c r="M279" i="5"/>
  <c r="O279" i="6" s="1"/>
  <c r="AC279" i="5"/>
  <c r="AE279" i="6" s="1"/>
  <c r="AG289" i="5"/>
  <c r="AI289" i="6" s="1"/>
  <c r="Q291" i="5"/>
  <c r="S291" i="6" s="1"/>
  <c r="AF295" i="5"/>
  <c r="AH295" i="6" s="1"/>
  <c r="L314" i="5"/>
  <c r="N314" i="6" s="1"/>
  <c r="H325" i="5"/>
  <c r="J325" i="6" s="1"/>
  <c r="R333" i="5"/>
  <c r="T333" i="6" s="1"/>
  <c r="O338" i="5"/>
  <c r="Q338" i="6" s="1"/>
  <c r="Q341" i="5"/>
  <c r="S341" i="6" s="1"/>
  <c r="I548" i="5"/>
  <c r="K548" i="6" s="1"/>
  <c r="H43" i="11" s="1"/>
  <c r="H42" i="11" s="1"/>
  <c r="H110" i="11" s="1"/>
  <c r="S574" i="5"/>
  <c r="U574" i="6" s="1"/>
  <c r="AF575" i="5"/>
  <c r="AH575" i="6" s="1"/>
  <c r="Y578" i="6"/>
  <c r="AA579" i="6"/>
  <c r="AC580" i="6"/>
  <c r="AE581" i="6"/>
  <c r="AE584" i="5"/>
  <c r="AG584" i="6" s="1"/>
  <c r="AD224" i="5"/>
  <c r="AF224" i="6" s="1"/>
  <c r="V226" i="5"/>
  <c r="X226" i="6" s="1"/>
  <c r="N228" i="5"/>
  <c r="P228" i="6" s="1"/>
  <c r="P231" i="5"/>
  <c r="R231" i="6" s="1"/>
  <c r="R234" i="5"/>
  <c r="T234" i="6" s="1"/>
  <c r="J236" i="5"/>
  <c r="L236" i="6" s="1"/>
  <c r="AF237" i="5"/>
  <c r="AH237" i="6" s="1"/>
  <c r="N240" i="5"/>
  <c r="P240" i="6" s="1"/>
  <c r="Z241" i="5"/>
  <c r="AB241" i="6" s="1"/>
  <c r="H244" i="5"/>
  <c r="J244" i="6" s="1"/>
  <c r="AG245" i="5"/>
  <c r="AI245" i="6" s="1"/>
  <c r="M251" i="5"/>
  <c r="O251" i="6" s="1"/>
  <c r="V249" i="5"/>
  <c r="X249" i="6" s="1"/>
  <c r="R257" i="5"/>
  <c r="T257" i="6" s="1"/>
  <c r="P256" i="5"/>
  <c r="R256" i="6" s="1"/>
  <c r="L284" i="5"/>
  <c r="N284" i="6" s="1"/>
  <c r="J300" i="5"/>
  <c r="L300" i="6" s="1"/>
  <c r="O311" i="5"/>
  <c r="Q311" i="6" s="1"/>
  <c r="K323" i="5"/>
  <c r="M323" i="6" s="1"/>
  <c r="L354" i="5"/>
  <c r="N354" i="6" s="1"/>
  <c r="AA337" i="5"/>
  <c r="AC337" i="6" s="1"/>
  <c r="G226" i="5"/>
  <c r="I226" i="6" s="1"/>
  <c r="S227" i="5"/>
  <c r="U227" i="6" s="1"/>
  <c r="K229" i="5"/>
  <c r="M229" i="6" s="1"/>
  <c r="W232" i="5"/>
  <c r="Y232" i="6" s="1"/>
  <c r="O235" i="5"/>
  <c r="Q235" i="6" s="1"/>
  <c r="Q237" i="5"/>
  <c r="S237" i="6" s="1"/>
  <c r="S239" i="5"/>
  <c r="U239" i="6" s="1"/>
  <c r="AE240" i="5"/>
  <c r="AG240" i="6" s="1"/>
  <c r="M242" i="5"/>
  <c r="O242" i="6" s="1"/>
  <c r="Y244" i="5"/>
  <c r="AA244" i="6" s="1"/>
  <c r="AB247" i="5"/>
  <c r="AD247" i="6" s="1"/>
  <c r="AF251" i="5"/>
  <c r="AH251" i="6" s="1"/>
  <c r="W250" i="5"/>
  <c r="Y250" i="6" s="1"/>
  <c r="W257" i="5"/>
  <c r="Y257" i="6" s="1"/>
  <c r="U256" i="5"/>
  <c r="W256" i="6" s="1"/>
  <c r="K285" i="5"/>
  <c r="M285" i="6" s="1"/>
  <c r="S300" i="5"/>
  <c r="U300" i="6" s="1"/>
  <c r="AC311" i="5"/>
  <c r="AE311" i="6" s="1"/>
  <c r="AG323" i="5"/>
  <c r="AI323" i="6" s="1"/>
  <c r="T269" i="5"/>
  <c r="V269" i="6" s="1"/>
  <c r="N298" i="5"/>
  <c r="P298" i="6" s="1"/>
  <c r="K279" i="5"/>
  <c r="M279" i="6" s="1"/>
  <c r="V315" i="5"/>
  <c r="X315" i="6" s="1"/>
  <c r="T296" i="5"/>
  <c r="V296" i="6" s="1"/>
  <c r="J257" i="5"/>
  <c r="L257" i="6" s="1"/>
  <c r="S249" i="5"/>
  <c r="U249" i="6" s="1"/>
  <c r="Q242" i="5"/>
  <c r="S242" i="6" s="1"/>
  <c r="W239" i="5"/>
  <c r="Y239" i="6" s="1"/>
  <c r="S235" i="5"/>
  <c r="U235" i="6" s="1"/>
  <c r="O230" i="5"/>
  <c r="Q230" i="6" s="1"/>
  <c r="K226" i="5"/>
  <c r="M226" i="6" s="1"/>
  <c r="R338" i="5"/>
  <c r="T338" i="6" s="1"/>
  <c r="AG316" i="5"/>
  <c r="AI316" i="6" s="1"/>
  <c r="AE297" i="5"/>
  <c r="AG297" i="6" s="1"/>
  <c r="V266" i="5"/>
  <c r="X266" i="6" s="1"/>
  <c r="N249" i="5"/>
  <c r="P249" i="6" s="1"/>
  <c r="AG247" i="5"/>
  <c r="AI247" i="6" s="1"/>
  <c r="P242" i="5"/>
  <c r="R242" i="6" s="1"/>
  <c r="V239" i="5"/>
  <c r="X239" i="6" s="1"/>
  <c r="R235" i="5"/>
  <c r="T235" i="6" s="1"/>
  <c r="N230" i="5"/>
  <c r="P230" i="6" s="1"/>
  <c r="J226" i="5"/>
  <c r="L226" i="6" s="1"/>
  <c r="X316" i="5"/>
  <c r="Z316" i="6" s="1"/>
  <c r="U255" i="5"/>
  <c r="W255" i="6" s="1"/>
  <c r="H242" i="5"/>
  <c r="J242" i="6" s="1"/>
  <c r="J235" i="5"/>
  <c r="L235" i="6" s="1"/>
  <c r="V225" i="5"/>
  <c r="X225" i="6" s="1"/>
  <c r="Y222" i="5"/>
  <c r="AA222" i="6" s="1"/>
  <c r="Q220" i="5"/>
  <c r="S220" i="6" s="1"/>
  <c r="AG217" i="5"/>
  <c r="AI217" i="6" s="1"/>
  <c r="AG216" i="5"/>
  <c r="AI216" i="6" s="1"/>
  <c r="AA215" i="5"/>
  <c r="AC215" i="6" s="1"/>
  <c r="AE212" i="5"/>
  <c r="AG212" i="6" s="1"/>
  <c r="Y211" i="5"/>
  <c r="AA211" i="6" s="1"/>
  <c r="AC210" i="5"/>
  <c r="AE210" i="6" s="1"/>
  <c r="M245" i="5"/>
  <c r="O245" i="6" s="1"/>
  <c r="AA243" i="5"/>
  <c r="AC243" i="6" s="1"/>
  <c r="G238" i="5"/>
  <c r="I238" i="6" s="1"/>
  <c r="AE229" i="5"/>
  <c r="AG229" i="6" s="1"/>
  <c r="O229" i="5"/>
  <c r="Q229" i="6" s="1"/>
  <c r="S222" i="5"/>
  <c r="U222" i="6" s="1"/>
  <c r="W218" i="5"/>
  <c r="Y218" i="6" s="1"/>
  <c r="Q217" i="5"/>
  <c r="S217" i="6" s="1"/>
  <c r="K216" i="5"/>
  <c r="M216" i="6" s="1"/>
  <c r="O215" i="5"/>
  <c r="Q215" i="6" s="1"/>
  <c r="AC214" i="5"/>
  <c r="AE214" i="6" s="1"/>
  <c r="M214" i="5"/>
  <c r="O214" i="6" s="1"/>
  <c r="Q212" i="5"/>
  <c r="S212" i="6" s="1"/>
  <c r="U210" i="5"/>
  <c r="W210" i="6" s="1"/>
  <c r="E210" i="5"/>
  <c r="G210" i="6" s="1"/>
  <c r="I209" i="5"/>
  <c r="K209" i="6" s="1"/>
  <c r="W208" i="5"/>
  <c r="Y208" i="6" s="1"/>
  <c r="G208" i="5"/>
  <c r="I208" i="6" s="1"/>
  <c r="AC203" i="5"/>
  <c r="AE203" i="6" s="1"/>
  <c r="I201" i="5"/>
  <c r="K201" i="6" s="1"/>
  <c r="W198" i="5"/>
  <c r="Y198" i="6" s="1"/>
  <c r="AG196" i="5"/>
  <c r="AI196" i="6" s="1"/>
  <c r="W195" i="5"/>
  <c r="Y195" i="6" s="1"/>
  <c r="R192" i="5"/>
  <c r="T192" i="6" s="1"/>
  <c r="AB189" i="5"/>
  <c r="AD189" i="6" s="1"/>
  <c r="H187" i="5"/>
  <c r="J187" i="6" s="1"/>
  <c r="AA184" i="5"/>
  <c r="AC184" i="6" s="1"/>
  <c r="Q183" i="5"/>
  <c r="S183" i="6" s="1"/>
  <c r="G182" i="5"/>
  <c r="I182" i="6" s="1"/>
  <c r="AA180" i="5"/>
  <c r="AC180" i="6" s="1"/>
  <c r="AF178" i="5"/>
  <c r="AH178" i="6" s="1"/>
  <c r="L176" i="5"/>
  <c r="N176" i="6" s="1"/>
  <c r="AA174" i="5"/>
  <c r="AC174" i="6" s="1"/>
  <c r="Q173" i="5"/>
  <c r="S173" i="6" s="1"/>
  <c r="G154" i="5"/>
  <c r="I154" i="6" s="1"/>
  <c r="AA152" i="5"/>
  <c r="AC152" i="6" s="1"/>
  <c r="Q151" i="5"/>
  <c r="S151" i="6" s="1"/>
  <c r="G148" i="5"/>
  <c r="I148" i="6" s="1"/>
  <c r="AA146" i="5"/>
  <c r="AC146" i="6" s="1"/>
  <c r="Q145" i="5"/>
  <c r="S145" i="6" s="1"/>
  <c r="G144" i="5"/>
  <c r="I144" i="6" s="1"/>
  <c r="D142" i="5"/>
  <c r="F142" i="6" s="1"/>
  <c r="AE140" i="5"/>
  <c r="AG140" i="6" s="1"/>
  <c r="AD139" i="5"/>
  <c r="AF139" i="6" s="1"/>
  <c r="Z138" i="5"/>
  <c r="AB138" i="6" s="1"/>
  <c r="AD137" i="5"/>
  <c r="AF137" i="6" s="1"/>
  <c r="N137" i="5"/>
  <c r="P137" i="6" s="1"/>
  <c r="AB136" i="5"/>
  <c r="AD136" i="6" s="1"/>
  <c r="L136" i="5"/>
  <c r="N136" i="6" s="1"/>
  <c r="Z135" i="5"/>
  <c r="AB135" i="6" s="1"/>
  <c r="J135" i="5"/>
  <c r="L135" i="6" s="1"/>
  <c r="X134" i="5"/>
  <c r="Z134" i="6" s="1"/>
  <c r="H134" i="5"/>
  <c r="J134" i="6" s="1"/>
  <c r="X131" i="5"/>
  <c r="Z131" i="6" s="1"/>
  <c r="H131" i="5"/>
  <c r="J131" i="6" s="1"/>
  <c r="X129" i="5"/>
  <c r="Z129" i="6" s="1"/>
  <c r="H129" i="5"/>
  <c r="J129" i="6" s="1"/>
  <c r="L127" i="5"/>
  <c r="N127" i="6" s="1"/>
  <c r="Z126" i="5"/>
  <c r="AB126" i="6" s="1"/>
  <c r="AD125" i="5"/>
  <c r="AF125" i="6" s="1"/>
  <c r="D125" i="5"/>
  <c r="F125" i="6" s="1"/>
  <c r="H124" i="5"/>
  <c r="J124" i="6" s="1"/>
  <c r="L123" i="5"/>
  <c r="N123" i="6" s="1"/>
  <c r="Z122" i="5"/>
  <c r="AB122" i="6" s="1"/>
  <c r="AD121" i="5"/>
  <c r="AF121" i="6" s="1"/>
  <c r="D121" i="5"/>
  <c r="F121" i="6" s="1"/>
  <c r="H120" i="5"/>
  <c r="J120" i="6" s="1"/>
  <c r="L119" i="5"/>
  <c r="N119" i="6" s="1"/>
  <c r="Z118" i="5"/>
  <c r="AB118" i="6" s="1"/>
  <c r="AD117" i="5"/>
  <c r="AF117" i="6" s="1"/>
  <c r="D117" i="5"/>
  <c r="F117" i="6" s="1"/>
  <c r="H116" i="5"/>
  <c r="J116" i="6" s="1"/>
  <c r="L115" i="5"/>
  <c r="N115" i="6" s="1"/>
  <c r="F113" i="5"/>
  <c r="H113" i="6" s="1"/>
  <c r="J111" i="5"/>
  <c r="L111" i="6" s="1"/>
  <c r="D110" i="5"/>
  <c r="F110" i="6" s="1"/>
  <c r="H108" i="5"/>
  <c r="J108" i="6" s="1"/>
  <c r="L106" i="5"/>
  <c r="N106" i="6" s="1"/>
  <c r="F105" i="5"/>
  <c r="H105" i="6" s="1"/>
  <c r="J103" i="5"/>
  <c r="L103" i="6" s="1"/>
  <c r="D102" i="5"/>
  <c r="F102" i="6" s="1"/>
  <c r="R99" i="5"/>
  <c r="T99" i="6" s="1"/>
  <c r="V97" i="5"/>
  <c r="X97" i="6" s="1"/>
  <c r="P96" i="5"/>
  <c r="R96" i="6" s="1"/>
  <c r="T94" i="5"/>
  <c r="V94" i="6" s="1"/>
  <c r="N93" i="5"/>
  <c r="P93" i="6" s="1"/>
  <c r="R91" i="5"/>
  <c r="T91" i="6" s="1"/>
  <c r="V89" i="5"/>
  <c r="X89" i="6" s="1"/>
  <c r="P88" i="5"/>
  <c r="R88" i="6" s="1"/>
  <c r="T86" i="5"/>
  <c r="V86" i="6" s="1"/>
  <c r="N85" i="5"/>
  <c r="P85" i="6" s="1"/>
  <c r="K82" i="5"/>
  <c r="M82" i="6" s="1"/>
  <c r="T80" i="5"/>
  <c r="V80" i="6" s="1"/>
  <c r="F79" i="5"/>
  <c r="H79" i="6" s="1"/>
  <c r="T77" i="5"/>
  <c r="V77" i="6" s="1"/>
  <c r="D77" i="5"/>
  <c r="F77" i="6" s="1"/>
  <c r="H76" i="5"/>
  <c r="J76" i="6" s="1"/>
  <c r="L75" i="5"/>
  <c r="N75" i="6" s="1"/>
  <c r="W81" i="5"/>
  <c r="Y81" i="6" s="1"/>
  <c r="S79" i="5"/>
  <c r="U79" i="6" s="1"/>
  <c r="H81" i="5"/>
  <c r="J81" i="6" s="1"/>
  <c r="L71" i="5"/>
  <c r="N71" i="6" s="1"/>
  <c r="N66" i="5"/>
  <c r="P66" i="6" s="1"/>
  <c r="Z49" i="5"/>
  <c r="AB49" i="6" s="1"/>
  <c r="J49" i="5"/>
  <c r="L49" i="6" s="1"/>
  <c r="X48" i="5"/>
  <c r="Z48" i="6" s="1"/>
  <c r="H48" i="5"/>
  <c r="J48" i="6" s="1"/>
  <c r="V47" i="5"/>
  <c r="X47" i="6" s="1"/>
  <c r="F47" i="5"/>
  <c r="H47" i="6" s="1"/>
  <c r="T45" i="5"/>
  <c r="V45" i="6" s="1"/>
  <c r="D45" i="5"/>
  <c r="F45" i="6" s="1"/>
  <c r="R44" i="5"/>
  <c r="T44" i="6" s="1"/>
  <c r="AF43" i="5"/>
  <c r="AH43" i="6" s="1"/>
  <c r="P43" i="5"/>
  <c r="R43" i="6" s="1"/>
  <c r="AB40" i="5"/>
  <c r="AD40" i="6" s="1"/>
  <c r="AE39" i="5"/>
  <c r="AG39" i="6" s="1"/>
  <c r="H39" i="5"/>
  <c r="J39" i="6" s="1"/>
  <c r="R38" i="5"/>
  <c r="T38" i="6" s="1"/>
  <c r="W36" i="5"/>
  <c r="Y36" i="6" s="1"/>
  <c r="G36" i="5"/>
  <c r="I36" i="6" s="1"/>
  <c r="U35" i="5"/>
  <c r="W35" i="6" s="1"/>
  <c r="E35" i="5"/>
  <c r="G35" i="6" s="1"/>
  <c r="S34" i="5"/>
  <c r="U34" i="6" s="1"/>
  <c r="J28" i="5"/>
  <c r="L28" i="6" s="1"/>
  <c r="G334" i="5"/>
  <c r="I334" i="6" s="1"/>
  <c r="E280" i="5"/>
  <c r="G280" i="6" s="1"/>
  <c r="F248" i="5"/>
  <c r="H248" i="6" s="1"/>
  <c r="M241" i="5"/>
  <c r="O241" i="6" s="1"/>
  <c r="O234" i="5"/>
  <c r="Q234" i="6" s="1"/>
  <c r="AA224" i="5"/>
  <c r="AC224" i="6" s="1"/>
  <c r="X222" i="5"/>
  <c r="Z222" i="6" s="1"/>
  <c r="P220" i="5"/>
  <c r="R220" i="6" s="1"/>
  <c r="AF217" i="5"/>
  <c r="AH217" i="6" s="1"/>
  <c r="AB216" i="5"/>
  <c r="AD216" i="6" s="1"/>
  <c r="V213" i="5"/>
  <c r="X213" i="6" s="1"/>
  <c r="Z212" i="5"/>
  <c r="AB212" i="6" s="1"/>
  <c r="J211" i="5"/>
  <c r="L211" i="6" s="1"/>
  <c r="X210" i="5"/>
  <c r="Z210" i="6" s="1"/>
  <c r="H245" i="5"/>
  <c r="J245" i="6" s="1"/>
  <c r="J243" i="5"/>
  <c r="L243" i="6" s="1"/>
  <c r="L237" i="5"/>
  <c r="N237" i="6" s="1"/>
  <c r="Z229" i="5"/>
  <c r="AB229" i="6" s="1"/>
  <c r="T224" i="5"/>
  <c r="V224" i="6" s="1"/>
  <c r="N222" i="5"/>
  <c r="P222" i="6" s="1"/>
  <c r="R218" i="5"/>
  <c r="T218" i="6" s="1"/>
  <c r="V216" i="5"/>
  <c r="X216" i="6" s="1"/>
  <c r="F216" i="5"/>
  <c r="H216" i="6" s="1"/>
  <c r="J215" i="5"/>
  <c r="L215" i="6" s="1"/>
  <c r="X214" i="5"/>
  <c r="Z214" i="6" s="1"/>
  <c r="H214" i="5"/>
  <c r="J214" i="6" s="1"/>
  <c r="V211" i="5"/>
  <c r="X211" i="6" s="1"/>
  <c r="P210" i="5"/>
  <c r="R210" i="6" s="1"/>
  <c r="T209" i="5"/>
  <c r="V209" i="6" s="1"/>
  <c r="D209" i="5"/>
  <c r="F209" i="6" s="1"/>
  <c r="R208" i="5"/>
  <c r="T208" i="6" s="1"/>
  <c r="AE204" i="5"/>
  <c r="AG204" i="6" s="1"/>
  <c r="F203" i="5"/>
  <c r="H203" i="6" s="1"/>
  <c r="P200" i="5"/>
  <c r="R200" i="6" s="1"/>
  <c r="AE197" i="5"/>
  <c r="AG197" i="6" s="1"/>
  <c r="U196" i="5"/>
  <c r="W196" i="6" s="1"/>
  <c r="K195" i="5"/>
  <c r="M195" i="6" s="1"/>
  <c r="Y191" i="5"/>
  <c r="AA191" i="6" s="1"/>
  <c r="E189" i="5"/>
  <c r="G189" i="6" s="1"/>
  <c r="X185" i="5"/>
  <c r="Z185" i="6" s="1"/>
  <c r="N184" i="5"/>
  <c r="P184" i="6" s="1"/>
  <c r="D183" i="5"/>
  <c r="F183" i="6" s="1"/>
  <c r="X181" i="5"/>
  <c r="Z181" i="6" s="1"/>
  <c r="N180" i="5"/>
  <c r="P180" i="6" s="1"/>
  <c r="J178" i="5"/>
  <c r="L178" i="6" s="1"/>
  <c r="X175" i="5"/>
  <c r="Z175" i="6" s="1"/>
  <c r="N174" i="5"/>
  <c r="P174" i="6" s="1"/>
  <c r="D173" i="5"/>
  <c r="F173" i="6" s="1"/>
  <c r="X153" i="5"/>
  <c r="Z153" i="6" s="1"/>
  <c r="N152" i="5"/>
  <c r="P152" i="6" s="1"/>
  <c r="D151" i="5"/>
  <c r="F151" i="6" s="1"/>
  <c r="X147" i="5"/>
  <c r="Z147" i="6" s="1"/>
  <c r="N146" i="5"/>
  <c r="P146" i="6" s="1"/>
  <c r="D145" i="5"/>
  <c r="F145" i="6" s="1"/>
  <c r="Y142" i="5"/>
  <c r="AA142" i="6" s="1"/>
  <c r="X141" i="5"/>
  <c r="Z141" i="6" s="1"/>
  <c r="U140" i="5"/>
  <c r="W140" i="6" s="1"/>
  <c r="T139" i="5"/>
  <c r="V139" i="6" s="1"/>
  <c r="P138" i="5"/>
  <c r="R138" i="6" s="1"/>
  <c r="Y137" i="5"/>
  <c r="AA137" i="6" s="1"/>
  <c r="I137" i="5"/>
  <c r="K137" i="6" s="1"/>
  <c r="W136" i="5"/>
  <c r="Y136" i="6" s="1"/>
  <c r="G136" i="5"/>
  <c r="I136" i="6" s="1"/>
  <c r="U135" i="5"/>
  <c r="W135" i="6" s="1"/>
  <c r="E135" i="5"/>
  <c r="G135" i="6" s="1"/>
  <c r="S134" i="5"/>
  <c r="U134" i="6" s="1"/>
  <c r="AE131" i="5"/>
  <c r="AG131" i="6" s="1"/>
  <c r="O131" i="5"/>
  <c r="Q131" i="6" s="1"/>
  <c r="AA129" i="5"/>
  <c r="AC129" i="6" s="1"/>
  <c r="K129" i="5"/>
  <c r="M129" i="6" s="1"/>
  <c r="Y127" i="5"/>
  <c r="AA127" i="6" s="1"/>
  <c r="AC126" i="5"/>
  <c r="AE126" i="6" s="1"/>
  <c r="AG125" i="5"/>
  <c r="AI125" i="6" s="1"/>
  <c r="G125" i="5"/>
  <c r="I125" i="6" s="1"/>
  <c r="K124" i="5"/>
  <c r="M124" i="6" s="1"/>
  <c r="Y123" i="5"/>
  <c r="AA123" i="6" s="1"/>
  <c r="AC122" i="5"/>
  <c r="AE122" i="6" s="1"/>
  <c r="AG121" i="5"/>
  <c r="AI121" i="6" s="1"/>
  <c r="G121" i="5"/>
  <c r="I121" i="6" s="1"/>
  <c r="K120" i="5"/>
  <c r="M120" i="6" s="1"/>
  <c r="Y119" i="5"/>
  <c r="AA119" i="6" s="1"/>
  <c r="AC118" i="5"/>
  <c r="AE118" i="6" s="1"/>
  <c r="AG117" i="5"/>
  <c r="AI117" i="6" s="1"/>
  <c r="G117" i="5"/>
  <c r="I117" i="6" s="1"/>
  <c r="K116" i="5"/>
  <c r="M116" i="6" s="1"/>
  <c r="Y115" i="5"/>
  <c r="AA115" i="6" s="1"/>
  <c r="I113" i="5"/>
  <c r="K113" i="6" s="1"/>
  <c r="M111" i="5"/>
  <c r="O111" i="6" s="1"/>
  <c r="G110" i="5"/>
  <c r="I110" i="6" s="1"/>
  <c r="K108" i="5"/>
  <c r="M108" i="6" s="1"/>
  <c r="E107" i="5"/>
  <c r="G107" i="6" s="1"/>
  <c r="I105" i="5"/>
  <c r="K105" i="6" s="1"/>
  <c r="M103" i="5"/>
  <c r="O103" i="6" s="1"/>
  <c r="G102" i="5"/>
  <c r="I102" i="6" s="1"/>
  <c r="U99" i="5"/>
  <c r="W99" i="6" s="1"/>
  <c r="O98" i="5"/>
  <c r="Q98" i="6" s="1"/>
  <c r="S96" i="5"/>
  <c r="U96" i="6" s="1"/>
  <c r="W94" i="5"/>
  <c r="Y94" i="6" s="1"/>
  <c r="Q93" i="5"/>
  <c r="S93" i="6" s="1"/>
  <c r="U91" i="5"/>
  <c r="W91" i="6" s="1"/>
  <c r="O90" i="5"/>
  <c r="Q90" i="6" s="1"/>
  <c r="S88" i="5"/>
  <c r="U88" i="6" s="1"/>
  <c r="W86" i="5"/>
  <c r="Y86" i="6" s="1"/>
  <c r="Q85" i="5"/>
  <c r="S85" i="6" s="1"/>
  <c r="P82" i="5"/>
  <c r="R82" i="6" s="1"/>
  <c r="E81" i="5"/>
  <c r="G81" i="6" s="1"/>
  <c r="N79" i="5"/>
  <c r="P79" i="6" s="1"/>
  <c r="W77" i="5"/>
  <c r="Y77" i="6" s="1"/>
  <c r="G77" i="5"/>
  <c r="I77" i="6" s="1"/>
  <c r="K76" i="5"/>
  <c r="M76" i="6" s="1"/>
  <c r="O75" i="5"/>
  <c r="Q75" i="6" s="1"/>
  <c r="Q82" i="5"/>
  <c r="S82" i="6" s="1"/>
  <c r="L80" i="5"/>
  <c r="N80" i="6" s="1"/>
  <c r="H82" i="5"/>
  <c r="J82" i="6" s="1"/>
  <c r="I66" i="5"/>
  <c r="K66" i="6" s="1"/>
  <c r="AC49" i="5"/>
  <c r="AE49" i="6" s="1"/>
  <c r="M49" i="5"/>
  <c r="O49" i="6" s="1"/>
  <c r="AA48" i="5"/>
  <c r="AC48" i="6" s="1"/>
  <c r="Z24" i="11" s="1"/>
  <c r="K48" i="5"/>
  <c r="M48" i="6" s="1"/>
  <c r="J24" i="11" s="1"/>
  <c r="Y47" i="5"/>
  <c r="AA47" i="6" s="1"/>
  <c r="I47" i="5"/>
  <c r="K47" i="6" s="1"/>
  <c r="W45" i="5"/>
  <c r="Y45" i="6" s="1"/>
  <c r="G45" i="5"/>
  <c r="I45" i="6" s="1"/>
  <c r="U44" i="5"/>
  <c r="W44" i="6" s="1"/>
  <c r="T23" i="11" s="1"/>
  <c r="E44" i="5"/>
  <c r="G44" i="6" s="1"/>
  <c r="S43" i="5"/>
  <c r="U43" i="6" s="1"/>
  <c r="AF40" i="5"/>
  <c r="AH40" i="6" s="1"/>
  <c r="AD39" i="5"/>
  <c r="AF39" i="6" s="1"/>
  <c r="AC21" i="11" s="1"/>
  <c r="AF38" i="5"/>
  <c r="AH38" i="6" s="1"/>
  <c r="AD36" i="5"/>
  <c r="AF36" i="6" s="1"/>
  <c r="N36" i="5"/>
  <c r="P36" i="6" s="1"/>
  <c r="AB35" i="5"/>
  <c r="AD35" i="6" s="1"/>
  <c r="AA20" i="11" s="1"/>
  <c r="L35" i="5"/>
  <c r="N35" i="6" s="1"/>
  <c r="K20" i="11" s="1"/>
  <c r="K19" i="11" s="1"/>
  <c r="K93" i="11" s="1"/>
  <c r="Z34" i="5"/>
  <c r="AB34" i="6" s="1"/>
  <c r="Y20" i="11" s="1"/>
  <c r="Y19" i="11" s="1"/>
  <c r="Y93" i="11" s="1"/>
  <c r="F34" i="5"/>
  <c r="H34" i="6" s="1"/>
  <c r="K312" i="5"/>
  <c r="M312" i="6" s="1"/>
  <c r="P265" i="5"/>
  <c r="R265" i="6" s="1"/>
  <c r="Z245" i="5"/>
  <c r="AB245" i="6" s="1"/>
  <c r="AB237" i="5"/>
  <c r="AD237" i="6" s="1"/>
  <c r="AD227" i="5"/>
  <c r="AF227" i="6" s="1"/>
  <c r="G223" i="5"/>
  <c r="I223" i="6" s="1"/>
  <c r="U220" i="5"/>
  <c r="W220" i="6" s="1"/>
  <c r="Y218" i="5"/>
  <c r="AA218" i="6" s="1"/>
  <c r="AG215" i="5"/>
  <c r="AI215" i="6" s="1"/>
  <c r="Q213" i="5"/>
  <c r="S213" i="6" s="1"/>
  <c r="AE211" i="5"/>
  <c r="AG211" i="6" s="1"/>
  <c r="E211" i="5"/>
  <c r="G211" i="6" s="1"/>
  <c r="AC209" i="5"/>
  <c r="AE209" i="6" s="1"/>
  <c r="AG243" i="5"/>
  <c r="AI243" i="6" s="1"/>
  <c r="I243" i="5"/>
  <c r="K243" i="6" s="1"/>
  <c r="E238" i="5"/>
  <c r="G238" i="6" s="1"/>
  <c r="AC229" i="5"/>
  <c r="AE229" i="6" s="1"/>
  <c r="W224" i="5"/>
  <c r="Y224" i="6" s="1"/>
  <c r="Q222" i="5"/>
  <c r="S222" i="6" s="1"/>
  <c r="U218" i="5"/>
  <c r="W218" i="6" s="1"/>
  <c r="O217" i="5"/>
  <c r="Q217" i="6" s="1"/>
  <c r="I216" i="5"/>
  <c r="K216" i="6" s="1"/>
  <c r="M215" i="5"/>
  <c r="O215" i="6" s="1"/>
  <c r="AA214" i="5"/>
  <c r="AC214" i="6" s="1"/>
  <c r="K214" i="5"/>
  <c r="M214" i="6" s="1"/>
  <c r="O212" i="5"/>
  <c r="Q212" i="6" s="1"/>
  <c r="S210" i="5"/>
  <c r="U210" i="6" s="1"/>
  <c r="W209" i="5"/>
  <c r="Y209" i="6" s="1"/>
  <c r="G209" i="5"/>
  <c r="I209" i="6" s="1"/>
  <c r="U208" i="5"/>
  <c r="W208" i="6" s="1"/>
  <c r="E208" i="5"/>
  <c r="G208" i="6" s="1"/>
  <c r="S203" i="5"/>
  <c r="U203" i="6" s="1"/>
  <c r="AC200" i="5"/>
  <c r="AE200" i="6" s="1"/>
  <c r="M198" i="5"/>
  <c r="O198" i="6" s="1"/>
  <c r="AC196" i="5"/>
  <c r="AE196" i="6" s="1"/>
  <c r="S195" i="5"/>
  <c r="U195" i="6" s="1"/>
  <c r="H192" i="5"/>
  <c r="J192" i="6" s="1"/>
  <c r="R189" i="5"/>
  <c r="T189" i="6" s="1"/>
  <c r="AF185" i="5"/>
  <c r="AH185" i="6" s="1"/>
  <c r="V184" i="5"/>
  <c r="X184" i="6" s="1"/>
  <c r="L183" i="5"/>
  <c r="N183" i="6" s="1"/>
  <c r="AF181" i="5"/>
  <c r="AH181" i="6" s="1"/>
  <c r="V180" i="5"/>
  <c r="X180" i="6" s="1"/>
  <c r="V178" i="5"/>
  <c r="X178" i="6" s="1"/>
  <c r="AF175" i="5"/>
  <c r="AH175" i="6" s="1"/>
  <c r="V174" i="5"/>
  <c r="X174" i="6" s="1"/>
  <c r="L173" i="5"/>
  <c r="N173" i="6" s="1"/>
  <c r="AF153" i="5"/>
  <c r="AH153" i="6" s="1"/>
  <c r="V152" i="5"/>
  <c r="X152" i="6" s="1"/>
  <c r="L151" i="5"/>
  <c r="N151" i="6" s="1"/>
  <c r="AF147" i="5"/>
  <c r="AH147" i="6" s="1"/>
  <c r="V146" i="5"/>
  <c r="X146" i="6" s="1"/>
  <c r="L145" i="5"/>
  <c r="N145" i="6" s="1"/>
  <c r="AE142" i="5"/>
  <c r="AG142" i="6" s="1"/>
  <c r="AD141" i="5"/>
  <c r="AF141" i="6" s="1"/>
  <c r="Z140" i="5"/>
  <c r="AB140" i="6" s="1"/>
  <c r="Y139" i="5"/>
  <c r="AA139" i="6" s="1"/>
  <c r="X138" i="5"/>
  <c r="Z138" i="6" s="1"/>
  <c r="AB137" i="5"/>
  <c r="AD137" i="6" s="1"/>
  <c r="L137" i="5"/>
  <c r="N137" i="6" s="1"/>
  <c r="Z136" i="5"/>
  <c r="AB136" i="6" s="1"/>
  <c r="J136" i="5"/>
  <c r="L136" i="6" s="1"/>
  <c r="X135" i="5"/>
  <c r="Z135" i="6" s="1"/>
  <c r="H135" i="5"/>
  <c r="J135" i="6" s="1"/>
  <c r="V134" i="5"/>
  <c r="X134" i="6" s="1"/>
  <c r="F134" i="5"/>
  <c r="H134" i="6" s="1"/>
  <c r="R131" i="5"/>
  <c r="T131" i="6" s="1"/>
  <c r="AD129" i="5"/>
  <c r="AF129" i="6" s="1"/>
  <c r="N129" i="5"/>
  <c r="P129" i="6" s="1"/>
  <c r="AB127" i="5"/>
  <c r="AD127" i="6" s="1"/>
  <c r="AF126" i="5"/>
  <c r="AH126" i="6" s="1"/>
  <c r="F126" i="5"/>
  <c r="H126" i="6" s="1"/>
  <c r="J125" i="5"/>
  <c r="L125" i="6" s="1"/>
  <c r="X124" i="5"/>
  <c r="Z124" i="6" s="1"/>
  <c r="AB123" i="5"/>
  <c r="AD123" i="6" s="1"/>
  <c r="AF122" i="5"/>
  <c r="AH122" i="6" s="1"/>
  <c r="F122" i="5"/>
  <c r="H122" i="6" s="1"/>
  <c r="J121" i="5"/>
  <c r="L121" i="6" s="1"/>
  <c r="X120" i="5"/>
  <c r="Z120" i="6" s="1"/>
  <c r="AB119" i="5"/>
  <c r="AD119" i="6" s="1"/>
  <c r="AF118" i="5"/>
  <c r="AH118" i="6" s="1"/>
  <c r="F118" i="5"/>
  <c r="H118" i="6" s="1"/>
  <c r="J117" i="5"/>
  <c r="L117" i="6" s="1"/>
  <c r="X116" i="5"/>
  <c r="Z116" i="6" s="1"/>
  <c r="AB115" i="5"/>
  <c r="AD115" i="6" s="1"/>
  <c r="L113" i="5"/>
  <c r="N113" i="6" s="1"/>
  <c r="F112" i="5"/>
  <c r="H112" i="6" s="1"/>
  <c r="J110" i="5"/>
  <c r="L110" i="6" s="1"/>
  <c r="D109" i="5"/>
  <c r="F109" i="6" s="1"/>
  <c r="H107" i="5"/>
  <c r="J107" i="6" s="1"/>
  <c r="L105" i="5"/>
  <c r="N105" i="6" s="1"/>
  <c r="F104" i="5"/>
  <c r="H104" i="6" s="1"/>
  <c r="J102" i="5"/>
  <c r="L102" i="6" s="1"/>
  <c r="D101" i="5"/>
  <c r="F101" i="6" s="1"/>
  <c r="R98" i="5"/>
  <c r="T98" i="6" s="1"/>
  <c r="V96" i="5"/>
  <c r="X96" i="6" s="1"/>
  <c r="P95" i="5"/>
  <c r="R95" i="6" s="1"/>
  <c r="T93" i="5"/>
  <c r="V93" i="6" s="1"/>
  <c r="N92" i="5"/>
  <c r="P92" i="6" s="1"/>
  <c r="R90" i="5"/>
  <c r="T90" i="6" s="1"/>
  <c r="V88" i="5"/>
  <c r="X88" i="6" s="1"/>
  <c r="P87" i="5"/>
  <c r="R87" i="6" s="1"/>
  <c r="T85" i="5"/>
  <c r="V85" i="6" s="1"/>
  <c r="N84" i="5"/>
  <c r="P84" i="6" s="1"/>
  <c r="K81" i="5"/>
  <c r="M81" i="6" s="1"/>
  <c r="T79" i="5"/>
  <c r="V79" i="6" s="1"/>
  <c r="F78" i="5"/>
  <c r="H78" i="6" s="1"/>
  <c r="J77" i="5"/>
  <c r="L77" i="6" s="1"/>
  <c r="N76" i="5"/>
  <c r="P76" i="6" s="1"/>
  <c r="R75" i="5"/>
  <c r="T75" i="6" s="1"/>
  <c r="V82" i="5"/>
  <c r="X82" i="6" s="1"/>
  <c r="R80" i="5"/>
  <c r="T80" i="6" s="1"/>
  <c r="M78" i="5"/>
  <c r="O78" i="6" s="1"/>
  <c r="G78" i="5"/>
  <c r="I78" i="6" s="1"/>
  <c r="X66" i="5"/>
  <c r="Z66" i="6" s="1"/>
  <c r="D66" i="5"/>
  <c r="F66" i="6" s="1"/>
  <c r="AB49" i="5"/>
  <c r="AD49" i="6" s="1"/>
  <c r="L49" i="5"/>
  <c r="N49" i="6" s="1"/>
  <c r="Z48" i="5"/>
  <c r="AB48" i="6" s="1"/>
  <c r="J48" i="5"/>
  <c r="L48" i="6" s="1"/>
  <c r="X47" i="5"/>
  <c r="Z47" i="6" s="1"/>
  <c r="H47" i="5"/>
  <c r="J47" i="6" s="1"/>
  <c r="V45" i="5"/>
  <c r="X45" i="6" s="1"/>
  <c r="F45" i="5"/>
  <c r="H45" i="6" s="1"/>
  <c r="T44" i="5"/>
  <c r="V44" i="6" s="1"/>
  <c r="D44" i="5"/>
  <c r="F44" i="6" s="1"/>
  <c r="R43" i="5"/>
  <c r="T43" i="6" s="1"/>
  <c r="AE40" i="5"/>
  <c r="AG40" i="6" s="1"/>
  <c r="H40" i="5"/>
  <c r="J40" i="6" s="1"/>
  <c r="R39" i="5"/>
  <c r="T39" i="6" s="1"/>
  <c r="U38" i="5"/>
  <c r="W38" i="6" s="1"/>
  <c r="AC36" i="5"/>
  <c r="AE36" i="6" s="1"/>
  <c r="M36" i="5"/>
  <c r="O36" i="6" s="1"/>
  <c r="AA35" i="5"/>
  <c r="AC35" i="6" s="1"/>
  <c r="K35" i="5"/>
  <c r="M35" i="6" s="1"/>
  <c r="Y34" i="5"/>
  <c r="AA34" i="6" s="1"/>
  <c r="I34" i="5"/>
  <c r="K34" i="6" s="1"/>
  <c r="H217" i="5"/>
  <c r="J217" i="6" s="1"/>
  <c r="J572" i="5"/>
  <c r="L572" i="6" s="1"/>
  <c r="I49" i="11" s="1"/>
  <c r="I112" i="11" s="1"/>
  <c r="L55" i="5"/>
  <c r="N55" i="6" s="1"/>
  <c r="O52" i="5"/>
  <c r="Q52" i="6" s="1"/>
  <c r="AF66" i="5"/>
  <c r="AH66" i="6" s="1"/>
  <c r="G55" i="5"/>
  <c r="I55" i="6" s="1"/>
  <c r="P54" i="5"/>
  <c r="R54" i="6" s="1"/>
  <c r="R52" i="5"/>
  <c r="T52" i="6" s="1"/>
  <c r="AE55" i="5"/>
  <c r="AG55" i="6" s="1"/>
  <c r="P62" i="5"/>
  <c r="R62" i="6" s="1"/>
  <c r="AG66" i="5"/>
  <c r="AI66" i="6" s="1"/>
  <c r="N51" i="5"/>
  <c r="P51" i="6" s="1"/>
  <c r="T66" i="5"/>
  <c r="V66" i="6" s="1"/>
  <c r="U52" i="5"/>
  <c r="W52" i="6" s="1"/>
  <c r="X55" i="5"/>
  <c r="Z55" i="6" s="1"/>
  <c r="S67" i="5"/>
  <c r="U67" i="6" s="1"/>
  <c r="X71" i="5"/>
  <c r="Z71" i="6" s="1"/>
  <c r="N55" i="5"/>
  <c r="P55" i="6" s="1"/>
  <c r="P51" i="5"/>
  <c r="R51" i="6" s="1"/>
  <c r="R71" i="5"/>
  <c r="T71" i="6" s="1"/>
  <c r="V51" i="5"/>
  <c r="X51" i="6" s="1"/>
  <c r="M51" i="5"/>
  <c r="O51" i="6" s="1"/>
  <c r="U55" i="5"/>
  <c r="W55" i="6" s="1"/>
  <c r="W53" i="5"/>
  <c r="Y53" i="6" s="1"/>
  <c r="P52" i="5"/>
  <c r="R52" i="6" s="1"/>
  <c r="AC55" i="5"/>
  <c r="AE55" i="6" s="1"/>
  <c r="Y51" i="5"/>
  <c r="AA51" i="6" s="1"/>
  <c r="Q71" i="5"/>
  <c r="S71" i="6" s="1"/>
  <c r="Y71" i="5"/>
  <c r="AA71" i="6" s="1"/>
  <c r="K311" i="5"/>
  <c r="M311" i="6" s="1"/>
  <c r="F221" i="5"/>
  <c r="H221" i="6" s="1"/>
  <c r="O221" i="5"/>
  <c r="Q221" i="6" s="1"/>
  <c r="Q221" i="5"/>
  <c r="S221" i="6" s="1"/>
  <c r="D338" i="5"/>
  <c r="F338" i="6" s="1"/>
  <c r="AF560" i="5"/>
  <c r="AH560" i="6" s="1"/>
  <c r="AE43" i="11" s="1"/>
  <c r="W219" i="5"/>
  <c r="Y219" i="6" s="1"/>
  <c r="AE217" i="5"/>
  <c r="AG217" i="6" s="1"/>
  <c r="AC215" i="5"/>
  <c r="AE215" i="6" s="1"/>
  <c r="AG212" i="5"/>
  <c r="AI212" i="6" s="1"/>
  <c r="AA211" i="5"/>
  <c r="AC211" i="6" s="1"/>
  <c r="AE210" i="5"/>
  <c r="AG210" i="6" s="1"/>
  <c r="Y209" i="5"/>
  <c r="AA209" i="6" s="1"/>
  <c r="AC243" i="5"/>
  <c r="AE243" i="6" s="1"/>
  <c r="E243" i="5"/>
  <c r="G243" i="6" s="1"/>
  <c r="K237" i="5"/>
  <c r="M237" i="6" s="1"/>
  <c r="Y229" i="5"/>
  <c r="AA229" i="6" s="1"/>
  <c r="S224" i="5"/>
  <c r="U224" i="6" s="1"/>
  <c r="M222" i="5"/>
  <c r="O222" i="6" s="1"/>
  <c r="Q218" i="5"/>
  <c r="S218" i="6" s="1"/>
  <c r="U216" i="5"/>
  <c r="W216" i="6" s="1"/>
  <c r="E216" i="5"/>
  <c r="G216" i="6" s="1"/>
  <c r="I215" i="5"/>
  <c r="K215" i="6" s="1"/>
  <c r="W214" i="5"/>
  <c r="Y214" i="6" s="1"/>
  <c r="G214" i="5"/>
  <c r="I214" i="6" s="1"/>
  <c r="U211" i="5"/>
  <c r="W211" i="6" s="1"/>
  <c r="O210" i="5"/>
  <c r="Q210" i="6" s="1"/>
  <c r="S209" i="5"/>
  <c r="U209" i="6" s="1"/>
  <c r="AG208" i="5"/>
  <c r="AI208" i="6" s="1"/>
  <c r="Q208" i="5"/>
  <c r="S208" i="6" s="1"/>
  <c r="AC204" i="5"/>
  <c r="AE204" i="6" s="1"/>
  <c r="AC202" i="5"/>
  <c r="AE202" i="6" s="1"/>
  <c r="I200" i="5"/>
  <c r="K200" i="6" s="1"/>
  <c r="AC197" i="5"/>
  <c r="AE197" i="6" s="1"/>
  <c r="S196" i="5"/>
  <c r="U196" i="6" s="1"/>
  <c r="I195" i="5"/>
  <c r="K195" i="6" s="1"/>
  <c r="R191" i="5"/>
  <c r="T191" i="6" s="1"/>
  <c r="AB188" i="5"/>
  <c r="AD188" i="6" s="1"/>
  <c r="V185" i="5"/>
  <c r="X185" i="6" s="1"/>
  <c r="L184" i="5"/>
  <c r="N184" i="6" s="1"/>
  <c r="AF182" i="5"/>
  <c r="AH182" i="6" s="1"/>
  <c r="V181" i="5"/>
  <c r="X181" i="6" s="1"/>
  <c r="L180" i="5"/>
  <c r="N180" i="6" s="1"/>
  <c r="AF177" i="5"/>
  <c r="AH177" i="6" s="1"/>
  <c r="V175" i="5"/>
  <c r="X175" i="6" s="1"/>
  <c r="L174" i="5"/>
  <c r="N174" i="6" s="1"/>
  <c r="AF154" i="5"/>
  <c r="AH154" i="6" s="1"/>
  <c r="V153" i="5"/>
  <c r="X153" i="6" s="1"/>
  <c r="L152" i="5"/>
  <c r="N152" i="6" s="1"/>
  <c r="AF148" i="5"/>
  <c r="AH148" i="6" s="1"/>
  <c r="V147" i="5"/>
  <c r="X147" i="6" s="1"/>
  <c r="L146" i="5"/>
  <c r="N146" i="6" s="1"/>
  <c r="AF144" i="5"/>
  <c r="AH144" i="6" s="1"/>
  <c r="X142" i="5"/>
  <c r="Z142" i="6" s="1"/>
  <c r="U141" i="5"/>
  <c r="W141" i="6" s="1"/>
  <c r="T140" i="5"/>
  <c r="V140" i="6" s="1"/>
  <c r="P139" i="5"/>
  <c r="R139" i="6" s="1"/>
  <c r="O138" i="5"/>
  <c r="Q138" i="6" s="1"/>
  <c r="X137" i="5"/>
  <c r="Z137" i="6" s="1"/>
  <c r="H137" i="5"/>
  <c r="J137" i="6" s="1"/>
  <c r="V136" i="5"/>
  <c r="X136" i="6" s="1"/>
  <c r="F136" i="5"/>
  <c r="H136" i="6" s="1"/>
  <c r="T135" i="5"/>
  <c r="V135" i="6" s="1"/>
  <c r="D135" i="5"/>
  <c r="F135" i="6" s="1"/>
  <c r="R134" i="5"/>
  <c r="T134" i="6" s="1"/>
  <c r="AD131" i="5"/>
  <c r="AF131" i="6" s="1"/>
  <c r="N131" i="5"/>
  <c r="P131" i="6" s="1"/>
  <c r="Z129" i="5"/>
  <c r="AB129" i="6" s="1"/>
  <c r="J129" i="5"/>
  <c r="L129" i="6" s="1"/>
  <c r="X127" i="5"/>
  <c r="Z127" i="6" s="1"/>
  <c r="AB126" i="5"/>
  <c r="AD126" i="6" s="1"/>
  <c r="AF125" i="5"/>
  <c r="AH125" i="6" s="1"/>
  <c r="F125" i="5"/>
  <c r="H125" i="6" s="1"/>
  <c r="J124" i="5"/>
  <c r="L124" i="6" s="1"/>
  <c r="X123" i="5"/>
  <c r="Z123" i="6" s="1"/>
  <c r="AB122" i="5"/>
  <c r="AD122" i="6" s="1"/>
  <c r="AF121" i="5"/>
  <c r="AH121" i="6" s="1"/>
  <c r="F121" i="5"/>
  <c r="H121" i="6" s="1"/>
  <c r="J120" i="5"/>
  <c r="L120" i="6" s="1"/>
  <c r="X119" i="5"/>
  <c r="Z119" i="6" s="1"/>
  <c r="AB118" i="5"/>
  <c r="AD118" i="6" s="1"/>
  <c r="AF117" i="5"/>
  <c r="AH117" i="6" s="1"/>
  <c r="F117" i="5"/>
  <c r="H117" i="6" s="1"/>
  <c r="J116" i="5"/>
  <c r="L116" i="6" s="1"/>
  <c r="X115" i="5"/>
  <c r="Z115" i="6" s="1"/>
  <c r="H113" i="5"/>
  <c r="J113" i="6" s="1"/>
  <c r="L111" i="5"/>
  <c r="N111" i="6" s="1"/>
  <c r="F110" i="5"/>
  <c r="H110" i="6" s="1"/>
  <c r="J108" i="5"/>
  <c r="L108" i="6" s="1"/>
  <c r="D107" i="5"/>
  <c r="F107" i="6" s="1"/>
  <c r="H105" i="5"/>
  <c r="J105" i="6" s="1"/>
  <c r="L103" i="5"/>
  <c r="N103" i="6" s="1"/>
  <c r="F102" i="5"/>
  <c r="H102" i="6" s="1"/>
  <c r="T99" i="5"/>
  <c r="V99" i="6" s="1"/>
  <c r="N98" i="5"/>
  <c r="P98" i="6" s="1"/>
  <c r="R96" i="5"/>
  <c r="T96" i="6" s="1"/>
  <c r="V94" i="5"/>
  <c r="X94" i="6" s="1"/>
  <c r="P93" i="5"/>
  <c r="R93" i="6" s="1"/>
  <c r="T91" i="5"/>
  <c r="V91" i="6" s="1"/>
  <c r="N90" i="5"/>
  <c r="P90" i="6" s="1"/>
  <c r="R88" i="5"/>
  <c r="T88" i="6" s="1"/>
  <c r="V86" i="5"/>
  <c r="X86" i="6" s="1"/>
  <c r="P85" i="5"/>
  <c r="R85" i="6" s="1"/>
  <c r="O82" i="5"/>
  <c r="Q82" i="6" s="1"/>
  <c r="D81" i="5"/>
  <c r="F81" i="6" s="1"/>
  <c r="K79" i="5"/>
  <c r="M79" i="6" s="1"/>
  <c r="V77" i="5"/>
  <c r="X77" i="6" s="1"/>
  <c r="F77" i="5"/>
  <c r="H77" i="6" s="1"/>
  <c r="J76" i="5"/>
  <c r="L76" i="6" s="1"/>
  <c r="N75" i="5"/>
  <c r="P75" i="6" s="1"/>
  <c r="M82" i="5"/>
  <c r="O82" i="6" s="1"/>
  <c r="W79" i="5"/>
  <c r="Y79" i="6" s="1"/>
  <c r="G82" i="5"/>
  <c r="I82" i="6" s="1"/>
  <c r="J71" i="5"/>
  <c r="L71" i="6" s="1"/>
  <c r="X49" i="5"/>
  <c r="Z49" i="6" s="1"/>
  <c r="H49" i="5"/>
  <c r="J49" i="6" s="1"/>
  <c r="V48" i="5"/>
  <c r="X48" i="6" s="1"/>
  <c r="F48" i="5"/>
  <c r="H48" i="6" s="1"/>
  <c r="T47" i="5"/>
  <c r="V47" i="6" s="1"/>
  <c r="D47" i="5"/>
  <c r="F47" i="6" s="1"/>
  <c r="R45" i="5"/>
  <c r="T45" i="6" s="1"/>
  <c r="AF44" i="5"/>
  <c r="AH44" i="6" s="1"/>
  <c r="P44" i="5"/>
  <c r="R44" i="6" s="1"/>
  <c r="AD43" i="5"/>
  <c r="AF43" i="6" s="1"/>
  <c r="N43" i="5"/>
  <c r="P43" i="6" s="1"/>
  <c r="Y40" i="5"/>
  <c r="AA40" i="6" s="1"/>
  <c r="AG39" i="5"/>
  <c r="AI39" i="6" s="1"/>
  <c r="E39" i="5"/>
  <c r="G39" i="6" s="1"/>
  <c r="O38" i="5"/>
  <c r="Q38" i="6" s="1"/>
  <c r="Y36" i="5"/>
  <c r="AA36" i="6" s="1"/>
  <c r="I36" i="5"/>
  <c r="K36" i="6" s="1"/>
  <c r="W35" i="5"/>
  <c r="Y35" i="6" s="1"/>
  <c r="G35" i="5"/>
  <c r="I35" i="6" s="1"/>
  <c r="U34" i="5"/>
  <c r="W34" i="6" s="1"/>
  <c r="E34" i="5"/>
  <c r="G34" i="6" s="1"/>
  <c r="F217" i="5"/>
  <c r="H217" i="6" s="1"/>
  <c r="J217" i="5"/>
  <c r="L217" i="6" s="1"/>
  <c r="D217" i="5"/>
  <c r="F217" i="6" s="1"/>
  <c r="U572" i="5"/>
  <c r="W572" i="6" s="1"/>
  <c r="T49" i="11" s="1"/>
  <c r="T112" i="11" s="1"/>
  <c r="T572" i="5"/>
  <c r="V572" i="6" s="1"/>
  <c r="S49" i="11" s="1"/>
  <c r="S112" i="11" s="1"/>
  <c r="D572" i="5"/>
  <c r="F572" i="6" s="1"/>
  <c r="C49" i="11" s="1"/>
  <c r="C112" i="11" s="1"/>
  <c r="C142" i="11" s="1"/>
  <c r="S572" i="5"/>
  <c r="U572" i="6" s="1"/>
  <c r="R49" i="11" s="1"/>
  <c r="R112" i="11" s="1"/>
  <c r="AG572" i="5"/>
  <c r="AI572" i="6" s="1"/>
  <c r="AF49" i="11" s="1"/>
  <c r="AF112" i="11" s="1"/>
  <c r="V572" i="5"/>
  <c r="X572" i="6" s="1"/>
  <c r="U49" i="11" s="1"/>
  <c r="U112" i="11" s="1"/>
  <c r="F572" i="5"/>
  <c r="H572" i="6" s="1"/>
  <c r="E49" i="11" s="1"/>
  <c r="E112" i="11" s="1"/>
  <c r="H51" i="5"/>
  <c r="J51" i="6" s="1"/>
  <c r="AB55" i="5"/>
  <c r="AD55" i="6" s="1"/>
  <c r="N71" i="5"/>
  <c r="P71" i="6" s="1"/>
  <c r="Z71" i="5"/>
  <c r="AB71" i="6" s="1"/>
  <c r="K51" i="5"/>
  <c r="M51" i="6" s="1"/>
  <c r="S55" i="5"/>
  <c r="U55" i="6" s="1"/>
  <c r="U53" i="5"/>
  <c r="W53" i="6" s="1"/>
  <c r="W51" i="5"/>
  <c r="Y51" i="6" s="1"/>
  <c r="AA55" i="5"/>
  <c r="AC55" i="6" s="1"/>
  <c r="T62" i="5"/>
  <c r="V62" i="6" s="1"/>
  <c r="Q66" i="5"/>
  <c r="S66" i="6" s="1"/>
  <c r="W71" i="5"/>
  <c r="Y71" i="6" s="1"/>
  <c r="AA71" i="5"/>
  <c r="AC71" i="6" s="1"/>
  <c r="P55" i="5"/>
  <c r="R55" i="6" s="1"/>
  <c r="AF55" i="5"/>
  <c r="AH55" i="6" s="1"/>
  <c r="V55" i="5"/>
  <c r="X55" i="6" s="1"/>
  <c r="Q52" i="5"/>
  <c r="S52" i="6" s="1"/>
  <c r="AD55" i="5"/>
  <c r="AF55" i="6" s="1"/>
  <c r="Q62" i="5"/>
  <c r="S62" i="6" s="1"/>
  <c r="W67" i="5"/>
  <c r="Y67" i="6" s="1"/>
  <c r="T71" i="5"/>
  <c r="V71" i="6" s="1"/>
  <c r="AB71" i="5"/>
  <c r="AD71" i="6" s="1"/>
  <c r="U54" i="5"/>
  <c r="W54" i="6" s="1"/>
  <c r="AF51" i="5"/>
  <c r="AH51" i="6" s="1"/>
  <c r="D55" i="5"/>
  <c r="F55" i="6" s="1"/>
  <c r="S54" i="5"/>
  <c r="U54" i="6" s="1"/>
  <c r="M55" i="5"/>
  <c r="O55" i="6" s="1"/>
  <c r="I51" i="5"/>
  <c r="K51" i="6" s="1"/>
  <c r="Q55" i="5"/>
  <c r="S55" i="6" s="1"/>
  <c r="S53" i="5"/>
  <c r="U53" i="6" s="1"/>
  <c r="U51" i="5"/>
  <c r="W51" i="6" s="1"/>
  <c r="Y55" i="5"/>
  <c r="AA55" i="6" s="1"/>
  <c r="R62" i="5"/>
  <c r="T62" i="6" s="1"/>
  <c r="O66" i="5"/>
  <c r="Q66" i="6" s="1"/>
  <c r="U71" i="5"/>
  <c r="W71" i="6" s="1"/>
  <c r="AC71" i="5"/>
  <c r="AE71" i="6" s="1"/>
  <c r="W246" i="5"/>
  <c r="Y246" i="6" s="1"/>
  <c r="P246" i="5"/>
  <c r="R246" i="6" s="1"/>
  <c r="N221" i="5"/>
  <c r="P221" i="6" s="1"/>
  <c r="L321" i="5"/>
  <c r="N321" i="6" s="1"/>
  <c r="G338" i="5"/>
  <c r="I338" i="6" s="1"/>
  <c r="S221" i="5"/>
  <c r="U221" i="6" s="1"/>
  <c r="D321" i="5"/>
  <c r="F321" i="6" s="1"/>
  <c r="J221" i="5"/>
  <c r="L221" i="6" s="1"/>
  <c r="AC303" i="5"/>
  <c r="AE303" i="6" s="1"/>
  <c r="G325" i="5"/>
  <c r="I325" i="6" s="1"/>
  <c r="L338" i="5"/>
  <c r="N338" i="6" s="1"/>
  <c r="X560" i="5"/>
  <c r="Z560" i="6" s="1"/>
  <c r="W43" i="11" s="1"/>
  <c r="R34" i="5"/>
  <c r="T34" i="6" s="1"/>
  <c r="Q20" i="11" s="1"/>
  <c r="L275" i="5"/>
  <c r="N275" i="6" s="1"/>
  <c r="AB285" i="5"/>
  <c r="AD285" i="6" s="1"/>
  <c r="AG252" i="5"/>
  <c r="AI252" i="6" s="1"/>
  <c r="L241" i="5"/>
  <c r="N241" i="6" s="1"/>
  <c r="N234" i="5"/>
  <c r="P234" i="6" s="1"/>
  <c r="Z224" i="5"/>
  <c r="AB224" i="6" s="1"/>
  <c r="AE221" i="5"/>
  <c r="AG221" i="6" s="1"/>
  <c r="O219" i="5"/>
  <c r="Q219" i="6" s="1"/>
  <c r="AA217" i="5"/>
  <c r="AC217" i="6" s="1"/>
  <c r="AE216" i="5"/>
  <c r="AG216" i="6" s="1"/>
  <c r="Y215" i="5"/>
  <c r="AA215" i="6" s="1"/>
  <c r="AC212" i="5"/>
  <c r="AE212" i="6" s="1"/>
  <c r="M211" i="5"/>
  <c r="O211" i="6" s="1"/>
  <c r="AA210" i="5"/>
  <c r="AC210" i="6" s="1"/>
  <c r="K245" i="5"/>
  <c r="M245" i="6" s="1"/>
  <c r="Y243" i="5"/>
  <c r="AA243" i="6" s="1"/>
  <c r="M238" i="5"/>
  <c r="O238" i="6" s="1"/>
  <c r="G237" i="5"/>
  <c r="I237" i="6" s="1"/>
  <c r="U229" i="5"/>
  <c r="W229" i="6" s="1"/>
  <c r="O224" i="5"/>
  <c r="Q224" i="6" s="1"/>
  <c r="I222" i="5"/>
  <c r="K222" i="6" s="1"/>
  <c r="W217" i="5"/>
  <c r="Y217" i="6" s="1"/>
  <c r="Q216" i="5"/>
  <c r="S216" i="6" s="1"/>
  <c r="U215" i="5"/>
  <c r="W215" i="6" s="1"/>
  <c r="E215" i="5"/>
  <c r="G215" i="6" s="1"/>
  <c r="S214" i="5"/>
  <c r="U214" i="6" s="1"/>
  <c r="W212" i="5"/>
  <c r="Y212" i="6" s="1"/>
  <c r="Q211" i="5"/>
  <c r="S211" i="6" s="1"/>
  <c r="K210" i="5"/>
  <c r="M210" i="6" s="1"/>
  <c r="O209" i="5"/>
  <c r="Q209" i="6" s="1"/>
  <c r="AC208" i="5"/>
  <c r="AE208" i="6" s="1"/>
  <c r="M208" i="5"/>
  <c r="O208" i="6" s="1"/>
  <c r="S204" i="5"/>
  <c r="U204" i="6" s="1"/>
  <c r="I202" i="5"/>
  <c r="K202" i="6" s="1"/>
  <c r="S199" i="5"/>
  <c r="U199" i="6" s="1"/>
  <c r="S197" i="5"/>
  <c r="U197" i="6" s="1"/>
  <c r="I196" i="5"/>
  <c r="K196" i="6" s="1"/>
  <c r="R193" i="5"/>
  <c r="T193" i="6" s="1"/>
  <c r="AB190" i="5"/>
  <c r="AD190" i="6" s="1"/>
  <c r="H188" i="5"/>
  <c r="J188" i="6" s="1"/>
  <c r="L185" i="5"/>
  <c r="N185" i="6" s="1"/>
  <c r="AF183" i="5"/>
  <c r="AH183" i="6" s="1"/>
  <c r="V182" i="5"/>
  <c r="X182" i="6" s="1"/>
  <c r="L181" i="5"/>
  <c r="N181" i="6" s="1"/>
  <c r="AF179" i="5"/>
  <c r="AH179" i="6" s="1"/>
  <c r="L177" i="5"/>
  <c r="N177" i="6" s="1"/>
  <c r="L175" i="5"/>
  <c r="N175" i="6" s="1"/>
  <c r="AF173" i="5"/>
  <c r="AH173" i="6" s="1"/>
  <c r="V154" i="5"/>
  <c r="X154" i="6" s="1"/>
  <c r="L153" i="5"/>
  <c r="N153" i="6" s="1"/>
  <c r="AF151" i="5"/>
  <c r="AH151" i="6" s="1"/>
  <c r="V148" i="5"/>
  <c r="X148" i="6" s="1"/>
  <c r="L147" i="5"/>
  <c r="N147" i="6" s="1"/>
  <c r="AF145" i="5"/>
  <c r="AH145" i="6" s="1"/>
  <c r="V144" i="5"/>
  <c r="X144" i="6" s="1"/>
  <c r="O142" i="5"/>
  <c r="Q142" i="6" s="1"/>
  <c r="N141" i="5"/>
  <c r="P141" i="6" s="1"/>
  <c r="K140" i="5"/>
  <c r="M140" i="6" s="1"/>
  <c r="J139" i="5"/>
  <c r="L139" i="6" s="1"/>
  <c r="F138" i="5"/>
  <c r="H138" i="6" s="1"/>
  <c r="T137" i="5"/>
  <c r="V137" i="6" s="1"/>
  <c r="D137" i="5"/>
  <c r="F137" i="6" s="1"/>
  <c r="R136" i="5"/>
  <c r="T136" i="6" s="1"/>
  <c r="AF135" i="5"/>
  <c r="AH135" i="6" s="1"/>
  <c r="P135" i="5"/>
  <c r="R135" i="6" s="1"/>
  <c r="AD134" i="5"/>
  <c r="AF134" i="6" s="1"/>
  <c r="N134" i="5"/>
  <c r="P134" i="6" s="1"/>
  <c r="Z131" i="5"/>
  <c r="AB131" i="6" s="1"/>
  <c r="J131" i="5"/>
  <c r="L131" i="6" s="1"/>
  <c r="V129" i="5"/>
  <c r="X129" i="6" s="1"/>
  <c r="F129" i="5"/>
  <c r="H129" i="6" s="1"/>
  <c r="J127" i="5"/>
  <c r="L127" i="6" s="1"/>
  <c r="X126" i="5"/>
  <c r="Z126" i="6" s="1"/>
  <c r="AB125" i="5"/>
  <c r="AD125" i="6" s="1"/>
  <c r="AF124" i="5"/>
  <c r="AH124" i="6" s="1"/>
  <c r="F124" i="5"/>
  <c r="H124" i="6" s="1"/>
  <c r="J123" i="5"/>
  <c r="L123" i="6" s="1"/>
  <c r="X122" i="5"/>
  <c r="Z122" i="6" s="1"/>
  <c r="AB121" i="5"/>
  <c r="AD121" i="6" s="1"/>
  <c r="AF120" i="5"/>
  <c r="AH120" i="6" s="1"/>
  <c r="F120" i="5"/>
  <c r="H120" i="6" s="1"/>
  <c r="J119" i="5"/>
  <c r="L119" i="6" s="1"/>
  <c r="X118" i="5"/>
  <c r="Z118" i="6" s="1"/>
  <c r="AB117" i="5"/>
  <c r="AD117" i="6" s="1"/>
  <c r="AF116" i="5"/>
  <c r="AH116" i="6" s="1"/>
  <c r="F116" i="5"/>
  <c r="H116" i="6" s="1"/>
  <c r="J115" i="5"/>
  <c r="L115" i="6" s="1"/>
  <c r="D113" i="5"/>
  <c r="F113" i="6" s="1"/>
  <c r="H111" i="5"/>
  <c r="J111" i="6" s="1"/>
  <c r="L109" i="5"/>
  <c r="N109" i="6" s="1"/>
  <c r="F108" i="5"/>
  <c r="H108" i="6" s="1"/>
  <c r="J106" i="5"/>
  <c r="L106" i="6" s="1"/>
  <c r="D105" i="5"/>
  <c r="F105" i="6" s="1"/>
  <c r="H103" i="5"/>
  <c r="J103" i="6" s="1"/>
  <c r="L101" i="5"/>
  <c r="N101" i="6" s="1"/>
  <c r="P99" i="5"/>
  <c r="R99" i="6" s="1"/>
  <c r="T97" i="5"/>
  <c r="V97" i="6" s="1"/>
  <c r="N96" i="5"/>
  <c r="P96" i="6" s="1"/>
  <c r="R94" i="5"/>
  <c r="T94" i="6" s="1"/>
  <c r="V92" i="5"/>
  <c r="X92" i="6" s="1"/>
  <c r="P91" i="5"/>
  <c r="R91" i="6" s="1"/>
  <c r="T89" i="5"/>
  <c r="V89" i="6" s="1"/>
  <c r="N88" i="5"/>
  <c r="P88" i="6" s="1"/>
  <c r="R86" i="5"/>
  <c r="T86" i="6" s="1"/>
  <c r="V84" i="5"/>
  <c r="X84" i="6" s="1"/>
  <c r="F82" i="5"/>
  <c r="H82" i="6" s="1"/>
  <c r="O80" i="5"/>
  <c r="Q80" i="6" s="1"/>
  <c r="D79" i="5"/>
  <c r="F79" i="6" s="1"/>
  <c r="R77" i="5"/>
  <c r="T77" i="6" s="1"/>
  <c r="V76" i="5"/>
  <c r="X76" i="6" s="1"/>
  <c r="F76" i="5"/>
  <c r="H76" i="6" s="1"/>
  <c r="J75" i="5"/>
  <c r="L75" i="6" s="1"/>
  <c r="S81" i="5"/>
  <c r="U81" i="6" s="1"/>
  <c r="Q79" i="5"/>
  <c r="S79" i="6" s="1"/>
  <c r="I80" i="5"/>
  <c r="K80" i="6" s="1"/>
  <c r="F71" i="5"/>
  <c r="H71" i="6" s="1"/>
  <c r="L66" i="5"/>
  <c r="N66" i="6" s="1"/>
  <c r="T49" i="5"/>
  <c r="V49" i="6" s="1"/>
  <c r="D49" i="5"/>
  <c r="F49" i="6" s="1"/>
  <c r="R48" i="5"/>
  <c r="T48" i="6" s="1"/>
  <c r="AF47" i="5"/>
  <c r="AH47" i="6" s="1"/>
  <c r="P47" i="5"/>
  <c r="R47" i="6" s="1"/>
  <c r="AD45" i="5"/>
  <c r="AF45" i="6" s="1"/>
  <c r="N45" i="5"/>
  <c r="P45" i="6" s="1"/>
  <c r="AB44" i="5"/>
  <c r="AD44" i="6" s="1"/>
  <c r="L44" i="5"/>
  <c r="N44" i="6" s="1"/>
  <c r="Z43" i="5"/>
  <c r="AB43" i="6" s="1"/>
  <c r="J43" i="5"/>
  <c r="L43" i="6" s="1"/>
  <c r="U40" i="5"/>
  <c r="W40" i="6" s="1"/>
  <c r="AB39" i="5"/>
  <c r="AD39" i="6" s="1"/>
  <c r="AE38" i="5"/>
  <c r="AG38" i="6" s="1"/>
  <c r="H38" i="5"/>
  <c r="J38" i="6" s="1"/>
  <c r="U36" i="5"/>
  <c r="W36" i="6" s="1"/>
  <c r="E36" i="5"/>
  <c r="G36" i="6" s="1"/>
  <c r="S35" i="5"/>
  <c r="U35" i="6" s="1"/>
  <c r="AG34" i="5"/>
  <c r="AI34" i="6" s="1"/>
  <c r="Q34" i="5"/>
  <c r="S34" i="6" s="1"/>
  <c r="M572" i="5"/>
  <c r="O572" i="6" s="1"/>
  <c r="L49" i="11" s="1"/>
  <c r="L112" i="11" s="1"/>
  <c r="AE572" i="5"/>
  <c r="AG572" i="6" s="1"/>
  <c r="AD49" i="11" s="1"/>
  <c r="AD112" i="11" s="1"/>
  <c r="Y572" i="5"/>
  <c r="AA572" i="6" s="1"/>
  <c r="X49" i="11" s="1"/>
  <c r="X112" i="11" s="1"/>
  <c r="E572" i="5"/>
  <c r="G572" i="6" s="1"/>
  <c r="D49" i="11" s="1"/>
  <c r="D112" i="11" s="1"/>
  <c r="R572" i="5"/>
  <c r="T572" i="6" s="1"/>
  <c r="Q49" i="11" s="1"/>
  <c r="Q112" i="11" s="1"/>
  <c r="P337" i="5"/>
  <c r="R337" i="6" s="1"/>
  <c r="T55" i="5"/>
  <c r="V55" i="6" s="1"/>
  <c r="AB51" i="5"/>
  <c r="AD51" i="6" s="1"/>
  <c r="V71" i="5"/>
  <c r="X71" i="6" s="1"/>
  <c r="AD71" i="5"/>
  <c r="AF71" i="6" s="1"/>
  <c r="G51" i="5"/>
  <c r="I51" i="6" s="1"/>
  <c r="O55" i="5"/>
  <c r="Q55" i="6" s="1"/>
  <c r="Q53" i="5"/>
  <c r="S53" i="6" s="1"/>
  <c r="S51" i="5"/>
  <c r="U51" i="6" s="1"/>
  <c r="AE51" i="5"/>
  <c r="AG51" i="6" s="1"/>
  <c r="N67" i="5"/>
  <c r="P67" i="6" s="1"/>
  <c r="U66" i="5"/>
  <c r="W66" i="6" s="1"/>
  <c r="Y66" i="5"/>
  <c r="AA66" i="6" s="1"/>
  <c r="AE71" i="5"/>
  <c r="AG71" i="6" s="1"/>
  <c r="Q54" i="5"/>
  <c r="S54" i="6" s="1"/>
  <c r="O62" i="5"/>
  <c r="Q62" i="6" s="1"/>
  <c r="J55" i="5"/>
  <c r="L55" i="6" s="1"/>
  <c r="W54" i="5"/>
  <c r="Y54" i="6" s="1"/>
  <c r="R51" i="5"/>
  <c r="T51" i="6" s="1"/>
  <c r="Z55" i="5"/>
  <c r="AB55" i="6" s="1"/>
  <c r="U62" i="5"/>
  <c r="W62" i="6" s="1"/>
  <c r="R66" i="5"/>
  <c r="T66" i="6" s="1"/>
  <c r="Z66" i="5"/>
  <c r="AB66" i="6" s="1"/>
  <c r="AF71" i="5"/>
  <c r="AH71" i="6" s="1"/>
  <c r="R53" i="5"/>
  <c r="T53" i="6" s="1"/>
  <c r="W62" i="5"/>
  <c r="Y62" i="6" s="1"/>
  <c r="F55" i="5"/>
  <c r="H55" i="6" s="1"/>
  <c r="O54" i="5"/>
  <c r="Q54" i="6" s="1"/>
  <c r="I55" i="5"/>
  <c r="K55" i="6" s="1"/>
  <c r="E51" i="5"/>
  <c r="G51" i="6" s="1"/>
  <c r="V54" i="5"/>
  <c r="X54" i="6" s="1"/>
  <c r="O53" i="5"/>
  <c r="Q53" i="6" s="1"/>
  <c r="Q51" i="5"/>
  <c r="S51" i="6" s="1"/>
  <c r="AG51" i="5"/>
  <c r="AI51" i="6" s="1"/>
  <c r="V62" i="5"/>
  <c r="X62" i="6" s="1"/>
  <c r="S66" i="5"/>
  <c r="U66" i="6" s="1"/>
  <c r="AA66" i="5"/>
  <c r="AC66" i="6" s="1"/>
  <c r="AG71" i="5"/>
  <c r="AI71" i="6" s="1"/>
  <c r="U246" i="5"/>
  <c r="W246" i="6" s="1"/>
  <c r="N246" i="5"/>
  <c r="P246" i="6" s="1"/>
  <c r="M221" i="5"/>
  <c r="O221" i="6" s="1"/>
  <c r="F328" i="5"/>
  <c r="H328" i="6" s="1"/>
  <c r="V221" i="5"/>
  <c r="X221" i="6" s="1"/>
  <c r="L325" i="5"/>
  <c r="N325" i="6" s="1"/>
  <c r="G221" i="5"/>
  <c r="I221" i="6" s="1"/>
  <c r="W221" i="5"/>
  <c r="Y221" i="6" s="1"/>
  <c r="D325" i="5"/>
  <c r="F325" i="6" s="1"/>
  <c r="J338" i="5"/>
  <c r="L338" i="6" s="1"/>
  <c r="U311" i="5"/>
  <c r="W311" i="6" s="1"/>
  <c r="R221" i="5"/>
  <c r="T221" i="6" s="1"/>
  <c r="L221" i="5"/>
  <c r="N221" i="6" s="1"/>
  <c r="I311" i="5"/>
  <c r="K311" i="6" s="1"/>
  <c r="AB325" i="5"/>
  <c r="AD325" i="6" s="1"/>
  <c r="AA560" i="5"/>
  <c r="AC560" i="6" s="1"/>
  <c r="Z43" i="11" s="1"/>
  <c r="D35" i="5"/>
  <c r="F35" i="6" s="1"/>
  <c r="C20" i="11" s="1"/>
  <c r="C19" i="11" s="1"/>
  <c r="C93" i="11" s="1"/>
  <c r="D12" i="5"/>
  <c r="F12" i="6" s="1"/>
  <c r="C14" i="11" s="1"/>
  <c r="D16" i="5"/>
  <c r="F16" i="6" s="1"/>
  <c r="D18" i="5"/>
  <c r="F18" i="6" s="1"/>
  <c r="D24" i="5"/>
  <c r="F24" i="6" s="1"/>
  <c r="D27" i="5"/>
  <c r="F27" i="6" s="1"/>
  <c r="D28" i="5"/>
  <c r="F28" i="6" s="1"/>
  <c r="G12" i="6"/>
  <c r="D14" i="11" s="1"/>
  <c r="D13" i="5"/>
  <c r="F13" i="6" s="1"/>
  <c r="C15" i="11" s="1"/>
  <c r="D17" i="5"/>
  <c r="F17" i="6" s="1"/>
  <c r="D26" i="5"/>
  <c r="F26" i="6" s="1"/>
  <c r="D31" i="5"/>
  <c r="F31" i="6" s="1"/>
  <c r="E42" i="11" l="1"/>
  <c r="E110" i="11" s="1"/>
  <c r="Z42" i="11"/>
  <c r="Z110" i="11" s="1"/>
  <c r="I19" i="11"/>
  <c r="I93" i="11" s="1"/>
  <c r="R42" i="11"/>
  <c r="R110" i="11" s="1"/>
  <c r="C42" i="11"/>
  <c r="C110" i="11" s="1"/>
  <c r="C139" i="11" s="1"/>
  <c r="AE42" i="11"/>
  <c r="AE110" i="11" s="1"/>
  <c r="AF42" i="11"/>
  <c r="AF110" i="11" s="1"/>
  <c r="U42" i="11"/>
  <c r="U110" i="11" s="1"/>
  <c r="W42" i="11"/>
  <c r="W110" i="11" s="1"/>
  <c r="K42" i="11"/>
  <c r="K110" i="11" s="1"/>
  <c r="Y42" i="11"/>
  <c r="Y110" i="11" s="1"/>
  <c r="S42" i="11"/>
  <c r="S110" i="11" s="1"/>
  <c r="O42" i="11"/>
  <c r="O110" i="11" s="1"/>
  <c r="M42" i="11"/>
  <c r="M110" i="11" s="1"/>
  <c r="I53" i="11"/>
  <c r="I52" i="11" s="1"/>
  <c r="I115" i="11" s="1"/>
  <c r="J53" i="11"/>
  <c r="AC53" i="11"/>
  <c r="AC52" i="11" s="1"/>
  <c r="AC115" i="11" s="1"/>
  <c r="N53" i="11"/>
  <c r="N52" i="11" s="1"/>
  <c r="N115" i="11" s="1"/>
  <c r="Q53" i="11"/>
  <c r="Q52" i="11" s="1"/>
  <c r="Q115" i="11" s="1"/>
  <c r="E53" i="11"/>
  <c r="C53" i="11"/>
  <c r="C52" i="11" s="1"/>
  <c r="C115" i="11" s="1"/>
  <c r="Y53" i="11"/>
  <c r="L53" i="11"/>
  <c r="R53" i="11"/>
  <c r="R52" i="11" s="1"/>
  <c r="R115" i="11" s="1"/>
  <c r="L54" i="11"/>
  <c r="V53" i="11"/>
  <c r="V52" i="11" s="1"/>
  <c r="V115" i="11" s="1"/>
  <c r="AA53" i="11"/>
  <c r="AA52" i="11" s="1"/>
  <c r="AA115" i="11" s="1"/>
  <c r="W53" i="11"/>
  <c r="W52" i="11" s="1"/>
  <c r="W115" i="11" s="1"/>
  <c r="J54" i="11"/>
  <c r="T53" i="11"/>
  <c r="T52" i="11" s="1"/>
  <c r="T115" i="11" s="1"/>
  <c r="AF54" i="11"/>
  <c r="Y54" i="11"/>
  <c r="E54" i="11"/>
  <c r="M53" i="11"/>
  <c r="M52" i="11" s="1"/>
  <c r="M115" i="11" s="1"/>
  <c r="H53" i="11"/>
  <c r="AB54" i="11"/>
  <c r="Z53" i="11"/>
  <c r="Z52" i="11" s="1"/>
  <c r="Z115" i="11" s="1"/>
  <c r="O53" i="11"/>
  <c r="O52" i="11" s="1"/>
  <c r="O115" i="11" s="1"/>
  <c r="AB53" i="11"/>
  <c r="AE53" i="11"/>
  <c r="AE52" i="11" s="1"/>
  <c r="AE115" i="11" s="1"/>
  <c r="P53" i="11"/>
  <c r="P52" i="11" s="1"/>
  <c r="P115" i="11" s="1"/>
  <c r="D53" i="11"/>
  <c r="D52" i="11" s="1"/>
  <c r="D115" i="11" s="1"/>
  <c r="AD53" i="11"/>
  <c r="X53" i="11"/>
  <c r="X52" i="11" s="1"/>
  <c r="X115" i="11" s="1"/>
  <c r="F53" i="11"/>
  <c r="F52" i="11" s="1"/>
  <c r="F115" i="11" s="1"/>
  <c r="U53" i="11"/>
  <c r="U52" i="11" s="1"/>
  <c r="U115" i="11" s="1"/>
  <c r="H54" i="11"/>
  <c r="AD54" i="11"/>
  <c r="S53" i="11"/>
  <c r="S52" i="11" s="1"/>
  <c r="S115" i="11" s="1"/>
  <c r="G53" i="11"/>
  <c r="G52" i="11" s="1"/>
  <c r="G115" i="11" s="1"/>
  <c r="AF53" i="11"/>
  <c r="AF52" i="11" s="1"/>
  <c r="AF115" i="11" s="1"/>
  <c r="K53" i="11"/>
  <c r="K52" i="11" s="1"/>
  <c r="K115" i="11" s="1"/>
  <c r="O24" i="11"/>
  <c r="I50" i="11"/>
  <c r="I113" i="11" s="1"/>
  <c r="J50" i="11"/>
  <c r="J113" i="11" s="1"/>
  <c r="Q50" i="11"/>
  <c r="Q58" i="11" s="1"/>
  <c r="N50" i="11"/>
  <c r="N58" i="11" s="1"/>
  <c r="K50" i="11"/>
  <c r="K58" i="11" s="1"/>
  <c r="J30" i="11"/>
  <c r="J100" i="11" s="1"/>
  <c r="O36" i="11"/>
  <c r="O106" i="11" s="1"/>
  <c r="X13" i="11"/>
  <c r="X91" i="11" s="1"/>
  <c r="H13" i="11"/>
  <c r="H91" i="11" s="1"/>
  <c r="F30" i="11"/>
  <c r="F100" i="11" s="1"/>
  <c r="N20" i="11"/>
  <c r="D25" i="11"/>
  <c r="D95" i="11" s="1"/>
  <c r="AF20" i="11"/>
  <c r="J25" i="11"/>
  <c r="J95" i="11" s="1"/>
  <c r="T24" i="11"/>
  <c r="T22" i="11" s="1"/>
  <c r="T94" i="11" s="1"/>
  <c r="AA25" i="11"/>
  <c r="AA95" i="11" s="1"/>
  <c r="AC17" i="11"/>
  <c r="X24" i="11"/>
  <c r="X22" i="11" s="1"/>
  <c r="X94" i="11" s="1"/>
  <c r="I23" i="11"/>
  <c r="G25" i="11"/>
  <c r="G95" i="11" s="1"/>
  <c r="AA30" i="11"/>
  <c r="AA100" i="11" s="1"/>
  <c r="R31" i="11"/>
  <c r="R101" i="11" s="1"/>
  <c r="H24" i="11"/>
  <c r="H22" i="11" s="1"/>
  <c r="H94" i="11" s="1"/>
  <c r="AC25" i="11"/>
  <c r="AC95" i="11" s="1"/>
  <c r="AB13" i="11"/>
  <c r="AB91" i="11" s="1"/>
  <c r="L13" i="11"/>
  <c r="L91" i="11" s="1"/>
  <c r="AE13" i="11"/>
  <c r="AE91" i="11" s="1"/>
  <c r="AC13" i="11"/>
  <c r="AC91" i="11" s="1"/>
  <c r="D20" i="11"/>
  <c r="S24" i="11"/>
  <c r="I25" i="11"/>
  <c r="I95" i="11" s="1"/>
  <c r="Y23" i="11"/>
  <c r="M23" i="11"/>
  <c r="R50" i="11"/>
  <c r="AF13" i="11"/>
  <c r="AF91" i="11" s="1"/>
  <c r="P13" i="11"/>
  <c r="P91" i="11" s="1"/>
  <c r="O13" i="11"/>
  <c r="O91" i="11" s="1"/>
  <c r="Y50" i="11"/>
  <c r="U30" i="11"/>
  <c r="U100" i="11" s="1"/>
  <c r="AE21" i="11"/>
  <c r="AE19" i="11" s="1"/>
  <c r="AE93" i="11" s="1"/>
  <c r="Z30" i="11"/>
  <c r="Z100" i="11" s="1"/>
  <c r="P33" i="11"/>
  <c r="P103" i="11" s="1"/>
  <c r="U20" i="11"/>
  <c r="N23" i="11"/>
  <c r="N22" i="11" s="1"/>
  <c r="N94" i="11" s="1"/>
  <c r="S30" i="11"/>
  <c r="S100" i="11" s="1"/>
  <c r="H50" i="11"/>
  <c r="E13" i="11"/>
  <c r="E91" i="11" s="1"/>
  <c r="K30" i="11"/>
  <c r="K100" i="11" s="1"/>
  <c r="O51" i="11"/>
  <c r="E25" i="11"/>
  <c r="E95" i="11" s="1"/>
  <c r="Q25" i="11"/>
  <c r="Q95" i="11" s="1"/>
  <c r="P20" i="11"/>
  <c r="AE24" i="11"/>
  <c r="U27" i="11"/>
  <c r="U97" i="11" s="1"/>
  <c r="U31" i="11"/>
  <c r="U101" i="11" s="1"/>
  <c r="P27" i="11"/>
  <c r="P97" i="11" s="1"/>
  <c r="H31" i="11"/>
  <c r="H101" i="11" s="1"/>
  <c r="AB31" i="11"/>
  <c r="AB101" i="11" s="1"/>
  <c r="P31" i="11"/>
  <c r="P101" i="11" s="1"/>
  <c r="D13" i="11"/>
  <c r="D91" i="11" s="1"/>
  <c r="F25" i="11"/>
  <c r="F95" i="11" s="1"/>
  <c r="E20" i="11"/>
  <c r="E19" i="11" s="1"/>
  <c r="E93" i="11" s="1"/>
  <c r="V36" i="11"/>
  <c r="V106" i="11" s="1"/>
  <c r="AE39" i="11"/>
  <c r="M50" i="11"/>
  <c r="Q51" i="11"/>
  <c r="AD18" i="11"/>
  <c r="N18" i="11"/>
  <c r="T13" i="11"/>
  <c r="T91" i="11" s="1"/>
  <c r="Q18" i="11"/>
  <c r="AE17" i="11"/>
  <c r="W13" i="11"/>
  <c r="W91" i="11" s="1"/>
  <c r="Z21" i="11"/>
  <c r="Y36" i="11"/>
  <c r="Y106" i="11" s="1"/>
  <c r="U17" i="11"/>
  <c r="AF31" i="11"/>
  <c r="AF101" i="11" s="1"/>
  <c r="N35" i="11"/>
  <c r="N105" i="11" s="1"/>
  <c r="G50" i="11"/>
  <c r="AD21" i="11"/>
  <c r="E30" i="11"/>
  <c r="E100" i="11" s="1"/>
  <c r="N21" i="11"/>
  <c r="R23" i="11"/>
  <c r="R22" i="11" s="1"/>
  <c r="R94" i="11" s="1"/>
  <c r="F28" i="11"/>
  <c r="F98" i="11" s="1"/>
  <c r="P34" i="11"/>
  <c r="P104" i="11" s="1"/>
  <c r="Z18" i="11"/>
  <c r="J18" i="11"/>
  <c r="T17" i="11"/>
  <c r="D17" i="11"/>
  <c r="W17" i="11"/>
  <c r="P21" i="11"/>
  <c r="AA13" i="11"/>
  <c r="AA91" i="11" s="1"/>
  <c r="U21" i="11"/>
  <c r="AC34" i="11"/>
  <c r="AC104" i="11" s="1"/>
  <c r="O30" i="11"/>
  <c r="O100" i="11" s="1"/>
  <c r="AC31" i="11"/>
  <c r="AC101" i="11" s="1"/>
  <c r="D31" i="11"/>
  <c r="D101" i="11" s="1"/>
  <c r="J36" i="11"/>
  <c r="J106" i="11" s="1"/>
  <c r="AA50" i="11"/>
  <c r="P51" i="11"/>
  <c r="S17" i="11"/>
  <c r="G13" i="11"/>
  <c r="G91" i="11" s="1"/>
  <c r="M51" i="11"/>
  <c r="AE18" i="11"/>
  <c r="V30" i="11"/>
  <c r="V100" i="11" s="1"/>
  <c r="F50" i="11"/>
  <c r="L31" i="11"/>
  <c r="L101" i="11" s="1"/>
  <c r="M25" i="11"/>
  <c r="M95" i="11" s="1"/>
  <c r="L26" i="11"/>
  <c r="L96" i="11" s="1"/>
  <c r="T31" i="11"/>
  <c r="T101" i="11" s="1"/>
  <c r="AF25" i="11"/>
  <c r="AF95" i="11" s="1"/>
  <c r="AD25" i="11"/>
  <c r="AD95" i="11" s="1"/>
  <c r="G21" i="11"/>
  <c r="G19" i="11" s="1"/>
  <c r="G93" i="11" s="1"/>
  <c r="I26" i="11"/>
  <c r="I96" i="11" s="1"/>
  <c r="AE34" i="11"/>
  <c r="AE104" i="11" s="1"/>
  <c r="L38" i="11"/>
  <c r="T20" i="11"/>
  <c r="M26" i="11"/>
  <c r="M96" i="11" s="1"/>
  <c r="P38" i="11"/>
  <c r="X25" i="11"/>
  <c r="X95" i="11" s="1"/>
  <c r="O25" i="11"/>
  <c r="O95" i="11" s="1"/>
  <c r="X20" i="11"/>
  <c r="M27" i="11"/>
  <c r="M97" i="11" s="1"/>
  <c r="AC30" i="11"/>
  <c r="AC100" i="11" s="1"/>
  <c r="R36" i="11"/>
  <c r="R106" i="11" s="1"/>
  <c r="N26" i="11"/>
  <c r="N96" i="11" s="1"/>
  <c r="Q38" i="11"/>
  <c r="R20" i="11"/>
  <c r="R19" i="11" s="1"/>
  <c r="R93" i="11" s="1"/>
  <c r="T27" i="11"/>
  <c r="T97" i="11" s="1"/>
  <c r="X31" i="11"/>
  <c r="X101" i="11" s="1"/>
  <c r="E36" i="11"/>
  <c r="E106" i="11" s="1"/>
  <c r="H26" i="11"/>
  <c r="H96" i="11" s="1"/>
  <c r="W24" i="11"/>
  <c r="AA29" i="11"/>
  <c r="AA99" i="11" s="1"/>
  <c r="M30" i="11"/>
  <c r="M100" i="11" s="1"/>
  <c r="P25" i="11"/>
  <c r="P95" i="11" s="1"/>
  <c r="R25" i="11"/>
  <c r="R95" i="11" s="1"/>
  <c r="K28" i="11"/>
  <c r="K98" i="11" s="1"/>
  <c r="I29" i="11"/>
  <c r="I99" i="11" s="1"/>
  <c r="M31" i="11"/>
  <c r="M101" i="11" s="1"/>
  <c r="U32" i="11"/>
  <c r="U102" i="11" s="1"/>
  <c r="AE33" i="11"/>
  <c r="AE103" i="11" s="1"/>
  <c r="AB38" i="11"/>
  <c r="H25" i="11"/>
  <c r="H95" i="11" s="1"/>
  <c r="AE25" i="11"/>
  <c r="AE95" i="11" s="1"/>
  <c r="V25" i="11"/>
  <c r="V95" i="11" s="1"/>
  <c r="W29" i="11"/>
  <c r="W99" i="11" s="1"/>
  <c r="I30" i="11"/>
  <c r="I100" i="11" s="1"/>
  <c r="Q31" i="11"/>
  <c r="Q101" i="11" s="1"/>
  <c r="AE32" i="11"/>
  <c r="AE102" i="11" s="1"/>
  <c r="AF38" i="11"/>
  <c r="L25" i="11"/>
  <c r="L95" i="11" s="1"/>
  <c r="T21" i="11"/>
  <c r="T19" i="11" s="1"/>
  <c r="T93" i="11" s="1"/>
  <c r="Q23" i="11"/>
  <c r="K34" i="11"/>
  <c r="K104" i="11" s="1"/>
  <c r="D38" i="11"/>
  <c r="X29" i="11"/>
  <c r="X99" i="11" s="1"/>
  <c r="W38" i="11"/>
  <c r="Q21" i="11"/>
  <c r="Q19" i="11" s="1"/>
  <c r="Q93" i="11" s="1"/>
  <c r="S25" i="11"/>
  <c r="S95" i="11" s="1"/>
  <c r="W19" i="11"/>
  <c r="W93" i="11" s="1"/>
  <c r="D26" i="11"/>
  <c r="D96" i="11" s="1"/>
  <c r="K38" i="11"/>
  <c r="AE38" i="11"/>
  <c r="H20" i="11"/>
  <c r="H19" i="11" s="1"/>
  <c r="H93" i="11" s="1"/>
  <c r="Y25" i="11"/>
  <c r="Y95" i="11" s="1"/>
  <c r="T25" i="11"/>
  <c r="T95" i="11" s="1"/>
  <c r="AC23" i="11"/>
  <c r="Y30" i="11"/>
  <c r="Y100" i="11" s="1"/>
  <c r="H36" i="11"/>
  <c r="H106" i="11" s="1"/>
  <c r="U25" i="11"/>
  <c r="U95" i="11" s="1"/>
  <c r="G24" i="11"/>
  <c r="Q26" i="11"/>
  <c r="Q96" i="11" s="1"/>
  <c r="E31" i="11"/>
  <c r="E101" i="11" s="1"/>
  <c r="K33" i="11"/>
  <c r="K103" i="11" s="1"/>
  <c r="T38" i="11"/>
  <c r="S38" i="11"/>
  <c r="P26" i="11"/>
  <c r="P96" i="11" s="1"/>
  <c r="J28" i="11"/>
  <c r="J98" i="11" s="1"/>
  <c r="I34" i="11"/>
  <c r="I104" i="11" s="1"/>
  <c r="G38" i="11"/>
  <c r="AA38" i="11"/>
  <c r="S19" i="11"/>
  <c r="S93" i="11" s="1"/>
  <c r="O38" i="11"/>
  <c r="S39" i="11"/>
  <c r="J39" i="11"/>
  <c r="W39" i="11"/>
  <c r="X17" i="11"/>
  <c r="H17" i="11"/>
  <c r="J26" i="11"/>
  <c r="J96" i="11" s="1"/>
  <c r="G29" i="11"/>
  <c r="G99" i="11" s="1"/>
  <c r="G18" i="11"/>
  <c r="E26" i="11"/>
  <c r="E96" i="11" s="1"/>
  <c r="U34" i="11"/>
  <c r="U104" i="11" s="1"/>
  <c r="Q35" i="11"/>
  <c r="Q105" i="11" s="1"/>
  <c r="H38" i="11"/>
  <c r="M20" i="11"/>
  <c r="M19" i="11" s="1"/>
  <c r="M93" i="11" s="1"/>
  <c r="F23" i="11"/>
  <c r="F22" i="11" s="1"/>
  <c r="F94" i="11" s="1"/>
  <c r="M34" i="11"/>
  <c r="M104" i="11" s="1"/>
  <c r="D35" i="11"/>
  <c r="D105" i="11" s="1"/>
  <c r="E38" i="11"/>
  <c r="F20" i="11"/>
  <c r="F19" i="11" s="1"/>
  <c r="F93" i="11" s="1"/>
  <c r="Y24" i="11"/>
  <c r="AF36" i="11"/>
  <c r="AF106" i="11" s="1"/>
  <c r="C135" i="11" s="1"/>
  <c r="D39" i="11"/>
  <c r="U18" i="11"/>
  <c r="G17" i="11"/>
  <c r="L20" i="11"/>
  <c r="L19" i="11" s="1"/>
  <c r="L93" i="11" s="1"/>
  <c r="U23" i="11"/>
  <c r="J29" i="11"/>
  <c r="J99" i="11" s="1"/>
  <c r="Q24" i="11"/>
  <c r="G26" i="11"/>
  <c r="G96" i="11" s="1"/>
  <c r="Y17" i="11"/>
  <c r="J23" i="11"/>
  <c r="J22" i="11" s="1"/>
  <c r="J94" i="11" s="1"/>
  <c r="V26" i="11"/>
  <c r="V96" i="11" s="1"/>
  <c r="H28" i="11"/>
  <c r="H98" i="11" s="1"/>
  <c r="F29" i="11"/>
  <c r="F99" i="11" s="1"/>
  <c r="J31" i="11"/>
  <c r="J101" i="11" s="1"/>
  <c r="M32" i="11"/>
  <c r="M102" i="11" s="1"/>
  <c r="W33" i="11"/>
  <c r="W103" i="11" s="1"/>
  <c r="Y38" i="11"/>
  <c r="AA21" i="11"/>
  <c r="AA19" i="11" s="1"/>
  <c r="AA93" i="11" s="1"/>
  <c r="W23" i="11"/>
  <c r="S26" i="11"/>
  <c r="S96" i="11" s="1"/>
  <c r="E28" i="11"/>
  <c r="E98" i="11" s="1"/>
  <c r="N38" i="11"/>
  <c r="R39" i="11"/>
  <c r="E39" i="11"/>
  <c r="AB18" i="11"/>
  <c r="L18" i="11"/>
  <c r="R17" i="11"/>
  <c r="AD13" i="11"/>
  <c r="AD91" i="11" s="1"/>
  <c r="N13" i="11"/>
  <c r="N91" i="11" s="1"/>
  <c r="AA23" i="11"/>
  <c r="R38" i="11"/>
  <c r="O18" i="11"/>
  <c r="Q17" i="11"/>
  <c r="Y13" i="11"/>
  <c r="Y91" i="11" s="1"/>
  <c r="O23" i="11"/>
  <c r="K26" i="11"/>
  <c r="K96" i="11" s="1"/>
  <c r="G35" i="11"/>
  <c r="G105" i="11" s="1"/>
  <c r="C134" i="11" s="1"/>
  <c r="F38" i="11"/>
  <c r="I18" i="11"/>
  <c r="X21" i="11"/>
  <c r="AD31" i="11"/>
  <c r="AD101" i="11" s="1"/>
  <c r="W32" i="11"/>
  <c r="W102" i="11" s="1"/>
  <c r="AC38" i="11"/>
  <c r="I28" i="11"/>
  <c r="I98" i="11" s="1"/>
  <c r="Z39" i="11"/>
  <c r="N39" i="11"/>
  <c r="Q39" i="11"/>
  <c r="I17" i="11"/>
  <c r="Q13" i="11"/>
  <c r="Q91" i="11" s="1"/>
  <c r="K25" i="11"/>
  <c r="K95" i="11" s="1"/>
  <c r="W25" i="11"/>
  <c r="W95" i="11" s="1"/>
  <c r="Z25" i="11"/>
  <c r="Z95" i="11" s="1"/>
  <c r="U26" i="11"/>
  <c r="U96" i="11" s="1"/>
  <c r="G28" i="11"/>
  <c r="G98" i="11" s="1"/>
  <c r="E29" i="11"/>
  <c r="E99" i="11" s="1"/>
  <c r="I31" i="11"/>
  <c r="I101" i="11" s="1"/>
  <c r="K32" i="11"/>
  <c r="K102" i="11" s="1"/>
  <c r="U33" i="11"/>
  <c r="U103" i="11" s="1"/>
  <c r="X38" i="11"/>
  <c r="AC20" i="11"/>
  <c r="AC19" i="11" s="1"/>
  <c r="AC93" i="11" s="1"/>
  <c r="V23" i="11"/>
  <c r="V22" i="11" s="1"/>
  <c r="V94" i="11" s="1"/>
  <c r="R26" i="11"/>
  <c r="R96" i="11" s="1"/>
  <c r="D28" i="11"/>
  <c r="D98" i="11" s="1"/>
  <c r="F31" i="11"/>
  <c r="F101" i="11" s="1"/>
  <c r="M33" i="11"/>
  <c r="M103" i="11" s="1"/>
  <c r="U38" i="11"/>
  <c r="V20" i="11"/>
  <c r="O26" i="11"/>
  <c r="O96" i="11" s="1"/>
  <c r="Z34" i="11"/>
  <c r="Z104" i="11" s="1"/>
  <c r="AA35" i="11"/>
  <c r="AA105" i="11" s="1"/>
  <c r="J38" i="11"/>
  <c r="U39" i="11"/>
  <c r="I39" i="11"/>
  <c r="V39" i="11"/>
  <c r="M18" i="11"/>
  <c r="AF21" i="11"/>
  <c r="M17" i="11"/>
  <c r="U13" i="11"/>
  <c r="U91" i="11" s="1"/>
  <c r="Z23" i="11"/>
  <c r="Z22" i="11" s="1"/>
  <c r="Z94" i="11" s="1"/>
  <c r="AF29" i="11"/>
  <c r="AF99" i="11" s="1"/>
  <c r="R30" i="11"/>
  <c r="R100" i="11" s="1"/>
  <c r="Z31" i="11"/>
  <c r="Z101" i="11" s="1"/>
  <c r="M24" i="11"/>
  <c r="AC29" i="11"/>
  <c r="AC99" i="11" s="1"/>
  <c r="O31" i="11"/>
  <c r="O101" i="11" s="1"/>
  <c r="Z32" i="11"/>
  <c r="Z102" i="11" s="1"/>
  <c r="AD38" i="11"/>
  <c r="X18" i="11"/>
  <c r="H18" i="11"/>
  <c r="AD17" i="11"/>
  <c r="N17" i="11"/>
  <c r="Z13" i="11"/>
  <c r="Z91" i="11" s="1"/>
  <c r="J13" i="11"/>
  <c r="J91" i="11" s="1"/>
  <c r="S31" i="11"/>
  <c r="S101" i="11" s="1"/>
  <c r="AD39" i="11"/>
  <c r="X39" i="11"/>
  <c r="O39" i="11"/>
  <c r="I13" i="11"/>
  <c r="I91" i="11" s="1"/>
  <c r="AE23" i="11"/>
  <c r="E24" i="11"/>
  <c r="K29" i="11"/>
  <c r="K99" i="11" s="1"/>
  <c r="G30" i="11"/>
  <c r="G100" i="11" s="1"/>
  <c r="G31" i="11"/>
  <c r="G101" i="11" s="1"/>
  <c r="F32" i="11"/>
  <c r="F102" i="11" s="1"/>
  <c r="V38" i="11"/>
  <c r="M39" i="11"/>
  <c r="V18" i="11"/>
  <c r="F18" i="11"/>
  <c r="AF17" i="11"/>
  <c r="P17" i="11"/>
  <c r="D23" i="11"/>
  <c r="AC39" i="11"/>
  <c r="N25" i="11"/>
  <c r="N95" i="11" s="1"/>
  <c r="AE29" i="11"/>
  <c r="AE99" i="11" s="1"/>
  <c r="Q30" i="11"/>
  <c r="Q100" i="11" s="1"/>
  <c r="Y31" i="11"/>
  <c r="Y101" i="11" s="1"/>
  <c r="L24" i="11"/>
  <c r="L22" i="11" s="1"/>
  <c r="L94" i="11" s="1"/>
  <c r="AB29" i="11"/>
  <c r="AB99" i="11" s="1"/>
  <c r="N30" i="11"/>
  <c r="N100" i="11" s="1"/>
  <c r="V31" i="11"/>
  <c r="V101" i="11" s="1"/>
  <c r="AB39" i="11"/>
  <c r="V21" i="11"/>
  <c r="S23" i="11"/>
  <c r="Y29" i="11"/>
  <c r="Y99" i="11" s="1"/>
  <c r="K31" i="11"/>
  <c r="K101" i="11" s="1"/>
  <c r="P32" i="11"/>
  <c r="P102" i="11" s="1"/>
  <c r="Z33" i="11"/>
  <c r="Z103" i="11" s="1"/>
  <c r="Z38" i="11"/>
  <c r="E18" i="11"/>
  <c r="AA17" i="11"/>
  <c r="K24" i="11"/>
  <c r="V27" i="11"/>
  <c r="V97" i="11" s="1"/>
  <c r="K23" i="11"/>
  <c r="F34" i="11"/>
  <c r="F104" i="11" s="1"/>
  <c r="W18" i="11"/>
  <c r="E17" i="11"/>
  <c r="M13" i="11"/>
  <c r="M91" i="11" s="1"/>
  <c r="P24" i="11"/>
  <c r="P22" i="11" s="1"/>
  <c r="P94" i="11" s="1"/>
  <c r="R27" i="11"/>
  <c r="R97" i="11" s="1"/>
  <c r="AD36" i="11"/>
  <c r="AD106" i="11" s="1"/>
  <c r="J20" i="11"/>
  <c r="J19" i="11" s="1"/>
  <c r="J93" i="11" s="1"/>
  <c r="AC24" i="11"/>
  <c r="O27" i="11"/>
  <c r="O97" i="11" s="1"/>
  <c r="AE30" i="11"/>
  <c r="AE100" i="11" s="1"/>
  <c r="AE31" i="11"/>
  <c r="AE101" i="11" s="1"/>
  <c r="E23" i="11"/>
  <c r="AF39" i="11"/>
  <c r="T18" i="11"/>
  <c r="D18" i="11"/>
  <c r="Z17" i="11"/>
  <c r="J17" i="11"/>
  <c r="V13" i="11"/>
  <c r="V91" i="11" s="1"/>
  <c r="F13" i="11"/>
  <c r="F91" i="11" s="1"/>
  <c r="AA24" i="11"/>
  <c r="AD23" i="11"/>
  <c r="AD22" i="11" s="1"/>
  <c r="AD94" i="11" s="1"/>
  <c r="L28" i="11"/>
  <c r="L98" i="11" s="1"/>
  <c r="AD20" i="11"/>
  <c r="F33" i="11"/>
  <c r="F103" i="11" s="1"/>
  <c r="L36" i="11"/>
  <c r="L106" i="11" s="1"/>
  <c r="L39" i="11"/>
  <c r="U24" i="11"/>
  <c r="W30" i="11"/>
  <c r="W100" i="11" s="1"/>
  <c r="W31" i="11"/>
  <c r="W101" i="11" s="1"/>
  <c r="G39" i="11"/>
  <c r="R18" i="11"/>
  <c r="AB17" i="11"/>
  <c r="L17" i="11"/>
  <c r="Y18" i="11"/>
  <c r="K17" i="11"/>
  <c r="AB20" i="11"/>
  <c r="AB19" i="11" s="1"/>
  <c r="AB93" i="11" s="1"/>
  <c r="P39" i="11"/>
  <c r="S18" i="11"/>
  <c r="AB25" i="11"/>
  <c r="AB95" i="11" s="1"/>
  <c r="Q27" i="11"/>
  <c r="Q97" i="11" s="1"/>
  <c r="AB36" i="11"/>
  <c r="AB106" i="11" s="1"/>
  <c r="AB24" i="11"/>
  <c r="AB22" i="11" s="1"/>
  <c r="AB94" i="11" s="1"/>
  <c r="N27" i="11"/>
  <c r="N97" i="11" s="1"/>
  <c r="AD30" i="11"/>
  <c r="AD100" i="11" s="1"/>
  <c r="T36" i="11"/>
  <c r="T106" i="11" s="1"/>
  <c r="I24" i="11"/>
  <c r="AA31" i="11"/>
  <c r="AA101" i="11" s="1"/>
  <c r="F39" i="11"/>
  <c r="Y39" i="11"/>
  <c r="H39" i="11"/>
  <c r="AC18" i="11"/>
  <c r="O17" i="11"/>
  <c r="K13" i="11"/>
  <c r="K91" i="11" s="1"/>
  <c r="N31" i="11"/>
  <c r="N101" i="11" s="1"/>
  <c r="M38" i="11"/>
  <c r="S27" i="11"/>
  <c r="S97" i="11" s="1"/>
  <c r="AA39" i="11"/>
  <c r="K18" i="11"/>
  <c r="AF24" i="11"/>
  <c r="AF22" i="11" s="1"/>
  <c r="AF94" i="11" s="1"/>
  <c r="F26" i="11"/>
  <c r="F96" i="11" s="1"/>
  <c r="W34" i="11"/>
  <c r="W104" i="11" s="1"/>
  <c r="X35" i="11"/>
  <c r="X105" i="11" s="1"/>
  <c r="I38" i="11"/>
  <c r="Z20" i="11"/>
  <c r="G23" i="11"/>
  <c r="K39" i="11"/>
  <c r="T39" i="11"/>
  <c r="AF18" i="11"/>
  <c r="P18" i="11"/>
  <c r="V17" i="11"/>
  <c r="F17" i="11"/>
  <c r="R13" i="11"/>
  <c r="R91" i="11" s="1"/>
  <c r="D24" i="11"/>
  <c r="D21" i="11"/>
  <c r="AA18" i="11"/>
  <c r="V51" i="11"/>
  <c r="AD51" i="11"/>
  <c r="P50" i="11"/>
  <c r="N51" i="11"/>
  <c r="AC50" i="11"/>
  <c r="S50" i="11"/>
  <c r="W50" i="11"/>
  <c r="C38" i="11"/>
  <c r="AE51" i="11"/>
  <c r="L50" i="11"/>
  <c r="AA51" i="11"/>
  <c r="C39" i="11"/>
  <c r="AB50" i="11"/>
  <c r="AF51" i="11"/>
  <c r="O50" i="11"/>
  <c r="G51" i="11"/>
  <c r="K51" i="11"/>
  <c r="T50" i="11"/>
  <c r="X51" i="11"/>
  <c r="Z50" i="11"/>
  <c r="X50" i="11"/>
  <c r="E51" i="11"/>
  <c r="R51" i="11"/>
  <c r="AC51" i="11"/>
  <c r="U51" i="11"/>
  <c r="F51" i="11"/>
  <c r="Z51" i="11"/>
  <c r="AD50" i="11"/>
  <c r="E50" i="11"/>
  <c r="I51" i="11"/>
  <c r="L51" i="11"/>
  <c r="T51" i="11"/>
  <c r="S51" i="11"/>
  <c r="AF50" i="11"/>
  <c r="AE50" i="11"/>
  <c r="V50" i="11"/>
  <c r="U50" i="11"/>
  <c r="Y51" i="11"/>
  <c r="J51" i="11"/>
  <c r="AB51" i="11"/>
  <c r="D51" i="11"/>
  <c r="D50" i="11"/>
  <c r="H51" i="11"/>
  <c r="W51" i="11"/>
  <c r="C13" i="11"/>
  <c r="C91" i="11" s="1"/>
  <c r="C50" i="11"/>
  <c r="C113" i="11" s="1"/>
  <c r="C51" i="11"/>
  <c r="C114" i="11" s="1"/>
  <c r="C34" i="11"/>
  <c r="C104" i="11" s="1"/>
  <c r="C133" i="11" s="1"/>
  <c r="C25" i="11"/>
  <c r="C95" i="11" s="1"/>
  <c r="C124" i="11" s="1"/>
  <c r="C30" i="11"/>
  <c r="C100" i="11" s="1"/>
  <c r="C32" i="11"/>
  <c r="C102" i="11" s="1"/>
  <c r="C131" i="11" s="1"/>
  <c r="C26" i="11"/>
  <c r="C96" i="11" s="1"/>
  <c r="C33" i="11"/>
  <c r="C103" i="11" s="1"/>
  <c r="C132" i="11" s="1"/>
  <c r="C29" i="11"/>
  <c r="C99" i="11" s="1"/>
  <c r="C23" i="11"/>
  <c r="C31" i="11"/>
  <c r="C101" i="11" s="1"/>
  <c r="C28" i="11"/>
  <c r="C98" i="11" s="1"/>
  <c r="C24" i="11"/>
  <c r="C18" i="11"/>
  <c r="C17" i="11"/>
  <c r="C145" i="11" l="1"/>
  <c r="H52" i="11"/>
  <c r="H115" i="11" s="1"/>
  <c r="I58" i="11"/>
  <c r="AB52" i="11"/>
  <c r="AB115" i="11" s="1"/>
  <c r="E52" i="11"/>
  <c r="E115" i="11" s="1"/>
  <c r="O22" i="11"/>
  <c r="O94" i="11" s="1"/>
  <c r="J52" i="11"/>
  <c r="J115" i="11" s="1"/>
  <c r="K113" i="11"/>
  <c r="AD52" i="11"/>
  <c r="AD115" i="11" s="1"/>
  <c r="Y52" i="11"/>
  <c r="Y115" i="11" s="1"/>
  <c r="L52" i="11"/>
  <c r="L115" i="11" s="1"/>
  <c r="J58" i="11"/>
  <c r="G20" i="12" s="1"/>
  <c r="Q113" i="11"/>
  <c r="N113" i="11"/>
  <c r="N19" i="11"/>
  <c r="N93" i="11" s="1"/>
  <c r="R37" i="11"/>
  <c r="R107" i="11" s="1"/>
  <c r="AF19" i="11"/>
  <c r="AF93" i="11" s="1"/>
  <c r="M22" i="11"/>
  <c r="M94" i="11" s="1"/>
  <c r="AC16" i="11"/>
  <c r="AC92" i="11" s="1"/>
  <c r="I22" i="11"/>
  <c r="I94" i="11" s="1"/>
  <c r="W16" i="11"/>
  <c r="W92" i="11" s="1"/>
  <c r="Z19" i="11"/>
  <c r="Z93" i="11" s="1"/>
  <c r="M37" i="11"/>
  <c r="M107" i="11" s="1"/>
  <c r="J37" i="11"/>
  <c r="J107" i="11" s="1"/>
  <c r="U16" i="11"/>
  <c r="U92" i="11" s="1"/>
  <c r="P19" i="11"/>
  <c r="P93" i="11" s="1"/>
  <c r="D19" i="11"/>
  <c r="D93" i="11" s="1"/>
  <c r="S22" i="11"/>
  <c r="S94" i="11" s="1"/>
  <c r="Z16" i="11"/>
  <c r="Z92" i="11" s="1"/>
  <c r="V19" i="11"/>
  <c r="V93" i="11" s="1"/>
  <c r="D16" i="11"/>
  <c r="D92" i="11" s="1"/>
  <c r="S16" i="11"/>
  <c r="S92" i="11" s="1"/>
  <c r="C120" i="11"/>
  <c r="C122" i="11"/>
  <c r="C125" i="11"/>
  <c r="C130" i="11"/>
  <c r="C128" i="11"/>
  <c r="C129" i="11"/>
  <c r="C127" i="11"/>
  <c r="Y57" i="11"/>
  <c r="F35" i="12" s="1"/>
  <c r="Y114" i="11"/>
  <c r="AB58" i="11"/>
  <c r="G38" i="12" s="1"/>
  <c r="AB113" i="11"/>
  <c r="M57" i="11"/>
  <c r="F23" i="12" s="1"/>
  <c r="M114" i="11"/>
  <c r="AA58" i="11"/>
  <c r="G37" i="12" s="1"/>
  <c r="AA113" i="11"/>
  <c r="G58" i="11"/>
  <c r="G17" i="12" s="1"/>
  <c r="G113" i="11"/>
  <c r="Q57" i="11"/>
  <c r="Q59" i="11" s="1"/>
  <c r="Q114" i="11"/>
  <c r="AF58" i="11"/>
  <c r="G42" i="12" s="1"/>
  <c r="AF113" i="11"/>
  <c r="C143" i="11" s="1"/>
  <c r="R57" i="11"/>
  <c r="F28" i="12" s="1"/>
  <c r="R114" i="11"/>
  <c r="AE57" i="11"/>
  <c r="F41" i="12" s="1"/>
  <c r="AE114" i="11"/>
  <c r="U58" i="11"/>
  <c r="G31" i="12" s="1"/>
  <c r="U113" i="11"/>
  <c r="AD57" i="11"/>
  <c r="AD114" i="11"/>
  <c r="F58" i="11"/>
  <c r="G16" i="12" s="1"/>
  <c r="F113" i="11"/>
  <c r="M58" i="11"/>
  <c r="G23" i="12" s="1"/>
  <c r="M113" i="11"/>
  <c r="Z57" i="11"/>
  <c r="Z114" i="11"/>
  <c r="G57" i="11"/>
  <c r="G59" i="11" s="1"/>
  <c r="G114" i="11"/>
  <c r="D57" i="11"/>
  <c r="D114" i="11"/>
  <c r="I57" i="11"/>
  <c r="I59" i="11" s="1"/>
  <c r="I114" i="11"/>
  <c r="E57" i="11"/>
  <c r="F15" i="12" s="1"/>
  <c r="E114" i="11"/>
  <c r="X57" i="11"/>
  <c r="X114" i="11"/>
  <c r="AB57" i="11"/>
  <c r="F38" i="12" s="1"/>
  <c r="AB114" i="11"/>
  <c r="V58" i="11"/>
  <c r="G32" i="12" s="1"/>
  <c r="V113" i="11"/>
  <c r="T57" i="11"/>
  <c r="F30" i="12" s="1"/>
  <c r="T114" i="11"/>
  <c r="E58" i="11"/>
  <c r="G15" i="12" s="1"/>
  <c r="E113" i="11"/>
  <c r="U57" i="11"/>
  <c r="F31" i="12" s="1"/>
  <c r="U114" i="11"/>
  <c r="X58" i="11"/>
  <c r="G34" i="12" s="1"/>
  <c r="X113" i="11"/>
  <c r="T58" i="11"/>
  <c r="G30" i="12" s="1"/>
  <c r="T113" i="11"/>
  <c r="AA57" i="11"/>
  <c r="F37" i="12" s="1"/>
  <c r="AA114" i="11"/>
  <c r="W58" i="11"/>
  <c r="G33" i="12" s="1"/>
  <c r="W113" i="11"/>
  <c r="N57" i="11"/>
  <c r="N59" i="11" s="1"/>
  <c r="N114" i="11"/>
  <c r="V57" i="11"/>
  <c r="F32" i="12" s="1"/>
  <c r="V114" i="11"/>
  <c r="O57" i="11"/>
  <c r="F25" i="12" s="1"/>
  <c r="O114" i="11"/>
  <c r="H58" i="11"/>
  <c r="G18" i="12" s="1"/>
  <c r="H113" i="11"/>
  <c r="Y58" i="11"/>
  <c r="G35" i="12" s="1"/>
  <c r="Y113" i="11"/>
  <c r="R58" i="11"/>
  <c r="G28" i="12" s="1"/>
  <c r="R113" i="11"/>
  <c r="L57" i="11"/>
  <c r="F22" i="12" s="1"/>
  <c r="L114" i="11"/>
  <c r="AC58" i="11"/>
  <c r="G39" i="12" s="1"/>
  <c r="AC113" i="11"/>
  <c r="W57" i="11"/>
  <c r="F33" i="12" s="1"/>
  <c r="W114" i="11"/>
  <c r="S57" i="11"/>
  <c r="F29" i="12" s="1"/>
  <c r="S114" i="11"/>
  <c r="F57" i="11"/>
  <c r="F16" i="12" s="1"/>
  <c r="F114" i="11"/>
  <c r="O58" i="11"/>
  <c r="G25" i="12" s="1"/>
  <c r="O113" i="11"/>
  <c r="H57" i="11"/>
  <c r="F18" i="12" s="1"/>
  <c r="H114" i="11"/>
  <c r="D58" i="11"/>
  <c r="G14" i="12" s="1"/>
  <c r="D113" i="11"/>
  <c r="J57" i="11"/>
  <c r="J59" i="11" s="1"/>
  <c r="J114" i="11"/>
  <c r="AE58" i="11"/>
  <c r="G41" i="12" s="1"/>
  <c r="AE113" i="11"/>
  <c r="AD58" i="11"/>
  <c r="G40" i="12" s="1"/>
  <c r="AD113" i="11"/>
  <c r="AC57" i="11"/>
  <c r="AC59" i="11" s="1"/>
  <c r="AC114" i="11"/>
  <c r="Z58" i="11"/>
  <c r="G36" i="12" s="1"/>
  <c r="Z113" i="11"/>
  <c r="K57" i="11"/>
  <c r="K59" i="11" s="1"/>
  <c r="K114" i="11"/>
  <c r="AF57" i="11"/>
  <c r="AF59" i="11" s="1"/>
  <c r="AF114" i="11"/>
  <c r="C144" i="11" s="1"/>
  <c r="L58" i="11"/>
  <c r="G22" i="12" s="1"/>
  <c r="L113" i="11"/>
  <c r="S58" i="11"/>
  <c r="G29" i="12" s="1"/>
  <c r="S113" i="11"/>
  <c r="P58" i="11"/>
  <c r="G26" i="12" s="1"/>
  <c r="P113" i="11"/>
  <c r="P57" i="11"/>
  <c r="F26" i="12" s="1"/>
  <c r="P114" i="11"/>
  <c r="U19" i="11"/>
  <c r="U93" i="11" s="1"/>
  <c r="Z37" i="11"/>
  <c r="Z107" i="11" s="1"/>
  <c r="G16" i="11"/>
  <c r="G92" i="11" s="1"/>
  <c r="E22" i="11"/>
  <c r="E94" i="11" s="1"/>
  <c r="U37" i="11"/>
  <c r="U107" i="11" s="1"/>
  <c r="F16" i="11"/>
  <c r="F92" i="11" s="1"/>
  <c r="L16" i="11"/>
  <c r="L92" i="11" s="1"/>
  <c r="J16" i="11"/>
  <c r="J92" i="11" s="1"/>
  <c r="Q16" i="11"/>
  <c r="Q92" i="11" s="1"/>
  <c r="W22" i="11"/>
  <c r="W94" i="11" s="1"/>
  <c r="Y22" i="11"/>
  <c r="Y94" i="11" s="1"/>
  <c r="E16" i="11"/>
  <c r="E92" i="11" s="1"/>
  <c r="V37" i="11"/>
  <c r="V107" i="11" s="1"/>
  <c r="AE16" i="11"/>
  <c r="AE92" i="11" s="1"/>
  <c r="AE37" i="11"/>
  <c r="AE107" i="11" s="1"/>
  <c r="AE22" i="11"/>
  <c r="AE94" i="11" s="1"/>
  <c r="N16" i="11"/>
  <c r="N92" i="11" s="1"/>
  <c r="X19" i="11"/>
  <c r="X93" i="11" s="1"/>
  <c r="AC22" i="11"/>
  <c r="AC94" i="11" s="1"/>
  <c r="V16" i="11"/>
  <c r="V92" i="11" s="1"/>
  <c r="AD19" i="11"/>
  <c r="AD93" i="11" s="1"/>
  <c r="AD16" i="11"/>
  <c r="AD92" i="11" s="1"/>
  <c r="G37" i="11"/>
  <c r="G107" i="11" s="1"/>
  <c r="Q37" i="11"/>
  <c r="Q107" i="11" s="1"/>
  <c r="T37" i="11"/>
  <c r="T107" i="11" s="1"/>
  <c r="T16" i="11"/>
  <c r="T92" i="11" s="1"/>
  <c r="H46" i="11"/>
  <c r="M16" i="11"/>
  <c r="M92" i="11" s="1"/>
  <c r="O16" i="11"/>
  <c r="O92" i="11" s="1"/>
  <c r="Y37" i="11"/>
  <c r="Y107" i="11" s="1"/>
  <c r="Y16" i="11"/>
  <c r="Y92" i="11" s="1"/>
  <c r="U22" i="11"/>
  <c r="U94" i="11" s="1"/>
  <c r="E37" i="11"/>
  <c r="E107" i="11" s="1"/>
  <c r="AF16" i="11"/>
  <c r="AF92" i="11" s="1"/>
  <c r="P37" i="11"/>
  <c r="P107" i="11" s="1"/>
  <c r="I37" i="11"/>
  <c r="I107" i="11" s="1"/>
  <c r="AB16" i="11"/>
  <c r="AB92" i="11" s="1"/>
  <c r="AA16" i="11"/>
  <c r="AA92" i="11" s="1"/>
  <c r="D22" i="11"/>
  <c r="D94" i="11" s="1"/>
  <c r="H37" i="11"/>
  <c r="H107" i="11" s="1"/>
  <c r="K37" i="11"/>
  <c r="K107" i="11" s="1"/>
  <c r="D37" i="11"/>
  <c r="D107" i="11" s="1"/>
  <c r="K16" i="11"/>
  <c r="K92" i="11" s="1"/>
  <c r="K22" i="11"/>
  <c r="K94" i="11" s="1"/>
  <c r="AD37" i="11"/>
  <c r="AD107" i="11" s="1"/>
  <c r="I16" i="11"/>
  <c r="I92" i="11" s="1"/>
  <c r="R16" i="11"/>
  <c r="R92" i="11" s="1"/>
  <c r="H16" i="11"/>
  <c r="H92" i="11" s="1"/>
  <c r="S37" i="11"/>
  <c r="S107" i="11" s="1"/>
  <c r="AF37" i="11"/>
  <c r="AF107" i="11" s="1"/>
  <c r="G22" i="11"/>
  <c r="G94" i="11" s="1"/>
  <c r="P16" i="11"/>
  <c r="P92" i="11" s="1"/>
  <c r="X37" i="11"/>
  <c r="X107" i="11" s="1"/>
  <c r="AC37" i="11"/>
  <c r="AC107" i="11" s="1"/>
  <c r="F37" i="11"/>
  <c r="F107" i="11" s="1"/>
  <c r="AA22" i="11"/>
  <c r="AA94" i="11" s="1"/>
  <c r="N37" i="11"/>
  <c r="N107" i="11" s="1"/>
  <c r="X16" i="11"/>
  <c r="X92" i="11" s="1"/>
  <c r="O37" i="11"/>
  <c r="O107" i="11" s="1"/>
  <c r="AA37" i="11"/>
  <c r="AA107" i="11" s="1"/>
  <c r="W37" i="11"/>
  <c r="W107" i="11" s="1"/>
  <c r="Q22" i="11"/>
  <c r="Q94" i="11" s="1"/>
  <c r="AB37" i="11"/>
  <c r="AB107" i="11" s="1"/>
  <c r="L37" i="11"/>
  <c r="L107" i="11" s="1"/>
  <c r="T45" i="11"/>
  <c r="J46" i="11"/>
  <c r="Y45" i="11"/>
  <c r="P46" i="11"/>
  <c r="Q45" i="11"/>
  <c r="AB46" i="11"/>
  <c r="J45" i="11"/>
  <c r="Q46" i="11"/>
  <c r="G46" i="11"/>
  <c r="I45" i="11"/>
  <c r="AF45" i="11"/>
  <c r="AA45" i="11"/>
  <c r="D45" i="11"/>
  <c r="P45" i="11"/>
  <c r="F46" i="11"/>
  <c r="AC46" i="11"/>
  <c r="V46" i="11"/>
  <c r="U46" i="11"/>
  <c r="M46" i="11"/>
  <c r="U45" i="11"/>
  <c r="AA46" i="11"/>
  <c r="O45" i="11"/>
  <c r="N46" i="11"/>
  <c r="I46" i="11"/>
  <c r="AE46" i="11"/>
  <c r="W46" i="11"/>
  <c r="E46" i="11"/>
  <c r="T46" i="11"/>
  <c r="X46" i="11"/>
  <c r="L46" i="11"/>
  <c r="K45" i="11"/>
  <c r="O46" i="11"/>
  <c r="R46" i="11"/>
  <c r="S45" i="11"/>
  <c r="Z46" i="11"/>
  <c r="D46" i="11"/>
  <c r="K46" i="11"/>
  <c r="AD46" i="11"/>
  <c r="C37" i="11"/>
  <c r="C107" i="11" s="1"/>
  <c r="N45" i="11"/>
  <c r="W45" i="11"/>
  <c r="F45" i="11"/>
  <c r="G45" i="11"/>
  <c r="L45" i="11"/>
  <c r="Z45" i="11"/>
  <c r="AF46" i="11"/>
  <c r="R45" i="11"/>
  <c r="X45" i="11"/>
  <c r="S46" i="11"/>
  <c r="E45" i="11"/>
  <c r="AB45" i="11"/>
  <c r="AD45" i="11"/>
  <c r="AC45" i="11"/>
  <c r="Y46" i="11"/>
  <c r="AE45" i="11"/>
  <c r="H45" i="11"/>
  <c r="V45" i="11"/>
  <c r="M45" i="11"/>
  <c r="C45" i="11"/>
  <c r="C46" i="11"/>
  <c r="G19" i="12"/>
  <c r="G21" i="12"/>
  <c r="G24" i="12"/>
  <c r="G27" i="12"/>
  <c r="C58" i="11"/>
  <c r="G13" i="12" s="1"/>
  <c r="C57" i="11"/>
  <c r="F13" i="12" s="1"/>
  <c r="C22" i="11"/>
  <c r="C94" i="11" s="1"/>
  <c r="C16" i="11"/>
  <c r="C92" i="11" s="1"/>
  <c r="H16" i="12" l="1"/>
  <c r="F19" i="12"/>
  <c r="H19" i="12" s="1"/>
  <c r="F17" i="12"/>
  <c r="H17" i="12" s="1"/>
  <c r="V59" i="11"/>
  <c r="F20" i="12"/>
  <c r="H20" i="12" s="1"/>
  <c r="F24" i="12"/>
  <c r="AF47" i="11"/>
  <c r="X59" i="11"/>
  <c r="AD59" i="11"/>
  <c r="M59" i="11"/>
  <c r="H41" i="12"/>
  <c r="F42" i="12"/>
  <c r="H42" i="12" s="1"/>
  <c r="AE59" i="11"/>
  <c r="P47" i="11"/>
  <c r="I47" i="11"/>
  <c r="L59" i="11"/>
  <c r="T59" i="11"/>
  <c r="D59" i="11"/>
  <c r="Z59" i="11"/>
  <c r="AA59" i="11"/>
  <c r="F21" i="12"/>
  <c r="H21" i="12" s="1"/>
  <c r="F39" i="12"/>
  <c r="H39" i="12" s="1"/>
  <c r="F36" i="12"/>
  <c r="H36" i="12" s="1"/>
  <c r="V47" i="11"/>
  <c r="AB59" i="11"/>
  <c r="H47" i="11"/>
  <c r="E59" i="11"/>
  <c r="U59" i="11"/>
  <c r="F59" i="11"/>
  <c r="O59" i="11"/>
  <c r="F27" i="12"/>
  <c r="H27" i="12" s="1"/>
  <c r="C121" i="11"/>
  <c r="Y47" i="11"/>
  <c r="S59" i="11"/>
  <c r="C123" i="11"/>
  <c r="P59" i="11"/>
  <c r="W59" i="11"/>
  <c r="C136" i="11"/>
  <c r="R59" i="11"/>
  <c r="H59" i="11"/>
  <c r="Y59" i="11"/>
  <c r="H25" i="12"/>
  <c r="G47" i="11"/>
  <c r="T47" i="11"/>
  <c r="F47" i="11"/>
  <c r="U47" i="11"/>
  <c r="AB47" i="11"/>
  <c r="M47" i="11"/>
  <c r="L47" i="11"/>
  <c r="Q47" i="11"/>
  <c r="J47" i="11"/>
  <c r="AA47" i="11"/>
  <c r="S47" i="11"/>
  <c r="E47" i="11"/>
  <c r="AE47" i="11"/>
  <c r="K47" i="11"/>
  <c r="AC47" i="11"/>
  <c r="H32" i="12"/>
  <c r="AD47" i="11"/>
  <c r="X47" i="11"/>
  <c r="N47" i="11"/>
  <c r="D47" i="11"/>
  <c r="R47" i="11"/>
  <c r="O47" i="11"/>
  <c r="Z47" i="11"/>
  <c r="W47" i="11"/>
  <c r="H15" i="12"/>
  <c r="C47" i="11"/>
  <c r="H29" i="12"/>
  <c r="H18" i="12"/>
  <c r="H28" i="12"/>
  <c r="H22" i="12"/>
  <c r="F40" i="12"/>
  <c r="H40" i="12" s="1"/>
  <c r="H26" i="12"/>
  <c r="H33" i="12"/>
  <c r="F34" i="12"/>
  <c r="H34" i="12" s="1"/>
  <c r="D33" i="12"/>
  <c r="J33" i="12" s="1"/>
  <c r="H30" i="12"/>
  <c r="H23" i="12"/>
  <c r="H35" i="12"/>
  <c r="H38" i="12"/>
  <c r="H24" i="12"/>
  <c r="H37" i="12"/>
  <c r="H13" i="12"/>
  <c r="C37" i="12"/>
  <c r="I37" i="12" s="1"/>
  <c r="C33" i="12"/>
  <c r="I33" i="12" s="1"/>
  <c r="C19" i="12"/>
  <c r="C38" i="12"/>
  <c r="C21" i="12"/>
  <c r="C22" i="12"/>
  <c r="I22" i="12" s="1"/>
  <c r="D26" i="12"/>
  <c r="J26" i="12" s="1"/>
  <c r="C15" i="12"/>
  <c r="I15" i="12" s="1"/>
  <c r="C32" i="12"/>
  <c r="I32" i="12" s="1"/>
  <c r="C40" i="12"/>
  <c r="C28" i="12"/>
  <c r="I28" i="12" s="1"/>
  <c r="C27" i="12"/>
  <c r="F14" i="12"/>
  <c r="H14" i="12" s="1"/>
  <c r="C26" i="12"/>
  <c r="I26" i="12" s="1"/>
  <c r="C25" i="12"/>
  <c r="I25" i="12" s="1"/>
  <c r="C16" i="12"/>
  <c r="I16" i="12" s="1"/>
  <c r="C14" i="12"/>
  <c r="C23" i="12"/>
  <c r="I23" i="12" s="1"/>
  <c r="C34" i="12"/>
  <c r="C29" i="12"/>
  <c r="I29" i="12" s="1"/>
  <c r="C20" i="12"/>
  <c r="C17" i="12"/>
  <c r="C31" i="12"/>
  <c r="I31" i="12" s="1"/>
  <c r="C18" i="12"/>
  <c r="I18" i="12" s="1"/>
  <c r="C24" i="12"/>
  <c r="C39" i="12"/>
  <c r="C42" i="12"/>
  <c r="C35" i="12"/>
  <c r="I35" i="12" s="1"/>
  <c r="C30" i="12"/>
  <c r="I30" i="12" s="1"/>
  <c r="C36" i="12"/>
  <c r="C41" i="12"/>
  <c r="I41" i="12" s="1"/>
  <c r="H31" i="12"/>
  <c r="C13" i="12"/>
  <c r="I13" i="12" s="1"/>
  <c r="D22" i="12"/>
  <c r="J22" i="12" s="1"/>
  <c r="D42" i="12"/>
  <c r="J42" i="12" s="1"/>
  <c r="D13" i="12"/>
  <c r="J13" i="12" s="1"/>
  <c r="D27" i="12"/>
  <c r="J27" i="12" s="1"/>
  <c r="D36" i="12"/>
  <c r="D24" i="12"/>
  <c r="J24" i="12" s="1"/>
  <c r="D14" i="12"/>
  <c r="J14" i="12" s="1"/>
  <c r="D25" i="12"/>
  <c r="J25" i="12" s="1"/>
  <c r="D38" i="12"/>
  <c r="J38" i="12" s="1"/>
  <c r="D17" i="12"/>
  <c r="J17" i="12" s="1"/>
  <c r="D31" i="12"/>
  <c r="J31" i="12" s="1"/>
  <c r="D32" i="12"/>
  <c r="J32" i="12" s="1"/>
  <c r="D20" i="12"/>
  <c r="J20" i="12" s="1"/>
  <c r="D34" i="12"/>
  <c r="J34" i="12" s="1"/>
  <c r="D19" i="12"/>
  <c r="J19" i="12" s="1"/>
  <c r="D29" i="12"/>
  <c r="J29" i="12" s="1"/>
  <c r="D21" i="12"/>
  <c r="J21" i="12" s="1"/>
  <c r="D39" i="12"/>
  <c r="J39" i="12" s="1"/>
  <c r="D40" i="12"/>
  <c r="J40" i="12" s="1"/>
  <c r="D37" i="12"/>
  <c r="J37" i="12" s="1"/>
  <c r="D28" i="12"/>
  <c r="J28" i="12" s="1"/>
  <c r="D18" i="12"/>
  <c r="J18" i="12" s="1"/>
  <c r="D41" i="12"/>
  <c r="J41" i="12" s="1"/>
  <c r="D30" i="12"/>
  <c r="J30" i="12" s="1"/>
  <c r="D16" i="12"/>
  <c r="J16" i="12" s="1"/>
  <c r="D15" i="12"/>
  <c r="J15" i="12" s="1"/>
  <c r="D35" i="12"/>
  <c r="J35" i="12" s="1"/>
  <c r="D23" i="12"/>
  <c r="J23" i="12" s="1"/>
  <c r="C59" i="11"/>
  <c r="I27" i="12" l="1"/>
  <c r="K27" i="12" s="1"/>
  <c r="L27" i="12" s="1"/>
  <c r="I19" i="12"/>
  <c r="K19" i="12" s="1"/>
  <c r="L19" i="12" s="1"/>
  <c r="I24" i="12"/>
  <c r="K24" i="12" s="1"/>
  <c r="L24" i="12" s="1"/>
  <c r="I36" i="12"/>
  <c r="I17" i="12"/>
  <c r="K17" i="12" s="1"/>
  <c r="L17" i="12" s="1"/>
  <c r="I42" i="12"/>
  <c r="K42" i="12" s="1"/>
  <c r="L42" i="12" s="1"/>
  <c r="I20" i="12"/>
  <c r="K20" i="12" s="1"/>
  <c r="L20" i="12" s="1"/>
  <c r="I21" i="12"/>
  <c r="K21" i="12" s="1"/>
  <c r="L21" i="12" s="1"/>
  <c r="I39" i="12"/>
  <c r="K39" i="12" s="1"/>
  <c r="L39" i="12" s="1"/>
  <c r="K37" i="12"/>
  <c r="L37" i="12" s="1"/>
  <c r="K32" i="12"/>
  <c r="L32" i="12" s="1"/>
  <c r="K23" i="12"/>
  <c r="L23" i="12" s="1"/>
  <c r="K15" i="12"/>
  <c r="L15" i="12" s="1"/>
  <c r="I40" i="12"/>
  <c r="K40" i="12" s="1"/>
  <c r="L40" i="12" s="1"/>
  <c r="K25" i="12"/>
  <c r="L25" i="12" s="1"/>
  <c r="K28" i="12"/>
  <c r="L28" i="12" s="1"/>
  <c r="I34" i="12"/>
  <c r="K34" i="12" s="1"/>
  <c r="L34" i="12" s="1"/>
  <c r="I14" i="12"/>
  <c r="K14" i="12" s="1"/>
  <c r="L14" i="12" s="1"/>
  <c r="K33" i="12"/>
  <c r="L33" i="12" s="1"/>
  <c r="E20" i="12"/>
  <c r="K18" i="12"/>
  <c r="L18" i="12" s="1"/>
  <c r="K29" i="12"/>
  <c r="L29" i="12" s="1"/>
  <c r="K26" i="12"/>
  <c r="L26" i="12" s="1"/>
  <c r="K16" i="12"/>
  <c r="L16" i="12" s="1"/>
  <c r="E36" i="12"/>
  <c r="E26" i="12"/>
  <c r="E22" i="12"/>
  <c r="E33" i="12"/>
  <c r="E31" i="12"/>
  <c r="K31" i="12"/>
  <c r="L31" i="12" s="1"/>
  <c r="K41" i="12"/>
  <c r="L41" i="12" s="1"/>
  <c r="E24" i="12"/>
  <c r="J36" i="12"/>
  <c r="E16" i="12"/>
  <c r="E39" i="12"/>
  <c r="E14" i="12"/>
  <c r="E27" i="12"/>
  <c r="E25" i="12"/>
  <c r="E15" i="12"/>
  <c r="E32" i="12"/>
  <c r="E35" i="12"/>
  <c r="E17" i="12"/>
  <c r="E42" i="12"/>
  <c r="E21" i="12"/>
  <c r="E34" i="12"/>
  <c r="E37" i="12"/>
  <c r="K35" i="12"/>
  <c r="L35" i="12" s="1"/>
  <c r="K30" i="12"/>
  <c r="L30" i="12" s="1"/>
  <c r="E28" i="12"/>
  <c r="E19" i="12"/>
  <c r="E30" i="12"/>
  <c r="E23" i="12"/>
  <c r="E41" i="12"/>
  <c r="E18" i="12"/>
  <c r="E29" i="12"/>
  <c r="K22" i="12"/>
  <c r="L22" i="12" s="1"/>
  <c r="K13" i="12"/>
  <c r="E40" i="12"/>
  <c r="I38" i="12"/>
  <c r="E38" i="12"/>
  <c r="E13" i="12"/>
  <c r="K36" i="12" l="1"/>
  <c r="L36" i="12" s="1"/>
  <c r="K38" i="12"/>
  <c r="L13" i="12"/>
  <c r="J7" i="12" l="1"/>
  <c r="J4" i="12" s="1"/>
  <c r="J5" i="12" s="1"/>
  <c r="L38" i="12"/>
  <c r="J8" i="12" l="1"/>
  <c r="J6" i="12"/>
</calcChain>
</file>

<file path=xl/sharedStrings.xml><?xml version="1.0" encoding="utf-8"?>
<sst xmlns="http://schemas.openxmlformats.org/spreadsheetml/2006/main" count="5453" uniqueCount="910">
  <si>
    <t>Programa DirectFiltrationCost</t>
  </si>
  <si>
    <t>Autores: Raquel de Castro Rodrigues Lima e Lyda Patricia Sabogal Paz</t>
  </si>
  <si>
    <t>Escola de Engenharia de São Carlos - Universidade de São Paulo - EESC/USP</t>
  </si>
  <si>
    <t xml:space="preserve">Os autores não se fazem responsáveis por eventuais erros associados ao uso do programa </t>
  </si>
  <si>
    <t>Informações - Tecnologias Avaliadas</t>
  </si>
  <si>
    <t>Processos e operações envolvidos</t>
  </si>
  <si>
    <t>Estações de Tratamento de Água (ETAs)</t>
  </si>
  <si>
    <t>Dupla Filtração (DF)</t>
  </si>
  <si>
    <t>Filtração Direta Ascendente (FDA)</t>
  </si>
  <si>
    <t>Filtração Direta Descendente (FDD)</t>
  </si>
  <si>
    <t>MRHIM + FAP + FRD + DES + FLU</t>
  </si>
  <si>
    <t>MRHIM + FAAG + DES + FLU</t>
  </si>
  <si>
    <t>MRHIM + FRD + DES + FLU</t>
  </si>
  <si>
    <t>Variações da Tecnologia</t>
  </si>
  <si>
    <t>Estações de Tratamento dos Resíduos (ETRs)</t>
  </si>
  <si>
    <t>ETR1</t>
  </si>
  <si>
    <t>TCA + DLD</t>
  </si>
  <si>
    <t>ETR2</t>
  </si>
  <si>
    <t>DLL</t>
  </si>
  <si>
    <t>ETR3</t>
  </si>
  <si>
    <t>TER</t>
  </si>
  <si>
    <t>MRHIM: misturador hidráulico (injetor) e malha de fios</t>
  </si>
  <si>
    <t>DES: desinfecção com hipoclorito de sódio</t>
  </si>
  <si>
    <t>FLU: fluoração com ácido fluorsilícico</t>
  </si>
  <si>
    <t>TCA: tanque de adensamento por gravidade</t>
  </si>
  <si>
    <t>DLD: desaguamento por leito de drenagem</t>
  </si>
  <si>
    <t>DLL: desaguamento por lagoa de lodo</t>
  </si>
  <si>
    <t>Métodos construtivos empregados</t>
  </si>
  <si>
    <t>FAP: filtração rápida ascendente em pedregulho à taxa constante</t>
  </si>
  <si>
    <t>FRD: filtração rápida descendente em areia à taxa constante</t>
  </si>
  <si>
    <t>FAAG: filtração rápida ascendente em areia grossa à taxa constante</t>
  </si>
  <si>
    <t>a</t>
  </si>
  <si>
    <t>Zero</t>
  </si>
  <si>
    <t>b</t>
  </si>
  <si>
    <t>c</t>
  </si>
  <si>
    <t>ETR</t>
  </si>
  <si>
    <t>Unidades em chapa de aço</t>
  </si>
  <si>
    <t>Unidades em concreto</t>
  </si>
  <si>
    <t>Unidades da ETA: câmara de carga (somente para DF e FDA), filtros e tanque de água filtrada</t>
  </si>
  <si>
    <t>Unidades da ETR1: leitos de drenagem</t>
  </si>
  <si>
    <t>Unidades da ETR2: lagoas de lodo</t>
  </si>
  <si>
    <t>TER: tanque com misturador submersível para posterior envio do lodo à estação de tratamento de esgoto (ETE)</t>
  </si>
  <si>
    <t>Unidades da ETR3: tanque para envio de lodo à ETE</t>
  </si>
  <si>
    <t>Unidades em manta de geotêxtil</t>
  </si>
  <si>
    <t>Unidades em alvenaria</t>
  </si>
  <si>
    <t>d</t>
  </si>
  <si>
    <t>e</t>
  </si>
  <si>
    <t>ETA (DF, FDA e FDD)</t>
  </si>
  <si>
    <t>Programa Desenvolvido para Avaliação Preliminar de Custos em Estações de Tratamento de Água (ETAs) por Filtração Direta (Dupla Filtração, Filtração Direta Ascendente e Filtração Direta Descendente) Considerando Diferentes Métodos Construtivos e Tratamentos dos Resíduos Gerados nas ETAs</t>
  </si>
  <si>
    <t>Legenda</t>
  </si>
  <si>
    <t>Período de projeto (anos)</t>
  </si>
  <si>
    <t>Taxa de juros ou de retorno (% a.a)</t>
  </si>
  <si>
    <t>Item</t>
  </si>
  <si>
    <t>Unidade</t>
  </si>
  <si>
    <t>Preços unitários</t>
  </si>
  <si>
    <t>Critério do usuário</t>
  </si>
  <si>
    <t>Dados Atualizados do Tribunal de Contas da União</t>
  </si>
  <si>
    <t>m²</t>
  </si>
  <si>
    <t xml:space="preserve">Limpeza manual do terreno (c/ raspagem superficial) </t>
  </si>
  <si>
    <t>pç</t>
  </si>
  <si>
    <t xml:space="preserve">un </t>
  </si>
  <si>
    <t xml:space="preserve">Execução de depósito em canteiro de obra em chapa de madeira compensada, não incluso mobiliário </t>
  </si>
  <si>
    <t>Locação convencional de obra, através de gabarito de tabuas corridas pontaletadas, com reaproveitamento de 10 vezes</t>
  </si>
  <si>
    <t>kg</t>
  </si>
  <si>
    <t>m</t>
  </si>
  <si>
    <t>m³</t>
  </si>
  <si>
    <t>Trama de madeira composta por ripas, caibros e terças para telhados de mais que 2 águas para telha de encaixe de cerâmica ou de concreto, incluso transporte vertical</t>
  </si>
  <si>
    <t>Telhamento com telha cerâmica de encaixe, tipo francesa, com mais de 2 águas, incluso transporte vertical</t>
  </si>
  <si>
    <t>Batente ferro 1x1/8"</t>
  </si>
  <si>
    <t>Porta de aço chapa 24, de enrolar, raiada, larga com acabamento galvanizado natural</t>
  </si>
  <si>
    <t>Aplicação manual de pintura com tinta látex PVA em paredes, duas demãos</t>
  </si>
  <si>
    <t>Aplicação manual de pintura com tinta látex acrílica em paredes, duas demãos</t>
  </si>
  <si>
    <t>Terreno</t>
  </si>
  <si>
    <t>Manta geotêxtil tecido de laminetes de polipropileno, resistência a tração = 25 KN/m</t>
  </si>
  <si>
    <t>Portão de ferro em chapa galvanizada plana 14 GSG</t>
  </si>
  <si>
    <t>Escada metálica tipo caracol com guarda-corpo + instalação</t>
  </si>
  <si>
    <t>Portão em tela arame galvanizado n.12 malha 2" e moldura em tubos de aço com duas folhas de abrir, incluso ferragens</t>
  </si>
  <si>
    <t>Porta de ferro de abrir tipo barra chata, com requadro e guarnição completa</t>
  </si>
  <si>
    <t>Jarteste com kit de filtros de laboratório (Nova Ética ou similar)</t>
  </si>
  <si>
    <t>Turbidímetro portátil (2100P - HACH ou similar)</t>
  </si>
  <si>
    <t>Espectrofotômetro (DR 5000 UV/VIS ou similar)</t>
  </si>
  <si>
    <t>Balança analítica digital com capacidade máxima de 210 g (MA-2104N - MARCONI ou similar)</t>
  </si>
  <si>
    <t>Agitador magnético com aquecimento (MA-085 - MARCONI ou similar)</t>
  </si>
  <si>
    <t>Compressor aspirador para vácuo ou bomba de vácuo (MA-058 - MARCONI ou similar)</t>
  </si>
  <si>
    <t>Chapa aquecedora (MA 239 - MARCONI ou similar)</t>
  </si>
  <si>
    <t>Mufla (Q318M24 - QUIMIS ou similar)</t>
  </si>
  <si>
    <t>Balança simples (ESL-100 QUIMIS ou similar)</t>
  </si>
  <si>
    <t>Dessecador com luva 250 mm com disco (HS 320-250 - HS ou similar)</t>
  </si>
  <si>
    <t>Condutivimetro de bancada (Q405 - QUIMIS ou similar)</t>
  </si>
  <si>
    <t>Capela para exaustão de gases em fibra de vidro, porta frontal em acrílico (CE0701 - PERMUTION ou similar)</t>
  </si>
  <si>
    <t>Bureta digital de 25 mL (MOD. 182-026 - JENCONS ou similar)</t>
  </si>
  <si>
    <t>Bureta digital de 50 mL (MOD. 182-026 - JENCONS ou similar)</t>
  </si>
  <si>
    <t>Estufa esterilização/secagem (QX402 - QUALXTRON ou similar)</t>
  </si>
  <si>
    <t>Autoclave vertical 30 L (MOD. AV-30 - PHOENIX ou similar)</t>
  </si>
  <si>
    <t>Refrigerador para laboratório (412-D155 - Nova Ética ou similar)</t>
  </si>
  <si>
    <t>Contador de colônias (CP-600 - MARCONI ou similar)</t>
  </si>
  <si>
    <t>Sistema de filtração (MA-452/3 - MARCONI ou similar)</t>
  </si>
  <si>
    <t>Banho Maria (TE-056 - TECNAL ou similar)</t>
  </si>
  <si>
    <t xml:space="preserve">Bicos queimadores </t>
  </si>
  <si>
    <t>Termômetro de mercúrio com escala de -10+150:1 e divisão de 1ºC (HIPERQUIMICA ou similar)</t>
  </si>
  <si>
    <t>Pipeta graduada 2x1/100 mL (GENNAGLASS ou similar)</t>
  </si>
  <si>
    <t>Pipeta graduada 5x1/10 mL (SATELIT ou similar)</t>
  </si>
  <si>
    <t>Pipeta graduada 10x1/10 mL (SATELIT ou similar)</t>
  </si>
  <si>
    <t>Pipeta graduada 20x1/10 mL (GENNAGLASS ou similar)</t>
  </si>
  <si>
    <t>Pipeta graduada 25x1/10 mL (GENNAGLASS ou similar)</t>
  </si>
  <si>
    <t>Pipeta graduada 50x1/10 mL (LABORGLAS ou similar)</t>
  </si>
  <si>
    <t>Pipeta volumétrica 1 mL (HS ou similar)</t>
  </si>
  <si>
    <t>Pipeta volumétrica 2 mL (HS ou similar)</t>
  </si>
  <si>
    <t>Pipeta volumétrica 5 mL (HS ou similar)</t>
  </si>
  <si>
    <t>Pipeta volumétrica 10 mL (HS ou similar)</t>
  </si>
  <si>
    <t>Pipeta volumétrica 50 mL (HS ou similar)</t>
  </si>
  <si>
    <t>Proveta de vidro sem tampa 10 mL</t>
  </si>
  <si>
    <t>Proveta de vidro sem tampa 50 mL</t>
  </si>
  <si>
    <t>Proveta de vidro sem tampa 100 mL</t>
  </si>
  <si>
    <t>Proveta de vidro sem tampa 250 mL</t>
  </si>
  <si>
    <t>Proveta de vidro sem tampa 500 mL</t>
  </si>
  <si>
    <t>Proveta de vidro sem tampa 1000 mL</t>
  </si>
  <si>
    <t>Proveta de vidro com tampa 10 mL</t>
  </si>
  <si>
    <t>Proveta de vidro com tampa 50 mL</t>
  </si>
  <si>
    <t>Proveta de vidro com tampa 100 mL</t>
  </si>
  <si>
    <t>Proveta de vidro com tampa 250 mL</t>
  </si>
  <si>
    <t>Proveta de vidro com tampa 500 mL</t>
  </si>
  <si>
    <t>Proveta de vidro com tampa 1000 mL</t>
  </si>
  <si>
    <t xml:space="preserve">Beacker de vidro forma baixa 10 mL </t>
  </si>
  <si>
    <t xml:space="preserve">Beacker de vidro forma baixa 25 mL </t>
  </si>
  <si>
    <t xml:space="preserve">Beacker de vidro forma baixa 50 mL </t>
  </si>
  <si>
    <t xml:space="preserve">Beacker de vidro forma baixa 100 mL </t>
  </si>
  <si>
    <t xml:space="preserve">Beacker de vidro forma baixa 250 mL </t>
  </si>
  <si>
    <t xml:space="preserve">Beacker de vidro forma baixa 500 mL </t>
  </si>
  <si>
    <t xml:space="preserve">Beacker de vidro forma baixa 1000 mL </t>
  </si>
  <si>
    <t>Erlenmeyer de vidro 10 mL</t>
  </si>
  <si>
    <t>Erlenmeyer de vidro 25 mL</t>
  </si>
  <si>
    <t>Erlenmeyer de vidro 50 mL</t>
  </si>
  <si>
    <t>Erlenmeyer de vidro 100 mL</t>
  </si>
  <si>
    <t>Erlenmeyer de vidro 125 mL</t>
  </si>
  <si>
    <t>Erlenmeyer de vidro 250 mL</t>
  </si>
  <si>
    <t>Erlenmeyer de vidro 500 mL</t>
  </si>
  <si>
    <t>Erlenmeyer de vidro 1000 mL</t>
  </si>
  <si>
    <t>Balão volumétrico de vidro com tampa 25 mL</t>
  </si>
  <si>
    <t>Balão volumétrico de vidro com tampa 50 mL</t>
  </si>
  <si>
    <t>Balão volumétrico de vidro com tampa 100 mL</t>
  </si>
  <si>
    <t>Balão volumétrico de vidro com tampa 250 mL</t>
  </si>
  <si>
    <t>Balão volumétrico de vidro com tampa 500 mL</t>
  </si>
  <si>
    <t>Balão volumétrico de vidro com tampa 1000 mL</t>
  </si>
  <si>
    <t>Balão volumétrico de vidro com tampa 2000 mL</t>
  </si>
  <si>
    <t>Balão volumétrico de vidro sem tampa 50 mL</t>
  </si>
  <si>
    <t>Balão volumétrico de vidro sem tampa 100 mL</t>
  </si>
  <si>
    <t>Balão volumétrico de vidro sem tampa 250 mL</t>
  </si>
  <si>
    <t>Balão volumétrico de vidro sem tampa 500 mL</t>
  </si>
  <si>
    <t>Balão volumétrico de vidro sem tampa 1000 mL</t>
  </si>
  <si>
    <t>Balão volumétrico de vidro sem tampa 2000 mL</t>
  </si>
  <si>
    <t>Pipetador de borracha 3 vias (J.PR ou similar)</t>
  </si>
  <si>
    <t>Kitasato de vidro 250 mL</t>
  </si>
  <si>
    <t>Kitasato de vidro 500 mL</t>
  </si>
  <si>
    <t>Grais com pistilo de cerâmica 180 mL</t>
  </si>
  <si>
    <t>Cone inhoff plástico 1000 mL</t>
  </si>
  <si>
    <t xml:space="preserve">Suporte para cone inhoff em polietileno </t>
  </si>
  <si>
    <t>Funil de vidro raiado haste longa 50 mm</t>
  </si>
  <si>
    <t>Funil de vidro raiado haste longa 65 mm</t>
  </si>
  <si>
    <t>Funil de vidro raiado haste longa 75 mm</t>
  </si>
  <si>
    <t>Funil de vidro raiado haste longa 100 mm</t>
  </si>
  <si>
    <t>Funil de vidro raiado haste curta 50 mm</t>
  </si>
  <si>
    <t>Funil de vidro raiado haste curta 65 mm</t>
  </si>
  <si>
    <t>Funil de vidro raiado haste curta 75 mm</t>
  </si>
  <si>
    <t>Funil de vidro raiado haste curta 100 mm</t>
  </si>
  <si>
    <t>Funil de buchner de cerâmica 73 mL</t>
  </si>
  <si>
    <t>Funil de buchner de cerâmica 460 mL</t>
  </si>
  <si>
    <t>Barra magnética lisa 6 mm</t>
  </si>
  <si>
    <t>Barra magnética lisa 15 mm</t>
  </si>
  <si>
    <t>Barra magnética lisa 30 mm</t>
  </si>
  <si>
    <t>Barra magnética lisa 40 mm</t>
  </si>
  <si>
    <t>Barra magnética lisa 50 mm</t>
  </si>
  <si>
    <t>Pescador de barras magnéticas (J.PR ou similar)</t>
  </si>
  <si>
    <t>Porta-filtro com funil PSF-500 mL (DS0310-405 - NALGENE ou similar)</t>
  </si>
  <si>
    <t>Agitadores (bastão) de vidro (J.PR ou similar)</t>
  </si>
  <si>
    <t>Frasco de vidro conta gotas 20 mL</t>
  </si>
  <si>
    <t>Frasco reagente graduado 100 mL</t>
  </si>
  <si>
    <t>Frasco reagente graduado 250 mL</t>
  </si>
  <si>
    <t>Frasco reagente graduado 500 mL</t>
  </si>
  <si>
    <t>Frasco reagente graduado 1000 mL</t>
  </si>
  <si>
    <t>Bomba para lavagem dos filtros (Meganorm 100-160RT - KBS ou similar)</t>
  </si>
  <si>
    <t>Bomba para sulfato de alumínio (FCE 0505 PP - EMEC ou similar)</t>
  </si>
  <si>
    <t>Bomba para ácido fluossilícico (FCEF 05 02 PVDF - EMEC ou similar)</t>
  </si>
  <si>
    <t>Bomba para hidrante (2MB2 - Jacuzzi ou similar)</t>
  </si>
  <si>
    <t>Luvas</t>
  </si>
  <si>
    <t>Uniforme</t>
  </si>
  <si>
    <t>Carro transportador manual</t>
  </si>
  <si>
    <t>Chuveiro lava olhos</t>
  </si>
  <si>
    <t>Bomba de lodo (Megaflow 50-160 - KBS ou similar)</t>
  </si>
  <si>
    <t>Bomba para drenagem da casa de bombas (Robusta 250M 220V STD - ABS ou similar)</t>
  </si>
  <si>
    <t>Medidor ultra-sônico (SCA-380-2 - Nivetec ou similar)</t>
  </si>
  <si>
    <t>Bomba submersível (CP 3057-HT - Flygt ou similar)</t>
  </si>
  <si>
    <t>Misturador submersível + kit de instalação (CP 3057-HT - Flygt ou similar)</t>
  </si>
  <si>
    <t xml:space="preserve">Tê 90 de ferro fundido DN 80 mm </t>
  </si>
  <si>
    <t xml:space="preserve">Tê 90 de ferro fundido DN 100 mm </t>
  </si>
  <si>
    <t xml:space="preserve">Tê 90 de ferro fundido DN 150 mm </t>
  </si>
  <si>
    <t xml:space="preserve">Tê 90 de ferro fundido DN 200 mm </t>
  </si>
  <si>
    <t xml:space="preserve">Tê 90 de ferro fundido DN 250 mm </t>
  </si>
  <si>
    <t xml:space="preserve">Tê 90 de ferro fundido DN 300 mm </t>
  </si>
  <si>
    <t xml:space="preserve">Tê 90 de ferro fundido DN 350 mm </t>
  </si>
  <si>
    <t xml:space="preserve">Tê 90 de ferro fundido DN 400 mm </t>
  </si>
  <si>
    <t xml:space="preserve">Tê de redução de ferro fundido DN 150x100 mm </t>
  </si>
  <si>
    <t xml:space="preserve">Tê de redução de ferro fundido DN 200x100 mm </t>
  </si>
  <si>
    <t xml:space="preserve">Tê de redução de ferro fundido DN 200x150 mm </t>
  </si>
  <si>
    <t xml:space="preserve">Tê de redução de ferro fundido DN 250x100 mm </t>
  </si>
  <si>
    <t xml:space="preserve">Tê de redução de ferro fundido DN 250x200 mm </t>
  </si>
  <si>
    <t xml:space="preserve">Tê de redução de ferro fundido DN 300x100 mm </t>
  </si>
  <si>
    <t xml:space="preserve">Tê de redução de ferro fundido DN 300x150 mm </t>
  </si>
  <si>
    <t xml:space="preserve">Tê de redução de ferro fundido DN 300x200 mm </t>
  </si>
  <si>
    <t xml:space="preserve">Tê de redução de ferro fundido DN 300x250 mm </t>
  </si>
  <si>
    <t>Redução de ferro fundido DN 100x80 mm</t>
  </si>
  <si>
    <t xml:space="preserve">Redução de ferro fundido DN 150x100 mm </t>
  </si>
  <si>
    <t xml:space="preserve">Redução de ferro fundido DN 200x100 mm </t>
  </si>
  <si>
    <t xml:space="preserve">Redução de ferro fundido DN 200x150 mm </t>
  </si>
  <si>
    <t xml:space="preserve">Redução de ferro fundido DN 250x200 mm </t>
  </si>
  <si>
    <t xml:space="preserve">Redução de ferro fundido DN 300x150 mm </t>
  </si>
  <si>
    <t xml:space="preserve">Redução de ferro fundido DN 300x200 mm </t>
  </si>
  <si>
    <t xml:space="preserve">Redução de ferro fundido DN 300x250 mm </t>
  </si>
  <si>
    <t xml:space="preserve">Redução de ferro fundido DN 350x300 mm </t>
  </si>
  <si>
    <t>Curva 45 de ferro fundido DN 250 mm</t>
  </si>
  <si>
    <t>Curva 45 de ferro fundido DN 350 mm</t>
  </si>
  <si>
    <t xml:space="preserve">Curva 90 de ferro fundido DN 100 mm </t>
  </si>
  <si>
    <t xml:space="preserve">Curva 90 de ferro fundido DN 150 mm </t>
  </si>
  <si>
    <t xml:space="preserve">Curva 90 de ferro fundido DN 200 mm </t>
  </si>
  <si>
    <t xml:space="preserve">Curva 90 de ferro fundido DN 250 mm </t>
  </si>
  <si>
    <t xml:space="preserve">Curva 90 de ferro fundido DN 300 mm </t>
  </si>
  <si>
    <t xml:space="preserve">Curva 90 de ferro fundido DN 350 mm </t>
  </si>
  <si>
    <t>Cruzeta de ferro fundido DN 100 mm</t>
  </si>
  <si>
    <t xml:space="preserve">Flange de ferro fundido DN 100 mm </t>
  </si>
  <si>
    <t xml:space="preserve">Flange de ferro fundido DN 150 mm </t>
  </si>
  <si>
    <t xml:space="preserve">Flange de ferro fundido DN 200 mm </t>
  </si>
  <si>
    <t xml:space="preserve">Flange de ferro fundido DN 250 mm </t>
  </si>
  <si>
    <t xml:space="preserve">Flange de ferro fundido DN 300 mm </t>
  </si>
  <si>
    <t xml:space="preserve">Flange de ferro fundido DN 350 mm </t>
  </si>
  <si>
    <t>Tubo de ferro fundido DN 100 mm, L = 6 m</t>
  </si>
  <si>
    <t>Tubo de ferro fundido DN 150 mm, L = 6 m</t>
  </si>
  <si>
    <t>Tubo de ferro fundido DN 200 mm, L = 6 m</t>
  </si>
  <si>
    <t>Tubo de ferro fundido DN 250 mm, L = 6 m</t>
  </si>
  <si>
    <t>Tubo de ferro fundido DN 300 mm, L = 6 m</t>
  </si>
  <si>
    <t>Tubo de ferro fundido DN 350 mm, L = 6 m</t>
  </si>
  <si>
    <t>Tubo de ferro fundido DN 400 mm, L = 6 m</t>
  </si>
  <si>
    <t>Tubo de aço galvanizado comum DN 25 mm, L = 6 m</t>
  </si>
  <si>
    <t>Tubo de aço galvanizado comum DN 38 mm, L = 6 m</t>
  </si>
  <si>
    <t>Tubo de aço galvanizado comum DN 50 mm, L = 6 m</t>
  </si>
  <si>
    <t>Tubo de aço galvanizado comum DN 63 mm, L = 6 m</t>
  </si>
  <si>
    <t>Tubo de aço galvanizado comum DN 75 mm, L = 6 m</t>
  </si>
  <si>
    <t xml:space="preserve">Tê 90 de aço galvanizado comum DN 38 mm </t>
  </si>
  <si>
    <t xml:space="preserve">Tê 90 de aço galvanizado comum DN 50 mm </t>
  </si>
  <si>
    <t xml:space="preserve">Tê 90 de aço galvanizado comum DN 63 mm </t>
  </si>
  <si>
    <t xml:space="preserve">Tê 90 de aço galvanizado comum DN 75 mm </t>
  </si>
  <si>
    <t xml:space="preserve">Redução de aço galvanizado comum DN 38x25 mm </t>
  </si>
  <si>
    <t xml:space="preserve">Redução de aço galvanizado comum DN 50x25 mm </t>
  </si>
  <si>
    <t xml:space="preserve">Redução de aço galvanizado comum DN 63x32 mm </t>
  </si>
  <si>
    <t xml:space="preserve">Redução de aço galvanizado comum DN 50x38 mm </t>
  </si>
  <si>
    <t xml:space="preserve">Redução de aço galvanizado comum DN 63x38 mm </t>
  </si>
  <si>
    <t xml:space="preserve">Redução de aço galvanizado comum DN 63x50 mm </t>
  </si>
  <si>
    <t xml:space="preserve">Curva 45 de aço galvanizado comum DN 25 mm </t>
  </si>
  <si>
    <t xml:space="preserve">Curva 45 de aço galvanizado comum DN 50 mm </t>
  </si>
  <si>
    <t xml:space="preserve">Curva 45 de aço galvanizado comum DN 63 mm </t>
  </si>
  <si>
    <t xml:space="preserve">Curva 45 de aço galvanizado comum DN 75 mm </t>
  </si>
  <si>
    <t xml:space="preserve">Curva 90 de aço galvanizado comum DN 25 mm </t>
  </si>
  <si>
    <t xml:space="preserve">Curva 90 de aço galvanizado comum DN 38 mm </t>
  </si>
  <si>
    <t xml:space="preserve">Curva 90 de aço galvanizado comum DN 50 mm </t>
  </si>
  <si>
    <t xml:space="preserve">Curva 90 de aço galvanizado comum DN 63 mm </t>
  </si>
  <si>
    <t xml:space="preserve">Curva 90 de aço galvanizado comum DN 75 mm </t>
  </si>
  <si>
    <t>Tubo de PVC rígido esgoto DN 100 mm, L = 6 m</t>
  </si>
  <si>
    <t>Tubo de PVC rígido esgoto DN 150 mm, L = 6 m</t>
  </si>
  <si>
    <t>Tubo flexível DN 1/4" tipo cristal</t>
  </si>
  <si>
    <t xml:space="preserve">Válvula borboleta tipo Wafer DN 100 mm </t>
  </si>
  <si>
    <t xml:space="preserve">Válvula borboleta tipo Wafer DN 150 mm </t>
  </si>
  <si>
    <t xml:space="preserve">Válvula borboleta tipo Wafer DN 200 mm </t>
  </si>
  <si>
    <t xml:space="preserve">Válvula borboleta tipo Wafer DN 250 mm </t>
  </si>
  <si>
    <t xml:space="preserve">Válvula borboleta tipo Wafer DN 300 mm </t>
  </si>
  <si>
    <t xml:space="preserve">Válvula borboleta tipo Wafer DN 350 mm </t>
  </si>
  <si>
    <t>Tubo de PVC rígido água DN 38 mm soldável, L = 6 m</t>
  </si>
  <si>
    <t>Tê 90 de PVC rígido água DN 38 mm soldável</t>
  </si>
  <si>
    <t>Curva 90 de PVC rígido água DN 38 mm soldável</t>
  </si>
  <si>
    <t xml:space="preserve">Válvula de retenção DN 50 mm </t>
  </si>
  <si>
    <t xml:space="preserve">Válvula de retenção DN 63 mm </t>
  </si>
  <si>
    <t xml:space="preserve">Válvula de retenção DN 75 mm </t>
  </si>
  <si>
    <t xml:space="preserve">Válvula de retenção DN 100 mm </t>
  </si>
  <si>
    <t xml:space="preserve">Válvula de retenção DN 150 mm </t>
  </si>
  <si>
    <t xml:space="preserve">Válvula de retenção DN 200 mm </t>
  </si>
  <si>
    <t xml:space="preserve">Válvula de pé com crivo DN 63 mm </t>
  </si>
  <si>
    <t xml:space="preserve">Registro de ângulo DN 63 mm </t>
  </si>
  <si>
    <t xml:space="preserve">Registro gaveta DN 38 mm </t>
  </si>
  <si>
    <t xml:space="preserve">Registro gaveta DN 50 mm </t>
  </si>
  <si>
    <t xml:space="preserve">Registro gaveta DN 63 mm </t>
  </si>
  <si>
    <t xml:space="preserve">Registro gaveta DN 75 mm </t>
  </si>
  <si>
    <t xml:space="preserve">Válvula de esfera DN 25 mm </t>
  </si>
  <si>
    <t>Armação utilizando aço CA-25 de 12,5 mm - montagem</t>
  </si>
  <si>
    <t>Desmatamento e limpeza mecanizada de terreno com árvores até ø 15 cm, utilizando trator de esteiras</t>
  </si>
  <si>
    <t>Gradil 1320x2170 mm (AxL) em barra de aço chata 25x2 mm, entrelaçada com barra aço redonda 5 mm, malha 65x132 mm, galvanizado e pintura eletrostática, cor preto</t>
  </si>
  <si>
    <t xml:space="preserve">Entrada provisória de energia elétrica aérea trifásica 40 A em poste madeira </t>
  </si>
  <si>
    <t>Concreto fck = 25 MPa, traço 1:2,3:2,7 (cimento/areia média/brita 1) - preparo mecânico com betoneira 400 L</t>
  </si>
  <si>
    <t>Chapa de madeira compensada plastificada para forma de concreto, de 2,20x1,10 m, e = 18 mm</t>
  </si>
  <si>
    <t>Escavação mecanizada de vala com prof. maior que 1,5 m até 3,0 m (média entre montante e jusante/uma composição por trecho), com escavadeira hidráulica (0,8 m³/111 HP), larg. de 1,5 m a 2,5 m, em solo de 1ª categoria, locais com baixo nível de interferência</t>
  </si>
  <si>
    <t>Alvenaria estrutural de blocos cerâmicos 14x19x39, (espessura de 14 cm), para paredes com área líquida maior ou igual a 6 m², com vãos, utilizando palheta e argamassa de assentamento com preparo em betoneira</t>
  </si>
  <si>
    <t>Massa única, para recebimento de pintura, em argamassa traço 1:2:8, preparo mecânico com betoneira 400 L, aplicada manualmente em teto, espessura de 20 mm, com execução de taliscas</t>
  </si>
  <si>
    <t>Emboço ou massa única em argamassa traço 1:2:8, preparo mecânico com betoneira 400 L, aplicada manualmente em panos de fachada com presença de vãos, espessura de 25 mm</t>
  </si>
  <si>
    <t>Massa única, para recebimento de pintura, em argamassa traço 1:2:8, preparo mecânico com betoneira 400 L, aplicada manualmente em faces internas de paredes, espessura de 10 mm, com execução de taliscas</t>
  </si>
  <si>
    <t>Emboço, para recebimento de cerâmica, em argamassa traço 1:2:8, preparo mecânico com betoneira 400 L, aplicado manualmente em faces internas de paredes, para ambiente com área maior que 10 m², espessura de 10 mm, com execução de taliscas</t>
  </si>
  <si>
    <t>Contrapiso em argamassa traço 1:4 (cimento e areia), preparo mecânico com betoneira 400 L, aplicado em áreas secas sobre laje, aderido, espessura 2 cm</t>
  </si>
  <si>
    <t>Revestimento cerâmico para piso com placas tipo esmaltada extra de dimensões 35x35 cm aplicada em ambientes de área maior que 10 m²</t>
  </si>
  <si>
    <t>Revestimento cerâmico para paredes internas com placas tipo esmaltada extra de dimensões 20x20 cm aplicadas em ambientes de área maior que 5 m² na altura inteira das paredes</t>
  </si>
  <si>
    <t>Chapa de aço grossa, ASTM A36, e = 1/4" (6,35 mm) 49,79 kg/m²</t>
  </si>
  <si>
    <t>Material filtrante (pedregulho) 0,6 a 25,46 mm (posto pedreira/fornecedor, sem frete)</t>
  </si>
  <si>
    <t>Material filtrante (pedregulho) 25,4 a 38 mm (posto pedreira/fornecedor, sem frete)</t>
  </si>
  <si>
    <t>Areia para leito filtrante (0,42 a 1,68 mm) - posto jazida/fornecedor (retirado na jazida, sem transporte)</t>
  </si>
  <si>
    <t>Aplicação manual de pintura com tinta látex acrílica em teto, duas demãos</t>
  </si>
  <si>
    <t>Assentamento de tubo de ferro fundido para rede de água, DN 100 mm, junta elástica, instalado em local com nível baixo de interferências (não inclui fornecimento)</t>
  </si>
  <si>
    <t>Assentamento de tubo de ferro fundido para rede de água, DN 150 mm, junta elástica, instalado em local com nível baixo de interferências (não inclui fornecimento)</t>
  </si>
  <si>
    <t>Assentamento de tubo de ferro fundido para rede de água, DN 200 mm, junta elástica, instalado em local com nível baixo de interferências (não inclui fornecimento)</t>
  </si>
  <si>
    <t>Assentamento de tubo de ferro fundido para rede de água, DN 250 mm, junta elástica, instalado em local com nível baixo de interferências (não inclui fornecimento)</t>
  </si>
  <si>
    <t>Assentamento de tubo de ferro fundido para rede de água, DN 300 mm, junta elástica, instalado em local com nível baixo de interferências (não inclui fornecimento)</t>
  </si>
  <si>
    <t>Assentamento de tubo de ferro fundido para rede de água, DN 350 mm, junta elástica, instalado em local com nível baixo de interferências (não inclui fornecimento)</t>
  </si>
  <si>
    <t>Assentamento de tubo de ferro fundido para rede de água, DN 400 mm, junta elástica, instalado em local com nível baixo de interferências (não inclui fornecimento)</t>
  </si>
  <si>
    <t>L</t>
  </si>
  <si>
    <t>kWh</t>
  </si>
  <si>
    <t>h</t>
  </si>
  <si>
    <t>Tê de redução de ferro fundido DN 350x100 mm</t>
  </si>
  <si>
    <t xml:space="preserve">Custo da água captada pela ETA </t>
  </si>
  <si>
    <t xml:space="preserve">Água utilizada na limpeza das unidades </t>
  </si>
  <si>
    <t xml:space="preserve">Retirada e disposição dos resíduos líquidos da ETR </t>
  </si>
  <si>
    <t xml:space="preserve">Hipoclorito de sódio (NaClO) </t>
  </si>
  <si>
    <t xml:space="preserve">Operador de ETA com nível técnico </t>
  </si>
  <si>
    <t xml:space="preserve">Técnico em laboratório </t>
  </si>
  <si>
    <t xml:space="preserve">Faxineira </t>
  </si>
  <si>
    <t xml:space="preserve">Administrador </t>
  </si>
  <si>
    <t xml:space="preserve">Auxiliar administrativo </t>
  </si>
  <si>
    <t xml:space="preserve">Secretária </t>
  </si>
  <si>
    <t xml:space="preserve">Retirada e disposição dos resíduos sólidos da ETR </t>
  </si>
  <si>
    <t xml:space="preserve">Acidez - ensaio de qualidade da água </t>
  </si>
  <si>
    <t xml:space="preserve">Alcalinidade - ensaio de qualidade da água </t>
  </si>
  <si>
    <t xml:space="preserve">Alumínio - ensaio de qualidade da água </t>
  </si>
  <si>
    <t xml:space="preserve">Arsênico - ensaio de qualidade da água </t>
  </si>
  <si>
    <t xml:space="preserve">Bário - ensaio de qualidade da água </t>
  </si>
  <si>
    <t xml:space="preserve">Boro - ensaio de qualidade da água </t>
  </si>
  <si>
    <t xml:space="preserve">Cianeto - ensaio de qualidade da água </t>
  </si>
  <si>
    <t xml:space="preserve">Cloretos - ensaio de qualidade da água </t>
  </si>
  <si>
    <t xml:space="preserve">Cloro residual - ensaio de qualidade da água </t>
  </si>
  <si>
    <t xml:space="preserve">Coliformes - ensaio de qualidade da água </t>
  </si>
  <si>
    <t xml:space="preserve">Condutividade elétrica - ensaio de qualidade da água </t>
  </si>
  <si>
    <t xml:space="preserve">Cor - ensaio de qualidade da água </t>
  </si>
  <si>
    <t xml:space="preserve">DBO - ensaio de qualidade da água </t>
  </si>
  <si>
    <t xml:space="preserve">DQO - ensaio de qualidade da água </t>
  </si>
  <si>
    <t xml:space="preserve">Dureza Total - ensaio de qualidade da água </t>
  </si>
  <si>
    <t xml:space="preserve">Estanho - ensaio de qualidade da água </t>
  </si>
  <si>
    <t xml:space="preserve">Fenol - ensaio de qualidade da água </t>
  </si>
  <si>
    <t xml:space="preserve">Fluoreto - ensaio de qualidade da água </t>
  </si>
  <si>
    <t xml:space="preserve">Fósforo total - ensaio de qualidade da água </t>
  </si>
  <si>
    <t xml:space="preserve">Mercúrio - ensaio de qualidade da água </t>
  </si>
  <si>
    <t xml:space="preserve">Zinco - ensaio de qualidade da água </t>
  </si>
  <si>
    <t xml:space="preserve">Chumbo - ensaio de qualidade da água </t>
  </si>
  <si>
    <t xml:space="preserve">Cádmio - ensaio de qualidade da água </t>
  </si>
  <si>
    <t xml:space="preserve">Níquel - ensaio de qualidade da água </t>
  </si>
  <si>
    <t xml:space="preserve">Ferro - ensaio de qualidade da água </t>
  </si>
  <si>
    <t xml:space="preserve">Manganês - ensaio de qualidade da água </t>
  </si>
  <si>
    <t xml:space="preserve">Cobre - ensaio de qualidade da água </t>
  </si>
  <si>
    <t xml:space="preserve">Cromo - ensaio de qualidade da água </t>
  </si>
  <si>
    <t xml:space="preserve">Nitrogênio amoniacal - ensaio de qualidade da água </t>
  </si>
  <si>
    <t xml:space="preserve">Nitrato - ensaio de qualidade da água </t>
  </si>
  <si>
    <t xml:space="preserve">Nitrito - ensaio de qualidade da água </t>
  </si>
  <si>
    <t xml:space="preserve">Nitrogênio total - ensaio de qualidade da água </t>
  </si>
  <si>
    <t xml:space="preserve">Oxigênio consumido - ensaio de qualidade da água </t>
  </si>
  <si>
    <t xml:space="preserve">Oxigênio dissolvido - ensaio de qualidade da água </t>
  </si>
  <si>
    <t xml:space="preserve">pH - ensaio de qualidade da água </t>
  </si>
  <si>
    <t xml:space="preserve">Potássio - ensaio de qualidade da água </t>
  </si>
  <si>
    <t xml:space="preserve">Selênio - ensaio de qualidade da água </t>
  </si>
  <si>
    <t xml:space="preserve">Sílica - ensaio de qualidade da água </t>
  </si>
  <si>
    <t xml:space="preserve">Sódio - ensaio de qualidade da água </t>
  </si>
  <si>
    <t xml:space="preserve">Sólidos dissolvidos - ensaio de qualidade da água </t>
  </si>
  <si>
    <t xml:space="preserve">Sólidos sedimentáveis - ensaio de qualidade da água </t>
  </si>
  <si>
    <t xml:space="preserve">Sólidos suspensos - ensaio de qualidade da água </t>
  </si>
  <si>
    <t xml:space="preserve">Sólidos totais - ensaio de qualidade da água </t>
  </si>
  <si>
    <t xml:space="preserve">Sulfato - ensaio de qualidade da água </t>
  </si>
  <si>
    <t xml:space="preserve">Sulfito - ensaio de qualidade da água </t>
  </si>
  <si>
    <t xml:space="preserve">Surfactantes - ensaio de qualidade da água </t>
  </si>
  <si>
    <t xml:space="preserve">TOC - ensaio de qualidade da água </t>
  </si>
  <si>
    <t xml:space="preserve">Turbidez - ensaio de qualidade da água </t>
  </si>
  <si>
    <t xml:space="preserve">Acrilamida - ensaio de qualidade da água </t>
  </si>
  <si>
    <t xml:space="preserve">Benzeno - ensaio de qualidade da água </t>
  </si>
  <si>
    <t xml:space="preserve">Benzo[a]pireno - ensaio de qualidade da água </t>
  </si>
  <si>
    <t xml:space="preserve">Cloreto de Vinila - ensaio de qualidade da água </t>
  </si>
  <si>
    <t xml:space="preserve">1,2 Dicloroetano - ensaio de qualidade da água </t>
  </si>
  <si>
    <t xml:space="preserve">1,1 Dicloroeteno - ensaio de qualidade da água </t>
  </si>
  <si>
    <t xml:space="preserve">Diclorometano - ensaio de qualidade da água </t>
  </si>
  <si>
    <t xml:space="preserve">Estireno - ensaio de qualidade da água </t>
  </si>
  <si>
    <t xml:space="preserve">Tetracloreto de Carbono - ensaio de qualidade da água </t>
  </si>
  <si>
    <t xml:space="preserve">Tetracloroeteno - ensaio de qualidade da água </t>
  </si>
  <si>
    <t xml:space="preserve">Triclorobenzenos - ensaio de qualidade da água </t>
  </si>
  <si>
    <t xml:space="preserve">Tricloroeteno - ensaio de qualidade da água </t>
  </si>
  <si>
    <t xml:space="preserve">Alaclor - ensaio de qualidade da água </t>
  </si>
  <si>
    <t xml:space="preserve">Aldrin e Dieldrin - ensaio de qualidade da água </t>
  </si>
  <si>
    <t xml:space="preserve">Atrazina - ensaio de qualidade da água </t>
  </si>
  <si>
    <t xml:space="preserve">Bentazona - ensaio de qualidade da água </t>
  </si>
  <si>
    <t xml:space="preserve">Clordano (isômeros) - ensaio de qualidade da água </t>
  </si>
  <si>
    <t xml:space="preserve">2,4 D - ensaio de qualidade da água </t>
  </si>
  <si>
    <t xml:space="preserve">DDT (isômeros) - ensaio de qualidade da água </t>
  </si>
  <si>
    <t xml:space="preserve">Endossulfan - ensaio de qualidade da água </t>
  </si>
  <si>
    <t xml:space="preserve">Endrin - ensaio de qualidade da água </t>
  </si>
  <si>
    <t xml:space="preserve">Glifosato - ensaio de qualidade da água </t>
  </si>
  <si>
    <t xml:space="preserve">Heptacloro e Heptacloro epóxido - ensaio de qualidade da água </t>
  </si>
  <si>
    <t xml:space="preserve">Hexaclorobenzeno - ensaio de qualidade da água </t>
  </si>
  <si>
    <t xml:space="preserve">Lindano (g-BHC) - ensaio de qualidade da água </t>
  </si>
  <si>
    <t xml:space="preserve">Metolacloro - ensaio de qualidade da água </t>
  </si>
  <si>
    <t xml:space="preserve">Metoxicloro - ensaio de qualidade da água </t>
  </si>
  <si>
    <t xml:space="preserve">Molinato - ensaio de qualidade da água </t>
  </si>
  <si>
    <t xml:space="preserve">Pendimetalina - ensaio de qualidade da água </t>
  </si>
  <si>
    <t xml:space="preserve">Pentaclorofenol - ensaio de qualidade da água </t>
  </si>
  <si>
    <t xml:space="preserve">Permetrina - ensaio de qualidade da água </t>
  </si>
  <si>
    <t xml:space="preserve">Propanil - ensaio de qualidade da água </t>
  </si>
  <si>
    <t xml:space="preserve">Simazina - ensaio de qualidade da água </t>
  </si>
  <si>
    <t xml:space="preserve">Trifluralina - ensaio de qualidade da água </t>
  </si>
  <si>
    <t xml:space="preserve">Trialometanos Total - ensaio de qualidade da água </t>
  </si>
  <si>
    <t xml:space="preserve">Cianotoxinas - ensaio de qualidade da água </t>
  </si>
  <si>
    <t xml:space="preserve">Guarda-corpo em escada de aço galvanizado - NTS 282 (tipo Sabesp) + pintura </t>
  </si>
  <si>
    <t>TECNOLOGIAS DE TRATAMENTO DE ÁGUA</t>
  </si>
  <si>
    <t>TECNOLOGIA DE TRATAMENTO DOS RESÍDUOS</t>
  </si>
  <si>
    <t>MÉTODOS CONSTRUTIVOS EMPREGADOS</t>
  </si>
  <si>
    <t>RESUMO DAS TECNOLOGIAS AVALIADAS</t>
  </si>
  <si>
    <t>DF</t>
  </si>
  <si>
    <t>FDA</t>
  </si>
  <si>
    <t>Nomenclatura</t>
  </si>
  <si>
    <t>Método construtivo</t>
  </si>
  <si>
    <t>ETA</t>
  </si>
  <si>
    <t>Chapa de aço</t>
  </si>
  <si>
    <t>Concreto</t>
  </si>
  <si>
    <t>Dupla filtração</t>
  </si>
  <si>
    <t>Leitos de drenagem</t>
  </si>
  <si>
    <t>Lagoas de lodo</t>
  </si>
  <si>
    <t>Tanque misturador + envio à ETE</t>
  </si>
  <si>
    <t>FDD</t>
  </si>
  <si>
    <t>Alvenaria</t>
  </si>
  <si>
    <t>Geotêxtil</t>
  </si>
  <si>
    <t>Filtração direta descendente</t>
  </si>
  <si>
    <t>Descrição</t>
  </si>
  <si>
    <t>Filtração direta  ascendente</t>
  </si>
  <si>
    <t>Dados Atualizados da SINAPI - CAIXA (para o estado de São Paulo)</t>
  </si>
  <si>
    <t>OBS 1: Os dados não fornecidos devem ficar vazios ou com "zero"</t>
  </si>
  <si>
    <t>Escavação vertical a céu aberto, incluindo carga, descarga e transporte, em solo de 1ª categoria com escavadeira hidráulica (caçamba: 0,8 m³/111 HP), frota de 3 caminhões basculantes de 14 m3, DMT de 0,2km e velocidade média 4km/h</t>
  </si>
  <si>
    <t>Escavação mecanizada de vala com prof. maior que 3,0 m até 4,5 m (média entre montante e jusante/uma composição por trecho), com escavadeira hidráulica (1,2 m³/155 HP), larg. de 1,5 m a 2,5 m, em solo de 1ª categoria, locais com baixo nível de interferência</t>
  </si>
  <si>
    <t>Escavação mecanizada de vala com prof. maior que 4,5 m até 6,0 m (média entre montante e jusante/uma composição por trecho), com escavadeira hidráulica (1,2 m³/155 HP), larg. de 1,5 m a 2,5 m, em solo de 1ª categoria, locais com baixo nível de interferência</t>
  </si>
  <si>
    <t>Escada metálica 3,7x1,2 m + instalação</t>
  </si>
  <si>
    <t>Escada metálica 3,7x0,6 m + instalação</t>
  </si>
  <si>
    <t>Portão metálico (1,0x0,7 m)</t>
  </si>
  <si>
    <t>Destilador de água capacidade 5,5 L/h (MA-255 - MARCONI ou similar)</t>
  </si>
  <si>
    <t>Barrilete em PVC, com capacidade de 30 L (BP-0302 - PERMUTION ou similar)</t>
  </si>
  <si>
    <t>Pipeta graduada 1x1/10 mL (SATELIT ou similar)</t>
  </si>
  <si>
    <t>Pipeta volumétrica 25 mL (HS ou similar)</t>
  </si>
  <si>
    <t>Pipeta volumétrica 100 mL (HS ou similar)</t>
  </si>
  <si>
    <t>Cápsula cerâmica para evaporação 5-85 mm (CHIAROTTI ou similar)</t>
  </si>
  <si>
    <t>Cápsula cerâmica para evaporação 5-105 mm (CHIAROTTI ou similar)</t>
  </si>
  <si>
    <t>Cápsula cerâmica para evaporação 5-50 mm (CHIAROTTI ou similar)</t>
  </si>
  <si>
    <t>Tanque para produtos químicos 60 L (Prominent ou similar)</t>
  </si>
  <si>
    <t>Talha manual e monovia 1 T, 3 m de corrente</t>
  </si>
  <si>
    <t xml:space="preserve">Energia elétrica até 2000 kWh industrial, sem demanda </t>
  </si>
  <si>
    <t>OBS 2: Antes de preencher os dados, ler todas as informações e comentários indicados na planilha</t>
  </si>
  <si>
    <t>Escada tipo marinheiro em tubo aço galvanizado 1 1/2", 5 degraus</t>
  </si>
  <si>
    <t>Impermeabilização de superfície com cimento impermeabilizante de pega ultra rápida, traço 1:1, e = 0,5 cm</t>
  </si>
  <si>
    <t xml:space="preserve">Chapa de aço fina a quente bitola MSG 14, e = 2,00 mm, 16 kg/m² </t>
  </si>
  <si>
    <t>Prancha de madeira aparelhada 4x30 cm, macaranduba, angelim ou equivalente da região</t>
  </si>
  <si>
    <t>Alvenaria de vedação de blocos cerâmicos furados na horizontal de 14x9x19 cm (espessura 14 cm, bloco deitado) de paredes com área líquida maior ou igual a 6 m² com vãos e argamassa de assentamento com preparo em betoneira</t>
  </si>
  <si>
    <t xml:space="preserve">Lona plástica transparente para cobertura 5x4 m </t>
  </si>
  <si>
    <t xml:space="preserve">Grelha reta de ferro fundido 20x50 cm </t>
  </si>
  <si>
    <t>Chapa de aço fina a quente bitola MSG 3/16", e = 4,75 mm, 38 kg/m²</t>
  </si>
  <si>
    <t>DF - ETR1 0</t>
  </si>
  <si>
    <t>DF - ETR2 0</t>
  </si>
  <si>
    <t>DF - ETR3 0</t>
  </si>
  <si>
    <t>DF - ETR1 a</t>
  </si>
  <si>
    <t>DF - ETR2 a</t>
  </si>
  <si>
    <t>DF - ETR3 a</t>
  </si>
  <si>
    <t>DF - ETR1 b</t>
  </si>
  <si>
    <t>DF - ETR3 c</t>
  </si>
  <si>
    <t>DF - ETR1 d</t>
  </si>
  <si>
    <t>DF - ETR3 e</t>
  </si>
  <si>
    <t>FDA - ETR1 0</t>
  </si>
  <si>
    <t>FDA - ETR2 0</t>
  </si>
  <si>
    <t>FDA - ETR3 0</t>
  </si>
  <si>
    <t>FDA - ETR1 a</t>
  </si>
  <si>
    <t>FDA - ETR2 a</t>
  </si>
  <si>
    <t>FDA - ETR3 a</t>
  </si>
  <si>
    <t>FDA - ETR1 b</t>
  </si>
  <si>
    <t>FDA - ETR3 c</t>
  </si>
  <si>
    <t>FDA - ETR1 d</t>
  </si>
  <si>
    <t>FDA - ETR3 e</t>
  </si>
  <si>
    <t>FDD - ETR1 0</t>
  </si>
  <si>
    <t>FDD - ETR2 0</t>
  </si>
  <si>
    <t>FDD - ETR3 0</t>
  </si>
  <si>
    <t>FDD - ETR1 a</t>
  </si>
  <si>
    <t>FDD - ETR2 a</t>
  </si>
  <si>
    <t>FDD - ETR3 a</t>
  </si>
  <si>
    <t>FDD - ETR1 b</t>
  </si>
  <si>
    <t>FDD - ETR3 c</t>
  </si>
  <si>
    <t>FDD - ETR1 d</t>
  </si>
  <si>
    <t>FDD - ETR3 e</t>
  </si>
  <si>
    <t>Vazão (L/s) *</t>
  </si>
  <si>
    <t>* Inserir a vazão desejada na aba "Dados"</t>
  </si>
  <si>
    <t xml:space="preserve">1. Área requerida   </t>
  </si>
  <si>
    <t xml:space="preserve">2. Serviços iniciais </t>
  </si>
  <si>
    <t xml:space="preserve">2.1. Serviços iniciais da ETA </t>
  </si>
  <si>
    <t>2.2. Serviços iniciais da ETR</t>
  </si>
  <si>
    <t xml:space="preserve">Área requerida pela ETA </t>
  </si>
  <si>
    <t>Área requerida pela ETR</t>
  </si>
  <si>
    <t>un</t>
  </si>
  <si>
    <t xml:space="preserve">Desmatamento e limpeza mecanizada de terreno com árvores até ø 15 cm, utilizando trator de esteiras			</t>
  </si>
  <si>
    <t>Mobilização e instalação de 01 equipamento de sondagem, distância até 10 km</t>
  </si>
  <si>
    <t>3. Caixas de passagem e de inspeção</t>
  </si>
  <si>
    <t>3.1. Caixas da ETA</t>
  </si>
  <si>
    <t>3.2. Caixas da ETR</t>
  </si>
  <si>
    <t>4. Calçadas</t>
  </si>
  <si>
    <t>4.1. Calçadas da ETA</t>
  </si>
  <si>
    <t>4.2. Calçadas da ETR</t>
  </si>
  <si>
    <t xml:space="preserve">5. Casa de química da ETA </t>
  </si>
  <si>
    <t>Grade de aço com barras de 3/4”x1/8”, espaçamento até 1,5 cm (passarela)</t>
  </si>
  <si>
    <t xml:space="preserve">6. Câmara de carga </t>
  </si>
  <si>
    <t>Epóxi Poliamida Bicomponente de alta espessura Sumadur 80 Primer (rendimento médio  =  10 m²/L por demão) - 1 demão</t>
  </si>
  <si>
    <t>Pintura Epóxi sumadur 194 - água potável (rendimento médio  =  10 m²/L por demão) - 2 demãos</t>
  </si>
  <si>
    <t>7. Filtros rápidos ascendentes</t>
  </si>
  <si>
    <t>8. Filtros rápidos ascendentes em pedregulho</t>
  </si>
  <si>
    <t>9. Filtros rápidos descendentes</t>
  </si>
  <si>
    <t>INVESTIMENTO INICIAL</t>
  </si>
  <si>
    <t>Mão de obra - construção e instalação de chapa de aço</t>
  </si>
  <si>
    <t>Material filtrante (pedregulho) 25,4 a 38,0 mm</t>
  </si>
  <si>
    <t>Material filtrante (pedregulho) 15,9 a 25,4 mm</t>
  </si>
  <si>
    <t>Material filtrante (pedregulho) 9,6 a 15,9 mm</t>
  </si>
  <si>
    <t>Material filtrante (pedregulho) 6,4 a 12,7 mm</t>
  </si>
  <si>
    <t>Material filtrante (pedregulho) 2,4 a 4,8 mm</t>
  </si>
  <si>
    <t>Material filtrante (pedregulho) 9,6 a 12,7 mm</t>
  </si>
  <si>
    <t>Material filtrante (pedregulho) 12,7 a 19,0 mm</t>
  </si>
  <si>
    <t>Material filtrante (pedregulho) 25,4 a 31,0 mm</t>
  </si>
  <si>
    <t>Material filtrante (pedregulho) 4,8 a 9,6 mm</t>
  </si>
  <si>
    <t>Material filtrante (pedregulho) 25,4 a 40,0 mm</t>
  </si>
  <si>
    <t>Material filtrante (pedregulho) 2,0 a 4,8 mm</t>
  </si>
  <si>
    <t>Areia para leito filtrante</t>
  </si>
  <si>
    <t>Guarda-corpo em tubo de aço galvanizado 1 1/2"</t>
  </si>
  <si>
    <t>10. Passarela</t>
  </si>
  <si>
    <t xml:space="preserve">11. Tanque de água filtrada e câmara de contato </t>
  </si>
  <si>
    <t xml:space="preserve">12. Tanques de clarificação / adensamento </t>
  </si>
  <si>
    <t xml:space="preserve">13. Casa de bombas </t>
  </si>
  <si>
    <t>Trama de madeira composta por ripas, caibros e terças para telhados de até 2 águas para telha de encaixe de cerâmica ou de concreto, incluso transporte vertical</t>
  </si>
  <si>
    <t>Telhamento com telha cerâmica de encaixe, tipo francesa, com até 2 águas, incluso transporte vertical</t>
  </si>
  <si>
    <t>Epóxi Poliamida Bicomponente de alta espessura Sumadur 80 Primer (rendimento médio  =  10m²/L por demão)</t>
  </si>
  <si>
    <t>Pintura Epóxi sumadur 194 - água potável (rendimento médio  =  10m²/L por demão)</t>
  </si>
  <si>
    <t>Emboço ou massa única em argamassa traço 1:2:8, preparo mecânico com betoneira 400 L, aplicada manualmente em panos cegos de fachada (sem presença de vãos), espessura de 25 mm</t>
  </si>
  <si>
    <t>Cantoneira alumínio abas iguais 2", e = 1/8"</t>
  </si>
  <si>
    <t>Chapa de aço fina a quente bitola MSG 14, e = 2,00 mm, 16 kg/m²</t>
  </si>
  <si>
    <t xml:space="preserve">Pedra britada N.2 (19 a 38 mm) posto pedreira/fornecedor, sem frete </t>
  </si>
  <si>
    <t>Grelha reta de ferro fundido 20x50 cm</t>
  </si>
  <si>
    <t xml:space="preserve">14. Leitos de drenagem </t>
  </si>
  <si>
    <t>15. Lagoas de lodo</t>
  </si>
  <si>
    <t xml:space="preserve">16. Tanque de regularização de vazão </t>
  </si>
  <si>
    <t>17.1. Tubulações e conexões de ferro fundido</t>
  </si>
  <si>
    <t>17.2. Tubulações e conexões de aço galvanizado comum</t>
  </si>
  <si>
    <t>17. Tubulações, conexões e válvulas - ETA</t>
  </si>
  <si>
    <t>17.3. Tubulações e conexões de PVC rígido</t>
  </si>
  <si>
    <t>17.4. Tubulações de PVC rígido esgoto</t>
  </si>
  <si>
    <t>17.5. Tubulações flexíveis</t>
  </si>
  <si>
    <t>17.6. Válvulas borboleta</t>
  </si>
  <si>
    <t>17.7. Válvulas de retenção</t>
  </si>
  <si>
    <t>17.8. Registros e outras válvulas</t>
  </si>
  <si>
    <t>18. Tubulações, conexões e válvulas - ETR</t>
  </si>
  <si>
    <t>18.1. Tubulações e conexões de ferro fundido</t>
  </si>
  <si>
    <t>18.2. Tubulações e conexões de aço galvanizado comum</t>
  </si>
  <si>
    <t>18.3. Tubulaçõs de PVC rígido esgoto</t>
  </si>
  <si>
    <t>18.4. Válvulas borboleta</t>
  </si>
  <si>
    <t>18.5. Válvulas de retenção</t>
  </si>
  <si>
    <t>18.6. Registros e outras válvulas</t>
  </si>
  <si>
    <t>Medidor de pH (DM-20 DIGIMED ou similar)</t>
  </si>
  <si>
    <t>19. Equipamentos de laboratório</t>
  </si>
  <si>
    <t>19.1. Equipamentos de laboratório (físico-químico)</t>
  </si>
  <si>
    <t>19.2. Equipamentos de laboratório (microbiológico)</t>
  </si>
  <si>
    <t>Dosagem de hipoclorito de sódio (FCE 0502 PMMA - EMEC ou similar)</t>
  </si>
  <si>
    <t>Macromedidor de água tratada (Horizontal Beta MWN DN150 - Woltmann ou similar)</t>
  </si>
  <si>
    <t>Máscara protetora para olhos, nariz e boca</t>
  </si>
  <si>
    <t>20. Vidraria e acessóros de laboratório</t>
  </si>
  <si>
    <t>20.1. Vidraria e acessóros (laboratório físico-químico)</t>
  </si>
  <si>
    <t>20.2. Vidraria e acessóros (laboratório microbiológico)</t>
  </si>
  <si>
    <t>21. Outros equipamentos e acessórios</t>
  </si>
  <si>
    <t>21.1. Equipamentos da ETA</t>
  </si>
  <si>
    <t>21.2. Outros acessórios da ETA</t>
  </si>
  <si>
    <t>21.3. Equipamentos da ETR</t>
  </si>
  <si>
    <t>FUNCIONAMENTO</t>
  </si>
  <si>
    <t>1. Água captada pela ETA</t>
  </si>
  <si>
    <t>Custo da água captada pela ETA (mensal)</t>
  </si>
  <si>
    <t>2. Operação da ETR</t>
  </si>
  <si>
    <t xml:space="preserve">Água utilizada na limpeza das unidades (mensal) </t>
  </si>
  <si>
    <t>Retirada e disposição dos resíduos sólidos da ETR (anual)</t>
  </si>
  <si>
    <t>Retirada e disposição dos resíduos líquidos da ETR (mensal)</t>
  </si>
  <si>
    <t>3. Produtos químicos</t>
  </si>
  <si>
    <t>Hipoclorito de sódio (NaClO) (mensal)</t>
  </si>
  <si>
    <t>4. Energia elétrica</t>
  </si>
  <si>
    <t>4.1. Energia elétrica da ETA</t>
  </si>
  <si>
    <t>Bomba para lavagem dos filtros (mensal)</t>
  </si>
  <si>
    <t>Bomba para drenagem (mensal)</t>
  </si>
  <si>
    <t>Bombas dosadoras (mensal)</t>
  </si>
  <si>
    <t>Bomba para hidrante (mensal)</t>
  </si>
  <si>
    <t>Lâmpadas iluminação da casa de química (mensal)</t>
  </si>
  <si>
    <t>Lâmpadas iluminação externa da ETA (mensal)</t>
  </si>
  <si>
    <t>4.2. Energia elétrica da ETR</t>
  </si>
  <si>
    <t>Bomba de lodo (mensal)</t>
  </si>
  <si>
    <t>Lâmpadas iluminação da casa de bombas (mensal)</t>
  </si>
  <si>
    <t>Bomba submersível (mensal)</t>
  </si>
  <si>
    <t>Misturador submersível (mensal)</t>
  </si>
  <si>
    <t>5. Pessoal para operação e administração</t>
  </si>
  <si>
    <t>Operador de ETA com nível técnico (mensal)</t>
  </si>
  <si>
    <t>Técnico em laboratório (mensal)</t>
  </si>
  <si>
    <t>Administrador (mensal)</t>
  </si>
  <si>
    <t>Auxiliar administrativo (mensal)</t>
  </si>
  <si>
    <t>Secretária (mensal)</t>
  </si>
  <si>
    <t>Faxineira (mensal)</t>
  </si>
  <si>
    <t>6. Controle de qualidade da água - laboratório externo</t>
  </si>
  <si>
    <r>
      <rPr>
        <b/>
        <sz val="10"/>
        <color theme="5" tint="-0.249977111117893"/>
        <rFont val="Times New Roman"/>
        <family val="1"/>
      </rPr>
      <t>CONSIDERAÇÕES INICIAIS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(DADOS OBRIGATÓRIOS)</t>
    </r>
  </si>
  <si>
    <r>
      <t xml:space="preserve">Vazão de projeto da ETA (L/s) </t>
    </r>
    <r>
      <rPr>
        <b/>
        <vertAlign val="superscript"/>
        <sz val="10"/>
        <color theme="1"/>
        <rFont val="Times New Roman"/>
        <family val="1"/>
      </rPr>
      <t>(1)</t>
    </r>
  </si>
  <si>
    <r>
      <t xml:space="preserve">Taxa de benefícios e despesas indiretas - taxa de BDI (%) </t>
    </r>
    <r>
      <rPr>
        <vertAlign val="superscript"/>
        <sz val="10"/>
        <color theme="1"/>
        <rFont val="Times New Roman"/>
        <family val="1"/>
      </rPr>
      <t>(2)</t>
    </r>
  </si>
  <si>
    <r>
      <t xml:space="preserve">Leis sociais e riscos de trabalho para horistas (%) </t>
    </r>
    <r>
      <rPr>
        <vertAlign val="superscript"/>
        <sz val="10"/>
        <color theme="1"/>
        <rFont val="Times New Roman"/>
        <family val="1"/>
      </rPr>
      <t>(3)</t>
    </r>
  </si>
  <si>
    <r>
      <t xml:space="preserve">Taxa representativa do dólar (R$) </t>
    </r>
    <r>
      <rPr>
        <vertAlign val="superscript"/>
        <sz val="10"/>
        <color theme="1"/>
        <rFont val="Times New Roman"/>
        <family val="1"/>
      </rPr>
      <t>(4)</t>
    </r>
  </si>
  <si>
    <r>
      <rPr>
        <vertAlign val="superscript"/>
        <sz val="10"/>
        <rFont val="Times New Roman"/>
        <family val="1"/>
      </rPr>
      <t>(2)</t>
    </r>
    <r>
      <rPr>
        <sz val="10"/>
        <rFont val="Times New Roman"/>
        <family val="1"/>
      </rPr>
      <t xml:space="preserve"> O valor deve incluir, no mínimo: administração central, despesa tributária (PIS, COFINS, ISS), taxa de risco, seguro e garantia de empreendimento, e taxa de lucro (benefício do construtor). Para mais informações, consultar o estudo sobre taxas de BDI publicado pelo Tribunal de Contas da União, disponível em: https://portal.tcu.gov.br/lumis/portal/file/fileDownload.jsp?fileId=8A8182A151356F96015168D520297EE4</t>
    </r>
  </si>
  <si>
    <r>
      <rPr>
        <vertAlign val="superscript"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Para mais informações acerca do cálculo dos encargos sociais sobre a mão-de-obra de horistas (sem desoneração) para o estado de São Paulo, consultar o seguinte site: http://www.caixa.gov.br/Downloads/sinapi-encargos-sociais-sem-desoneracao/SINAPI_Encargos_Sociais_A_PARTIR_DE_OUTUBRO_2018.pdf</t>
    </r>
  </si>
  <si>
    <t xml:space="preserve">Cloreto férrico (FeCl₃ x 6 H₂O) </t>
  </si>
  <si>
    <t xml:space="preserve">Ácido fluossilícico (H₂SiF₆) </t>
  </si>
  <si>
    <t>Cloreto férrico (FeCl₃ x 6 H₂O) (mensal)</t>
  </si>
  <si>
    <t>Ácido fluossilícico (H₂SiF₆) (mensal)</t>
  </si>
  <si>
    <t xml:space="preserve">Acidez - ensaio de qualidade da água (anual) </t>
  </si>
  <si>
    <t xml:space="preserve">Alcalinidade - ensaio de qualidade da água (anual) </t>
  </si>
  <si>
    <t xml:space="preserve">Alumínio - ensaio de qualidade da água (anual) </t>
  </si>
  <si>
    <t xml:space="preserve">Arsênico - ensaio de qualidade da água (anual) </t>
  </si>
  <si>
    <t xml:space="preserve">Bário - ensaio de qualidade da água (anual) </t>
  </si>
  <si>
    <t xml:space="preserve">Boro - ensaio de qualidade da água (anual) </t>
  </si>
  <si>
    <t xml:space="preserve">Cianeto - ensaio de qualidade da água (anual) </t>
  </si>
  <si>
    <t xml:space="preserve">Cloretos - ensaio de qualidade da água (anual) </t>
  </si>
  <si>
    <t xml:space="preserve">Cloro residual - ensaio de qualidade da água (anual) </t>
  </si>
  <si>
    <t xml:space="preserve">Coliformes - ensaio de qualidade da água (anual) </t>
  </si>
  <si>
    <t xml:space="preserve">Condutividade elétrica - ensaio de qualidade da água (anual) </t>
  </si>
  <si>
    <t xml:space="preserve">Cor - ensaio de qualidade da água (anual) </t>
  </si>
  <si>
    <t xml:space="preserve">DBO - ensaio de qualidade da água (anual) </t>
  </si>
  <si>
    <t xml:space="preserve">DQO - ensaio de qualidade da água (anual) </t>
  </si>
  <si>
    <t xml:space="preserve">Dureza Total - ensaio de qualidade da água (anual) </t>
  </si>
  <si>
    <t xml:space="preserve">Estanho - ensaio de qualidade da água (anual) </t>
  </si>
  <si>
    <t xml:space="preserve">Fenol - ensaio de qualidade da água (anual) </t>
  </si>
  <si>
    <t xml:space="preserve">Fluoreto - ensaio de qualidade da água (anual) </t>
  </si>
  <si>
    <t xml:space="preserve">Fósforo total - ensaio de qualidade da água (anual) </t>
  </si>
  <si>
    <t xml:space="preserve">Mercúrio - ensaio de qualidade da água (anual) </t>
  </si>
  <si>
    <t xml:space="preserve">Zinco - ensaio de qualidade da água (anual) </t>
  </si>
  <si>
    <t xml:space="preserve">Chumbo - ensaio de qualidade da água (anual) </t>
  </si>
  <si>
    <t xml:space="preserve">Cádmio - ensaio de qualidade da água (anual) </t>
  </si>
  <si>
    <t xml:space="preserve">Níquel - ensaio de qualidade da água (anual) </t>
  </si>
  <si>
    <t xml:space="preserve">Ferro - ensaio de qualidade da água (anual) </t>
  </si>
  <si>
    <t xml:space="preserve">Manganês - ensaio de qualidade da água (anual) </t>
  </si>
  <si>
    <t xml:space="preserve">Cobre - ensaio de qualidade da água (anual) </t>
  </si>
  <si>
    <t xml:space="preserve">Cromo - ensaio de qualidade da água (anual) </t>
  </si>
  <si>
    <t xml:space="preserve">Nitrogênio amoniacal - ensaio de qualidade da água (anual) </t>
  </si>
  <si>
    <t xml:space="preserve">Nitrato - ensaio de qualidade da água (anual) </t>
  </si>
  <si>
    <t xml:space="preserve">Nitrito - ensaio de qualidade da água (anual) </t>
  </si>
  <si>
    <t xml:space="preserve">Nitrogênio total - ensaio de qualidade da água (anual) </t>
  </si>
  <si>
    <t xml:space="preserve">Oxigênio consumido - ensaio de qualidade da água (anual) </t>
  </si>
  <si>
    <t xml:space="preserve">Oxigênio dissolvido - ensaio de qualidade da água (anual) </t>
  </si>
  <si>
    <t xml:space="preserve">pH - ensaio de qualidade da água (anual) </t>
  </si>
  <si>
    <t xml:space="preserve">Potássio - ensaio de qualidade da água (anual) </t>
  </si>
  <si>
    <t xml:space="preserve">Selênio - ensaio de qualidade da água (anual) </t>
  </si>
  <si>
    <t xml:space="preserve">Sílica - ensaio de qualidade da água (anual) </t>
  </si>
  <si>
    <t xml:space="preserve">Sódio - ensaio de qualidade da água (anual) </t>
  </si>
  <si>
    <t xml:space="preserve">Sólidos dissolvidos - ensaio de qualidade da água (anual) </t>
  </si>
  <si>
    <t xml:space="preserve">Sólidos sedimentáveis - ensaio de qualidade da água (anual) </t>
  </si>
  <si>
    <t xml:space="preserve">Sólidos suspensos - ensaio de qualidade da água (anual) </t>
  </si>
  <si>
    <t xml:space="preserve">Sólidos totais - ensaio de qualidade da água (anual) </t>
  </si>
  <si>
    <t xml:space="preserve">Sulfato - ensaio de qualidade da água (anual) </t>
  </si>
  <si>
    <t xml:space="preserve">Sulfito - ensaio de qualidade da água (anual) </t>
  </si>
  <si>
    <t xml:space="preserve">Surfactantes - ensaio de qualidade da água (anual) </t>
  </si>
  <si>
    <t xml:space="preserve">TOC - ensaio de qualidade da água (anual) </t>
  </si>
  <si>
    <t xml:space="preserve">Turbidez - ensaio de qualidade da água (anual) </t>
  </si>
  <si>
    <t xml:space="preserve">Acrilamida - ensaio de qualidade da água (anual) </t>
  </si>
  <si>
    <t xml:space="preserve">Benzeno - ensaio de qualidade da água (anual) </t>
  </si>
  <si>
    <t xml:space="preserve">Benzo[a]pireno - ensaio de qualidade da água (anual) </t>
  </si>
  <si>
    <t xml:space="preserve">Cloreto de Vinila - ensaio de qualidade da água (anual) </t>
  </si>
  <si>
    <t xml:space="preserve">1,2 Dicloroetano - ensaio de qualidade da água (anual) </t>
  </si>
  <si>
    <t xml:space="preserve">1,1 Dicloroeteno - ensaio de qualidade da água (anual) </t>
  </si>
  <si>
    <t xml:space="preserve">Diclorometano - ensaio de qualidade da água (anual) </t>
  </si>
  <si>
    <t xml:space="preserve">Estireno - ensaio de qualidade da água (anual) </t>
  </si>
  <si>
    <t xml:space="preserve">Tetracloreto de Carbono - ensaio de qualidade da água (anual) </t>
  </si>
  <si>
    <t xml:space="preserve">Tetracloroeteno - ensaio de qualidade da água (anual) </t>
  </si>
  <si>
    <t xml:space="preserve">Triclorobenzenos - ensaio de qualidade da água (anual) </t>
  </si>
  <si>
    <t xml:space="preserve">Tricloroeteno - ensaio de qualidade da água (anual) </t>
  </si>
  <si>
    <t xml:space="preserve">Alaclor - ensaio de qualidade da água (anual) </t>
  </si>
  <si>
    <t xml:space="preserve">Aldrin e Dieldrin - ensaio de qualidade da água (anual) </t>
  </si>
  <si>
    <t xml:space="preserve">Atrazina - ensaio de qualidade da água (anual) </t>
  </si>
  <si>
    <t xml:space="preserve">Bentazona - ensaio de qualidade da água (anual) </t>
  </si>
  <si>
    <t xml:space="preserve">Clordano (isômeros) - ensaio de qualidade da água (anual) </t>
  </si>
  <si>
    <t xml:space="preserve">2,4 D - ensaio de qualidade da água (anual) </t>
  </si>
  <si>
    <t xml:space="preserve">DDT (isômeros) - ensaio de qualidade da água (anual) </t>
  </si>
  <si>
    <t xml:space="preserve">Endossulfan - ensaio de qualidade da água (anual) </t>
  </si>
  <si>
    <t xml:space="preserve">Endrin - ensaio de qualidade da água (anual) </t>
  </si>
  <si>
    <t xml:space="preserve">Glifosato - ensaio de qualidade da água (anual) </t>
  </si>
  <si>
    <t xml:space="preserve">Heptacloro e Heptacloro epóxido - ensaio de qualidade da água (anual) </t>
  </si>
  <si>
    <t xml:space="preserve">Hexaclorobenzeno - ensaio de qualidade da água (anual) </t>
  </si>
  <si>
    <t xml:space="preserve">Lindano (g-BHC) - ensaio de qualidade da água (anual) </t>
  </si>
  <si>
    <t xml:space="preserve">Metolacloro - ensaio de qualidade da água (anual) </t>
  </si>
  <si>
    <t xml:space="preserve">Metoxicloro - ensaio de qualidade da água (anual) </t>
  </si>
  <si>
    <t xml:space="preserve">Molinato - ensaio de qualidade da água (anual) </t>
  </si>
  <si>
    <t xml:space="preserve">Pendimetalina - ensaio de qualidade da água (anual) </t>
  </si>
  <si>
    <t xml:space="preserve">Pentaclorofenol - ensaio de qualidade da água (anual) </t>
  </si>
  <si>
    <t xml:space="preserve">Permetrina - ensaio de qualidade da água (anual) </t>
  </si>
  <si>
    <t xml:space="preserve">Propanil - ensaio de qualidade da água (anual) </t>
  </si>
  <si>
    <t xml:space="preserve">Simazina - ensaio de qualidade da água (anual) </t>
  </si>
  <si>
    <t xml:space="preserve">Trifluralina - ensaio de qualidade da água (anual) </t>
  </si>
  <si>
    <t xml:space="preserve">Trialometanos Total - ensaio de qualidade da água (anual) </t>
  </si>
  <si>
    <t xml:space="preserve">Cianotoxinas - ensaio de qualidade da água (anual) </t>
  </si>
  <si>
    <t>Custos DF</t>
  </si>
  <si>
    <t>Custos FDA</t>
  </si>
  <si>
    <t>Custos FDD</t>
  </si>
  <si>
    <t>Porta de correr em alumínio, com duas folhas para vidro, incluso vidro liso incolor, fechadura e puxador, sem guarnição/alizar/vista</t>
  </si>
  <si>
    <r>
      <rPr>
        <b/>
        <sz val="10"/>
        <color theme="5" tint="-0.249977111117893"/>
        <rFont val="Times New Roman"/>
        <family val="1"/>
      </rPr>
      <t>COAGULANTE CONSIDERADO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(DADOS OBRIGATÓRIOS)</t>
    </r>
  </si>
  <si>
    <t>Quantitativos DF</t>
  </si>
  <si>
    <t>Quantitativos FDA</t>
  </si>
  <si>
    <t>Quantitativos FDD</t>
  </si>
  <si>
    <t>Resumo custos DF</t>
  </si>
  <si>
    <t>Resumo custos FDA</t>
  </si>
  <si>
    <t>Resumo custos FDD</t>
  </si>
  <si>
    <t>FUNCIONAMENTO ETR (anual)</t>
  </si>
  <si>
    <t>Preço unitário</t>
  </si>
  <si>
    <t>Reajuste</t>
  </si>
  <si>
    <t>Quantitativos modelo</t>
  </si>
  <si>
    <t>Quantitativos modelo DF</t>
  </si>
  <si>
    <t>Quantitativos modelo FDA</t>
  </si>
  <si>
    <t>Quantitativos modelo FDD</t>
  </si>
  <si>
    <t>Tecnologia</t>
  </si>
  <si>
    <t>Total</t>
  </si>
  <si>
    <t>Data base dos preços unitários indicados no modelo</t>
  </si>
  <si>
    <t>Reajuste dos preços unitários utilizados no modelo - Índice de correção IGP-M (FGV)</t>
  </si>
  <si>
    <r>
      <rPr>
        <b/>
        <sz val="10"/>
        <color theme="5" tint="-0.249977111117893"/>
        <rFont val="Times New Roman"/>
        <family val="1"/>
      </rPr>
      <t>REAJUSTE DOS PREÇOS UNITÁRIOS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(DADOS OBRIGATÓRIOS)</t>
    </r>
  </si>
  <si>
    <r>
      <t xml:space="preserve">O usuário deve escolher o </t>
    </r>
    <r>
      <rPr>
        <b/>
        <sz val="10"/>
        <rFont val="Times New Roman"/>
        <family val="1"/>
      </rPr>
      <t>tipo desejado de reajuste</t>
    </r>
    <r>
      <rPr>
        <sz val="10"/>
        <rFont val="Times New Roman"/>
        <family val="1"/>
      </rPr>
      <t xml:space="preserve"> dos preços unitários em relação ao tempo, marcando a opção escolhida na tabela abaixo</t>
    </r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</si>
  <si>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Atualizar </t>
    </r>
    <r>
      <rPr>
        <b/>
        <sz val="10"/>
        <rFont val="Times New Roman"/>
        <family val="1"/>
      </rPr>
      <t>manualmente</t>
    </r>
    <r>
      <rPr>
        <sz val="10"/>
        <rFont val="Times New Roman"/>
        <family val="1"/>
      </rPr>
      <t xml:space="preserve"> (um a um) </t>
    </r>
    <r>
      <rPr>
        <b/>
        <sz val="10"/>
        <rFont val="Times New Roman"/>
        <family val="1"/>
      </rPr>
      <t xml:space="preserve">todos </t>
    </r>
    <r>
      <rPr>
        <sz val="10"/>
        <rFont val="Times New Roman"/>
        <family val="1"/>
      </rPr>
      <t>os preços unitários indicados nas Tabelas 1 a 3 mostradas abaixo, utilizando valores atualizados da SINAPI (Tabelas 1 e 2), consulta a peritos e orçamentos de empresas/lojas especializadas (Tabela 3)</t>
    </r>
  </si>
  <si>
    <r>
      <t xml:space="preserve">O usuário deve escolher o </t>
    </r>
    <r>
      <rPr>
        <b/>
        <sz val="10"/>
        <color theme="1"/>
        <rFont val="Times New Roman"/>
        <family val="1"/>
      </rPr>
      <t>tipo de coagulante</t>
    </r>
    <r>
      <rPr>
        <sz val="10"/>
        <color theme="1"/>
        <rFont val="Times New Roman"/>
        <family val="1"/>
      </rPr>
      <t xml:space="preserve"> desejado: sulfato de alumínio ou cloreto férrico, marcando a opção escolhida na tabela abaixo</t>
    </r>
  </si>
  <si>
    <r>
      <rPr>
        <b/>
        <sz val="10"/>
        <color theme="1"/>
        <rFont val="Times New Roman"/>
        <family val="1"/>
      </rPr>
      <t>1.</t>
    </r>
    <r>
      <rPr>
        <sz val="10"/>
        <color theme="1"/>
        <rFont val="Times New Roman"/>
        <family val="1"/>
      </rPr>
      <t xml:space="preserve"> Sulfato de alumínio</t>
    </r>
  </si>
  <si>
    <r>
      <rPr>
        <b/>
        <sz val="10"/>
        <color theme="1"/>
        <rFont val="Times New Roman"/>
        <family val="1"/>
      </rPr>
      <t>2.</t>
    </r>
    <r>
      <rPr>
        <sz val="10"/>
        <color theme="1"/>
        <rFont val="Times New Roman"/>
        <family val="1"/>
      </rPr>
      <t xml:space="preserve"> Cloreto férrico</t>
    </r>
  </si>
  <si>
    <r>
      <rPr>
        <b/>
        <sz val="10"/>
        <color theme="5" tint="-0.249977111117893"/>
        <rFont val="Times New Roman"/>
        <family val="1"/>
      </rPr>
      <t>PREÇOS UNITÁRIOS - TABELA 1 - COMPOSIÇÕES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(DADOS OBRIGATÓRIOS)</t>
    </r>
  </si>
  <si>
    <t>Os preços unitários mostrados nessa etapa foram retirados das tabelas de composiçoes da SINAPI - CAIXA para o estado de São Paulo</t>
  </si>
  <si>
    <r>
      <rPr>
        <b/>
        <sz val="10"/>
        <color theme="5" tint="-0.249977111117893"/>
        <rFont val="Times New Roman"/>
        <family val="1"/>
      </rPr>
      <t>PREÇOS UNITÁRIOS - TABELA 2 - INSUMOS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(DADOS OBRIGATÓRIOS)</t>
    </r>
  </si>
  <si>
    <t>Os preços unitários mostrados nessa etapa foram retirados das tabelas de insumos da SINAPI - CAIXA para o estado de São Paulo</t>
  </si>
  <si>
    <r>
      <rPr>
        <b/>
        <sz val="10"/>
        <color theme="5" tint="-0.249977111117893"/>
        <rFont val="Times New Roman"/>
        <family val="1"/>
      </rPr>
      <t>PREÇOS UNITÁRIOS - TABELA 3 - ORÇAMENTOS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(DADOS OBRIGATÓRIOS)</t>
    </r>
  </si>
  <si>
    <t>Os preços unitários mostrados nessa etapa foram determinados a partir de consulta a peritos e orçamentos de empresas/lojas especializadas</t>
  </si>
  <si>
    <t>INVESTIMENTO INICIAL ETA (com BDI)</t>
  </si>
  <si>
    <t>INVESTIMENTO INICIAL ETR (com BDI)</t>
  </si>
  <si>
    <t>INVESTIMENTO INICIAL TOTAL (com BDI)</t>
  </si>
  <si>
    <t>FUNCIONAMENTO ETA (anual) (com leis sociais)</t>
  </si>
  <si>
    <t>FUNCIONAMENTO TOTAL (anual) (com leis sociais)</t>
  </si>
  <si>
    <t>Valor presente total em dólares</t>
  </si>
  <si>
    <t>Investimento Inicial (com BDI)</t>
  </si>
  <si>
    <t>Tecnologia mais viável economicamente</t>
  </si>
  <si>
    <t>* Inserir os valores desejada na aba "Dados"</t>
  </si>
  <si>
    <t>Dados de entrada *</t>
  </si>
  <si>
    <t>Vazão (L/s)</t>
  </si>
  <si>
    <t>Taxa de juros</t>
  </si>
  <si>
    <t>Resultados do modelo</t>
  </si>
  <si>
    <t>Valor presente da ETA correspondente</t>
  </si>
  <si>
    <t>Valor presente da ETR correspondente</t>
  </si>
  <si>
    <t>Valor presente total da tecnologia</t>
  </si>
  <si>
    <t>Dados de entrada (F)</t>
  </si>
  <si>
    <t>Quantitativos (A)</t>
  </si>
  <si>
    <t>Custos (B1)</t>
  </si>
  <si>
    <t>Seleção (S)</t>
  </si>
  <si>
    <t>Funcionamento (com leis sociais) (anual)</t>
  </si>
  <si>
    <t xml:space="preserve">Área requerida   </t>
  </si>
  <si>
    <t xml:space="preserve">Serviços iniciais </t>
  </si>
  <si>
    <t>Caixas de passagem e de inspeção</t>
  </si>
  <si>
    <t>Calçadas</t>
  </si>
  <si>
    <t xml:space="preserve">Câmara de carga </t>
  </si>
  <si>
    <t>Filtros rápidos ascendentes</t>
  </si>
  <si>
    <t>Filtros rápidos ascendentes em pedregulho</t>
  </si>
  <si>
    <t>Filtros rápidos descendentes</t>
  </si>
  <si>
    <t>Passarela</t>
  </si>
  <si>
    <t xml:space="preserve">Tanque de água filtrada e câmara de contato </t>
  </si>
  <si>
    <t>Casa de química</t>
  </si>
  <si>
    <t xml:space="preserve">Tanques de clarificação e adensamento </t>
  </si>
  <si>
    <t xml:space="preserve">Casa de bombas </t>
  </si>
  <si>
    <t xml:space="preserve">Leitos de drenagem </t>
  </si>
  <si>
    <t xml:space="preserve">Tanque de regularização de vazão </t>
  </si>
  <si>
    <t>Tubulações, conexões e válvulas</t>
  </si>
  <si>
    <t>Equipamentos de laboratório</t>
  </si>
  <si>
    <t>Vidraria e acessórios de laboratório</t>
  </si>
  <si>
    <t>20. Vidraria e acessórios de laboratório</t>
  </si>
  <si>
    <t>20.1. Vidraria e acessórios (laboratório físico-químico)</t>
  </si>
  <si>
    <t>20.2. Vidraria e acessórios (laboratório microbiológico)</t>
  </si>
  <si>
    <t>Outros equipamentos e acessórios</t>
  </si>
  <si>
    <t>Água captada pela ETA (anual)</t>
  </si>
  <si>
    <t>Operação da ETR (anual)</t>
  </si>
  <si>
    <t>Produtos químicos (anual)</t>
  </si>
  <si>
    <t>Energia elétrica (anual)</t>
  </si>
  <si>
    <t>Pessoal para operação e administração</t>
  </si>
  <si>
    <t>Energia elétrica</t>
  </si>
  <si>
    <t>Produtos químicos</t>
  </si>
  <si>
    <t>Operação da ETR</t>
  </si>
  <si>
    <t>Água captada pela ETA</t>
  </si>
  <si>
    <t>Controle de qualidade da água - laboratório externo</t>
  </si>
  <si>
    <t>MATERIAL COM MAIOR CUSTO</t>
  </si>
  <si>
    <t>RECOMENDAÇÕES</t>
  </si>
  <si>
    <t>Análise e Recomendações (R)</t>
  </si>
  <si>
    <r>
      <t xml:space="preserve">- Para a seleção de uma tecnologia sustentável, os seguintes aspectos devem ser analisados </t>
    </r>
    <r>
      <rPr>
        <b/>
        <sz val="10"/>
        <color theme="1"/>
        <rFont val="Times New Roman"/>
        <family val="1"/>
      </rPr>
      <t>ANTES da avaliação econômica</t>
    </r>
    <r>
      <rPr>
        <sz val="10"/>
        <color theme="1"/>
        <rFont val="Times New Roman"/>
        <family val="1"/>
      </rPr>
      <t>: 1) Transferência de tecnologia ; 2) Aspectos sociais da área; 3) Disponibilidade de recursos (somente selecionar uma tecnologia cujos materiais de construção necessários estejam disponívais no local); 4) Aspectos técnicos (risco e eficiência das tecnologias); e 5) Aspectos ambientais</t>
    </r>
  </si>
  <si>
    <r>
      <t xml:space="preserve">- Para a seleção de uma tecnologia sustentável, deve ser realizada uma avaliação financeira (capacidade de pagamento da área de estudo) </t>
    </r>
    <r>
      <rPr>
        <b/>
        <sz val="10"/>
        <color theme="1"/>
        <rFont val="Times New Roman"/>
        <family val="1"/>
      </rPr>
      <t>APÓS a avaliação econômica</t>
    </r>
  </si>
  <si>
    <t>ITEM AVALIADO</t>
  </si>
  <si>
    <r>
      <t xml:space="preserve">- Deve-se selecionar uma tecnologia cuja </t>
    </r>
    <r>
      <rPr>
        <b/>
        <sz val="10"/>
        <color theme="1"/>
        <rFont val="Times New Roman"/>
        <family val="1"/>
      </rPr>
      <t>qualidade da água</t>
    </r>
    <r>
      <rPr>
        <sz val="10"/>
        <color theme="1"/>
        <rFont val="Times New Roman"/>
        <family val="1"/>
      </rPr>
      <t xml:space="preserve"> requerida seja compatível com o </t>
    </r>
    <r>
      <rPr>
        <b/>
        <sz val="10"/>
        <color theme="1"/>
        <rFont val="Times New Roman"/>
        <family val="1"/>
      </rPr>
      <t>manacial</t>
    </r>
    <r>
      <rPr>
        <sz val="10"/>
        <color theme="1"/>
        <rFont val="Times New Roman"/>
        <family val="1"/>
      </rPr>
      <t xml:space="preserve"> utilizado</t>
    </r>
  </si>
  <si>
    <r>
      <t xml:space="preserve">- Verificar a presença de </t>
    </r>
    <r>
      <rPr>
        <b/>
        <sz val="10"/>
        <color theme="1"/>
        <rFont val="Times New Roman"/>
        <family val="1"/>
      </rPr>
      <t>mão-de-obra especializada</t>
    </r>
    <r>
      <rPr>
        <sz val="10"/>
        <color theme="1"/>
        <rFont val="Times New Roman"/>
        <family val="1"/>
      </rPr>
      <t xml:space="preserve"> no local escolhido para implementação da ETA, uma vez que as ETAs de filtração direta requerem monitoramento contínuo e tomadas de decisão rápidas baseadas em aspectos técnicos</t>
    </r>
  </si>
  <si>
    <r>
      <t xml:space="preserve">- Somente selecionar a </t>
    </r>
    <r>
      <rPr>
        <b/>
        <sz val="10"/>
        <color theme="1"/>
        <rFont val="Times New Roman"/>
        <family val="1"/>
      </rPr>
      <t>ETR3 c</t>
    </r>
    <r>
      <rPr>
        <sz val="10"/>
        <color theme="1"/>
        <rFont val="Times New Roman"/>
        <family val="1"/>
      </rPr>
      <t xml:space="preserve">aso exista uma </t>
    </r>
    <r>
      <rPr>
        <b/>
        <sz val="10"/>
        <color theme="1"/>
        <rFont val="Times New Roman"/>
        <family val="1"/>
      </rPr>
      <t>Estação de Tratamento de Esgoto (ETE)</t>
    </r>
    <r>
      <rPr>
        <sz val="10"/>
        <color theme="1"/>
        <rFont val="Times New Roman"/>
        <family val="1"/>
      </rPr>
      <t xml:space="preserve"> próxima ao local escolhido para implementação da ETA, uma vez que todo o resíduo gerado na ETA deverá ser destinado à ETE para tratamento posterior</t>
    </r>
  </si>
  <si>
    <r>
      <t xml:space="preserve">- Somente selecionar a </t>
    </r>
    <r>
      <rPr>
        <b/>
        <sz val="10"/>
        <color theme="1"/>
        <rFont val="Times New Roman"/>
        <family val="1"/>
      </rPr>
      <t xml:space="preserve">ETR2 </t>
    </r>
    <r>
      <rPr>
        <sz val="10"/>
        <color theme="1"/>
        <rFont val="Times New Roman"/>
        <family val="1"/>
      </rPr>
      <t xml:space="preserve">caso não haja restrição de </t>
    </r>
    <r>
      <rPr>
        <b/>
        <sz val="10"/>
        <color theme="1"/>
        <rFont val="Times New Roman"/>
        <family val="1"/>
      </rPr>
      <t>área</t>
    </r>
    <r>
      <rPr>
        <sz val="10"/>
        <color theme="1"/>
        <rFont val="Times New Roman"/>
        <family val="1"/>
      </rPr>
      <t xml:space="preserve"> para implementação da ETA e caso o preço do m² do terreno não seja muito elevado, uma vez que as lagoas ocupam uma área elevada</t>
    </r>
  </si>
  <si>
    <r>
      <t xml:space="preserve">- Somente selecionar a </t>
    </r>
    <r>
      <rPr>
        <b/>
        <sz val="10"/>
        <color theme="1"/>
        <rFont val="Times New Roman"/>
        <family val="1"/>
      </rPr>
      <t>ETR2</t>
    </r>
    <r>
      <rPr>
        <sz val="10"/>
        <color theme="1"/>
        <rFont val="Times New Roman"/>
        <family val="1"/>
      </rPr>
      <t xml:space="preserve"> caso o índice de </t>
    </r>
    <r>
      <rPr>
        <b/>
        <sz val="10"/>
        <color theme="1"/>
        <rFont val="Times New Roman"/>
        <family val="1"/>
      </rPr>
      <t>pluviosidade</t>
    </r>
    <r>
      <rPr>
        <sz val="10"/>
        <color theme="1"/>
        <rFont val="Times New Roman"/>
        <family val="1"/>
      </rPr>
      <t xml:space="preserve"> do local escolhido para implementação da ETA não seja muito elevado, uma vez que, para que ocorra secagem do lodo, o índice de pluviosidade deve ser menor que o índice de evaporação do local</t>
    </r>
  </si>
  <si>
    <t>Investimento Inicial</t>
  </si>
  <si>
    <t>Funcionamento</t>
  </si>
  <si>
    <t>Gráficos - Para cada item avaliado, custos por tecnologia avaliada (B3)</t>
  </si>
  <si>
    <t>Área requerida (ETA)</t>
  </si>
  <si>
    <t>Área requerida (ETR)</t>
  </si>
  <si>
    <t>Serviços iniciais</t>
  </si>
  <si>
    <t>Área requerida (total)</t>
  </si>
  <si>
    <t>Serviços iniciais (total)</t>
  </si>
  <si>
    <t>Serviços iniciais (ETA)</t>
  </si>
  <si>
    <t>Serviços iniciais (ETR)</t>
  </si>
  <si>
    <t>Caixas de passagem e de inspeção (total)</t>
  </si>
  <si>
    <t>Caixas de passagem e de inspeção (ETA)</t>
  </si>
  <si>
    <t>Caixas de passagem e de inspeção (ETR)</t>
  </si>
  <si>
    <t>Calçadas (total)</t>
  </si>
  <si>
    <t>Calçadas (ETA)</t>
  </si>
  <si>
    <t>Calçadas (ETR)</t>
  </si>
  <si>
    <t>Tubulações, conexões e válvulas (total)</t>
  </si>
  <si>
    <t>Tubulações, conexões e válvulas (ETA)</t>
  </si>
  <si>
    <t>Tubulações, conexões e válvulas (ETR)</t>
  </si>
  <si>
    <t>Outros equipamentos e acessórios (total)</t>
  </si>
  <si>
    <t>Outros equipamentos e acessórios (ETA)</t>
  </si>
  <si>
    <t>Outros equipamentos e acessórios (ETR)</t>
  </si>
  <si>
    <t>Energia elétrica (total) (anual)</t>
  </si>
  <si>
    <t>Energia elétrica (ETA) (anual)</t>
  </si>
  <si>
    <t>Energia elétrica (ETR) (anual)</t>
  </si>
  <si>
    <t>Pessoal para operação e administração (anual) (com leis sociais)</t>
  </si>
  <si>
    <t>Controle de qualidade da água - laboratório externo (anual)</t>
  </si>
  <si>
    <t>Área requerida</t>
  </si>
  <si>
    <t>Selecionar o gráfico:</t>
  </si>
  <si>
    <t>Selecionar o gráfico</t>
  </si>
  <si>
    <t>Valor Presente</t>
  </si>
  <si>
    <t>Valor Presente (com BDI e leis sociais)</t>
  </si>
  <si>
    <t>Valor Presente total em dólares</t>
  </si>
  <si>
    <t>"Pessoal para operação e administração"</t>
  </si>
  <si>
    <t>▼</t>
  </si>
  <si>
    <t>Selecionar a tecnologia a ser mostrada no gráfico:</t>
  </si>
  <si>
    <t>"Terreno"</t>
  </si>
  <si>
    <t>"Gradil"</t>
  </si>
  <si>
    <t>"Forma de madeira"</t>
  </si>
  <si>
    <t>- Para câmara em chapa de aço</t>
  </si>
  <si>
    <t>- Para câmara em concreto</t>
  </si>
  <si>
    <t>"Chapa de aço de 4,75 mm"</t>
  </si>
  <si>
    <t>"Concreto"</t>
  </si>
  <si>
    <r>
      <rPr>
        <b/>
        <sz val="10"/>
        <color theme="1"/>
        <rFont val="Times New Roman"/>
        <family val="1"/>
      </rPr>
      <t>- Para DF e FDA (Q &gt; 20 L/s):</t>
    </r>
    <r>
      <rPr>
        <sz val="10"/>
        <color theme="1"/>
        <rFont val="Times New Roman"/>
        <family val="1"/>
      </rPr>
      <t xml:space="preserve"> "Equipamentos de Laboratório" ou "Tubulações, conexões e válvulas" (dependendo da vazão escolhida e da tecnologia)</t>
    </r>
  </si>
  <si>
    <r>
      <rPr>
        <b/>
        <sz val="10"/>
        <color theme="1"/>
        <rFont val="Times New Roman"/>
        <family val="1"/>
      </rPr>
      <t xml:space="preserve">- Para 15 &lt; Q ≤ 36,58 L/s: </t>
    </r>
    <r>
      <rPr>
        <sz val="10"/>
        <color theme="1"/>
        <rFont val="Times New Roman"/>
        <family val="1"/>
      </rPr>
      <t>"Chapa de aço de 4,75 mm"</t>
    </r>
  </si>
  <si>
    <t>"Areia"</t>
  </si>
  <si>
    <r>
      <rPr>
        <b/>
        <vertAlign val="superscript"/>
        <sz val="10"/>
        <color rgb="FFFF0000"/>
        <rFont val="Times New Roman"/>
        <family val="1"/>
      </rPr>
      <t>(1)</t>
    </r>
    <r>
      <rPr>
        <b/>
        <sz val="10"/>
        <color rgb="FFFF0000"/>
        <rFont val="Times New Roman"/>
        <family val="1"/>
      </rPr>
      <t xml:space="preserve"> A vazão deve estar entre 10 e 40 L/s (ou seja, 10 ≤ Q ≤ 40 L/s)</t>
    </r>
  </si>
  <si>
    <r>
      <rPr>
        <b/>
        <sz val="10"/>
        <color theme="1"/>
        <rFont val="Times New Roman"/>
        <family val="1"/>
      </rPr>
      <t xml:space="preserve">- Para FDD (todas as vazões válidas), DF (Q ≤ 20 L/s) e FDA (Q ≤ 20 L/s): </t>
    </r>
    <r>
      <rPr>
        <sz val="10"/>
        <color theme="1"/>
        <rFont val="Times New Roman"/>
        <family val="1"/>
      </rPr>
      <t>"Equipamentos de laboratório"</t>
    </r>
  </si>
  <si>
    <t>- Para filtros em chapa de aço</t>
  </si>
  <si>
    <t>- Para filtros em concreto</t>
  </si>
  <si>
    <t>- Para tanque em chapa de aço</t>
  </si>
  <si>
    <t>- Para tanque em concreto</t>
  </si>
  <si>
    <t>- Para leitos em concreto</t>
  </si>
  <si>
    <t>- Para leitos em alvenaria</t>
  </si>
  <si>
    <r>
      <rPr>
        <b/>
        <sz val="10"/>
        <color theme="1"/>
        <rFont val="Times New Roman"/>
        <family val="1"/>
      </rPr>
      <t>- Para Q ≤ 38,76 L/s:</t>
    </r>
    <r>
      <rPr>
        <sz val="10"/>
        <color theme="1"/>
        <rFont val="Times New Roman"/>
        <family val="1"/>
      </rPr>
      <t xml:space="preserve"> "Chapa de aço de 4,75 mm"</t>
    </r>
  </si>
  <si>
    <r>
      <rPr>
        <b/>
        <sz val="10"/>
        <color theme="1"/>
        <rFont val="Times New Roman"/>
        <family val="1"/>
      </rPr>
      <t>- Para Q &gt; 38,76 L/s:</t>
    </r>
    <r>
      <rPr>
        <sz val="10"/>
        <color theme="1"/>
        <rFont val="Times New Roman"/>
        <family val="1"/>
      </rPr>
      <t xml:space="preserve"> "Areia"</t>
    </r>
  </si>
  <si>
    <r>
      <rPr>
        <b/>
        <sz val="10"/>
        <color theme="1"/>
        <rFont val="Times New Roman"/>
        <family val="1"/>
      </rPr>
      <t>- Para Q ≤ 38,96 L/s:</t>
    </r>
    <r>
      <rPr>
        <sz val="10"/>
        <color theme="1"/>
        <rFont val="Times New Roman"/>
        <family val="1"/>
      </rPr>
      <t xml:space="preserve"> "Chapa de aço de 4,75 mm"</t>
    </r>
  </si>
  <si>
    <r>
      <rPr>
        <b/>
        <sz val="10"/>
        <color theme="1"/>
        <rFont val="Times New Roman"/>
        <family val="1"/>
      </rPr>
      <t>- Para Q &gt; 38,96 L/s:</t>
    </r>
    <r>
      <rPr>
        <sz val="10"/>
        <color theme="1"/>
        <rFont val="Times New Roman"/>
        <family val="1"/>
      </rPr>
      <t xml:space="preserve"> "Concreto"</t>
    </r>
  </si>
  <si>
    <r>
      <rPr>
        <b/>
        <sz val="10"/>
        <color theme="1"/>
        <rFont val="Times New Roman"/>
        <family val="1"/>
      </rPr>
      <t>- Para Q &gt; 11,23 L/s:</t>
    </r>
    <r>
      <rPr>
        <sz val="10"/>
        <color theme="1"/>
        <rFont val="Times New Roman"/>
        <family val="1"/>
      </rPr>
      <t xml:space="preserve"> "Concreto"</t>
    </r>
  </si>
  <si>
    <r>
      <rPr>
        <b/>
        <sz val="10"/>
        <color theme="1"/>
        <rFont val="Times New Roman"/>
        <family val="1"/>
      </rPr>
      <t xml:space="preserve">- Para Q ≤ 15 L/s: </t>
    </r>
    <r>
      <rPr>
        <sz val="10"/>
        <color theme="1"/>
        <rFont val="Times New Roman"/>
        <family val="1"/>
      </rPr>
      <t>"Concreto" (para DF) ou "Forma de madeira" (para FDA)</t>
    </r>
  </si>
  <si>
    <r>
      <rPr>
        <b/>
        <sz val="10"/>
        <color theme="1"/>
        <rFont val="Times New Roman"/>
        <family val="1"/>
      </rPr>
      <t xml:space="preserve">- Para Q ≤ 11,23 L/s: </t>
    </r>
    <r>
      <rPr>
        <sz val="10"/>
        <color theme="1"/>
        <rFont val="Times New Roman"/>
        <family val="1"/>
      </rPr>
      <t>"Concreto" (para DF e FDA) ou "Guarda-corpo" (para FDD)</t>
    </r>
  </si>
  <si>
    <r>
      <rPr>
        <b/>
        <sz val="10"/>
        <color theme="1"/>
        <rFont val="Times New Roman"/>
        <family val="1"/>
      </rPr>
      <t xml:space="preserve">- Para Q ≤ 31,13 L/s: </t>
    </r>
    <r>
      <rPr>
        <sz val="10"/>
        <color theme="1"/>
        <rFont val="Times New Roman"/>
        <family val="1"/>
      </rPr>
      <t>"Escada metálica tipo caracol"</t>
    </r>
  </si>
  <si>
    <r>
      <rPr>
        <b/>
        <sz val="10"/>
        <color theme="1"/>
        <rFont val="Times New Roman"/>
        <family val="1"/>
      </rPr>
      <t>- Para Q &gt; 31,13 L/s:</t>
    </r>
    <r>
      <rPr>
        <sz val="10"/>
        <color theme="1"/>
        <rFont val="Times New Roman"/>
        <family val="1"/>
      </rPr>
      <t xml:space="preserve"> "Concreto" (para DF) ou "Escada metálica tipo caracol" (para FDA e FDD)</t>
    </r>
  </si>
  <si>
    <t>"Espectrofotômetro"</t>
  </si>
  <si>
    <t>"Porta-filtro com funil"</t>
  </si>
  <si>
    <t>"Água captada"</t>
  </si>
  <si>
    <t>"Operador de ETA com nível técnico"</t>
  </si>
  <si>
    <r>
      <rPr>
        <b/>
        <sz val="10"/>
        <color theme="1"/>
        <rFont val="Times New Roman"/>
        <family val="1"/>
      </rPr>
      <t>- Para Q &gt; 36,58 L/s:</t>
    </r>
    <r>
      <rPr>
        <sz val="10"/>
        <color theme="1"/>
        <rFont val="Times New Roman"/>
        <family val="1"/>
      </rPr>
      <t xml:space="preserve"> "Concreto" (para DF) ou "Chapa de aço de 4,75 mm" (para FDA)</t>
    </r>
  </si>
  <si>
    <r>
      <rPr>
        <b/>
        <sz val="10"/>
        <color theme="1"/>
        <rFont val="Times New Roman"/>
        <family val="1"/>
      </rPr>
      <t xml:space="preserve">- Para Q ≤ 23,39 L/s: </t>
    </r>
    <r>
      <rPr>
        <sz val="10"/>
        <color theme="1"/>
        <rFont val="Times New Roman"/>
        <family val="1"/>
      </rPr>
      <t>"Impermeabilização" (para DF) ou "Alvenaria" (para FDA e FDD)</t>
    </r>
  </si>
  <si>
    <r>
      <rPr>
        <b/>
        <sz val="10"/>
        <color theme="1"/>
        <rFont val="Times New Roman"/>
        <family val="1"/>
      </rPr>
      <t>- Para Q &gt; 23,39 L/s:</t>
    </r>
    <r>
      <rPr>
        <sz val="10"/>
        <color theme="1"/>
        <rFont val="Times New Roman"/>
        <family val="1"/>
      </rPr>
      <t xml:space="preserve"> "Impermeabilização"</t>
    </r>
  </si>
  <si>
    <t>"Concreto" (para DF) ou "Areia" (para FDD)</t>
  </si>
  <si>
    <r>
      <rPr>
        <b/>
        <sz val="10"/>
        <color theme="1"/>
        <rFont val="Times New Roman"/>
        <family val="1"/>
      </rPr>
      <t xml:space="preserve">- Para Q ≤ 22,55 L/s: </t>
    </r>
    <r>
      <rPr>
        <sz val="10"/>
        <color theme="1"/>
        <rFont val="Times New Roman"/>
        <family val="1"/>
      </rPr>
      <t>"Geotêxtil" (para DF) ou "Guarda-corpo" (para FDA e FDD)</t>
    </r>
  </si>
  <si>
    <r>
      <rPr>
        <b/>
        <sz val="10"/>
        <color theme="1"/>
        <rFont val="Times New Roman"/>
        <family val="1"/>
      </rPr>
      <t xml:space="preserve">- Para 22,55 &lt; Q ≤ 22,79 L/s: </t>
    </r>
    <r>
      <rPr>
        <sz val="10"/>
        <color theme="1"/>
        <rFont val="Times New Roman"/>
        <family val="1"/>
      </rPr>
      <t>"Geotêxtil (para DF e FDD) ou "Guarda-corpo" (para FDA)</t>
    </r>
  </si>
  <si>
    <r>
      <rPr>
        <b/>
        <sz val="10"/>
        <color theme="1"/>
        <rFont val="Times New Roman"/>
        <family val="1"/>
      </rPr>
      <t>- Para Q &gt; 22,79 L/s:</t>
    </r>
    <r>
      <rPr>
        <sz val="10"/>
        <color theme="1"/>
        <rFont val="Times New Roman"/>
        <family val="1"/>
      </rPr>
      <t xml:space="preserve"> "Geotêxtil"</t>
    </r>
  </si>
  <si>
    <t>MATERIAL COM MAIOR CUSTO POR ITEM AVALIADO (PARA TODAS AS TECNOLOGIAS AVALIADAS)</t>
  </si>
  <si>
    <t>ITEM COM MAIOR CUSTO (PARA TODAS AS TECNOLOGIAS AVALIADAS)</t>
  </si>
  <si>
    <t>"Pintura para chapa de aço" (ambas as tintas epóxi)</t>
  </si>
  <si>
    <t>"Guarda-corpo" (da passarela)</t>
  </si>
  <si>
    <r>
      <rPr>
        <b/>
        <sz val="10"/>
        <color theme="1"/>
        <rFont val="Times New Roman"/>
        <family val="1"/>
      </rPr>
      <t>- Para "DF ETR3 0" e "DF ETR3 c" (Q &gt; 39,38 L/s):</t>
    </r>
    <r>
      <rPr>
        <sz val="10"/>
        <color theme="1"/>
        <rFont val="Times New Roman"/>
        <family val="1"/>
      </rPr>
      <t xml:space="preserve"> "Tanque de água filtrada e câmara de contato"</t>
    </r>
  </si>
  <si>
    <r>
      <rPr>
        <b/>
        <sz val="10"/>
        <color theme="1"/>
        <rFont val="Times New Roman"/>
        <family val="1"/>
      </rPr>
      <t xml:space="preserve">- Para Q ≤ 14,99 L/s: </t>
    </r>
    <r>
      <rPr>
        <sz val="10"/>
        <color theme="1"/>
        <rFont val="Times New Roman"/>
        <family val="1"/>
      </rPr>
      <t>"Bomba para lavagem dos filtros" (para DF - ETR1 e ETR2, FDA e FDD - ETR1 e ETR2) ou "Misturador submersível" (DF - ETR3 e FDD - ETR3)</t>
    </r>
  </si>
  <si>
    <r>
      <rPr>
        <b/>
        <sz val="10"/>
        <color theme="1"/>
        <rFont val="Times New Roman"/>
        <family val="1"/>
      </rPr>
      <t>- Para Q &gt; 14,99 L/s:</t>
    </r>
    <r>
      <rPr>
        <sz val="10"/>
        <color theme="1"/>
        <rFont val="Times New Roman"/>
        <family val="1"/>
      </rPr>
      <t xml:space="preserve"> "Bomba para lavagem dos filtros" (para DF, FDA e FDD - ETR1 e ETR2) ou "Misturador submersível" (para FDD - ETR3)</t>
    </r>
  </si>
  <si>
    <t>"Água para limpeza das unidades" (para DF - ETR3, FDA e FDD) ou "Retirada e disposição de resíduos sólidos" (para DF - ETR1 e ETR2)</t>
  </si>
  <si>
    <t>"Sulfato de alumínio"</t>
  </si>
  <si>
    <t>- Quando o coagulante escolhido é o sulfato de alumínio</t>
  </si>
  <si>
    <t>- Quando o coagulante escolhido é o cloreto férrico</t>
  </si>
  <si>
    <r>
      <rPr>
        <b/>
        <sz val="10"/>
        <color theme="1"/>
        <rFont val="Times New Roman"/>
        <family val="1"/>
      </rPr>
      <t xml:space="preserve">- Para Q ≤ 11,55 L/s: </t>
    </r>
    <r>
      <rPr>
        <sz val="10"/>
        <color theme="1"/>
        <rFont val="Times New Roman"/>
        <family val="1"/>
      </rPr>
      <t>"Hipoclorito de sódio" (para DF - ETR1 e ETR2) ou "Ácido fluossilícico" (para DF - ETR3, FDA e FDD)</t>
    </r>
  </si>
  <si>
    <r>
      <rPr>
        <b/>
        <sz val="10"/>
        <color theme="1"/>
        <rFont val="Times New Roman"/>
        <family val="1"/>
      </rPr>
      <t xml:space="preserve">- Para 11,55 &lt; Q ≤ 34,84 L/s: </t>
    </r>
    <r>
      <rPr>
        <sz val="10"/>
        <color theme="1"/>
        <rFont val="Times New Roman"/>
        <family val="1"/>
      </rPr>
      <t>"Hipoclorito de sódio" (para DF) ou "Ácido fluossilícico" (para FDA e FDD)</t>
    </r>
  </si>
  <si>
    <t>"Tubulações de ferro fundido" ou "Tubulações de aço galvanizado" (bastante variável dependendo da vazão escolhida e da tecnologia)</t>
  </si>
  <si>
    <r>
      <rPr>
        <b/>
        <sz val="10"/>
        <color theme="1"/>
        <rFont val="Times New Roman"/>
        <family val="1"/>
      </rPr>
      <t>- Para Q &gt; 34,84 L/s:</t>
    </r>
    <r>
      <rPr>
        <sz val="10"/>
        <color theme="1"/>
        <rFont val="Times New Roman"/>
        <family val="1"/>
      </rPr>
      <t xml:space="preserve"> "Hipoclorito de sódio" (para DF - ETR1 e ETR3) ou "Cloreto férrico" (para DF - ETR2) ou "Ácido fluossilícico" (para FDA e FDD)</t>
    </r>
  </si>
  <si>
    <r>
      <rPr>
        <b/>
        <sz val="10"/>
        <color theme="1"/>
        <rFont val="Times New Roman"/>
        <family val="1"/>
      </rPr>
      <t xml:space="preserve">- Para Q ≤ 30,70 L/s: </t>
    </r>
    <r>
      <rPr>
        <sz val="10"/>
        <color theme="1"/>
        <rFont val="Times New Roman"/>
        <family val="1"/>
      </rPr>
      <t>"Lâmpadas" (somando-se as da casa de química com as de iluminação externa da ETA)</t>
    </r>
  </si>
  <si>
    <r>
      <rPr>
        <b/>
        <sz val="10"/>
        <color theme="1"/>
        <rFont val="Times New Roman"/>
        <family val="1"/>
      </rPr>
      <t>- Para Q &gt; 30,70 L/s:</t>
    </r>
    <r>
      <rPr>
        <sz val="10"/>
        <color theme="1"/>
        <rFont val="Times New Roman"/>
        <family val="1"/>
      </rPr>
      <t xml:space="preserve"> "Lâmpadas" (somando-se as da casa de química com as de iluminação externa da ETA) (para DF - ETR1 e ETR2, FDA e FDD) ou "Misturador submersível" (para DF - ETR3)</t>
    </r>
  </si>
  <si>
    <t>"Glifosato" (ensaio de qualidade da água)</t>
  </si>
  <si>
    <t>OBS: Caso se opte pela opção 1, o índice de reajuste deve ser igual a 1</t>
  </si>
  <si>
    <r>
      <t xml:space="preserve">Caso se opte pela </t>
    </r>
    <r>
      <rPr>
        <b/>
        <sz val="10"/>
        <color theme="1"/>
        <rFont val="Times New Roman"/>
        <family val="1"/>
      </rPr>
      <t>opção 2 ou pela opção 3</t>
    </r>
    <r>
      <rPr>
        <sz val="10"/>
        <color theme="1"/>
        <rFont val="Times New Roman"/>
        <family val="1"/>
      </rPr>
      <t>, o usuário deve indicar na tabela abaixo o índice utilizado para reajuste dos preços unitários. Para este caso, utilizar um índice de reajuste maior que 1</t>
    </r>
  </si>
  <si>
    <t>Resumo (B2)</t>
  </si>
  <si>
    <r>
      <rPr>
        <vertAlign val="superscript"/>
        <sz val="10"/>
        <rFont val="Times New Roman"/>
        <family val="1"/>
      </rPr>
      <t>(4)</t>
    </r>
    <r>
      <rPr>
        <sz val="10"/>
        <rFont val="Times New Roman"/>
        <family val="1"/>
      </rPr>
      <t xml:space="preserve"> Cotação do dólar na data base dos preços unitários indicados no modelo. O usuário deve alterar esse valor para a cotação na data em que está sendo realizada a avaliação econômica</t>
    </r>
  </si>
  <si>
    <t>Notas: Foi acrescido um total de 10% ao valor total do item "Casa de química" a fim de contabilizar a execução de instalações elétricas e hidrossanitárias</t>
  </si>
  <si>
    <t>Janela de alumínio de correr, 2 folhas, fixação com parafuso sobre contramarco (exclusive contramarco), com vidros padronizada</t>
  </si>
  <si>
    <t xml:space="preserve">Sulfato de alumínio (Al₂(SO₄)₃ x 14 H₂O) </t>
  </si>
  <si>
    <t>Sulfato de alumínio (Al₂(SO₄)₃ x 14 H₂O) (mensal)</t>
  </si>
  <si>
    <t>Data em que está sendo realizada a avaliação econômica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</si>
  <si>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Utilizar para</t>
    </r>
    <r>
      <rPr>
        <b/>
        <sz val="10"/>
        <rFont val="Times New Roman"/>
        <family val="1"/>
      </rPr>
      <t xml:space="preserve"> todos</t>
    </r>
    <r>
      <rPr>
        <sz val="10"/>
        <rFont val="Times New Roman"/>
        <family val="1"/>
      </rPr>
      <t xml:space="preserve"> os preços unitários das Tabelas 1 a 3 o </t>
    </r>
    <r>
      <rPr>
        <b/>
        <sz val="10"/>
        <rFont val="Times New Roman"/>
        <family val="1"/>
      </rPr>
      <t xml:space="preserve">índice de correção </t>
    </r>
    <r>
      <rPr>
        <sz val="10"/>
        <rFont val="Times New Roman"/>
        <family val="1"/>
      </rPr>
      <t>IGP-M (FGV), cujo cálculo pode ser efetuado através do seguinte site: https://www3.bcb.gov.br/CALCIDADAO/publico/corrigirPorIndice.do?method=corrigirPorIndice
Nesse caso, para se obter o índice de correção no período desejado, a data inicial deve ser a data base dos preços unitários indicados no modelo, e a data final deve ser a data em que está sendo realizada a avaliação econômica</t>
    </r>
  </si>
  <si>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Utilizar </t>
    </r>
    <r>
      <rPr>
        <b/>
        <sz val="10"/>
        <rFont val="Times New Roman"/>
        <family val="1"/>
      </rPr>
      <t>somente</t>
    </r>
    <r>
      <rPr>
        <sz val="10"/>
        <rFont val="Times New Roman"/>
        <family val="1"/>
      </rPr>
      <t xml:space="preserve"> para os preços unitários indicados na </t>
    </r>
    <r>
      <rPr>
        <b/>
        <sz val="10"/>
        <rFont val="Times New Roman"/>
        <family val="1"/>
      </rPr>
      <t>Tabela 3 (orçamentos)</t>
    </r>
    <r>
      <rPr>
        <sz val="10"/>
        <rFont val="Times New Roman"/>
        <family val="1"/>
      </rPr>
      <t xml:space="preserve"> o </t>
    </r>
    <r>
      <rPr>
        <b/>
        <sz val="10"/>
        <rFont val="Times New Roman"/>
        <family val="1"/>
      </rPr>
      <t xml:space="preserve">índice de correção </t>
    </r>
    <r>
      <rPr>
        <sz val="10"/>
        <rFont val="Times New Roman"/>
        <family val="1"/>
      </rPr>
      <t xml:space="preserve">IGP-M (FGV). Para os </t>
    </r>
    <r>
      <rPr>
        <b/>
        <sz val="10"/>
        <rFont val="Times New Roman"/>
        <family val="1"/>
      </rPr>
      <t>demais</t>
    </r>
    <r>
      <rPr>
        <sz val="10"/>
        <rFont val="Times New Roman"/>
        <family val="1"/>
      </rPr>
      <t xml:space="preserve"> preços unitários (mostrados na </t>
    </r>
    <r>
      <rPr>
        <b/>
        <sz val="10"/>
        <rFont val="Times New Roman"/>
        <family val="1"/>
      </rPr>
      <t>Tabela 1 e 2</t>
    </r>
    <r>
      <rPr>
        <sz val="10"/>
        <rFont val="Times New Roman"/>
        <family val="1"/>
      </rPr>
      <t xml:space="preserve">), inserir </t>
    </r>
    <r>
      <rPr>
        <b/>
        <sz val="10"/>
        <rFont val="Times New Roman"/>
        <family val="1"/>
      </rPr>
      <t>manualmente</t>
    </r>
    <r>
      <rPr>
        <sz val="10"/>
        <rFont val="Times New Roman"/>
        <family val="1"/>
      </rPr>
      <t xml:space="preserve"> (um a um) os preços unitários atualizados referentes às tabelas de composições e insumos da </t>
    </r>
    <r>
      <rPr>
        <b/>
        <sz val="10"/>
        <rFont val="Times New Roman"/>
        <family val="1"/>
      </rPr>
      <t>SINAPI</t>
    </r>
  </si>
  <si>
    <t>Gráficos - Contribuição percentual dos custos de cada item de investimento, para a tecnologia selecionada abaixo (B4)</t>
  </si>
  <si>
    <t>Gráficos - Contribuição percentual dos custos de cada item de funcionamento, para a tecnologia selecionada abaixo (B5)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</si>
</sst>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* #,##0.00_);_(&quot;R$&quot;* \(#,##0.00\);_(&quot;R$&quot;* &quot;-&quot;??_);_(@_)"/>
    <numFmt numFmtId="165" formatCode="mm/yyyy"/>
    <numFmt numFmtId="166" formatCode="_(&quot;R$ &quot;* #,##0.00_);_(&quot;R$ &quot;* \(#,##0.00\);_(&quot;R$ &quot;* &quot;-&quot;??_);_(@_)"/>
    <numFmt numFmtId="167" formatCode="&quot;R$&quot;\ #,##0.00"/>
    <numFmt numFmtId="168" formatCode="_([$$-409]* #,##0.00_);_([$$-409]* \(#,##0.00\);_([$$-409]* &quot;-&quot;??_);_(@_)"/>
  </numFmts>
  <fonts count="27" x14ac:knownFonts="1">
    <font>
      <sz val="12"/>
      <color theme="1"/>
      <name val="Calibri"/>
      <family val="2"/>
      <scheme val="minor"/>
    </font>
    <font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5" tint="-0.249977111117893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u/>
      <sz val="12"/>
      <color theme="10"/>
      <name val="Calibri"/>
      <family val="2"/>
      <scheme val="minor"/>
    </font>
    <font>
      <b/>
      <u/>
      <sz val="10"/>
      <color rgb="FF0070C0"/>
      <name val="TimeS"/>
      <family val="1"/>
    </font>
    <font>
      <b/>
      <sz val="10"/>
      <color rgb="FF0070C0"/>
      <name val="TimeS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472">
    <xf numFmtId="0" fontId="0" fillId="0" borderId="0" xfId="0"/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11" borderId="13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24" fillId="2" borderId="0" xfId="1" applyFill="1" applyBorder="1" applyAlignment="1" applyProtection="1">
      <alignment vertical="center"/>
      <protection hidden="1"/>
    </xf>
    <xf numFmtId="0" fontId="24" fillId="2" borderId="6" xfId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4" fillId="2" borderId="20" xfId="0" applyFont="1" applyFill="1" applyBorder="1" applyAlignment="1" applyProtection="1">
      <alignment vertical="center" wrapText="1"/>
      <protection hidden="1"/>
    </xf>
    <xf numFmtId="0" fontId="4" fillId="8" borderId="23" xfId="0" applyFont="1" applyFill="1" applyBorder="1" applyAlignment="1" applyProtection="1">
      <alignment horizontal="left" vertical="center" wrapText="1"/>
      <protection hidden="1"/>
    </xf>
    <xf numFmtId="0" fontId="4" fillId="2" borderId="21" xfId="0" applyFont="1" applyFill="1" applyBorder="1" applyAlignment="1" applyProtection="1">
      <alignment vertical="center" wrapText="1"/>
      <protection hidden="1"/>
    </xf>
    <xf numFmtId="0" fontId="4" fillId="9" borderId="11" xfId="0" applyFont="1" applyFill="1" applyBorder="1" applyAlignment="1" applyProtection="1">
      <alignment horizontal="left" vertical="center" wrapText="1"/>
      <protection hidden="1"/>
    </xf>
    <xf numFmtId="0" fontId="4" fillId="2" borderId="24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4" fillId="2" borderId="18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9" fillId="2" borderId="20" xfId="0" applyFont="1" applyFill="1" applyBorder="1" applyAlignment="1" applyProtection="1">
      <alignment wrapText="1"/>
      <protection hidden="1"/>
    </xf>
    <xf numFmtId="2" fontId="9" fillId="8" borderId="23" xfId="0" applyNumberFormat="1" applyFont="1" applyFill="1" applyBorder="1" applyAlignment="1" applyProtection="1">
      <alignment horizontal="center" wrapText="1"/>
      <protection locked="0" hidden="1"/>
    </xf>
    <xf numFmtId="0" fontId="4" fillId="2" borderId="6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2" borderId="21" xfId="0" applyFont="1" applyFill="1" applyBorder="1" applyAlignment="1" applyProtection="1">
      <alignment wrapText="1"/>
      <protection hidden="1"/>
    </xf>
    <xf numFmtId="0" fontId="4" fillId="8" borderId="11" xfId="0" applyFont="1" applyFill="1" applyBorder="1" applyAlignment="1" applyProtection="1">
      <alignment horizontal="center" wrapText="1"/>
      <protection locked="0" hidden="1"/>
    </xf>
    <xf numFmtId="10" fontId="4" fillId="8" borderId="11" xfId="0" applyNumberFormat="1" applyFont="1" applyFill="1" applyBorder="1" applyAlignment="1" applyProtection="1">
      <alignment horizontal="center" wrapText="1"/>
      <protection locked="0" hidden="1"/>
    </xf>
    <xf numFmtId="10" fontId="4" fillId="3" borderId="11" xfId="0" applyNumberFormat="1" applyFont="1" applyFill="1" applyBorder="1" applyAlignment="1" applyProtection="1">
      <alignment horizontal="center" wrapText="1"/>
      <protection locked="0" hidden="1"/>
    </xf>
    <xf numFmtId="10" fontId="4" fillId="9" borderId="11" xfId="0" applyNumberFormat="1" applyFont="1" applyFill="1" applyBorder="1" applyAlignment="1" applyProtection="1">
      <alignment horizontal="center" wrapText="1"/>
      <protection locked="0" hidden="1"/>
    </xf>
    <xf numFmtId="164" fontId="4" fillId="8" borderId="11" xfId="0" applyNumberFormat="1" applyFont="1" applyFill="1" applyBorder="1" applyAlignment="1" applyProtection="1">
      <alignment horizontal="center" wrapText="1"/>
      <protection locked="0" hidden="1"/>
    </xf>
    <xf numFmtId="165" fontId="9" fillId="8" borderId="11" xfId="0" applyNumberFormat="1" applyFont="1" applyFill="1" applyBorder="1" applyAlignment="1" applyProtection="1">
      <alignment horizontal="center" wrapText="1"/>
      <protection locked="0" hidden="1"/>
    </xf>
    <xf numFmtId="0" fontId="4" fillId="2" borderId="24" xfId="0" applyFont="1" applyFill="1" applyBorder="1" applyAlignment="1" applyProtection="1">
      <alignment wrapText="1"/>
      <protection hidden="1"/>
    </xf>
    <xf numFmtId="165" fontId="9" fillId="8" borderId="13" xfId="0" applyNumberFormat="1" applyFont="1" applyFill="1" applyBorder="1" applyAlignment="1" applyProtection="1">
      <alignment horizont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10" fillId="2" borderId="0" xfId="0" applyFont="1" applyFill="1" applyBorder="1" applyAlignment="1" applyProtection="1">
      <alignment wrapText="1"/>
      <protection hidden="1"/>
    </xf>
    <xf numFmtId="0" fontId="10" fillId="2" borderId="20" xfId="0" applyFont="1" applyFill="1" applyBorder="1" applyAlignment="1" applyProtection="1">
      <alignment wrapText="1"/>
      <protection hidden="1"/>
    </xf>
    <xf numFmtId="0" fontId="10" fillId="8" borderId="23" xfId="0" applyFont="1" applyFill="1" applyBorder="1" applyAlignment="1" applyProtection="1">
      <alignment horizontal="center" vertical="center" wrapText="1"/>
      <protection locked="0" hidden="1"/>
    </xf>
    <xf numFmtId="0" fontId="10" fillId="2" borderId="21" xfId="0" applyFont="1" applyFill="1" applyBorder="1" applyAlignment="1" applyProtection="1">
      <alignment wrapText="1"/>
      <protection hidden="1"/>
    </xf>
    <xf numFmtId="0" fontId="10" fillId="2" borderId="24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vertical="center" wrapText="1"/>
      <protection locked="0" hidden="1"/>
    </xf>
    <xf numFmtId="0" fontId="4" fillId="2" borderId="49" xfId="0" applyFont="1" applyFill="1" applyBorder="1" applyAlignment="1" applyProtection="1">
      <alignment wrapText="1"/>
      <protection hidden="1"/>
    </xf>
    <xf numFmtId="0" fontId="12" fillId="8" borderId="51" xfId="0" applyFont="1" applyFill="1" applyBorder="1" applyAlignment="1" applyProtection="1">
      <alignment horizontal="center" wrapText="1"/>
      <protection locked="0"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23" fillId="2" borderId="2" xfId="0" applyFont="1" applyFill="1" applyBorder="1" applyAlignment="1" applyProtection="1">
      <alignment vertical="center" wrapText="1"/>
      <protection locked="0"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9" fillId="11" borderId="49" xfId="0" applyFont="1" applyFill="1" applyBorder="1" applyAlignment="1" applyProtection="1">
      <alignment horizontal="center" vertical="center" wrapText="1"/>
      <protection hidden="1"/>
    </xf>
    <xf numFmtId="0" fontId="9" fillId="11" borderId="50" xfId="0" applyFont="1" applyFill="1" applyBorder="1" applyAlignment="1" applyProtection="1">
      <alignment horizontal="center" vertical="center" wrapText="1"/>
      <protection hidden="1"/>
    </xf>
    <xf numFmtId="0" fontId="9" fillId="11" borderId="51" xfId="0" applyFont="1" applyFill="1" applyBorder="1" applyAlignment="1" applyProtection="1">
      <alignment horizontal="center" vertical="center" wrapText="1"/>
      <protection hidden="1"/>
    </xf>
    <xf numFmtId="0" fontId="4" fillId="2" borderId="53" xfId="0" applyFont="1" applyFill="1" applyBorder="1" applyAlignment="1" applyProtection="1">
      <alignment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hidden="1"/>
    </xf>
    <xf numFmtId="164" fontId="4" fillId="9" borderId="54" xfId="0" applyNumberFormat="1" applyFont="1" applyFill="1" applyBorder="1" applyAlignment="1" applyProtection="1">
      <alignment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164" fontId="4" fillId="9" borderId="11" xfId="0" applyNumberFormat="1" applyFont="1" applyFill="1" applyBorder="1" applyAlignment="1" applyProtection="1">
      <alignment vertical="center" wrapText="1"/>
      <protection locked="0" hidden="1"/>
    </xf>
    <xf numFmtId="0" fontId="10" fillId="2" borderId="21" xfId="0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13" fillId="2" borderId="6" xfId="0" applyFont="1" applyFill="1" applyBorder="1" applyAlignment="1" applyProtection="1">
      <alignment vertical="center" wrapText="1"/>
      <protection hidden="1"/>
    </xf>
    <xf numFmtId="164" fontId="4" fillId="9" borderId="11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9" borderId="11" xfId="0" applyNumberFormat="1" applyFont="1" applyFill="1" applyBorder="1" applyAlignment="1" applyProtection="1">
      <alignment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164" fontId="4" fillId="9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" xfId="0" applyFont="1" applyFill="1" applyBorder="1" applyAlignment="1" applyProtection="1">
      <alignment vertical="center" wrapText="1"/>
      <protection hidden="1"/>
    </xf>
    <xf numFmtId="0" fontId="13" fillId="2" borderId="18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53" xfId="0" applyFont="1" applyFill="1" applyBorder="1" applyAlignment="1" applyProtection="1">
      <alignment vertical="center" wrapText="1"/>
      <protection hidden="1"/>
    </xf>
    <xf numFmtId="0" fontId="10" fillId="2" borderId="52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0" fillId="2" borderId="6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164" fontId="4" fillId="8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10" borderId="10" xfId="0" applyFont="1" applyFill="1" applyBorder="1" applyAlignment="1" applyProtection="1">
      <alignment horizontal="center" vertical="center" wrapText="1"/>
      <protection hidden="1"/>
    </xf>
    <xf numFmtId="164" fontId="4" fillId="8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1" xfId="0" applyFont="1" applyFill="1" applyBorder="1" applyAlignment="1" applyProtection="1">
      <alignment vertical="center" wrapText="1"/>
      <protection hidden="1"/>
    </xf>
    <xf numFmtId="0" fontId="13" fillId="2" borderId="7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17" fontId="1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167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0" xfId="0" applyNumberFormat="1" applyFont="1" applyFill="1" applyBorder="1" applyAlignment="1" applyProtection="1">
      <alignment horizontal="center" wrapText="1"/>
      <protection hidden="1"/>
    </xf>
    <xf numFmtId="166" fontId="6" fillId="0" borderId="0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164" fontId="4" fillId="0" borderId="0" xfId="0" applyNumberFormat="1" applyFont="1" applyBorder="1" applyAlignment="1" applyProtection="1">
      <alignment wrapText="1"/>
      <protection hidden="1"/>
    </xf>
    <xf numFmtId="0" fontId="12" fillId="5" borderId="0" xfId="0" applyFont="1" applyFill="1" applyBorder="1" applyAlignment="1" applyProtection="1">
      <alignment vertical="center" wrapText="1"/>
      <protection hidden="1"/>
    </xf>
    <xf numFmtId="0" fontId="12" fillId="5" borderId="6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2" fillId="5" borderId="1" xfId="0" applyFont="1" applyFill="1" applyBorder="1" applyAlignment="1" applyProtection="1">
      <alignment vertical="center" wrapText="1"/>
      <protection hidden="1"/>
    </xf>
    <xf numFmtId="0" fontId="12" fillId="5" borderId="7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9" fillId="11" borderId="57" xfId="0" applyFont="1" applyFill="1" applyBorder="1" applyAlignment="1" applyProtection="1">
      <alignment horizontal="center" vertical="center" wrapText="1"/>
      <protection hidden="1"/>
    </xf>
    <xf numFmtId="2" fontId="9" fillId="7" borderId="58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12" xfId="0" applyFont="1" applyFill="1" applyBorder="1" applyAlignment="1" applyProtection="1">
      <alignment horizontal="center" vertical="center" wrapText="1"/>
      <protection hidden="1"/>
    </xf>
    <xf numFmtId="0" fontId="9" fillId="11" borderId="13" xfId="0" applyFont="1" applyFill="1" applyBorder="1" applyAlignment="1" applyProtection="1">
      <alignment horizontal="center" vertical="center" wrapText="1"/>
      <protection hidden="1"/>
    </xf>
    <xf numFmtId="0" fontId="11" fillId="12" borderId="53" xfId="0" applyFont="1" applyFill="1" applyBorder="1" applyAlignment="1" applyProtection="1">
      <alignment horizontal="left" vertical="center" wrapText="1"/>
      <protection hidden="1"/>
    </xf>
    <xf numFmtId="0" fontId="11" fillId="12" borderId="52" xfId="0" applyFont="1" applyFill="1" applyBorder="1" applyAlignment="1" applyProtection="1">
      <alignment horizontal="center" vertical="center" wrapText="1"/>
      <protection hidden="1"/>
    </xf>
    <xf numFmtId="0" fontId="11" fillId="12" borderId="54" xfId="0" applyFont="1" applyFill="1" applyBorder="1" applyAlignment="1" applyProtection="1">
      <alignment horizontal="center" vertical="center" wrapText="1"/>
      <protection hidden="1"/>
    </xf>
    <xf numFmtId="0" fontId="9" fillId="7" borderId="21" xfId="0" applyFont="1" applyFill="1" applyBorder="1" applyAlignment="1" applyProtection="1">
      <alignment horizontal="justify" vertical="center" wrapText="1"/>
      <protection hidden="1"/>
    </xf>
    <xf numFmtId="0" fontId="4" fillId="7" borderId="10" xfId="0" applyFont="1" applyFill="1" applyBorder="1" applyAlignment="1" applyProtection="1">
      <alignment vertical="center" wrapText="1"/>
      <protection hidden="1"/>
    </xf>
    <xf numFmtId="0" fontId="4" fillId="7" borderId="10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justify" vertical="center" wrapText="1"/>
      <protection hidden="1"/>
    </xf>
    <xf numFmtId="2" fontId="4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2" fontId="4" fillId="7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10" fillId="2" borderId="6" xfId="0" applyFont="1" applyFill="1" applyBorder="1" applyAlignment="1" applyProtection="1">
      <alignment vertical="center" wrapText="1"/>
      <protection hidden="1"/>
    </xf>
    <xf numFmtId="2" fontId="4" fillId="2" borderId="21" xfId="0" applyNumberFormat="1" applyFont="1" applyFill="1" applyBorder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2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1" xfId="0" applyNumberFormat="1" applyFont="1" applyFill="1" applyBorder="1" applyAlignment="1" applyProtection="1">
      <alignment vertical="center" wrapText="1"/>
      <protection hidden="1"/>
    </xf>
    <xf numFmtId="2" fontId="10" fillId="2" borderId="21" xfId="0" applyNumberFormat="1" applyFont="1" applyFill="1" applyBorder="1" applyAlignment="1" applyProtection="1">
      <alignment horizontal="left" vertical="center" wrapText="1"/>
      <protection hidden="1"/>
    </xf>
    <xf numFmtId="0" fontId="10" fillId="2" borderId="21" xfId="0" applyFont="1" applyFill="1" applyBorder="1" applyAlignment="1" applyProtection="1">
      <alignment horizontal="left" vertical="center" wrapText="1"/>
      <protection hidden="1"/>
    </xf>
    <xf numFmtId="0" fontId="11" fillId="12" borderId="21" xfId="0" applyFont="1" applyFill="1" applyBorder="1" applyAlignment="1" applyProtection="1">
      <alignment horizontal="left" vertical="center" wrapText="1"/>
      <protection hidden="1"/>
    </xf>
    <xf numFmtId="0" fontId="11" fillId="12" borderId="10" xfId="0" applyFont="1" applyFill="1" applyBorder="1" applyAlignment="1" applyProtection="1">
      <alignment horizontal="center" vertical="center" wrapText="1"/>
      <protection hidden="1"/>
    </xf>
    <xf numFmtId="2" fontId="4" fillId="12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12" borderId="11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21" xfId="0" applyNumberFormat="1" applyFont="1" applyFill="1" applyBorder="1" applyAlignment="1" applyProtection="1">
      <alignment horizontal="left" vertical="center" wrapText="1"/>
      <protection hidden="1"/>
    </xf>
    <xf numFmtId="2" fontId="4" fillId="2" borderId="24" xfId="0" applyNumberFormat="1" applyFont="1" applyFill="1" applyBorder="1" applyAlignment="1" applyProtection="1">
      <alignment horizontal="left" vertical="center" wrapText="1"/>
      <protection hidden="1"/>
    </xf>
    <xf numFmtId="2" fontId="4" fillId="2" borderId="12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2" fontId="4" fillId="2" borderId="1" xfId="0" applyNumberFormat="1" applyFont="1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vertical="center" wrapText="1"/>
      <protection hidden="1"/>
    </xf>
    <xf numFmtId="164" fontId="11" fillId="12" borderId="52" xfId="0" applyNumberFormat="1" applyFont="1" applyFill="1" applyBorder="1" applyAlignment="1" applyProtection="1">
      <alignment horizontal="center" vertical="center" wrapText="1"/>
      <protection hidden="1"/>
    </xf>
    <xf numFmtId="2" fontId="11" fillId="12" borderId="52" xfId="0" applyNumberFormat="1" applyFont="1" applyFill="1" applyBorder="1" applyAlignment="1" applyProtection="1">
      <alignment horizontal="center" vertical="center" wrapText="1"/>
      <protection hidden="1"/>
    </xf>
    <xf numFmtId="164" fontId="4" fillId="7" borderId="10" xfId="0" applyNumberFormat="1" applyFont="1" applyFill="1" applyBorder="1" applyAlignment="1" applyProtection="1">
      <alignment vertical="center" wrapText="1"/>
      <protection hidden="1"/>
    </xf>
    <xf numFmtId="2" fontId="4" fillId="7" borderId="10" xfId="0" applyNumberFormat="1" applyFont="1" applyFill="1" applyBorder="1" applyAlignment="1" applyProtection="1">
      <alignment vertical="center" wrapText="1"/>
      <protection hidden="1"/>
    </xf>
    <xf numFmtId="164" fontId="4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4" fillId="7" borderId="10" xfId="0" applyNumberFormat="1" applyFont="1" applyFill="1" applyBorder="1" applyAlignment="1" applyProtection="1">
      <alignment horizontal="center" vertical="center" wrapText="1"/>
      <protection hidden="1"/>
    </xf>
    <xf numFmtId="164" fontId="4" fillId="7" borderId="11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11" fillId="12" borderId="10" xfId="0" applyNumberFormat="1" applyFont="1" applyFill="1" applyBorder="1" applyAlignment="1" applyProtection="1">
      <alignment horizontal="center" vertical="center" wrapText="1"/>
      <protection hidden="1"/>
    </xf>
    <xf numFmtId="2" fontId="11" fillId="12" borderId="10" xfId="0" applyNumberFormat="1" applyFont="1" applyFill="1" applyBorder="1" applyAlignment="1" applyProtection="1">
      <alignment horizontal="center" vertical="center" wrapText="1"/>
      <protection hidden="1"/>
    </xf>
    <xf numFmtId="164" fontId="4" fillId="12" borderId="10" xfId="0" applyNumberFormat="1" applyFont="1" applyFill="1" applyBorder="1" applyAlignment="1" applyProtection="1">
      <alignment horizontal="center" vertical="center" wrapText="1"/>
      <protection hidden="1"/>
    </xf>
    <xf numFmtId="164" fontId="4" fillId="12" borderId="11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0" applyNumberFormat="1" applyFont="1" applyFill="1" applyBorder="1" applyAlignment="1" applyProtection="1">
      <alignment vertical="center" wrapText="1"/>
      <protection hidden="1"/>
    </xf>
    <xf numFmtId="164" fontId="4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6" xfId="0" applyFont="1" applyFill="1" applyBorder="1" applyAlignment="1" applyProtection="1">
      <alignment vertical="center" wrapText="1"/>
      <protection hidden="1"/>
    </xf>
    <xf numFmtId="0" fontId="4" fillId="5" borderId="1" xfId="0" applyFont="1" applyFill="1" applyBorder="1" applyAlignment="1" applyProtection="1">
      <alignment vertical="center" wrapText="1"/>
      <protection hidden="1"/>
    </xf>
    <xf numFmtId="0" fontId="4" fillId="5" borderId="7" xfId="0" applyFont="1" applyFill="1" applyBorder="1" applyAlignment="1" applyProtection="1">
      <alignment vertical="center" wrapText="1"/>
      <protection hidden="1"/>
    </xf>
    <xf numFmtId="0" fontId="4" fillId="2" borderId="15" xfId="0" applyFont="1" applyFill="1" applyBorder="1" applyAlignment="1" applyProtection="1">
      <alignment vertical="center" wrapText="1"/>
      <protection hidden="1"/>
    </xf>
    <xf numFmtId="164" fontId="11" fillId="12" borderId="52" xfId="0" applyNumberFormat="1" applyFont="1" applyFill="1" applyBorder="1" applyAlignment="1" applyProtection="1">
      <alignment horizontal="left" vertical="center" wrapText="1"/>
      <protection hidden="1"/>
    </xf>
    <xf numFmtId="164" fontId="11" fillId="12" borderId="54" xfId="0" applyNumberFormat="1" applyFont="1" applyFill="1" applyBorder="1" applyAlignment="1" applyProtection="1">
      <alignment horizontal="left" vertical="center" wrapText="1"/>
      <protection hidden="1"/>
    </xf>
    <xf numFmtId="164" fontId="4" fillId="7" borderId="10" xfId="0" applyNumberFormat="1" applyFont="1" applyFill="1" applyBorder="1" applyAlignment="1" applyProtection="1">
      <alignment horizontal="justify" vertical="center" wrapText="1"/>
      <protection hidden="1"/>
    </xf>
    <xf numFmtId="164" fontId="4" fillId="7" borderId="11" xfId="0" applyNumberFormat="1" applyFont="1" applyFill="1" applyBorder="1" applyAlignment="1" applyProtection="1">
      <alignment horizontal="justify" vertical="center" wrapText="1"/>
      <protection hidden="1"/>
    </xf>
    <xf numFmtId="0" fontId="9" fillId="2" borderId="21" xfId="0" applyFont="1" applyFill="1" applyBorder="1" applyAlignment="1" applyProtection="1">
      <alignment horizontal="justify" vertical="center" wrapText="1"/>
      <protection hidden="1"/>
    </xf>
    <xf numFmtId="164" fontId="4" fillId="2" borderId="10" xfId="0" applyNumberFormat="1" applyFont="1" applyFill="1" applyBorder="1" applyAlignment="1" applyProtection="1">
      <alignment horizontal="justify" vertical="center" wrapText="1"/>
      <protection hidden="1"/>
    </xf>
    <xf numFmtId="164" fontId="4" fillId="2" borderId="11" xfId="0" applyNumberFormat="1" applyFont="1" applyFill="1" applyBorder="1" applyAlignment="1" applyProtection="1">
      <alignment horizontal="justify" vertical="center" wrapText="1"/>
      <protection hidden="1"/>
    </xf>
    <xf numFmtId="164" fontId="4" fillId="2" borderId="0" xfId="0" applyNumberFormat="1" applyFont="1" applyFill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horizontal="justify" vertical="center" wrapText="1"/>
      <protection hidden="1"/>
    </xf>
    <xf numFmtId="164" fontId="4" fillId="0" borderId="10" xfId="0" applyNumberFormat="1" applyFont="1" applyFill="1" applyBorder="1" applyAlignment="1" applyProtection="1">
      <alignment horizontal="justify" vertical="center" wrapText="1"/>
      <protection hidden="1"/>
    </xf>
    <xf numFmtId="164" fontId="4" fillId="0" borderId="11" xfId="0" applyNumberFormat="1" applyFont="1" applyFill="1" applyBorder="1" applyAlignment="1" applyProtection="1">
      <alignment horizontal="justify" vertical="center" wrapText="1"/>
      <protection hidden="1"/>
    </xf>
    <xf numFmtId="0" fontId="9" fillId="13" borderId="21" xfId="0" applyFont="1" applyFill="1" applyBorder="1" applyAlignment="1" applyProtection="1">
      <alignment horizontal="justify" vertical="center" wrapText="1"/>
      <protection hidden="1"/>
    </xf>
    <xf numFmtId="164" fontId="9" fillId="13" borderId="10" xfId="0" applyNumberFormat="1" applyFont="1" applyFill="1" applyBorder="1" applyAlignment="1" applyProtection="1">
      <alignment horizontal="justify" vertical="center" wrapText="1"/>
      <protection hidden="1"/>
    </xf>
    <xf numFmtId="164" fontId="9" fillId="13" borderId="11" xfId="0" applyNumberFormat="1" applyFont="1" applyFill="1" applyBorder="1" applyAlignment="1" applyProtection="1">
      <alignment horizontal="justify" vertical="center" wrapText="1"/>
      <protection hidden="1"/>
    </xf>
    <xf numFmtId="0" fontId="11" fillId="15" borderId="21" xfId="0" applyFont="1" applyFill="1" applyBorder="1" applyAlignment="1" applyProtection="1">
      <alignment horizontal="justify" vertical="center" wrapText="1"/>
      <protection hidden="1"/>
    </xf>
    <xf numFmtId="164" fontId="11" fillId="15" borderId="10" xfId="0" applyNumberFormat="1" applyFont="1" applyFill="1" applyBorder="1" applyAlignment="1" applyProtection="1">
      <alignment horizontal="justify" vertical="center" wrapText="1"/>
      <protection hidden="1"/>
    </xf>
    <xf numFmtId="164" fontId="11" fillId="15" borderId="11" xfId="0" applyNumberFormat="1" applyFont="1" applyFill="1" applyBorder="1" applyAlignment="1" applyProtection="1">
      <alignment horizontal="justify" vertical="center" wrapText="1"/>
      <protection hidden="1"/>
    </xf>
    <xf numFmtId="164" fontId="11" fillId="12" borderId="10" xfId="0" applyNumberFormat="1" applyFont="1" applyFill="1" applyBorder="1" applyAlignment="1" applyProtection="1">
      <alignment horizontal="left" vertical="center" wrapText="1"/>
      <protection hidden="1"/>
    </xf>
    <xf numFmtId="164" fontId="11" fillId="12" borderId="11" xfId="0" applyNumberFormat="1" applyFont="1" applyFill="1" applyBorder="1" applyAlignment="1" applyProtection="1">
      <alignment horizontal="left" vertical="center" wrapText="1"/>
      <protection hidden="1"/>
    </xf>
    <xf numFmtId="0" fontId="11" fillId="15" borderId="24" xfId="0" applyFont="1" applyFill="1" applyBorder="1" applyAlignment="1" applyProtection="1">
      <alignment horizontal="justify" vertical="center" wrapText="1"/>
      <protection hidden="1"/>
    </xf>
    <xf numFmtId="164" fontId="11" fillId="15" borderId="12" xfId="0" applyNumberFormat="1" applyFont="1" applyFill="1" applyBorder="1" applyAlignment="1" applyProtection="1">
      <alignment horizontal="justify" vertical="center" wrapText="1"/>
      <protection hidden="1"/>
    </xf>
    <xf numFmtId="164" fontId="11" fillId="15" borderId="13" xfId="0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9" fillId="11" borderId="10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justify" vertical="center" wrapText="1"/>
      <protection hidden="1"/>
    </xf>
    <xf numFmtId="164" fontId="4" fillId="0" borderId="10" xfId="0" applyNumberFormat="1" applyFont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5" fillId="2" borderId="0" xfId="1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vertical="center" wrapText="1"/>
      <protection hidden="1"/>
    </xf>
    <xf numFmtId="0" fontId="5" fillId="5" borderId="6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5" borderId="1" xfId="0" applyFont="1" applyFill="1" applyBorder="1" applyAlignment="1" applyProtection="1">
      <alignment vertical="center" wrapText="1"/>
      <protection hidden="1"/>
    </xf>
    <xf numFmtId="0" fontId="5" fillId="5" borderId="7" xfId="0" applyFont="1" applyFill="1" applyBorder="1" applyAlignment="1" applyProtection="1">
      <alignment vertical="center" wrapText="1"/>
      <protection hidden="1"/>
    </xf>
    <xf numFmtId="0" fontId="4" fillId="2" borderId="14" xfId="0" applyFont="1" applyFill="1" applyBorder="1" applyAlignment="1" applyProtection="1">
      <alignment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2" fontId="9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Border="1" applyAlignment="1" applyProtection="1">
      <alignment vertical="center" wrapText="1"/>
      <protection hidden="1"/>
    </xf>
    <xf numFmtId="10" fontId="9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1" xfId="0" applyNumberFormat="1" applyFont="1" applyFill="1" applyBorder="1" applyAlignment="1" applyProtection="1">
      <alignment horizontal="center" vertical="center" wrapText="1"/>
      <protection hidden="1"/>
    </xf>
    <xf numFmtId="168" fontId="1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53" xfId="0" applyFont="1" applyFill="1" applyBorder="1" applyAlignment="1" applyProtection="1">
      <alignment horizontal="center" vertical="center"/>
      <protection hidden="1"/>
    </xf>
    <xf numFmtId="164" fontId="4" fillId="2" borderId="52" xfId="0" applyNumberFormat="1" applyFont="1" applyFill="1" applyBorder="1" applyAlignment="1" applyProtection="1">
      <alignment vertical="center" wrapText="1"/>
      <protection hidden="1"/>
    </xf>
    <xf numFmtId="164" fontId="4" fillId="5" borderId="52" xfId="0" applyNumberFormat="1" applyFont="1" applyFill="1" applyBorder="1" applyAlignment="1" applyProtection="1">
      <alignment vertical="center" wrapText="1"/>
      <protection hidden="1"/>
    </xf>
    <xf numFmtId="164" fontId="9" fillId="13" borderId="52" xfId="0" applyNumberFormat="1" applyFont="1" applyFill="1" applyBorder="1" applyAlignment="1" applyProtection="1">
      <alignment vertical="center" wrapText="1"/>
      <protection hidden="1"/>
    </xf>
    <xf numFmtId="168" fontId="11" fillId="14" borderId="54" xfId="0" applyNumberFormat="1" applyFont="1" applyFill="1" applyBorder="1" applyAlignment="1" applyProtection="1">
      <alignment vertical="center" wrapText="1"/>
      <protection hidden="1"/>
    </xf>
    <xf numFmtId="0" fontId="9" fillId="7" borderId="21" xfId="0" applyFont="1" applyFill="1" applyBorder="1" applyAlignment="1" applyProtection="1">
      <alignment horizontal="center" vertical="center"/>
      <protection hidden="1"/>
    </xf>
    <xf numFmtId="164" fontId="4" fillId="2" borderId="10" xfId="0" applyNumberFormat="1" applyFont="1" applyFill="1" applyBorder="1" applyAlignment="1" applyProtection="1">
      <alignment vertical="center" wrapText="1"/>
      <protection hidden="1"/>
    </xf>
    <xf numFmtId="164" fontId="4" fillId="5" borderId="10" xfId="0" applyNumberFormat="1" applyFont="1" applyFill="1" applyBorder="1" applyAlignment="1" applyProtection="1">
      <alignment vertical="center" wrapText="1"/>
      <protection hidden="1"/>
    </xf>
    <xf numFmtId="164" fontId="9" fillId="13" borderId="10" xfId="0" applyNumberFormat="1" applyFont="1" applyFill="1" applyBorder="1" applyAlignment="1" applyProtection="1">
      <alignment vertical="center" wrapText="1"/>
      <protection hidden="1"/>
    </xf>
    <xf numFmtId="168" fontId="11" fillId="14" borderId="11" xfId="0" applyNumberFormat="1" applyFont="1" applyFill="1" applyBorder="1" applyAlignment="1" applyProtection="1">
      <alignment vertical="center" wrapText="1"/>
      <protection hidden="1"/>
    </xf>
    <xf numFmtId="0" fontId="9" fillId="7" borderId="24" xfId="0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vertical="center" wrapText="1"/>
      <protection hidden="1"/>
    </xf>
    <xf numFmtId="164" fontId="4" fillId="5" borderId="12" xfId="0" applyNumberFormat="1" applyFont="1" applyFill="1" applyBorder="1" applyAlignment="1" applyProtection="1">
      <alignment vertical="center" wrapText="1"/>
      <protection hidden="1"/>
    </xf>
    <xf numFmtId="164" fontId="9" fillId="13" borderId="12" xfId="0" applyNumberFormat="1" applyFont="1" applyFill="1" applyBorder="1" applyAlignment="1" applyProtection="1">
      <alignment vertical="center" wrapText="1"/>
      <protection hidden="1"/>
    </xf>
    <xf numFmtId="168" fontId="11" fillId="14" borderId="13" xfId="0" applyNumberFormat="1" applyFont="1" applyFill="1" applyBorder="1" applyAlignment="1" applyProtection="1">
      <alignment vertical="center" wrapText="1"/>
      <protection hidden="1"/>
    </xf>
    <xf numFmtId="0" fontId="14" fillId="2" borderId="17" xfId="0" quotePrefix="1" applyFont="1" applyFill="1" applyBorder="1" applyAlignment="1" applyProtection="1">
      <alignment horizontal="left" vertical="center" wrapText="1"/>
      <protection hidden="1"/>
    </xf>
    <xf numFmtId="0" fontId="14" fillId="2" borderId="68" xfId="0" quotePrefix="1" applyFont="1" applyFill="1" applyBorder="1" applyAlignment="1" applyProtection="1">
      <alignment horizontal="left" vertical="center" wrapText="1"/>
      <protection hidden="1"/>
    </xf>
    <xf numFmtId="0" fontId="4" fillId="2" borderId="70" xfId="0" quotePrefix="1" applyFont="1" applyFill="1" applyBorder="1" applyAlignment="1" applyProtection="1">
      <alignment horizontal="left" vertical="center" wrapText="1"/>
      <protection hidden="1"/>
    </xf>
    <xf numFmtId="0" fontId="4" fillId="2" borderId="54" xfId="0" quotePrefix="1" applyFont="1" applyFill="1" applyBorder="1" applyAlignment="1" applyProtection="1">
      <alignment horizontal="left" vertical="center" wrapText="1"/>
      <protection hidden="1"/>
    </xf>
    <xf numFmtId="0" fontId="14" fillId="2" borderId="64" xfId="0" quotePrefix="1" applyFont="1" applyFill="1" applyBorder="1" applyAlignment="1" applyProtection="1">
      <alignment horizontal="left" vertical="center" wrapText="1"/>
      <protection hidden="1"/>
    </xf>
    <xf numFmtId="0" fontId="14" fillId="2" borderId="38" xfId="0" quotePrefix="1" applyFont="1" applyFill="1" applyBorder="1" applyAlignment="1" applyProtection="1">
      <alignment horizontal="left" vertical="center" wrapText="1"/>
      <protection hidden="1"/>
    </xf>
    <xf numFmtId="0" fontId="4" fillId="2" borderId="65" xfId="0" quotePrefix="1" applyFont="1" applyFill="1" applyBorder="1" applyAlignment="1" applyProtection="1">
      <alignment horizontal="left" vertical="center" wrapText="1"/>
      <protection hidden="1"/>
    </xf>
    <xf numFmtId="0" fontId="4" fillId="2" borderId="52" xfId="0" quotePrefix="1" applyFont="1" applyFill="1" applyBorder="1" applyAlignment="1" applyProtection="1">
      <alignment horizontal="left" vertical="center" wrapText="1"/>
      <protection hidden="1"/>
    </xf>
    <xf numFmtId="0" fontId="4" fillId="2" borderId="65" xfId="0" applyFont="1" applyFill="1" applyBorder="1" applyAlignment="1" applyProtection="1">
      <alignment horizontal="left" vertical="center" wrapText="1"/>
      <protection hidden="1"/>
    </xf>
    <xf numFmtId="0" fontId="4" fillId="2" borderId="70" xfId="0" applyFont="1" applyFill="1" applyBorder="1" applyAlignment="1" applyProtection="1">
      <alignment horizontal="left" vertical="center" wrapText="1"/>
      <protection hidden="1"/>
    </xf>
    <xf numFmtId="0" fontId="14" fillId="2" borderId="16" xfId="0" quotePrefix="1" applyFont="1" applyFill="1" applyBorder="1" applyAlignment="1" applyProtection="1">
      <alignment horizontal="left" vertical="center" wrapText="1"/>
      <protection hidden="1"/>
    </xf>
    <xf numFmtId="0" fontId="14" fillId="2" borderId="65" xfId="0" quotePrefix="1" applyFont="1" applyFill="1" applyBorder="1" applyAlignment="1" applyProtection="1">
      <alignment horizontal="left" vertical="center" wrapText="1"/>
      <protection hidden="1"/>
    </xf>
    <xf numFmtId="0" fontId="14" fillId="2" borderId="29" xfId="0" quotePrefix="1" applyFont="1" applyFill="1" applyBorder="1" applyAlignment="1" applyProtection="1">
      <alignment horizontal="left" vertical="center" wrapText="1"/>
      <protection hidden="1"/>
    </xf>
    <xf numFmtId="0" fontId="4" fillId="2" borderId="52" xfId="0" applyFont="1" applyFill="1" applyBorder="1" applyAlignment="1" applyProtection="1">
      <alignment horizontal="left" vertical="center" wrapText="1"/>
      <protection hidden="1"/>
    </xf>
    <xf numFmtId="0" fontId="4" fillId="2" borderId="54" xfId="0" applyFont="1" applyFill="1" applyBorder="1" applyAlignment="1" applyProtection="1">
      <alignment horizontal="left" vertical="center" wrapText="1"/>
      <protection hidden="1"/>
    </xf>
    <xf numFmtId="0" fontId="4" fillId="2" borderId="70" xfId="0" quotePrefix="1" applyFont="1" applyFill="1" applyBorder="1" applyAlignment="1" applyProtection="1">
      <alignment vertical="center" wrapText="1"/>
      <protection hidden="1"/>
    </xf>
    <xf numFmtId="0" fontId="9" fillId="7" borderId="24" xfId="0" applyFont="1" applyFill="1" applyBorder="1" applyAlignment="1" applyProtection="1">
      <alignment horizontal="justify" vertical="center" wrapText="1"/>
      <protection hidden="1"/>
    </xf>
    <xf numFmtId="0" fontId="9" fillId="7" borderId="24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quotePrefix="1" applyFont="1" applyFill="1" applyBorder="1" applyAlignment="1" applyProtection="1">
      <alignment horizontal="left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9" fillId="11" borderId="12" xfId="0" applyFont="1" applyFill="1" applyBorder="1" applyAlignment="1" applyProtection="1">
      <alignment horizontal="center" vertical="center" wrapText="1"/>
      <protection hidden="1"/>
    </xf>
    <xf numFmtId="0" fontId="9" fillId="11" borderId="13" xfId="0" applyFont="1" applyFill="1" applyBorder="1" applyAlignment="1" applyProtection="1">
      <alignment horizontal="center" vertical="center" wrapText="1"/>
      <protection hidden="1"/>
    </xf>
    <xf numFmtId="2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Border="1" applyAlignment="1" applyProtection="1">
      <alignment horizontal="center" vertical="center" wrapText="1"/>
      <protection hidden="1"/>
    </xf>
    <xf numFmtId="2" fontId="11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12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9" fillId="11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9" fillId="11" borderId="1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10" fillId="8" borderId="11" xfId="0" applyFont="1" applyFill="1" applyBorder="1" applyAlignment="1" applyProtection="1">
      <alignment horizontal="center" vertical="center" wrapText="1"/>
      <protection locked="0" hidden="1"/>
    </xf>
    <xf numFmtId="0" fontId="10" fillId="8" borderId="13" xfId="0" applyFont="1" applyFill="1" applyBorder="1" applyAlignment="1" applyProtection="1">
      <alignment horizontal="center" vertical="center" wrapText="1"/>
      <protection locked="0"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6" borderId="18" xfId="0" applyFont="1" applyFill="1" applyBorder="1" applyAlignment="1" applyProtection="1">
      <alignment horizontal="center" vertical="center"/>
      <protection hidden="1"/>
    </xf>
    <xf numFmtId="0" fontId="22" fillId="4" borderId="56" xfId="0" applyFont="1" applyFill="1" applyBorder="1" applyAlignment="1" applyProtection="1">
      <alignment horizontal="center" vertical="center" wrapText="1"/>
      <protection hidden="1"/>
    </xf>
    <xf numFmtId="0" fontId="22" fillId="4" borderId="55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44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48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21" fillId="11" borderId="44" xfId="0" applyFont="1" applyFill="1" applyBorder="1" applyAlignment="1" applyProtection="1">
      <alignment horizontal="center" vertical="center"/>
      <protection hidden="1"/>
    </xf>
    <xf numFmtId="0" fontId="21" fillId="11" borderId="45" xfId="0" applyFont="1" applyFill="1" applyBorder="1" applyAlignment="1" applyProtection="1">
      <alignment horizontal="center" vertical="center"/>
      <protection hidden="1"/>
    </xf>
    <xf numFmtId="0" fontId="21" fillId="11" borderId="46" xfId="0" applyFont="1" applyFill="1" applyBorder="1" applyAlignment="1" applyProtection="1">
      <alignment horizontal="center" vertical="center"/>
      <protection hidden="1"/>
    </xf>
    <xf numFmtId="0" fontId="21" fillId="11" borderId="34" xfId="0" applyFont="1" applyFill="1" applyBorder="1" applyAlignment="1" applyProtection="1">
      <alignment horizontal="center" vertical="center"/>
      <protection hidden="1"/>
    </xf>
    <xf numFmtId="0" fontId="4" fillId="2" borderId="42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0" fontId="4" fillId="2" borderId="41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19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12" fillId="11" borderId="39" xfId="0" applyFont="1" applyFill="1" applyBorder="1" applyAlignment="1" applyProtection="1">
      <alignment horizontal="center" vertical="center"/>
      <protection hidden="1"/>
    </xf>
    <xf numFmtId="0" fontId="12" fillId="11" borderId="40" xfId="0" applyFont="1" applyFill="1" applyBorder="1" applyAlignment="1" applyProtection="1">
      <alignment horizontal="center" vertical="center"/>
      <protection hidden="1"/>
    </xf>
    <xf numFmtId="0" fontId="12" fillId="11" borderId="4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2" fillId="11" borderId="42" xfId="0" applyFont="1" applyFill="1" applyBorder="1" applyAlignment="1" applyProtection="1">
      <alignment horizontal="center" vertical="center"/>
      <protection hidden="1"/>
    </xf>
    <xf numFmtId="0" fontId="12" fillId="11" borderId="43" xfId="0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2" borderId="47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10" fillId="2" borderId="2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Alignment="1" applyProtection="1">
      <alignment horizontal="center" vertical="center"/>
      <protection hidden="1"/>
    </xf>
    <xf numFmtId="0" fontId="21" fillId="11" borderId="39" xfId="0" applyFont="1" applyFill="1" applyBorder="1" applyAlignment="1" applyProtection="1">
      <alignment horizontal="center" vertical="center"/>
      <protection hidden="1"/>
    </xf>
    <xf numFmtId="0" fontId="21" fillId="11" borderId="40" xfId="0" applyFont="1" applyFill="1" applyBorder="1" applyAlignment="1" applyProtection="1">
      <alignment horizontal="center" vertical="center"/>
      <protection hidden="1"/>
    </xf>
    <xf numFmtId="0" fontId="21" fillId="11" borderId="41" xfId="0" applyFont="1" applyFill="1" applyBorder="1" applyAlignment="1" applyProtection="1">
      <alignment horizontal="center" vertical="center"/>
      <protection hidden="1"/>
    </xf>
    <xf numFmtId="0" fontId="21" fillId="11" borderId="30" xfId="0" applyFont="1" applyFill="1" applyBorder="1" applyAlignment="1" applyProtection="1">
      <alignment horizontal="center" vertical="center"/>
      <protection hidden="1"/>
    </xf>
    <xf numFmtId="0" fontId="21" fillId="11" borderId="31" xfId="0" applyFont="1" applyFill="1" applyBorder="1" applyAlignment="1" applyProtection="1">
      <alignment horizontal="center" vertical="center"/>
      <protection hidden="1"/>
    </xf>
    <xf numFmtId="0" fontId="21" fillId="11" borderId="32" xfId="0" applyFont="1" applyFill="1" applyBorder="1" applyAlignment="1" applyProtection="1">
      <alignment horizontal="center" vertical="center"/>
      <protection hidden="1"/>
    </xf>
    <xf numFmtId="0" fontId="21" fillId="11" borderId="26" xfId="0" applyFont="1" applyFill="1" applyBorder="1" applyAlignment="1" applyProtection="1">
      <alignment horizontal="center" vertical="center"/>
      <protection hidden="1"/>
    </xf>
    <xf numFmtId="0" fontId="21" fillId="11" borderId="25" xfId="0" applyFont="1" applyFill="1" applyBorder="1" applyAlignment="1" applyProtection="1">
      <alignment horizontal="center" vertical="center"/>
      <protection hidden="1"/>
    </xf>
    <xf numFmtId="0" fontId="21" fillId="11" borderId="27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43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9" fillId="11" borderId="20" xfId="0" applyFont="1" applyFill="1" applyBorder="1" applyAlignment="1" applyProtection="1">
      <alignment horizontal="center" vertical="center"/>
      <protection hidden="1"/>
    </xf>
    <xf numFmtId="0" fontId="9" fillId="11" borderId="22" xfId="0" applyFont="1" applyFill="1" applyBorder="1" applyAlignment="1" applyProtection="1">
      <alignment horizontal="center" vertical="center"/>
      <protection hidden="1"/>
    </xf>
    <xf numFmtId="0" fontId="9" fillId="11" borderId="23" xfId="0" applyFont="1" applyFill="1" applyBorder="1" applyAlignment="1" applyProtection="1">
      <alignment horizontal="center" vertical="center"/>
      <protection hidden="1"/>
    </xf>
    <xf numFmtId="0" fontId="9" fillId="11" borderId="21" xfId="0" applyFont="1" applyFill="1" applyBorder="1" applyAlignment="1" applyProtection="1">
      <alignment horizontal="center" vertical="center"/>
      <protection hidden="1"/>
    </xf>
    <xf numFmtId="0" fontId="9" fillId="11" borderId="24" xfId="0" applyFont="1" applyFill="1" applyBorder="1" applyAlignment="1" applyProtection="1">
      <alignment horizontal="center" vertical="center"/>
      <protection hidden="1"/>
    </xf>
    <xf numFmtId="0" fontId="9" fillId="11" borderId="10" xfId="0" applyFont="1" applyFill="1" applyBorder="1" applyAlignment="1" applyProtection="1">
      <alignment horizontal="center" vertical="center"/>
      <protection hidden="1"/>
    </xf>
    <xf numFmtId="0" fontId="9" fillId="11" borderId="12" xfId="0" applyFont="1" applyFill="1" applyBorder="1" applyAlignment="1" applyProtection="1">
      <alignment horizontal="center" vertical="center"/>
      <protection hidden="1"/>
    </xf>
    <xf numFmtId="0" fontId="9" fillId="11" borderId="10" xfId="0" applyFont="1" applyFill="1" applyBorder="1" applyAlignment="1" applyProtection="1">
      <alignment horizontal="center" vertical="center" wrapText="1"/>
      <protection hidden="1"/>
    </xf>
    <xf numFmtId="0" fontId="9" fillId="11" borderId="12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9" fillId="11" borderId="11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Alignment="1" applyProtection="1">
      <alignment horizontal="right" vertical="center" wrapText="1"/>
      <protection hidden="1"/>
    </xf>
    <xf numFmtId="0" fontId="4" fillId="2" borderId="20" xfId="0" applyFont="1" applyFill="1" applyBorder="1" applyAlignment="1" applyProtection="1">
      <alignment horizontal="left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4" fillId="2" borderId="24" xfId="0" applyFont="1" applyFill="1" applyBorder="1" applyAlignment="1" applyProtection="1">
      <alignment horizontal="left" vertical="center" wrapText="1"/>
      <protection hidden="1"/>
    </xf>
    <xf numFmtId="0" fontId="10" fillId="8" borderId="11" xfId="0" applyFont="1" applyFill="1" applyBorder="1" applyAlignment="1" applyProtection="1">
      <alignment horizontal="center" vertical="center" wrapText="1"/>
      <protection locked="0" hidden="1"/>
    </xf>
    <xf numFmtId="0" fontId="10" fillId="8" borderId="13" xfId="0" applyFont="1" applyFill="1" applyBorder="1" applyAlignment="1" applyProtection="1">
      <alignment horizontal="center" vertical="center" wrapText="1"/>
      <protection locked="0" hidden="1"/>
    </xf>
    <xf numFmtId="165" fontId="4" fillId="8" borderId="2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8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9" fillId="11" borderId="49" xfId="0" applyFont="1" applyFill="1" applyBorder="1" applyAlignment="1" applyProtection="1">
      <alignment horizontal="center" vertical="center" wrapText="1"/>
      <protection hidden="1"/>
    </xf>
    <xf numFmtId="0" fontId="9" fillId="11" borderId="51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9" fillId="11" borderId="22" xfId="0" applyFont="1" applyFill="1" applyBorder="1" applyAlignment="1" applyProtection="1">
      <alignment horizontal="center" vertical="center" wrapText="1"/>
      <protection hidden="1"/>
    </xf>
    <xf numFmtId="0" fontId="9" fillId="11" borderId="23" xfId="0" applyFont="1" applyFill="1" applyBorder="1" applyAlignment="1" applyProtection="1">
      <alignment horizontal="center" vertical="center" wrapText="1"/>
      <protection hidden="1"/>
    </xf>
    <xf numFmtId="0" fontId="9" fillId="11" borderId="20" xfId="0" applyFont="1" applyFill="1" applyBorder="1" applyAlignment="1" applyProtection="1">
      <alignment horizontal="center" vertical="center" wrapText="1"/>
      <protection hidden="1"/>
    </xf>
    <xf numFmtId="0" fontId="9" fillId="11" borderId="2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9" fillId="11" borderId="49" xfId="0" applyFont="1" applyFill="1" applyBorder="1" applyAlignment="1" applyProtection="1">
      <alignment horizontal="center" vertical="center"/>
      <protection hidden="1"/>
    </xf>
    <xf numFmtId="0" fontId="9" fillId="11" borderId="50" xfId="0" applyFont="1" applyFill="1" applyBorder="1" applyAlignment="1" applyProtection="1">
      <alignment horizontal="center" vertical="center"/>
      <protection hidden="1"/>
    </xf>
    <xf numFmtId="0" fontId="9" fillId="7" borderId="59" xfId="0" applyFont="1" applyFill="1" applyBorder="1" applyAlignment="1" applyProtection="1">
      <alignment horizontal="center" vertical="center"/>
      <protection locked="0" hidden="1"/>
    </xf>
    <xf numFmtId="0" fontId="9" fillId="7" borderId="60" xfId="0" applyFont="1" applyFill="1" applyBorder="1" applyAlignment="1" applyProtection="1">
      <alignment horizontal="center" vertical="center"/>
      <protection locked="0" hidden="1"/>
    </xf>
    <xf numFmtId="0" fontId="9" fillId="7" borderId="61" xfId="0" applyFont="1" applyFill="1" applyBorder="1" applyAlignment="1" applyProtection="1">
      <alignment horizontal="center" vertical="center"/>
      <protection locked="0" hidden="1"/>
    </xf>
    <xf numFmtId="0" fontId="9" fillId="7" borderId="50" xfId="0" applyFont="1" applyFill="1" applyBorder="1" applyAlignment="1" applyProtection="1">
      <alignment horizontal="center" vertical="center"/>
      <protection locked="0" hidden="1"/>
    </xf>
    <xf numFmtId="0" fontId="9" fillId="7" borderId="51" xfId="0" applyFont="1" applyFill="1" applyBorder="1" applyAlignment="1" applyProtection="1">
      <alignment horizontal="center" vertical="center"/>
      <protection locked="0" hidden="1"/>
    </xf>
    <xf numFmtId="0" fontId="9" fillId="11" borderId="62" xfId="0" applyFont="1" applyFill="1" applyBorder="1" applyAlignment="1" applyProtection="1">
      <alignment horizontal="center" vertical="center"/>
      <protection hidden="1"/>
    </xf>
    <xf numFmtId="0" fontId="9" fillId="11" borderId="60" xfId="0" applyFont="1" applyFill="1" applyBorder="1" applyAlignment="1" applyProtection="1">
      <alignment horizontal="center" vertical="center"/>
      <protection hidden="1"/>
    </xf>
    <xf numFmtId="0" fontId="9" fillId="11" borderId="6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9" fillId="7" borderId="24" xfId="0" applyFont="1" applyFill="1" applyBorder="1" applyAlignment="1" applyProtection="1">
      <alignment horizontal="center" vertical="center" wrapText="1"/>
      <protection locked="0" hidden="1"/>
    </xf>
    <xf numFmtId="0" fontId="9" fillId="7" borderId="13" xfId="0" applyFont="1" applyFill="1" applyBorder="1" applyAlignment="1" applyProtection="1">
      <alignment horizontal="center" vertical="center" wrapText="1"/>
      <protection locked="0" hidden="1"/>
    </xf>
    <xf numFmtId="0" fontId="25" fillId="2" borderId="0" xfId="1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center" vertical="center" wrapText="1"/>
      <protection hidden="1"/>
    </xf>
    <xf numFmtId="0" fontId="9" fillId="11" borderId="13" xfId="0" applyFont="1" applyFill="1" applyBorder="1" applyAlignment="1" applyProtection="1">
      <alignment horizontal="center" vertical="center" wrapText="1"/>
      <protection hidden="1"/>
    </xf>
    <xf numFmtId="0" fontId="9" fillId="7" borderId="21" xfId="0" applyFont="1" applyFill="1" applyBorder="1" applyAlignment="1" applyProtection="1">
      <alignment horizontal="left" vertical="center" wrapText="1"/>
      <protection hidden="1"/>
    </xf>
    <xf numFmtId="0" fontId="9" fillId="7" borderId="10" xfId="0" applyFont="1" applyFill="1" applyBorder="1" applyAlignment="1" applyProtection="1">
      <alignment horizontal="left" vertical="center" wrapText="1"/>
      <protection hidden="1"/>
    </xf>
    <xf numFmtId="0" fontId="9" fillId="7" borderId="24" xfId="0" applyFont="1" applyFill="1" applyBorder="1" applyAlignment="1" applyProtection="1">
      <alignment horizontal="left" vertical="center" wrapText="1"/>
      <protection hidden="1"/>
    </xf>
    <xf numFmtId="0" fontId="9" fillId="7" borderId="12" xfId="0" applyFont="1" applyFill="1" applyBorder="1" applyAlignment="1" applyProtection="1">
      <alignment horizontal="left" vertical="center" wrapText="1"/>
      <protection hidden="1"/>
    </xf>
    <xf numFmtId="0" fontId="9" fillId="11" borderId="21" xfId="0" applyFont="1" applyFill="1" applyBorder="1" applyAlignment="1" applyProtection="1">
      <alignment horizontal="center" vertical="center" wrapText="1"/>
      <protection hidden="1"/>
    </xf>
    <xf numFmtId="0" fontId="3" fillId="7" borderId="22" xfId="0" applyFont="1" applyFill="1" applyBorder="1" applyAlignment="1" applyProtection="1">
      <alignment horizontal="left" vertical="center"/>
      <protection hidden="1"/>
    </xf>
    <xf numFmtId="0" fontId="9" fillId="7" borderId="10" xfId="0" applyFont="1" applyFill="1" applyBorder="1" applyAlignment="1" applyProtection="1">
      <alignment horizontal="left" vertical="center"/>
      <protection hidden="1"/>
    </xf>
    <xf numFmtId="0" fontId="3" fillId="7" borderId="10" xfId="0" applyFont="1" applyFill="1" applyBorder="1" applyAlignment="1" applyProtection="1">
      <alignment horizontal="left" vertical="center"/>
      <protection hidden="1"/>
    </xf>
    <xf numFmtId="0" fontId="9" fillId="7" borderId="12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9" fillId="7" borderId="37" xfId="0" applyFont="1" applyFill="1" applyBorder="1" applyAlignment="1" applyProtection="1">
      <alignment horizontal="left" vertical="center" wrapText="1"/>
      <protection hidden="1"/>
    </xf>
    <xf numFmtId="0" fontId="9" fillId="7" borderId="28" xfId="0" applyFont="1" applyFill="1" applyBorder="1" applyAlignment="1" applyProtection="1">
      <alignment horizontal="left" vertical="center" wrapText="1"/>
      <protection hidden="1"/>
    </xf>
    <xf numFmtId="0" fontId="9" fillId="7" borderId="47" xfId="0" applyFont="1" applyFill="1" applyBorder="1" applyAlignment="1" applyProtection="1">
      <alignment horizontal="left" vertical="center" wrapText="1"/>
      <protection hidden="1"/>
    </xf>
    <xf numFmtId="0" fontId="4" fillId="2" borderId="16" xfId="0" applyFont="1" applyFill="1" applyBorder="1" applyAlignment="1" applyProtection="1">
      <alignment horizontal="left" vertical="center" wrapText="1"/>
      <protection hidden="1"/>
    </xf>
    <xf numFmtId="0" fontId="4" fillId="2" borderId="8" xfId="0" quotePrefix="1" applyFont="1" applyFill="1" applyBorder="1" applyAlignment="1" applyProtection="1">
      <alignment horizontal="left" vertical="center" wrapText="1"/>
      <protection hidden="1"/>
    </xf>
    <xf numFmtId="0" fontId="4" fillId="2" borderId="48" xfId="0" applyFont="1" applyFill="1" applyBorder="1" applyAlignment="1" applyProtection="1">
      <alignment horizontal="left" vertical="center" wrapText="1"/>
      <protection hidden="1"/>
    </xf>
    <xf numFmtId="0" fontId="4" fillId="2" borderId="16" xfId="0" quotePrefix="1" applyFont="1" applyFill="1" applyBorder="1" applyAlignment="1" applyProtection="1">
      <alignment horizontal="left" vertical="center" wrapText="1"/>
      <protection hidden="1"/>
    </xf>
    <xf numFmtId="0" fontId="4" fillId="2" borderId="29" xfId="0" applyFont="1" applyFill="1" applyBorder="1" applyAlignment="1" applyProtection="1">
      <alignment horizontal="left" vertical="center" wrapText="1"/>
      <protection hidden="1"/>
    </xf>
    <xf numFmtId="0" fontId="4" fillId="2" borderId="48" xfId="0" quotePrefix="1" applyFont="1" applyFill="1" applyBorder="1" applyAlignment="1" applyProtection="1">
      <alignment horizontal="left" vertical="center" wrapText="1"/>
      <protection hidden="1"/>
    </xf>
    <xf numFmtId="0" fontId="4" fillId="2" borderId="17" xfId="0" quotePrefix="1" applyFont="1" applyFill="1" applyBorder="1" applyAlignment="1" applyProtection="1">
      <alignment horizontal="left" vertical="center" wrapText="1"/>
      <protection hidden="1"/>
    </xf>
    <xf numFmtId="0" fontId="4" fillId="2" borderId="38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4" fillId="2" borderId="44" xfId="0" applyFont="1" applyFill="1" applyBorder="1" applyAlignment="1" applyProtection="1">
      <alignment horizontal="left" vertical="center" wrapText="1"/>
      <protection hidden="1"/>
    </xf>
    <xf numFmtId="0" fontId="4" fillId="2" borderId="34" xfId="0" applyFont="1" applyFill="1" applyBorder="1" applyAlignment="1" applyProtection="1">
      <alignment horizontal="left" vertical="center" wrapText="1"/>
      <protection hidden="1"/>
    </xf>
    <xf numFmtId="0" fontId="4" fillId="2" borderId="9" xfId="0" applyFont="1" applyFill="1" applyBorder="1" applyAlignment="1" applyProtection="1">
      <alignment horizontal="left" vertical="center" wrapText="1"/>
      <protection hidden="1"/>
    </xf>
    <xf numFmtId="0" fontId="4" fillId="2" borderId="36" xfId="0" applyFont="1" applyFill="1" applyBorder="1" applyAlignment="1" applyProtection="1">
      <alignment horizontal="left" vertical="center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hidden="1"/>
    </xf>
    <xf numFmtId="0" fontId="4" fillId="2" borderId="42" xfId="0" quotePrefix="1" applyFont="1" applyFill="1" applyBorder="1" applyAlignment="1" applyProtection="1">
      <alignment horizontal="left" vertical="center" wrapText="1"/>
      <protection hidden="1"/>
    </xf>
    <xf numFmtId="0" fontId="4" fillId="2" borderId="43" xfId="0" quotePrefix="1" applyFont="1" applyFill="1" applyBorder="1" applyAlignment="1" applyProtection="1">
      <alignment horizontal="left" vertical="center" wrapText="1"/>
      <protection hidden="1"/>
    </xf>
    <xf numFmtId="0" fontId="4" fillId="2" borderId="29" xfId="0" quotePrefix="1" applyFont="1" applyFill="1" applyBorder="1" applyAlignment="1" applyProtection="1">
      <alignment horizontal="left" vertical="center" wrapText="1"/>
      <protection hidden="1"/>
    </xf>
    <xf numFmtId="0" fontId="9" fillId="7" borderId="67" xfId="0" applyFont="1" applyFill="1" applyBorder="1" applyAlignment="1" applyProtection="1">
      <alignment horizontal="center" vertical="center" wrapText="1"/>
      <protection hidden="1"/>
    </xf>
    <xf numFmtId="0" fontId="9" fillId="7" borderId="66" xfId="0" applyFont="1" applyFill="1" applyBorder="1" applyAlignment="1" applyProtection="1">
      <alignment horizontal="center" vertical="center" wrapText="1"/>
      <protection hidden="1"/>
    </xf>
    <xf numFmtId="0" fontId="9" fillId="7" borderId="53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Fill="1" applyBorder="1" applyAlignment="1" applyProtection="1">
      <alignment horizontal="left" vertical="center"/>
      <protection hidden="1"/>
    </xf>
    <xf numFmtId="0" fontId="4" fillId="0" borderId="34" xfId="0" applyFont="1" applyFill="1" applyBorder="1" applyAlignment="1" applyProtection="1">
      <alignment horizontal="left" vertical="center"/>
      <protection hidden="1"/>
    </xf>
    <xf numFmtId="0" fontId="4" fillId="2" borderId="21" xfId="0" quotePrefix="1" applyFont="1" applyFill="1" applyBorder="1" applyAlignment="1" applyProtection="1">
      <alignment horizontal="left" vertical="center" wrapText="1"/>
      <protection hidden="1"/>
    </xf>
    <xf numFmtId="0" fontId="4" fillId="2" borderId="11" xfId="0" quotePrefix="1" applyFont="1" applyFill="1" applyBorder="1" applyAlignment="1" applyProtection="1">
      <alignment horizontal="left" vertical="center" wrapText="1"/>
      <protection hidden="1"/>
    </xf>
    <xf numFmtId="0" fontId="4" fillId="2" borderId="24" xfId="0" quotePrefix="1" applyFont="1" applyFill="1" applyBorder="1" applyAlignment="1" applyProtection="1">
      <alignment horizontal="left" vertical="center" wrapText="1"/>
      <protection hidden="1"/>
    </xf>
    <xf numFmtId="0" fontId="4" fillId="2" borderId="13" xfId="0" quotePrefix="1" applyFont="1" applyFill="1" applyBorder="1" applyAlignment="1" applyProtection="1">
      <alignment horizontal="left" vertical="center" wrapText="1"/>
      <protection hidden="1"/>
    </xf>
    <xf numFmtId="0" fontId="4" fillId="2" borderId="20" xfId="0" quotePrefix="1" applyFont="1" applyFill="1" applyBorder="1" applyAlignment="1" applyProtection="1">
      <alignment horizontal="left" vertical="center" wrapText="1"/>
      <protection hidden="1"/>
    </xf>
    <xf numFmtId="0" fontId="4" fillId="2" borderId="23" xfId="0" quotePrefix="1" applyFont="1" applyFill="1" applyBorder="1" applyAlignment="1" applyProtection="1">
      <alignment horizontal="left" vertical="center" wrapText="1"/>
      <protection hidden="1"/>
    </xf>
    <xf numFmtId="0" fontId="9" fillId="7" borderId="69" xfId="0" applyFont="1" applyFill="1" applyBorder="1" applyAlignment="1" applyProtection="1">
      <alignment horizontal="left" vertical="center" wrapText="1"/>
      <protection hidden="1"/>
    </xf>
    <xf numFmtId="0" fontId="9" fillId="7" borderId="66" xfId="0" applyFont="1" applyFill="1" applyBorder="1" applyAlignment="1" applyProtection="1">
      <alignment horizontal="left" vertical="center" wrapText="1"/>
      <protection hidden="1"/>
    </xf>
    <xf numFmtId="0" fontId="9" fillId="7" borderId="53" xfId="0" applyFont="1" applyFill="1" applyBorder="1" applyAlignment="1" applyProtection="1">
      <alignment horizontal="left" vertical="center" wrapText="1"/>
      <protection hidden="1"/>
    </xf>
    <xf numFmtId="0" fontId="9" fillId="11" borderId="50" xfId="0" applyFont="1" applyFill="1" applyBorder="1" applyAlignment="1" applyProtection="1">
      <alignment horizontal="center" vertical="center" wrapText="1"/>
      <protection hidden="1"/>
    </xf>
    <xf numFmtId="0" fontId="9" fillId="2" borderId="53" xfId="0" applyFont="1" applyFill="1" applyBorder="1" applyAlignment="1" applyProtection="1">
      <alignment horizontal="center" vertical="center" wrapText="1"/>
      <protection hidden="1"/>
    </xf>
    <xf numFmtId="0" fontId="9" fillId="2" borderId="52" xfId="0" applyFont="1" applyFill="1" applyBorder="1" applyAlignment="1" applyProtection="1">
      <alignment horizontal="center" vertical="center" wrapText="1"/>
      <protection hidden="1"/>
    </xf>
    <xf numFmtId="0" fontId="9" fillId="2" borderId="54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2" borderId="64" xfId="0" applyFont="1" applyFill="1" applyBorder="1" applyAlignment="1" applyProtection="1">
      <alignment horizontal="left" vertical="center" wrapText="1"/>
      <protection hidden="1"/>
    </xf>
    <xf numFmtId="0" fontId="4" fillId="2" borderId="68" xfId="0" applyFont="1" applyFill="1" applyBorder="1" applyAlignment="1" applyProtection="1">
      <alignment horizontal="left" vertical="center" wrapText="1"/>
      <protection hidden="1"/>
    </xf>
    <xf numFmtId="0" fontId="9" fillId="2" borderId="3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48" xfId="0" applyFont="1" applyFill="1" applyBorder="1" applyAlignment="1" applyProtection="1">
      <alignment horizontal="center" vertical="center" wrapText="1"/>
      <protection hidden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945200"/>
      <color rgb="FFA547EC"/>
      <color rgb="FFEC6FE8"/>
      <color rgb="FFFF7E79"/>
      <color rgb="FFFFFD78"/>
      <color rgb="FF9BDD54"/>
      <color rgb="FF73FB79"/>
      <color rgb="FFFFD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Área requerida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Área requerida (ETA)</c:v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(B2)'!$C$14:$AF$14</c:f>
              <c:numCache>
                <c:formatCode>_("R$"* #,##0.00_);_("R$"* \(#,##0.00\);_("R$"* "-"??_);_(@_)</c:formatCode>
                <c:ptCount val="30"/>
                <c:pt idx="0">
                  <c:v>37737.699999999997</c:v>
                </c:pt>
                <c:pt idx="1">
                  <c:v>45285.24</c:v>
                </c:pt>
                <c:pt idx="2">
                  <c:v>45507.204599999997</c:v>
                </c:pt>
                <c:pt idx="3">
                  <c:v>37737.699999999997</c:v>
                </c:pt>
                <c:pt idx="4">
                  <c:v>45285.24</c:v>
                </c:pt>
                <c:pt idx="5">
                  <c:v>45508.32</c:v>
                </c:pt>
                <c:pt idx="6">
                  <c:v>37737.699999999997</c:v>
                </c:pt>
                <c:pt idx="7">
                  <c:v>45508.32</c:v>
                </c:pt>
                <c:pt idx="8">
                  <c:v>37737.699999999997</c:v>
                </c:pt>
                <c:pt idx="9">
                  <c:v>46475</c:v>
                </c:pt>
                <c:pt idx="10">
                  <c:v>39039</c:v>
                </c:pt>
                <c:pt idx="11">
                  <c:v>39894.14</c:v>
                </c:pt>
                <c:pt idx="12">
                  <c:v>43649.32</c:v>
                </c:pt>
                <c:pt idx="13">
                  <c:v>39039</c:v>
                </c:pt>
                <c:pt idx="14">
                  <c:v>40972.36</c:v>
                </c:pt>
                <c:pt idx="15">
                  <c:v>43649.32</c:v>
                </c:pt>
                <c:pt idx="16">
                  <c:v>39039</c:v>
                </c:pt>
                <c:pt idx="17">
                  <c:v>43650.435400000002</c:v>
                </c:pt>
                <c:pt idx="18">
                  <c:v>39039</c:v>
                </c:pt>
                <c:pt idx="19">
                  <c:v>43650.435400000002</c:v>
                </c:pt>
                <c:pt idx="20">
                  <c:v>37737.699999999997</c:v>
                </c:pt>
                <c:pt idx="21">
                  <c:v>38518.480000000003</c:v>
                </c:pt>
                <c:pt idx="22">
                  <c:v>40600.559999999998</c:v>
                </c:pt>
                <c:pt idx="23">
                  <c:v>36659.480000000003</c:v>
                </c:pt>
                <c:pt idx="24">
                  <c:v>39559.519999999997</c:v>
                </c:pt>
                <c:pt idx="25">
                  <c:v>40600.559999999998</c:v>
                </c:pt>
                <c:pt idx="26">
                  <c:v>37737.699999999997</c:v>
                </c:pt>
                <c:pt idx="27">
                  <c:v>40600.559999999998</c:v>
                </c:pt>
                <c:pt idx="28">
                  <c:v>40600.559999999998</c:v>
                </c:pt>
                <c:pt idx="29">
                  <c:v>41492.879999999997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C-9148-9227-2157FCDF4A3B}"/>
            </c:ext>
          </c:extLst>
        </c:ser>
        <c:ser>
          <c:idx val="2"/>
          <c:order val="1"/>
          <c:tx>
            <c:v>Área requerida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(B2)'!$C$15:$AF$15</c:f>
              <c:numCache>
                <c:formatCode>_("R$"* #,##0.00_);_("R$"* \(#,##0.00\);_("R$"* "-"??_);_(@_)</c:formatCode>
                <c:ptCount val="30"/>
                <c:pt idx="0">
                  <c:v>28628.6</c:v>
                </c:pt>
                <c:pt idx="1">
                  <c:v>43723.68</c:v>
                </c:pt>
                <c:pt idx="2">
                  <c:v>5353.92</c:v>
                </c:pt>
                <c:pt idx="3">
                  <c:v>28628.6</c:v>
                </c:pt>
                <c:pt idx="4">
                  <c:v>43723.68</c:v>
                </c:pt>
                <c:pt idx="5">
                  <c:v>5353.92</c:v>
                </c:pt>
                <c:pt idx="6">
                  <c:v>28628.6</c:v>
                </c:pt>
                <c:pt idx="7">
                  <c:v>5353.92</c:v>
                </c:pt>
                <c:pt idx="8">
                  <c:v>28628.6</c:v>
                </c:pt>
                <c:pt idx="9">
                  <c:v>5800.08</c:v>
                </c:pt>
                <c:pt idx="10">
                  <c:v>23423.4</c:v>
                </c:pt>
                <c:pt idx="11">
                  <c:v>31640.18</c:v>
                </c:pt>
                <c:pt idx="12">
                  <c:v>5800.08</c:v>
                </c:pt>
                <c:pt idx="13">
                  <c:v>23423.4</c:v>
                </c:pt>
                <c:pt idx="14">
                  <c:v>32495.32</c:v>
                </c:pt>
                <c:pt idx="15">
                  <c:v>5800.08</c:v>
                </c:pt>
                <c:pt idx="16">
                  <c:v>23423.4</c:v>
                </c:pt>
                <c:pt idx="17">
                  <c:v>5800.08</c:v>
                </c:pt>
                <c:pt idx="18">
                  <c:v>23423.4</c:v>
                </c:pt>
                <c:pt idx="19">
                  <c:v>5800.08</c:v>
                </c:pt>
                <c:pt idx="20">
                  <c:v>23423.4</c:v>
                </c:pt>
                <c:pt idx="21">
                  <c:v>31640.18</c:v>
                </c:pt>
                <c:pt idx="22">
                  <c:v>4907.76</c:v>
                </c:pt>
                <c:pt idx="23">
                  <c:v>22754.16</c:v>
                </c:pt>
                <c:pt idx="24">
                  <c:v>32495.32</c:v>
                </c:pt>
                <c:pt idx="25">
                  <c:v>4907.76</c:v>
                </c:pt>
                <c:pt idx="26">
                  <c:v>23423.4</c:v>
                </c:pt>
                <c:pt idx="27">
                  <c:v>4907.76</c:v>
                </c:pt>
                <c:pt idx="28">
                  <c:v>4907.76</c:v>
                </c:pt>
                <c:pt idx="29">
                  <c:v>5353.92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EC-9148-9227-2157FCDF4A3B}"/>
            </c:ext>
          </c:extLst>
        </c:ser>
        <c:ser>
          <c:idx val="0"/>
          <c:order val="2"/>
          <c:tx>
            <c:v>Área requerida (total)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(B2)'!$C$13:$AF$13</c:f>
              <c:numCache>
                <c:formatCode>_("R$"* #,##0.00_);_("R$"* \(#,##0.00\);_("R$"* "-"??_);_(@_)</c:formatCode>
                <c:ptCount val="30"/>
                <c:pt idx="0">
                  <c:v>66366.299999999988</c:v>
                </c:pt>
                <c:pt idx="1">
                  <c:v>89008.92</c:v>
                </c:pt>
                <c:pt idx="2">
                  <c:v>50861.124599999996</c:v>
                </c:pt>
                <c:pt idx="3">
                  <c:v>66366.299999999988</c:v>
                </c:pt>
                <c:pt idx="4">
                  <c:v>89008.92</c:v>
                </c:pt>
                <c:pt idx="5">
                  <c:v>50862.239999999998</c:v>
                </c:pt>
                <c:pt idx="6">
                  <c:v>66366.299999999988</c:v>
                </c:pt>
                <c:pt idx="7">
                  <c:v>50862.239999999998</c:v>
                </c:pt>
                <c:pt idx="8">
                  <c:v>66366.299999999988</c:v>
                </c:pt>
                <c:pt idx="9">
                  <c:v>52275.08</c:v>
                </c:pt>
                <c:pt idx="10">
                  <c:v>62462.400000000001</c:v>
                </c:pt>
                <c:pt idx="11">
                  <c:v>71534.320000000007</c:v>
                </c:pt>
                <c:pt idx="12">
                  <c:v>49449.4</c:v>
                </c:pt>
                <c:pt idx="13">
                  <c:v>62462.400000000001</c:v>
                </c:pt>
                <c:pt idx="14">
                  <c:v>73467.679999999993</c:v>
                </c:pt>
                <c:pt idx="15">
                  <c:v>49449.4</c:v>
                </c:pt>
                <c:pt idx="16">
                  <c:v>62462.400000000001</c:v>
                </c:pt>
                <c:pt idx="17">
                  <c:v>49450.515400000004</c:v>
                </c:pt>
                <c:pt idx="18">
                  <c:v>62462.400000000001</c:v>
                </c:pt>
                <c:pt idx="19">
                  <c:v>49450.515400000004</c:v>
                </c:pt>
                <c:pt idx="20">
                  <c:v>61161.1</c:v>
                </c:pt>
                <c:pt idx="21">
                  <c:v>70158.66</c:v>
                </c:pt>
                <c:pt idx="22">
                  <c:v>45508.32</c:v>
                </c:pt>
                <c:pt idx="23">
                  <c:v>59413.64</c:v>
                </c:pt>
                <c:pt idx="24">
                  <c:v>72054.84</c:v>
                </c:pt>
                <c:pt idx="25">
                  <c:v>45508.32</c:v>
                </c:pt>
                <c:pt idx="26">
                  <c:v>61161.1</c:v>
                </c:pt>
                <c:pt idx="27">
                  <c:v>45508.32</c:v>
                </c:pt>
                <c:pt idx="28">
                  <c:v>45508.32</c:v>
                </c:pt>
                <c:pt idx="29">
                  <c:v>46846.799999999996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EC-9148-9227-2157FCDF4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2384"/>
        <c:axId val="803642176"/>
      </c:barChart>
      <c:catAx>
        <c:axId val="80363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2176"/>
        <c:crosses val="autoZero"/>
        <c:auto val="1"/>
        <c:lblAlgn val="ctr"/>
        <c:lblOffset val="100"/>
        <c:noMultiLvlLbl val="0"/>
      </c:catAx>
      <c:valAx>
        <c:axId val="8036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771269937411668"/>
          <c:y val="2.8188044541769554E-4"/>
          <c:w val="0.10135383190223395"/>
          <c:h val="0.1138464493064070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Passarela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Passarela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(B2)'!$C$30:$AF$30</c:f>
              <c:numCache>
                <c:formatCode>_("R$"* #,##0.00_);_("R$"* \(#,##0.00\);_("R$"* "-"??_);_(@_)</c:formatCode>
                <c:ptCount val="30"/>
                <c:pt idx="0">
                  <c:v>12000.38229</c:v>
                </c:pt>
                <c:pt idx="1">
                  <c:v>12000.38229</c:v>
                </c:pt>
                <c:pt idx="2">
                  <c:v>12000.38229</c:v>
                </c:pt>
                <c:pt idx="3">
                  <c:v>12827.84159</c:v>
                </c:pt>
                <c:pt idx="4">
                  <c:v>12827.84159</c:v>
                </c:pt>
                <c:pt idx="5">
                  <c:v>12827.84159</c:v>
                </c:pt>
                <c:pt idx="6">
                  <c:v>12000.38229</c:v>
                </c:pt>
                <c:pt idx="7">
                  <c:v>12000.38229</c:v>
                </c:pt>
                <c:pt idx="8">
                  <c:v>12827.84159</c:v>
                </c:pt>
                <c:pt idx="9">
                  <c:v>12827.84159</c:v>
                </c:pt>
                <c:pt idx="10">
                  <c:v>8726.7484999999997</c:v>
                </c:pt>
                <c:pt idx="11">
                  <c:v>8726.7484999999997</c:v>
                </c:pt>
                <c:pt idx="12">
                  <c:v>8726.7484999999997</c:v>
                </c:pt>
                <c:pt idx="13">
                  <c:v>9141.1317299999992</c:v>
                </c:pt>
                <c:pt idx="14">
                  <c:v>9141.1317299999992</c:v>
                </c:pt>
                <c:pt idx="15">
                  <c:v>9141.1317299999992</c:v>
                </c:pt>
                <c:pt idx="16">
                  <c:v>8726.7484999999997</c:v>
                </c:pt>
                <c:pt idx="17">
                  <c:v>8726.7484999999997</c:v>
                </c:pt>
                <c:pt idx="18">
                  <c:v>9141.1317299999992</c:v>
                </c:pt>
                <c:pt idx="19">
                  <c:v>9141.1317299999992</c:v>
                </c:pt>
                <c:pt idx="20">
                  <c:v>8271.1319999999996</c:v>
                </c:pt>
                <c:pt idx="21">
                  <c:v>8271.1319999999996</c:v>
                </c:pt>
                <c:pt idx="22">
                  <c:v>8271.1319999999996</c:v>
                </c:pt>
                <c:pt idx="23">
                  <c:v>8893.9840000000004</c:v>
                </c:pt>
                <c:pt idx="24">
                  <c:v>8893.9840000000004</c:v>
                </c:pt>
                <c:pt idx="25">
                  <c:v>8893.9840000000004</c:v>
                </c:pt>
                <c:pt idx="26">
                  <c:v>8271.1319999999996</c:v>
                </c:pt>
                <c:pt idx="27">
                  <c:v>8271.1319999999996</c:v>
                </c:pt>
                <c:pt idx="28">
                  <c:v>8893.9840000000004</c:v>
                </c:pt>
                <c:pt idx="29">
                  <c:v>8893.9840000000004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C-6D44-94E5-6A8429968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9456"/>
        <c:axId val="803645440"/>
      </c:barChart>
      <c:catAx>
        <c:axId val="80363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5440"/>
        <c:crosses val="autoZero"/>
        <c:auto val="1"/>
        <c:lblAlgn val="ctr"/>
        <c:lblOffset val="100"/>
        <c:noMultiLvlLbl val="0"/>
      </c:catAx>
      <c:valAx>
        <c:axId val="8036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224261390403127"/>
          <c:y val="1.0515771327400624E-3"/>
          <c:w val="8.6823945083787588E-2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Tanque</a:t>
            </a:r>
            <a:r>
              <a:rPr lang="en-US" b="1" baseline="0">
                <a:solidFill>
                  <a:sysClr val="windowText" lastClr="000000"/>
                </a:solidFill>
              </a:rPr>
              <a:t> de água filtrada e câmara de contato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Tanque de água filtrada e câmara de contato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(B2)'!$C$31:$AF$31</c:f>
              <c:numCache>
                <c:formatCode>_("R$"* #,##0.00_);_("R$"* \(#,##0.00\);_("R$"* "-"??_);_(@_)</c:formatCode>
                <c:ptCount val="30"/>
                <c:pt idx="0">
                  <c:v>102601.768148</c:v>
                </c:pt>
                <c:pt idx="1">
                  <c:v>102601.768148</c:v>
                </c:pt>
                <c:pt idx="2">
                  <c:v>102601.768148</c:v>
                </c:pt>
                <c:pt idx="3">
                  <c:v>24804.119450000006</c:v>
                </c:pt>
                <c:pt idx="4">
                  <c:v>24804.119450000006</c:v>
                </c:pt>
                <c:pt idx="5">
                  <c:v>24804.119450000006</c:v>
                </c:pt>
                <c:pt idx="6">
                  <c:v>102601.768148</c:v>
                </c:pt>
                <c:pt idx="7">
                  <c:v>102601.768148</c:v>
                </c:pt>
                <c:pt idx="8">
                  <c:v>24804.119450000006</c:v>
                </c:pt>
                <c:pt idx="9">
                  <c:v>24804.119450000006</c:v>
                </c:pt>
                <c:pt idx="10">
                  <c:v>107408.282328</c:v>
                </c:pt>
                <c:pt idx="11">
                  <c:v>107408.282328</c:v>
                </c:pt>
                <c:pt idx="12">
                  <c:v>107408.282328</c:v>
                </c:pt>
                <c:pt idx="13">
                  <c:v>25720.630520000002</c:v>
                </c:pt>
                <c:pt idx="14">
                  <c:v>25720.630520000002</c:v>
                </c:pt>
                <c:pt idx="15">
                  <c:v>25720.630520000002</c:v>
                </c:pt>
                <c:pt idx="16">
                  <c:v>107408.282328</c:v>
                </c:pt>
                <c:pt idx="17">
                  <c:v>107408.282328</c:v>
                </c:pt>
                <c:pt idx="18">
                  <c:v>25720.630520000002</c:v>
                </c:pt>
                <c:pt idx="19">
                  <c:v>25720.630520000002</c:v>
                </c:pt>
                <c:pt idx="20">
                  <c:v>98784.112138000011</c:v>
                </c:pt>
                <c:pt idx="21">
                  <c:v>98784.112138000011</c:v>
                </c:pt>
                <c:pt idx="22">
                  <c:v>98784.112138000011</c:v>
                </c:pt>
                <c:pt idx="23">
                  <c:v>23783.753360000002</c:v>
                </c:pt>
                <c:pt idx="24">
                  <c:v>23783.753360000002</c:v>
                </c:pt>
                <c:pt idx="25">
                  <c:v>23783.753360000002</c:v>
                </c:pt>
                <c:pt idx="26">
                  <c:v>98784.112138000011</c:v>
                </c:pt>
                <c:pt idx="27">
                  <c:v>98784.112138000011</c:v>
                </c:pt>
                <c:pt idx="28">
                  <c:v>23783.753360000002</c:v>
                </c:pt>
                <c:pt idx="29">
                  <c:v>23783.753360000002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62-FE4D-9322-C08FD8FA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92272"/>
        <c:axId val="627683024"/>
      </c:barChart>
      <c:catAx>
        <c:axId val="62769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27683024"/>
        <c:crosses val="autoZero"/>
        <c:auto val="1"/>
        <c:lblAlgn val="ctr"/>
        <c:lblOffset val="100"/>
        <c:noMultiLvlLbl val="0"/>
      </c:catAx>
      <c:valAx>
        <c:axId val="62768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2769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18278484420212"/>
          <c:y val="1.0515771327400624E-3"/>
          <c:w val="0.21588377414361667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Tanque</a:t>
            </a:r>
            <a:r>
              <a:rPr lang="en-US" b="1" baseline="0">
                <a:solidFill>
                  <a:sysClr val="windowText" lastClr="000000"/>
                </a:solidFill>
              </a:rPr>
              <a:t>s de clarificação e adensamento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Tanques de clarificação e adensamento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(B2)'!$C$32:$AF$32</c:f>
              <c:numCache>
                <c:formatCode>_("R$"* #,##0.00_);_("R$"* \(#,##0.00\);_("R$"* "-"??_);_(@_)</c:formatCode>
                <c:ptCount val="30"/>
                <c:pt idx="0">
                  <c:v>45788.878500000006</c:v>
                </c:pt>
                <c:pt idx="1">
                  <c:v>0</c:v>
                </c:pt>
                <c:pt idx="2">
                  <c:v>0</c:v>
                </c:pt>
                <c:pt idx="3">
                  <c:v>45788.878500000006</c:v>
                </c:pt>
                <c:pt idx="4">
                  <c:v>0</c:v>
                </c:pt>
                <c:pt idx="5">
                  <c:v>0</c:v>
                </c:pt>
                <c:pt idx="6">
                  <c:v>45788.878500000006</c:v>
                </c:pt>
                <c:pt idx="7">
                  <c:v>0</c:v>
                </c:pt>
                <c:pt idx="8">
                  <c:v>45788.878500000006</c:v>
                </c:pt>
                <c:pt idx="9">
                  <c:v>0</c:v>
                </c:pt>
                <c:pt idx="10">
                  <c:v>43635.072498000009</c:v>
                </c:pt>
                <c:pt idx="11">
                  <c:v>0</c:v>
                </c:pt>
                <c:pt idx="12">
                  <c:v>0</c:v>
                </c:pt>
                <c:pt idx="13">
                  <c:v>43635.072498000009</c:v>
                </c:pt>
                <c:pt idx="14">
                  <c:v>0</c:v>
                </c:pt>
                <c:pt idx="15">
                  <c:v>0</c:v>
                </c:pt>
                <c:pt idx="16">
                  <c:v>43635.072498000009</c:v>
                </c:pt>
                <c:pt idx="17">
                  <c:v>0</c:v>
                </c:pt>
                <c:pt idx="18">
                  <c:v>43635.072498000009</c:v>
                </c:pt>
                <c:pt idx="19">
                  <c:v>0</c:v>
                </c:pt>
                <c:pt idx="20">
                  <c:v>40401.897328000006</c:v>
                </c:pt>
                <c:pt idx="21">
                  <c:v>0</c:v>
                </c:pt>
                <c:pt idx="22">
                  <c:v>0</c:v>
                </c:pt>
                <c:pt idx="23">
                  <c:v>40401.897328000006</c:v>
                </c:pt>
                <c:pt idx="24">
                  <c:v>0</c:v>
                </c:pt>
                <c:pt idx="25">
                  <c:v>0</c:v>
                </c:pt>
                <c:pt idx="26">
                  <c:v>40401.897328000006</c:v>
                </c:pt>
                <c:pt idx="27">
                  <c:v>0</c:v>
                </c:pt>
                <c:pt idx="28">
                  <c:v>40401.897328000006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5-DC4D-BEF1-0C976978F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79216"/>
        <c:axId val="844383856"/>
      </c:barChart>
      <c:catAx>
        <c:axId val="62767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3856"/>
        <c:crosses val="autoZero"/>
        <c:auto val="1"/>
        <c:lblAlgn val="ctr"/>
        <c:lblOffset val="100"/>
        <c:noMultiLvlLbl val="0"/>
      </c:catAx>
      <c:valAx>
        <c:axId val="8443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2767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40500706642437"/>
          <c:y val="1.0515771327400624E-3"/>
          <c:w val="0.19366155192139445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Casa de bombas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Casa de bombas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(B2)'!$C$33:$AF$33</c:f>
              <c:numCache>
                <c:formatCode>_("R$"* #,##0.00_);_("R$"* \(#,##0.00\);_("R$"* "-"??_);_(@_)</c:formatCode>
                <c:ptCount val="30"/>
                <c:pt idx="0">
                  <c:v>51215.079360000003</c:v>
                </c:pt>
                <c:pt idx="1">
                  <c:v>0</c:v>
                </c:pt>
                <c:pt idx="2">
                  <c:v>0</c:v>
                </c:pt>
                <c:pt idx="3">
                  <c:v>51215.079360000003</c:v>
                </c:pt>
                <c:pt idx="4">
                  <c:v>0</c:v>
                </c:pt>
                <c:pt idx="5">
                  <c:v>0</c:v>
                </c:pt>
                <c:pt idx="6">
                  <c:v>51215.079360000003</c:v>
                </c:pt>
                <c:pt idx="7">
                  <c:v>0</c:v>
                </c:pt>
                <c:pt idx="8">
                  <c:v>51215.079360000003</c:v>
                </c:pt>
                <c:pt idx="9">
                  <c:v>0</c:v>
                </c:pt>
                <c:pt idx="10">
                  <c:v>49959.572329999995</c:v>
                </c:pt>
                <c:pt idx="11">
                  <c:v>0</c:v>
                </c:pt>
                <c:pt idx="12">
                  <c:v>0</c:v>
                </c:pt>
                <c:pt idx="13">
                  <c:v>49959.572329999995</c:v>
                </c:pt>
                <c:pt idx="14">
                  <c:v>0</c:v>
                </c:pt>
                <c:pt idx="15">
                  <c:v>0</c:v>
                </c:pt>
                <c:pt idx="16">
                  <c:v>49959.572329999995</c:v>
                </c:pt>
                <c:pt idx="17">
                  <c:v>0</c:v>
                </c:pt>
                <c:pt idx="18">
                  <c:v>49959.572329999995</c:v>
                </c:pt>
                <c:pt idx="19">
                  <c:v>0</c:v>
                </c:pt>
                <c:pt idx="20">
                  <c:v>48282.74431799999</c:v>
                </c:pt>
                <c:pt idx="21">
                  <c:v>0</c:v>
                </c:pt>
                <c:pt idx="22">
                  <c:v>0</c:v>
                </c:pt>
                <c:pt idx="23">
                  <c:v>48282.74431799999</c:v>
                </c:pt>
                <c:pt idx="24">
                  <c:v>0</c:v>
                </c:pt>
                <c:pt idx="25">
                  <c:v>0</c:v>
                </c:pt>
                <c:pt idx="26">
                  <c:v>48282.74431799999</c:v>
                </c:pt>
                <c:pt idx="27">
                  <c:v>0</c:v>
                </c:pt>
                <c:pt idx="28">
                  <c:v>48282.74431799999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02-B746-8445-6286CD5C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75696"/>
        <c:axId val="844378416"/>
      </c:barChart>
      <c:catAx>
        <c:axId val="84437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8416"/>
        <c:crosses val="autoZero"/>
        <c:auto val="1"/>
        <c:lblAlgn val="ctr"/>
        <c:lblOffset val="100"/>
        <c:noMultiLvlLbl val="0"/>
      </c:catAx>
      <c:valAx>
        <c:axId val="84437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79816945958677"/>
          <c:y val="1.0515771327400624E-3"/>
          <c:w val="0.13126838952823205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Leitos</a:t>
            </a:r>
            <a:r>
              <a:rPr lang="en-US" b="1" baseline="0">
                <a:solidFill>
                  <a:sysClr val="windowText" lastClr="000000"/>
                </a:solidFill>
              </a:rPr>
              <a:t> de drenagem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Leitos de drenagem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(B2)'!$C$34:$AF$34</c:f>
              <c:numCache>
                <c:formatCode>_("R$"* #,##0.00_);_("R$"* \(#,##0.00\);_("R$"* "-"??_);_(@_)</c:formatCode>
                <c:ptCount val="30"/>
                <c:pt idx="0">
                  <c:v>18456.830969999999</c:v>
                </c:pt>
                <c:pt idx="1">
                  <c:v>0</c:v>
                </c:pt>
                <c:pt idx="2">
                  <c:v>0</c:v>
                </c:pt>
                <c:pt idx="3">
                  <c:v>18456.830969999999</c:v>
                </c:pt>
                <c:pt idx="4">
                  <c:v>0</c:v>
                </c:pt>
                <c:pt idx="5">
                  <c:v>0</c:v>
                </c:pt>
                <c:pt idx="6">
                  <c:v>21267.694719999996</c:v>
                </c:pt>
                <c:pt idx="7">
                  <c:v>0</c:v>
                </c:pt>
                <c:pt idx="8">
                  <c:v>21267.694719999996</c:v>
                </c:pt>
                <c:pt idx="9">
                  <c:v>0</c:v>
                </c:pt>
                <c:pt idx="10">
                  <c:v>11586.841969999998</c:v>
                </c:pt>
                <c:pt idx="11">
                  <c:v>0</c:v>
                </c:pt>
                <c:pt idx="12">
                  <c:v>0</c:v>
                </c:pt>
                <c:pt idx="13">
                  <c:v>11586.841969999998</c:v>
                </c:pt>
                <c:pt idx="14">
                  <c:v>0</c:v>
                </c:pt>
                <c:pt idx="15">
                  <c:v>0</c:v>
                </c:pt>
                <c:pt idx="16">
                  <c:v>13053.852359999999</c:v>
                </c:pt>
                <c:pt idx="17">
                  <c:v>0</c:v>
                </c:pt>
                <c:pt idx="18">
                  <c:v>13053.852359999999</c:v>
                </c:pt>
                <c:pt idx="19">
                  <c:v>0</c:v>
                </c:pt>
                <c:pt idx="20">
                  <c:v>11590.437077999999</c:v>
                </c:pt>
                <c:pt idx="21">
                  <c:v>0</c:v>
                </c:pt>
                <c:pt idx="22">
                  <c:v>0</c:v>
                </c:pt>
                <c:pt idx="23">
                  <c:v>11590.437077999999</c:v>
                </c:pt>
                <c:pt idx="24">
                  <c:v>0</c:v>
                </c:pt>
                <c:pt idx="25">
                  <c:v>0</c:v>
                </c:pt>
                <c:pt idx="26">
                  <c:v>13060.424875999999</c:v>
                </c:pt>
                <c:pt idx="27">
                  <c:v>0</c:v>
                </c:pt>
                <c:pt idx="28">
                  <c:v>13060.424875999999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E-6646-83DD-2793F4776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9296"/>
        <c:axId val="844380592"/>
      </c:barChart>
      <c:catAx>
        <c:axId val="8443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0592"/>
        <c:crosses val="autoZero"/>
        <c:auto val="1"/>
        <c:lblAlgn val="ctr"/>
        <c:lblOffset val="100"/>
        <c:noMultiLvlLbl val="0"/>
      </c:catAx>
      <c:valAx>
        <c:axId val="84438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79816945958677"/>
          <c:y val="1.0515771327400624E-3"/>
          <c:w val="0.13126838952823205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Lagoas</a:t>
            </a:r>
            <a:r>
              <a:rPr lang="en-US" b="1" baseline="0">
                <a:solidFill>
                  <a:sysClr val="windowText" lastClr="000000"/>
                </a:solidFill>
              </a:rPr>
              <a:t> de lodo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Lagoas de lodo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(B2)'!$C$35:$AF$35</c:f>
              <c:numCache>
                <c:formatCode>_("R$"* #,##0.00_);_("R$"* \(#,##0.00\);_("R$"* "-"??_);_(@_)</c:formatCode>
                <c:ptCount val="30"/>
                <c:pt idx="0">
                  <c:v>0</c:v>
                </c:pt>
                <c:pt idx="1">
                  <c:v>37296.411809999998</c:v>
                </c:pt>
                <c:pt idx="2">
                  <c:v>0</c:v>
                </c:pt>
                <c:pt idx="3">
                  <c:v>0</c:v>
                </c:pt>
                <c:pt idx="4">
                  <c:v>37296.411809999998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28323.474724</c:v>
                </c:pt>
                <c:pt idx="12">
                  <c:v>0</c:v>
                </c:pt>
                <c:pt idx="13">
                  <c:v>0</c:v>
                </c:pt>
                <c:pt idx="14">
                  <c:v>28323.474724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28325.122040000002</c:v>
                </c:pt>
                <c:pt idx="22">
                  <c:v>0</c:v>
                </c:pt>
                <c:pt idx="23">
                  <c:v>0</c:v>
                </c:pt>
                <c:pt idx="24">
                  <c:v>28325.122040000002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46-DD49-847F-C4B8FE5C8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75152"/>
        <c:axId val="844384400"/>
      </c:barChart>
      <c:catAx>
        <c:axId val="84437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4400"/>
        <c:crosses val="autoZero"/>
        <c:auto val="1"/>
        <c:lblAlgn val="ctr"/>
        <c:lblOffset val="100"/>
        <c:noMultiLvlLbl val="0"/>
      </c:catAx>
      <c:valAx>
        <c:axId val="8443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79816945958677"/>
          <c:y val="1.0515771327400624E-3"/>
          <c:w val="0.13126838952823205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Tanque</a:t>
            </a:r>
            <a:r>
              <a:rPr lang="en-US" b="1" baseline="0">
                <a:solidFill>
                  <a:sysClr val="windowText" lastClr="000000"/>
                </a:solidFill>
              </a:rPr>
              <a:t> de regularização de vazão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Tanque de regularização de vazão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(B2)'!$C$36:$AF$36</c:f>
              <c:numCache>
                <c:formatCode>_("R$"* #,##0.00_);_("R$"* \(#,##0.00\);_("R$"*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34204.159116999996</c:v>
                </c:pt>
                <c:pt idx="3">
                  <c:v>0</c:v>
                </c:pt>
                <c:pt idx="4">
                  <c:v>0</c:v>
                </c:pt>
                <c:pt idx="5">
                  <c:v>34204.159116999996</c:v>
                </c:pt>
                <c:pt idx="6">
                  <c:v>0</c:v>
                </c:pt>
                <c:pt idx="7">
                  <c:v>20349.615290000002</c:v>
                </c:pt>
                <c:pt idx="8">
                  <c:v>0</c:v>
                </c:pt>
                <c:pt idx="9">
                  <c:v>20349.615290000002</c:v>
                </c:pt>
                <c:pt idx="10">
                  <c:v>0</c:v>
                </c:pt>
                <c:pt idx="11">
                  <c:v>0</c:v>
                </c:pt>
                <c:pt idx="12">
                  <c:v>32826.818632000002</c:v>
                </c:pt>
                <c:pt idx="13">
                  <c:v>0</c:v>
                </c:pt>
                <c:pt idx="14">
                  <c:v>0</c:v>
                </c:pt>
                <c:pt idx="15">
                  <c:v>32826.818632000002</c:v>
                </c:pt>
                <c:pt idx="16">
                  <c:v>0</c:v>
                </c:pt>
                <c:pt idx="17">
                  <c:v>19643.735070000002</c:v>
                </c:pt>
                <c:pt idx="18">
                  <c:v>0</c:v>
                </c:pt>
                <c:pt idx="19">
                  <c:v>19643.735070000002</c:v>
                </c:pt>
                <c:pt idx="20">
                  <c:v>0</c:v>
                </c:pt>
                <c:pt idx="21">
                  <c:v>0</c:v>
                </c:pt>
                <c:pt idx="22">
                  <c:v>29401.718268000001</c:v>
                </c:pt>
                <c:pt idx="23">
                  <c:v>0</c:v>
                </c:pt>
                <c:pt idx="24">
                  <c:v>0</c:v>
                </c:pt>
                <c:pt idx="25">
                  <c:v>29401.718268000001</c:v>
                </c:pt>
                <c:pt idx="26">
                  <c:v>0</c:v>
                </c:pt>
                <c:pt idx="27">
                  <c:v>17854.816456</c:v>
                </c:pt>
                <c:pt idx="28">
                  <c:v>0</c:v>
                </c:pt>
                <c:pt idx="29">
                  <c:v>17854.816456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AF-5448-8E9F-5D07F75B6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8752"/>
        <c:axId val="844374064"/>
      </c:barChart>
      <c:catAx>
        <c:axId val="8443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4064"/>
        <c:crosses val="autoZero"/>
        <c:auto val="1"/>
        <c:lblAlgn val="ctr"/>
        <c:lblOffset val="100"/>
        <c:noMultiLvlLbl val="0"/>
      </c:catAx>
      <c:valAx>
        <c:axId val="8443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19133185274918"/>
          <c:y val="1.0515771327400624E-3"/>
          <c:w val="0.16887522713506967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Tubulações, conexões e válvulas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Tubulações, conexões e válvulas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(B2)'!$C$38:$AF$38</c:f>
              <c:numCache>
                <c:formatCode>_("R$"* #,##0.00_);_("R$"* \(#,##0.00\);_("R$"* "-"??_);_(@_)</c:formatCode>
                <c:ptCount val="30"/>
                <c:pt idx="0">
                  <c:v>69027.240000000005</c:v>
                </c:pt>
                <c:pt idx="1">
                  <c:v>70756.44</c:v>
                </c:pt>
                <c:pt idx="2">
                  <c:v>69027.240000000005</c:v>
                </c:pt>
                <c:pt idx="3">
                  <c:v>69027.240000000005</c:v>
                </c:pt>
                <c:pt idx="4">
                  <c:v>70756.44</c:v>
                </c:pt>
                <c:pt idx="5">
                  <c:v>69027.240000000005</c:v>
                </c:pt>
                <c:pt idx="6">
                  <c:v>69027.240000000005</c:v>
                </c:pt>
                <c:pt idx="7">
                  <c:v>69027.240000000005</c:v>
                </c:pt>
                <c:pt idx="8">
                  <c:v>69027.240000000005</c:v>
                </c:pt>
                <c:pt idx="9">
                  <c:v>69027.240000000005</c:v>
                </c:pt>
                <c:pt idx="10">
                  <c:v>89842.570000000022</c:v>
                </c:pt>
                <c:pt idx="11">
                  <c:v>89842.570000000022</c:v>
                </c:pt>
                <c:pt idx="12">
                  <c:v>89842.570000000022</c:v>
                </c:pt>
                <c:pt idx="13">
                  <c:v>89842.570000000022</c:v>
                </c:pt>
                <c:pt idx="14">
                  <c:v>89842.570000000022</c:v>
                </c:pt>
                <c:pt idx="15">
                  <c:v>89842.570000000022</c:v>
                </c:pt>
                <c:pt idx="16">
                  <c:v>89842.570000000022</c:v>
                </c:pt>
                <c:pt idx="17">
                  <c:v>89842.570000000022</c:v>
                </c:pt>
                <c:pt idx="18">
                  <c:v>89842.570000000022</c:v>
                </c:pt>
                <c:pt idx="19">
                  <c:v>89842.570000000022</c:v>
                </c:pt>
                <c:pt idx="20">
                  <c:v>64180.310000000012</c:v>
                </c:pt>
                <c:pt idx="21">
                  <c:v>65909.510000000009</c:v>
                </c:pt>
                <c:pt idx="22">
                  <c:v>64180.310000000012</c:v>
                </c:pt>
                <c:pt idx="23">
                  <c:v>64180.310000000012</c:v>
                </c:pt>
                <c:pt idx="24">
                  <c:v>65909.510000000009</c:v>
                </c:pt>
                <c:pt idx="25">
                  <c:v>64180.310000000012</c:v>
                </c:pt>
                <c:pt idx="26">
                  <c:v>64180.310000000012</c:v>
                </c:pt>
                <c:pt idx="27">
                  <c:v>64180.310000000012</c:v>
                </c:pt>
                <c:pt idx="28">
                  <c:v>64180.310000000012</c:v>
                </c:pt>
                <c:pt idx="29">
                  <c:v>64180.310000000012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26-FC45-B83C-661A2E3D3AAE}"/>
            </c:ext>
          </c:extLst>
        </c:ser>
        <c:ser>
          <c:idx val="0"/>
          <c:order val="1"/>
          <c:tx>
            <c:v>Tubulações, conexões e válvulas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dPt>
            <c:idx val="25"/>
            <c:invertIfNegative val="0"/>
            <c:bubble3D val="0"/>
            <c:spPr>
              <a:pattFill prst="smCheck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03-AA48-85A9-DB57C1B62E9E}"/>
              </c:ext>
            </c:extLst>
          </c:dPt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(B2)'!$C$39:$AF$39</c:f>
              <c:numCache>
                <c:formatCode>_("R$"* #,##0.00_);_("R$"* \(#,##0.00\);_("R$"* "-"??_);_(@_)</c:formatCode>
                <c:ptCount val="30"/>
                <c:pt idx="0">
                  <c:v>62577.1</c:v>
                </c:pt>
                <c:pt idx="1">
                  <c:v>41960.98</c:v>
                </c:pt>
                <c:pt idx="2">
                  <c:v>17775.52</c:v>
                </c:pt>
                <c:pt idx="3">
                  <c:v>62577.1</c:v>
                </c:pt>
                <c:pt idx="4">
                  <c:v>41960.98</c:v>
                </c:pt>
                <c:pt idx="5">
                  <c:v>17775.52</c:v>
                </c:pt>
                <c:pt idx="6">
                  <c:v>62577.1</c:v>
                </c:pt>
                <c:pt idx="7">
                  <c:v>17775.52</c:v>
                </c:pt>
                <c:pt idx="8">
                  <c:v>62577.1</c:v>
                </c:pt>
                <c:pt idx="9">
                  <c:v>17775.52</c:v>
                </c:pt>
                <c:pt idx="10">
                  <c:v>55467.280000000006</c:v>
                </c:pt>
                <c:pt idx="11">
                  <c:v>36025.720000000008</c:v>
                </c:pt>
                <c:pt idx="12">
                  <c:v>19795.5</c:v>
                </c:pt>
                <c:pt idx="13">
                  <c:v>55467.280000000006</c:v>
                </c:pt>
                <c:pt idx="14">
                  <c:v>38711.500000000007</c:v>
                </c:pt>
                <c:pt idx="15">
                  <c:v>19795.5</c:v>
                </c:pt>
                <c:pt idx="16">
                  <c:v>55467.280000000006</c:v>
                </c:pt>
                <c:pt idx="17">
                  <c:v>19795.5</c:v>
                </c:pt>
                <c:pt idx="18">
                  <c:v>55467.280000000006</c:v>
                </c:pt>
                <c:pt idx="19">
                  <c:v>19795.5</c:v>
                </c:pt>
                <c:pt idx="20">
                  <c:v>50324.540000000015</c:v>
                </c:pt>
                <c:pt idx="21">
                  <c:v>29410.250000000004</c:v>
                </c:pt>
                <c:pt idx="22">
                  <c:v>14749.97</c:v>
                </c:pt>
                <c:pt idx="23">
                  <c:v>50324.540000000015</c:v>
                </c:pt>
                <c:pt idx="24">
                  <c:v>29410.250000000004</c:v>
                </c:pt>
                <c:pt idx="25">
                  <c:v>14749.97</c:v>
                </c:pt>
                <c:pt idx="26">
                  <c:v>50324.540000000015</c:v>
                </c:pt>
                <c:pt idx="27">
                  <c:v>14749.97</c:v>
                </c:pt>
                <c:pt idx="28">
                  <c:v>50324.540000000015</c:v>
                </c:pt>
                <c:pt idx="29">
                  <c:v>14749.97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26-FC45-B83C-661A2E3D3AAE}"/>
            </c:ext>
          </c:extLst>
        </c:ser>
        <c:ser>
          <c:idx val="2"/>
          <c:order val="2"/>
          <c:tx>
            <c:v>Tubulações, conexões e válvulas (total)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(B2)'!$C$37:$AF$37</c:f>
              <c:numCache>
                <c:formatCode>_("R$"* #,##0.00_);_("R$"* \(#,##0.00\);_("R$"* "-"??_);_(@_)</c:formatCode>
                <c:ptCount val="30"/>
                <c:pt idx="0">
                  <c:v>131604.34</c:v>
                </c:pt>
                <c:pt idx="1">
                  <c:v>112717.42000000001</c:v>
                </c:pt>
                <c:pt idx="2">
                  <c:v>86802.760000000009</c:v>
                </c:pt>
                <c:pt idx="3">
                  <c:v>131604.34</c:v>
                </c:pt>
                <c:pt idx="4">
                  <c:v>112717.42000000001</c:v>
                </c:pt>
                <c:pt idx="5">
                  <c:v>86802.760000000009</c:v>
                </c:pt>
                <c:pt idx="6">
                  <c:v>131604.34</c:v>
                </c:pt>
                <c:pt idx="7">
                  <c:v>86802.760000000009</c:v>
                </c:pt>
                <c:pt idx="8">
                  <c:v>131604.34</c:v>
                </c:pt>
                <c:pt idx="9">
                  <c:v>86802.760000000009</c:v>
                </c:pt>
                <c:pt idx="10">
                  <c:v>145309.85000000003</c:v>
                </c:pt>
                <c:pt idx="11">
                  <c:v>125868.29000000004</c:v>
                </c:pt>
                <c:pt idx="12">
                  <c:v>109638.07000000002</c:v>
                </c:pt>
                <c:pt idx="13">
                  <c:v>145309.85000000003</c:v>
                </c:pt>
                <c:pt idx="14">
                  <c:v>128554.07000000004</c:v>
                </c:pt>
                <c:pt idx="15">
                  <c:v>109638.07000000002</c:v>
                </c:pt>
                <c:pt idx="16">
                  <c:v>145309.85000000003</c:v>
                </c:pt>
                <c:pt idx="17">
                  <c:v>109638.07000000002</c:v>
                </c:pt>
                <c:pt idx="18">
                  <c:v>145309.85000000003</c:v>
                </c:pt>
                <c:pt idx="19">
                  <c:v>109638.07000000002</c:v>
                </c:pt>
                <c:pt idx="20">
                  <c:v>114504.85000000003</c:v>
                </c:pt>
                <c:pt idx="21">
                  <c:v>95319.760000000009</c:v>
                </c:pt>
                <c:pt idx="22">
                  <c:v>78930.280000000013</c:v>
                </c:pt>
                <c:pt idx="23">
                  <c:v>114504.85000000003</c:v>
                </c:pt>
                <c:pt idx="24">
                  <c:v>95319.760000000009</c:v>
                </c:pt>
                <c:pt idx="25">
                  <c:v>78930.280000000013</c:v>
                </c:pt>
                <c:pt idx="26">
                  <c:v>114504.85000000003</c:v>
                </c:pt>
                <c:pt idx="27">
                  <c:v>78930.280000000013</c:v>
                </c:pt>
                <c:pt idx="28">
                  <c:v>114504.85000000003</c:v>
                </c:pt>
                <c:pt idx="29">
                  <c:v>78930.280000000013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26-FC45-B83C-661A2E3D3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78960"/>
        <c:axId val="844377328"/>
      </c:barChart>
      <c:catAx>
        <c:axId val="84437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7328"/>
        <c:crosses val="autoZero"/>
        <c:auto val="1"/>
        <c:lblAlgn val="ctr"/>
        <c:lblOffset val="100"/>
        <c:noMultiLvlLbl val="0"/>
      </c:catAx>
      <c:valAx>
        <c:axId val="84437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77252843394589"/>
          <c:y val="1.0515771327400624E-3"/>
          <c:w val="0.17229403055387307"/>
          <c:h val="0.1013277112550280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Equipamentos de laboratório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Equipamentos de laboratório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(B2)'!$C$40:$AF$40</c:f>
              <c:numCache>
                <c:formatCode>_("R$"* #,##0.00_);_("R$"* \(#,##0.00\);_("R$"* "-"??_);_(@_)</c:formatCode>
                <c:ptCount val="30"/>
                <c:pt idx="0">
                  <c:v>194904.92999999993</c:v>
                </c:pt>
                <c:pt idx="1">
                  <c:v>194904.92999999993</c:v>
                </c:pt>
                <c:pt idx="2">
                  <c:v>194904.92999999993</c:v>
                </c:pt>
                <c:pt idx="3">
                  <c:v>194904.92999999993</c:v>
                </c:pt>
                <c:pt idx="4">
                  <c:v>194904.92999999993</c:v>
                </c:pt>
                <c:pt idx="5">
                  <c:v>194904.92999999993</c:v>
                </c:pt>
                <c:pt idx="6">
                  <c:v>194904.92999999993</c:v>
                </c:pt>
                <c:pt idx="7">
                  <c:v>194904.92999999993</c:v>
                </c:pt>
                <c:pt idx="8">
                  <c:v>194904.92999999993</c:v>
                </c:pt>
                <c:pt idx="9">
                  <c:v>194904.92999999993</c:v>
                </c:pt>
                <c:pt idx="10">
                  <c:v>194904.92999999993</c:v>
                </c:pt>
                <c:pt idx="11">
                  <c:v>194904.92999999993</c:v>
                </c:pt>
                <c:pt idx="12">
                  <c:v>194904.92999999993</c:v>
                </c:pt>
                <c:pt idx="13">
                  <c:v>194904.92999999993</c:v>
                </c:pt>
                <c:pt idx="14">
                  <c:v>194904.92999999993</c:v>
                </c:pt>
                <c:pt idx="15">
                  <c:v>194904.92999999993</c:v>
                </c:pt>
                <c:pt idx="16">
                  <c:v>194904.92999999993</c:v>
                </c:pt>
                <c:pt idx="17">
                  <c:v>194904.92999999993</c:v>
                </c:pt>
                <c:pt idx="18">
                  <c:v>194904.92999999993</c:v>
                </c:pt>
                <c:pt idx="19">
                  <c:v>194904.92999999993</c:v>
                </c:pt>
                <c:pt idx="20">
                  <c:v>194904.92999999993</c:v>
                </c:pt>
                <c:pt idx="21">
                  <c:v>194904.92999999993</c:v>
                </c:pt>
                <c:pt idx="22">
                  <c:v>194904.92999999993</c:v>
                </c:pt>
                <c:pt idx="23">
                  <c:v>194904.92999999993</c:v>
                </c:pt>
                <c:pt idx="24">
                  <c:v>194904.92999999993</c:v>
                </c:pt>
                <c:pt idx="25">
                  <c:v>194904.92999999993</c:v>
                </c:pt>
                <c:pt idx="26">
                  <c:v>194904.92999999993</c:v>
                </c:pt>
                <c:pt idx="27">
                  <c:v>194904.92999999993</c:v>
                </c:pt>
                <c:pt idx="28">
                  <c:v>194904.92999999993</c:v>
                </c:pt>
                <c:pt idx="29">
                  <c:v>194904.92999999993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B6-E948-884A-641F82458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3312"/>
        <c:axId val="844376240"/>
      </c:barChart>
      <c:catAx>
        <c:axId val="8443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6240"/>
        <c:crosses val="autoZero"/>
        <c:auto val="1"/>
        <c:lblAlgn val="ctr"/>
        <c:lblOffset val="100"/>
        <c:noMultiLvlLbl val="0"/>
      </c:catAx>
      <c:valAx>
        <c:axId val="84437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72124638266366"/>
          <c:y val="1.0515771327400624E-3"/>
          <c:w val="0.15434531260515513"/>
          <c:h val="6.779713926291758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Vidrarias</a:t>
            </a:r>
            <a:r>
              <a:rPr lang="en-US" b="1" baseline="0">
                <a:solidFill>
                  <a:sysClr val="windowText" lastClr="000000"/>
                </a:solidFill>
              </a:rPr>
              <a:t> e acessórios de laboratório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0"/>
          <c:order val="0"/>
          <c:tx>
            <c:v>Vidrarias e acessórios de laboratório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(B2)'!$C$41:$AF$41</c:f>
              <c:numCache>
                <c:formatCode>_("R$"* #,##0.00_);_("R$"* \(#,##0.00\);_("R$"* "-"??_);_(@_)</c:formatCode>
                <c:ptCount val="30"/>
                <c:pt idx="0">
                  <c:v>10067.740000000005</c:v>
                </c:pt>
                <c:pt idx="1">
                  <c:v>10067.740000000005</c:v>
                </c:pt>
                <c:pt idx="2">
                  <c:v>10067.740000000005</c:v>
                </c:pt>
                <c:pt idx="3">
                  <c:v>10067.740000000005</c:v>
                </c:pt>
                <c:pt idx="4">
                  <c:v>10067.740000000005</c:v>
                </c:pt>
                <c:pt idx="5">
                  <c:v>10067.740000000005</c:v>
                </c:pt>
                <c:pt idx="6">
                  <c:v>10067.740000000005</c:v>
                </c:pt>
                <c:pt idx="7">
                  <c:v>10067.740000000005</c:v>
                </c:pt>
                <c:pt idx="8">
                  <c:v>10067.740000000005</c:v>
                </c:pt>
                <c:pt idx="9">
                  <c:v>10067.740000000005</c:v>
                </c:pt>
                <c:pt idx="10">
                  <c:v>10067.740000000005</c:v>
                </c:pt>
                <c:pt idx="11">
                  <c:v>10067.740000000005</c:v>
                </c:pt>
                <c:pt idx="12">
                  <c:v>10067.740000000005</c:v>
                </c:pt>
                <c:pt idx="13">
                  <c:v>10067.740000000005</c:v>
                </c:pt>
                <c:pt idx="14">
                  <c:v>10067.740000000005</c:v>
                </c:pt>
                <c:pt idx="15">
                  <c:v>10067.740000000005</c:v>
                </c:pt>
                <c:pt idx="16">
                  <c:v>10067.740000000005</c:v>
                </c:pt>
                <c:pt idx="17">
                  <c:v>10067.740000000005</c:v>
                </c:pt>
                <c:pt idx="18">
                  <c:v>10067.740000000005</c:v>
                </c:pt>
                <c:pt idx="19">
                  <c:v>10067.740000000005</c:v>
                </c:pt>
                <c:pt idx="20">
                  <c:v>10067.740000000005</c:v>
                </c:pt>
                <c:pt idx="21">
                  <c:v>10067.740000000005</c:v>
                </c:pt>
                <c:pt idx="22">
                  <c:v>10067.740000000005</c:v>
                </c:pt>
                <c:pt idx="23">
                  <c:v>10067.740000000005</c:v>
                </c:pt>
                <c:pt idx="24">
                  <c:v>10067.740000000005</c:v>
                </c:pt>
                <c:pt idx="25">
                  <c:v>10067.740000000005</c:v>
                </c:pt>
                <c:pt idx="26">
                  <c:v>10067.740000000005</c:v>
                </c:pt>
                <c:pt idx="27">
                  <c:v>10067.740000000005</c:v>
                </c:pt>
                <c:pt idx="28">
                  <c:v>10067.740000000005</c:v>
                </c:pt>
                <c:pt idx="29">
                  <c:v>10067.740000000005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9-E347-B6CC-945DF907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1136"/>
        <c:axId val="844376784"/>
      </c:barChart>
      <c:catAx>
        <c:axId val="84438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6784"/>
        <c:crosses val="autoZero"/>
        <c:auto val="1"/>
        <c:lblAlgn val="ctr"/>
        <c:lblOffset val="100"/>
        <c:noMultiLvlLbl val="0"/>
      </c:catAx>
      <c:valAx>
        <c:axId val="84437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51611817753555"/>
          <c:y val="1.0515771327400624E-3"/>
          <c:w val="0.18255044081028335"/>
          <c:h val="6.3227016885553475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Serviços iniciais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2"/>
          <c:order val="0"/>
          <c:tx>
            <c:v>Serviços iniciais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(B2)'!$C$17:$AF$17</c:f>
              <c:numCache>
                <c:formatCode>_("R$"* #,##0.00_);_("R$"* \(#,##0.00\);_("R$"* "-"??_);_(@_)</c:formatCode>
                <c:ptCount val="30"/>
                <c:pt idx="0">
                  <c:v>80421.026000000013</c:v>
                </c:pt>
                <c:pt idx="1">
                  <c:v>86855.839000000007</c:v>
                </c:pt>
                <c:pt idx="2">
                  <c:v>102079.85769999999</c:v>
                </c:pt>
                <c:pt idx="3">
                  <c:v>80421.025999999998</c:v>
                </c:pt>
                <c:pt idx="4">
                  <c:v>86855.839000000007</c:v>
                </c:pt>
                <c:pt idx="5">
                  <c:v>102080.155</c:v>
                </c:pt>
                <c:pt idx="6">
                  <c:v>80421.026000000013</c:v>
                </c:pt>
                <c:pt idx="7">
                  <c:v>102080.155</c:v>
                </c:pt>
                <c:pt idx="8">
                  <c:v>80421.025999999998</c:v>
                </c:pt>
                <c:pt idx="9">
                  <c:v>102969.68400000001</c:v>
                </c:pt>
                <c:pt idx="10">
                  <c:v>82031.614000000001</c:v>
                </c:pt>
                <c:pt idx="11">
                  <c:v>82259.544000000009</c:v>
                </c:pt>
                <c:pt idx="12">
                  <c:v>99689.047999999995</c:v>
                </c:pt>
                <c:pt idx="13">
                  <c:v>82031.614000000001</c:v>
                </c:pt>
                <c:pt idx="14">
                  <c:v>83178.802999999942</c:v>
                </c:pt>
                <c:pt idx="15">
                  <c:v>99689.047999999995</c:v>
                </c:pt>
                <c:pt idx="16">
                  <c:v>82031.614000000001</c:v>
                </c:pt>
                <c:pt idx="17">
                  <c:v>99689.345300000015</c:v>
                </c:pt>
                <c:pt idx="18">
                  <c:v>82031.614000000001</c:v>
                </c:pt>
                <c:pt idx="19">
                  <c:v>99689.345300000015</c:v>
                </c:pt>
                <c:pt idx="20">
                  <c:v>80421.026000000114</c:v>
                </c:pt>
                <c:pt idx="21">
                  <c:v>80629.135999999999</c:v>
                </c:pt>
                <c:pt idx="22">
                  <c:v>96348.952000000005</c:v>
                </c:pt>
                <c:pt idx="23">
                  <c:v>79501.766999999993</c:v>
                </c:pt>
                <c:pt idx="24">
                  <c:v>81538.485000000015</c:v>
                </c:pt>
                <c:pt idx="25">
                  <c:v>96348.952000000019</c:v>
                </c:pt>
                <c:pt idx="26">
                  <c:v>80421.026000000114</c:v>
                </c:pt>
                <c:pt idx="27">
                  <c:v>96348.952000000019</c:v>
                </c:pt>
                <c:pt idx="28">
                  <c:v>96348.952000000019</c:v>
                </c:pt>
                <c:pt idx="29">
                  <c:v>97218.661000000007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5A-C646-AF2B-5E6E52C1D86E}"/>
            </c:ext>
          </c:extLst>
        </c:ser>
        <c:ser>
          <c:idx val="0"/>
          <c:order val="1"/>
          <c:tx>
            <c:v>Serviços iniciais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(B2)'!$C$18:$AF$18</c:f>
              <c:numCache>
                <c:formatCode>_("R$"* #,##0.00_);_("R$"* \(#,##0.00\);_("R$"* "-"??_);_(@_)</c:formatCode>
                <c:ptCount val="30"/>
                <c:pt idx="0">
                  <c:v>63570.660999999935</c:v>
                </c:pt>
                <c:pt idx="1">
                  <c:v>79599.631999999998</c:v>
                </c:pt>
                <c:pt idx="2">
                  <c:v>22614.205999999998</c:v>
                </c:pt>
                <c:pt idx="3">
                  <c:v>63570.661</c:v>
                </c:pt>
                <c:pt idx="4">
                  <c:v>79599.632000000012</c:v>
                </c:pt>
                <c:pt idx="5">
                  <c:v>22614.205999999998</c:v>
                </c:pt>
                <c:pt idx="6">
                  <c:v>63570.660999999935</c:v>
                </c:pt>
                <c:pt idx="7">
                  <c:v>22614.205999999998</c:v>
                </c:pt>
                <c:pt idx="8">
                  <c:v>63570.661</c:v>
                </c:pt>
                <c:pt idx="9">
                  <c:v>23364.994999999995</c:v>
                </c:pt>
                <c:pt idx="10">
                  <c:v>57128.308999999987</c:v>
                </c:pt>
                <c:pt idx="11">
                  <c:v>66900.846999999994</c:v>
                </c:pt>
                <c:pt idx="12">
                  <c:v>23364.994999999995</c:v>
                </c:pt>
                <c:pt idx="13">
                  <c:v>57128.308999999987</c:v>
                </c:pt>
                <c:pt idx="14">
                  <c:v>67760.645999999993</c:v>
                </c:pt>
                <c:pt idx="15">
                  <c:v>23364.994999999995</c:v>
                </c:pt>
                <c:pt idx="16">
                  <c:v>57128.308999999987</c:v>
                </c:pt>
                <c:pt idx="17">
                  <c:v>23364.994999999995</c:v>
                </c:pt>
                <c:pt idx="18">
                  <c:v>57128.308999999987</c:v>
                </c:pt>
                <c:pt idx="19">
                  <c:v>23364.994999999995</c:v>
                </c:pt>
                <c:pt idx="20">
                  <c:v>57128.308999999987</c:v>
                </c:pt>
                <c:pt idx="21">
                  <c:v>66900.846999999994</c:v>
                </c:pt>
                <c:pt idx="22">
                  <c:v>21863.416999999998</c:v>
                </c:pt>
                <c:pt idx="23">
                  <c:v>56318.05999999999</c:v>
                </c:pt>
                <c:pt idx="24">
                  <c:v>67760.645999999993</c:v>
                </c:pt>
                <c:pt idx="25">
                  <c:v>21863.416999999998</c:v>
                </c:pt>
                <c:pt idx="26">
                  <c:v>57128.308999999987</c:v>
                </c:pt>
                <c:pt idx="27">
                  <c:v>21863.416999999998</c:v>
                </c:pt>
                <c:pt idx="28">
                  <c:v>21863.416999999998</c:v>
                </c:pt>
                <c:pt idx="29">
                  <c:v>22614.205999999998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5A-C646-AF2B-5E6E52C1D86E}"/>
            </c:ext>
          </c:extLst>
        </c:ser>
        <c:ser>
          <c:idx val="1"/>
          <c:order val="2"/>
          <c:tx>
            <c:v>Serviços iniciais (total)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(B2)'!$C$16:$AF$16</c:f>
              <c:numCache>
                <c:formatCode>_("R$"* #,##0.00_);_("R$"* \(#,##0.00\);_("R$"* "-"??_);_(@_)</c:formatCode>
                <c:ptCount val="30"/>
                <c:pt idx="0">
                  <c:v>143991.68699999995</c:v>
                </c:pt>
                <c:pt idx="1">
                  <c:v>166455.47100000002</c:v>
                </c:pt>
                <c:pt idx="2">
                  <c:v>124694.0637</c:v>
                </c:pt>
                <c:pt idx="3">
                  <c:v>143991.68700000001</c:v>
                </c:pt>
                <c:pt idx="4">
                  <c:v>166455.47100000002</c:v>
                </c:pt>
                <c:pt idx="5">
                  <c:v>124694.361</c:v>
                </c:pt>
                <c:pt idx="6">
                  <c:v>143991.68699999995</c:v>
                </c:pt>
                <c:pt idx="7">
                  <c:v>124694.361</c:v>
                </c:pt>
                <c:pt idx="8">
                  <c:v>143991.68700000001</c:v>
                </c:pt>
                <c:pt idx="9">
                  <c:v>126334.679</c:v>
                </c:pt>
                <c:pt idx="10">
                  <c:v>139159.92299999998</c:v>
                </c:pt>
                <c:pt idx="11">
                  <c:v>149160.391</c:v>
                </c:pt>
                <c:pt idx="12">
                  <c:v>123054.04299999999</c:v>
                </c:pt>
                <c:pt idx="13">
                  <c:v>139159.92299999998</c:v>
                </c:pt>
                <c:pt idx="14">
                  <c:v>150939.44899999994</c:v>
                </c:pt>
                <c:pt idx="15">
                  <c:v>123054.04299999999</c:v>
                </c:pt>
                <c:pt idx="16">
                  <c:v>139159.92299999998</c:v>
                </c:pt>
                <c:pt idx="17">
                  <c:v>123054.34030000001</c:v>
                </c:pt>
                <c:pt idx="18">
                  <c:v>139159.92299999998</c:v>
                </c:pt>
                <c:pt idx="19">
                  <c:v>123054.34030000001</c:v>
                </c:pt>
                <c:pt idx="20">
                  <c:v>137549.33500000011</c:v>
                </c:pt>
                <c:pt idx="21">
                  <c:v>147529.98300000001</c:v>
                </c:pt>
                <c:pt idx="22">
                  <c:v>118212.36900000001</c:v>
                </c:pt>
                <c:pt idx="23">
                  <c:v>135819.82699999999</c:v>
                </c:pt>
                <c:pt idx="24">
                  <c:v>149299.13099999999</c:v>
                </c:pt>
                <c:pt idx="25">
                  <c:v>118212.36900000002</c:v>
                </c:pt>
                <c:pt idx="26">
                  <c:v>137549.33500000011</c:v>
                </c:pt>
                <c:pt idx="27">
                  <c:v>118212.36900000002</c:v>
                </c:pt>
                <c:pt idx="28">
                  <c:v>118212.36900000002</c:v>
                </c:pt>
                <c:pt idx="29">
                  <c:v>119832.867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5A-C646-AF2B-5E6E52C1D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7280"/>
        <c:axId val="803644896"/>
      </c:barChart>
      <c:catAx>
        <c:axId val="80363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4896"/>
        <c:crosses val="autoZero"/>
        <c:auto val="1"/>
        <c:lblAlgn val="ctr"/>
        <c:lblOffset val="100"/>
        <c:noMultiLvlLbl val="0"/>
      </c:catAx>
      <c:valAx>
        <c:axId val="8036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771269937411668"/>
          <c:y val="1.0515771327400624E-3"/>
          <c:w val="0.10135383190223395"/>
          <c:h val="0.1138464493064070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Outros</a:t>
            </a:r>
            <a:r>
              <a:rPr lang="en-US" b="1" baseline="0">
                <a:solidFill>
                  <a:sysClr val="windowText" lastClr="000000"/>
                </a:solidFill>
              </a:rPr>
              <a:t> equipamentos e acessórios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Outros equipamentos e acessórios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(B2)'!$C$43:$AF$43</c:f>
              <c:numCache>
                <c:formatCode>_("R$"* #,##0.00_);_("R$"* \(#,##0.00\);_("R$"* "-"??_);_(@_)</c:formatCode>
                <c:ptCount val="30"/>
                <c:pt idx="0">
                  <c:v>52115.450000000004</c:v>
                </c:pt>
                <c:pt idx="1">
                  <c:v>52115.450000000004</c:v>
                </c:pt>
                <c:pt idx="2">
                  <c:v>52115.450000000004</c:v>
                </c:pt>
                <c:pt idx="3">
                  <c:v>52115.450000000004</c:v>
                </c:pt>
                <c:pt idx="4">
                  <c:v>52115.450000000004</c:v>
                </c:pt>
                <c:pt idx="5">
                  <c:v>52115.450000000004</c:v>
                </c:pt>
                <c:pt idx="6">
                  <c:v>52115.450000000004</c:v>
                </c:pt>
                <c:pt idx="7">
                  <c:v>52115.450000000004</c:v>
                </c:pt>
                <c:pt idx="8">
                  <c:v>52115.450000000004</c:v>
                </c:pt>
                <c:pt idx="9">
                  <c:v>52115.450000000004</c:v>
                </c:pt>
                <c:pt idx="10">
                  <c:v>61479.630000000012</c:v>
                </c:pt>
                <c:pt idx="11">
                  <c:v>61479.630000000012</c:v>
                </c:pt>
                <c:pt idx="12">
                  <c:v>61479.630000000012</c:v>
                </c:pt>
                <c:pt idx="13">
                  <c:v>61479.630000000012</c:v>
                </c:pt>
                <c:pt idx="14">
                  <c:v>61479.630000000012</c:v>
                </c:pt>
                <c:pt idx="15">
                  <c:v>61479.630000000012</c:v>
                </c:pt>
                <c:pt idx="16">
                  <c:v>61479.630000000012</c:v>
                </c:pt>
                <c:pt idx="17">
                  <c:v>61479.630000000012</c:v>
                </c:pt>
                <c:pt idx="18">
                  <c:v>61479.630000000012</c:v>
                </c:pt>
                <c:pt idx="19">
                  <c:v>61479.630000000012</c:v>
                </c:pt>
                <c:pt idx="20">
                  <c:v>52115.450000000004</c:v>
                </c:pt>
                <c:pt idx="21">
                  <c:v>52115.450000000004</c:v>
                </c:pt>
                <c:pt idx="22">
                  <c:v>52115.450000000004</c:v>
                </c:pt>
                <c:pt idx="23">
                  <c:v>52115.450000000004</c:v>
                </c:pt>
                <c:pt idx="24">
                  <c:v>52115.450000000004</c:v>
                </c:pt>
                <c:pt idx="25">
                  <c:v>52115.450000000004</c:v>
                </c:pt>
                <c:pt idx="26">
                  <c:v>52115.450000000004</c:v>
                </c:pt>
                <c:pt idx="27">
                  <c:v>52115.450000000004</c:v>
                </c:pt>
                <c:pt idx="28">
                  <c:v>52115.450000000004</c:v>
                </c:pt>
                <c:pt idx="29">
                  <c:v>52115.450000000004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FA-B04A-955C-FF2D4E521653}"/>
            </c:ext>
          </c:extLst>
        </c:ser>
        <c:ser>
          <c:idx val="0"/>
          <c:order val="1"/>
          <c:tx>
            <c:v>Outros equipamentos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(B2)'!$C$44:$AF$44</c:f>
              <c:numCache>
                <c:formatCode>_("R$"* #,##0.00_);_("R$"* \(#,##0.00\);_("R$"* "-"??_);_(@_)</c:formatCode>
                <c:ptCount val="30"/>
                <c:pt idx="0">
                  <c:v>26256.23</c:v>
                </c:pt>
                <c:pt idx="1">
                  <c:v>0</c:v>
                </c:pt>
                <c:pt idx="2">
                  <c:v>24977.93</c:v>
                </c:pt>
                <c:pt idx="3">
                  <c:v>26256.23</c:v>
                </c:pt>
                <c:pt idx="4">
                  <c:v>0</c:v>
                </c:pt>
                <c:pt idx="5">
                  <c:v>24977.93</c:v>
                </c:pt>
                <c:pt idx="6">
                  <c:v>26256.23</c:v>
                </c:pt>
                <c:pt idx="7">
                  <c:v>24977.93</c:v>
                </c:pt>
                <c:pt idx="8">
                  <c:v>26256.23</c:v>
                </c:pt>
                <c:pt idx="9">
                  <c:v>24977.93</c:v>
                </c:pt>
                <c:pt idx="10">
                  <c:v>26256.23</c:v>
                </c:pt>
                <c:pt idx="11">
                  <c:v>0</c:v>
                </c:pt>
                <c:pt idx="12">
                  <c:v>24977.93</c:v>
                </c:pt>
                <c:pt idx="13">
                  <c:v>26256.23</c:v>
                </c:pt>
                <c:pt idx="14">
                  <c:v>0</c:v>
                </c:pt>
                <c:pt idx="15">
                  <c:v>24977.93</c:v>
                </c:pt>
                <c:pt idx="16">
                  <c:v>26256.23</c:v>
                </c:pt>
                <c:pt idx="17">
                  <c:v>24977.93</c:v>
                </c:pt>
                <c:pt idx="18">
                  <c:v>26256.23</c:v>
                </c:pt>
                <c:pt idx="19">
                  <c:v>24977.93</c:v>
                </c:pt>
                <c:pt idx="20">
                  <c:v>26256.23</c:v>
                </c:pt>
                <c:pt idx="21">
                  <c:v>0</c:v>
                </c:pt>
                <c:pt idx="22">
                  <c:v>24977.93</c:v>
                </c:pt>
                <c:pt idx="23">
                  <c:v>26256.23</c:v>
                </c:pt>
                <c:pt idx="24">
                  <c:v>0</c:v>
                </c:pt>
                <c:pt idx="25">
                  <c:v>24977.93</c:v>
                </c:pt>
                <c:pt idx="26">
                  <c:v>26256.23</c:v>
                </c:pt>
                <c:pt idx="27">
                  <c:v>24977.93</c:v>
                </c:pt>
                <c:pt idx="28">
                  <c:v>26256.23</c:v>
                </c:pt>
                <c:pt idx="29">
                  <c:v>24977.93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FA-B04A-955C-FF2D4E521653}"/>
            </c:ext>
          </c:extLst>
        </c:ser>
        <c:ser>
          <c:idx val="2"/>
          <c:order val="2"/>
          <c:tx>
            <c:v>Outros equipamentos e acessórios (total)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(B2)'!$C$42:$AF$42</c:f>
              <c:numCache>
                <c:formatCode>_("R$"* #,##0.00_);_("R$"* \(#,##0.00\);_("R$"* "-"??_);_(@_)</c:formatCode>
                <c:ptCount val="30"/>
                <c:pt idx="0">
                  <c:v>78371.680000000008</c:v>
                </c:pt>
                <c:pt idx="1">
                  <c:v>52115.450000000004</c:v>
                </c:pt>
                <c:pt idx="2">
                  <c:v>77093.38</c:v>
                </c:pt>
                <c:pt idx="3">
                  <c:v>78371.680000000008</c:v>
                </c:pt>
                <c:pt idx="4">
                  <c:v>52115.450000000004</c:v>
                </c:pt>
                <c:pt idx="5">
                  <c:v>77093.38</c:v>
                </c:pt>
                <c:pt idx="6">
                  <c:v>78371.680000000008</c:v>
                </c:pt>
                <c:pt idx="7">
                  <c:v>77093.38</c:v>
                </c:pt>
                <c:pt idx="8">
                  <c:v>78371.680000000008</c:v>
                </c:pt>
                <c:pt idx="9">
                  <c:v>77093.38</c:v>
                </c:pt>
                <c:pt idx="10">
                  <c:v>87735.860000000015</c:v>
                </c:pt>
                <c:pt idx="11">
                  <c:v>61479.630000000012</c:v>
                </c:pt>
                <c:pt idx="12">
                  <c:v>86457.560000000012</c:v>
                </c:pt>
                <c:pt idx="13">
                  <c:v>87735.860000000015</c:v>
                </c:pt>
                <c:pt idx="14">
                  <c:v>61479.630000000012</c:v>
                </c:pt>
                <c:pt idx="15">
                  <c:v>86457.560000000012</c:v>
                </c:pt>
                <c:pt idx="16">
                  <c:v>87735.860000000015</c:v>
                </c:pt>
                <c:pt idx="17">
                  <c:v>86457.560000000012</c:v>
                </c:pt>
                <c:pt idx="18">
                  <c:v>87735.860000000015</c:v>
                </c:pt>
                <c:pt idx="19">
                  <c:v>86457.560000000012</c:v>
                </c:pt>
                <c:pt idx="20">
                  <c:v>78371.680000000008</c:v>
                </c:pt>
                <c:pt idx="21">
                  <c:v>52115.450000000004</c:v>
                </c:pt>
                <c:pt idx="22">
                  <c:v>77093.38</c:v>
                </c:pt>
                <c:pt idx="23">
                  <c:v>78371.680000000008</c:v>
                </c:pt>
                <c:pt idx="24">
                  <c:v>52115.450000000004</c:v>
                </c:pt>
                <c:pt idx="25">
                  <c:v>77093.38</c:v>
                </c:pt>
                <c:pt idx="26">
                  <c:v>78371.680000000008</c:v>
                </c:pt>
                <c:pt idx="27">
                  <c:v>77093.38</c:v>
                </c:pt>
                <c:pt idx="28">
                  <c:v>78371.680000000008</c:v>
                </c:pt>
                <c:pt idx="29">
                  <c:v>77093.38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A-B04A-955C-FF2D4E521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77872"/>
        <c:axId val="844384944"/>
      </c:barChart>
      <c:catAx>
        <c:axId val="8443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4944"/>
        <c:crosses val="autoZero"/>
        <c:auto val="1"/>
        <c:lblAlgn val="ctr"/>
        <c:lblOffset val="100"/>
        <c:noMultiLvlLbl val="0"/>
      </c:catAx>
      <c:valAx>
        <c:axId val="84438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33663099804833"/>
          <c:y val="1.0515771327400624E-3"/>
          <c:w val="0.16972992798977052"/>
          <c:h val="9.887429643527206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Água</a:t>
            </a:r>
            <a:r>
              <a:rPr lang="en-US" b="1" baseline="0">
                <a:solidFill>
                  <a:sysClr val="windowText" lastClr="000000"/>
                </a:solidFill>
              </a:rPr>
              <a:t> captada pela ETA (anual)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Água captada (ETA) (anual)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(B2)'!$C$49:$AF$49</c:f>
              <c:numCache>
                <c:formatCode>_("R$"* #,##0.00_);_("R$"* \(#,##0.00\);_("R$"* "-"??_);_(@_)</c:formatCode>
                <c:ptCount val="30"/>
                <c:pt idx="0">
                  <c:v>43545.600000000006</c:v>
                </c:pt>
                <c:pt idx="1">
                  <c:v>43545.600000000006</c:v>
                </c:pt>
                <c:pt idx="2">
                  <c:v>43545.600000000006</c:v>
                </c:pt>
                <c:pt idx="3">
                  <c:v>43545.600000000006</c:v>
                </c:pt>
                <c:pt idx="4">
                  <c:v>43545.600000000006</c:v>
                </c:pt>
                <c:pt idx="5">
                  <c:v>43545.600000000006</c:v>
                </c:pt>
                <c:pt idx="6">
                  <c:v>43545.600000000006</c:v>
                </c:pt>
                <c:pt idx="7">
                  <c:v>43545.600000000006</c:v>
                </c:pt>
                <c:pt idx="8">
                  <c:v>43545.600000000006</c:v>
                </c:pt>
                <c:pt idx="9">
                  <c:v>43545.600000000006</c:v>
                </c:pt>
                <c:pt idx="10">
                  <c:v>43545.600000000006</c:v>
                </c:pt>
                <c:pt idx="11">
                  <c:v>43545.600000000006</c:v>
                </c:pt>
                <c:pt idx="12">
                  <c:v>43545.600000000006</c:v>
                </c:pt>
                <c:pt idx="13">
                  <c:v>43545.600000000006</c:v>
                </c:pt>
                <c:pt idx="14">
                  <c:v>43545.600000000006</c:v>
                </c:pt>
                <c:pt idx="15">
                  <c:v>43545.600000000006</c:v>
                </c:pt>
                <c:pt idx="16">
                  <c:v>43545.600000000006</c:v>
                </c:pt>
                <c:pt idx="17">
                  <c:v>43545.600000000006</c:v>
                </c:pt>
                <c:pt idx="18">
                  <c:v>43545.600000000006</c:v>
                </c:pt>
                <c:pt idx="19">
                  <c:v>43545.600000000006</c:v>
                </c:pt>
                <c:pt idx="20">
                  <c:v>43545.600000000006</c:v>
                </c:pt>
                <c:pt idx="21">
                  <c:v>43545.600000000006</c:v>
                </c:pt>
                <c:pt idx="22">
                  <c:v>43545.600000000006</c:v>
                </c:pt>
                <c:pt idx="23">
                  <c:v>43545.600000000006</c:v>
                </c:pt>
                <c:pt idx="24">
                  <c:v>43545.600000000006</c:v>
                </c:pt>
                <c:pt idx="25">
                  <c:v>43545.600000000006</c:v>
                </c:pt>
                <c:pt idx="26">
                  <c:v>43545.600000000006</c:v>
                </c:pt>
                <c:pt idx="27">
                  <c:v>43545.600000000006</c:v>
                </c:pt>
                <c:pt idx="28">
                  <c:v>43545.600000000006</c:v>
                </c:pt>
                <c:pt idx="29">
                  <c:v>43545.600000000006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74-E94D-B872-3407E087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79504"/>
        <c:axId val="844380048"/>
      </c:barChart>
      <c:catAx>
        <c:axId val="84437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0048"/>
        <c:crosses val="autoZero"/>
        <c:auto val="1"/>
        <c:lblAlgn val="ctr"/>
        <c:lblOffset val="100"/>
        <c:noMultiLvlLbl val="0"/>
      </c:catAx>
      <c:valAx>
        <c:axId val="84438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50757116898847"/>
          <c:y val="1.0515771327400624E-3"/>
          <c:w val="0.12955898781883035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Operação </a:t>
            </a:r>
            <a:r>
              <a:rPr lang="en-US" b="1" baseline="0">
                <a:solidFill>
                  <a:sysClr val="windowText" lastClr="000000"/>
                </a:solidFill>
              </a:rPr>
              <a:t>da </a:t>
            </a:r>
            <a:r>
              <a:rPr lang="en-US" b="1">
                <a:solidFill>
                  <a:sysClr val="windowText" lastClr="000000"/>
                </a:solidFill>
              </a:rPr>
              <a:t>ETR (anual)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Operação (ETR) (anual)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(B2)'!$C$50:$AF$50</c:f>
              <c:numCache>
                <c:formatCode>_("R$"* #,##0.00_);_("R$"* \(#,##0.00\);_("R$"* "-"??_);_(@_)</c:formatCode>
                <c:ptCount val="30"/>
                <c:pt idx="0">
                  <c:v>12588.01584</c:v>
                </c:pt>
                <c:pt idx="1">
                  <c:v>12588.01584</c:v>
                </c:pt>
                <c:pt idx="2">
                  <c:v>9478.0030799999986</c:v>
                </c:pt>
                <c:pt idx="3">
                  <c:v>12588.01584</c:v>
                </c:pt>
                <c:pt idx="4">
                  <c:v>12588.01584</c:v>
                </c:pt>
                <c:pt idx="5">
                  <c:v>9478.0030799999986</c:v>
                </c:pt>
                <c:pt idx="6">
                  <c:v>12588.01584</c:v>
                </c:pt>
                <c:pt idx="7">
                  <c:v>9478.0030799999986</c:v>
                </c:pt>
                <c:pt idx="8">
                  <c:v>12588.01584</c:v>
                </c:pt>
                <c:pt idx="9">
                  <c:v>9478.0030799999986</c:v>
                </c:pt>
                <c:pt idx="10">
                  <c:v>7649.9668709999996</c:v>
                </c:pt>
                <c:pt idx="11">
                  <c:v>9346.1008709999987</c:v>
                </c:pt>
                <c:pt idx="12">
                  <c:v>11031.84</c:v>
                </c:pt>
                <c:pt idx="13">
                  <c:v>7649.9668709999996</c:v>
                </c:pt>
                <c:pt idx="14">
                  <c:v>9346.1008709999987</c:v>
                </c:pt>
                <c:pt idx="15">
                  <c:v>11031.84</c:v>
                </c:pt>
                <c:pt idx="16">
                  <c:v>7649.9668709999996</c:v>
                </c:pt>
                <c:pt idx="17">
                  <c:v>11031.84</c:v>
                </c:pt>
                <c:pt idx="18">
                  <c:v>7649.9668709999996</c:v>
                </c:pt>
                <c:pt idx="19">
                  <c:v>11031.84</c:v>
                </c:pt>
                <c:pt idx="20">
                  <c:v>7615.8991289999994</c:v>
                </c:pt>
                <c:pt idx="21">
                  <c:v>7615.8991289999994</c:v>
                </c:pt>
                <c:pt idx="22">
                  <c:v>8409.24</c:v>
                </c:pt>
                <c:pt idx="23">
                  <c:v>7615.8991289999994</c:v>
                </c:pt>
                <c:pt idx="24">
                  <c:v>7615.8991289999994</c:v>
                </c:pt>
                <c:pt idx="25">
                  <c:v>8409.24</c:v>
                </c:pt>
                <c:pt idx="26">
                  <c:v>7615.8991289999994</c:v>
                </c:pt>
                <c:pt idx="27">
                  <c:v>8409.24</c:v>
                </c:pt>
                <c:pt idx="28">
                  <c:v>7615.8991289999994</c:v>
                </c:pt>
                <c:pt idx="29">
                  <c:v>8409.24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F-8A4C-A120-C9B91B958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5488"/>
        <c:axId val="844382768"/>
      </c:barChart>
      <c:catAx>
        <c:axId val="8443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2768"/>
        <c:crosses val="autoZero"/>
        <c:auto val="1"/>
        <c:lblAlgn val="ctr"/>
        <c:lblOffset val="100"/>
        <c:noMultiLvlLbl val="0"/>
      </c:catAx>
      <c:valAx>
        <c:axId val="84438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50757116898847"/>
          <c:y val="1.0515771327400624E-3"/>
          <c:w val="0.12955898781883035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Produtos</a:t>
            </a:r>
            <a:r>
              <a:rPr lang="en-US" b="1" baseline="0">
                <a:solidFill>
                  <a:sysClr val="windowText" lastClr="000000"/>
                </a:solidFill>
              </a:rPr>
              <a:t> químicos</a:t>
            </a:r>
            <a:r>
              <a:rPr lang="en-US" b="1">
                <a:solidFill>
                  <a:sysClr val="windowText" lastClr="000000"/>
                </a:solidFill>
              </a:rPr>
              <a:t> (anual)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Produtos químicos (ETA) (anual)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(B2)'!$C$51:$AF$51</c:f>
              <c:numCache>
                <c:formatCode>_("R$"* #,##0.00_);_("R$"* \(#,##0.00\);_("R$"* "-"??_);_(@_)</c:formatCode>
                <c:ptCount val="30"/>
                <c:pt idx="0">
                  <c:v>49679.999999999585</c:v>
                </c:pt>
                <c:pt idx="1">
                  <c:v>49680</c:v>
                </c:pt>
                <c:pt idx="2">
                  <c:v>41371.200000000004</c:v>
                </c:pt>
                <c:pt idx="3">
                  <c:v>49679.999999999585</c:v>
                </c:pt>
                <c:pt idx="4">
                  <c:v>49680</c:v>
                </c:pt>
                <c:pt idx="5">
                  <c:v>41371.200000000004</c:v>
                </c:pt>
                <c:pt idx="6">
                  <c:v>49679.999999999585</c:v>
                </c:pt>
                <c:pt idx="7">
                  <c:v>41371.200000000004</c:v>
                </c:pt>
                <c:pt idx="8">
                  <c:v>49679.999999999585</c:v>
                </c:pt>
                <c:pt idx="9">
                  <c:v>41371.200000000004</c:v>
                </c:pt>
                <c:pt idx="10">
                  <c:v>41371.200000000004</c:v>
                </c:pt>
                <c:pt idx="11">
                  <c:v>41371.200000000004</c:v>
                </c:pt>
                <c:pt idx="12">
                  <c:v>41371.200000000004</c:v>
                </c:pt>
                <c:pt idx="13">
                  <c:v>41371.200000000004</c:v>
                </c:pt>
                <c:pt idx="14">
                  <c:v>41371.200000000004</c:v>
                </c:pt>
                <c:pt idx="15">
                  <c:v>41371.200000000004</c:v>
                </c:pt>
                <c:pt idx="16">
                  <c:v>41371.200000000004</c:v>
                </c:pt>
                <c:pt idx="17">
                  <c:v>41371.200000000004</c:v>
                </c:pt>
                <c:pt idx="18">
                  <c:v>41371.200000000004</c:v>
                </c:pt>
                <c:pt idx="19">
                  <c:v>41371.200000000004</c:v>
                </c:pt>
                <c:pt idx="20">
                  <c:v>41371.200000000004</c:v>
                </c:pt>
                <c:pt idx="21">
                  <c:v>41371.200000000004</c:v>
                </c:pt>
                <c:pt idx="22">
                  <c:v>41371.200000000004</c:v>
                </c:pt>
                <c:pt idx="23">
                  <c:v>41371.200000000004</c:v>
                </c:pt>
                <c:pt idx="24">
                  <c:v>41371.200000000004</c:v>
                </c:pt>
                <c:pt idx="25">
                  <c:v>41371.200000000004</c:v>
                </c:pt>
                <c:pt idx="26">
                  <c:v>41371.200000000004</c:v>
                </c:pt>
                <c:pt idx="27">
                  <c:v>41371.200000000004</c:v>
                </c:pt>
                <c:pt idx="28">
                  <c:v>41371.200000000004</c:v>
                </c:pt>
                <c:pt idx="29">
                  <c:v>41371.200000000004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7A-B34C-9796-CDB89F27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7664"/>
        <c:axId val="844374608"/>
      </c:barChart>
      <c:catAx>
        <c:axId val="84438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74608"/>
        <c:crosses val="autoZero"/>
        <c:auto val="1"/>
        <c:lblAlgn val="ctr"/>
        <c:lblOffset val="100"/>
        <c:noMultiLvlLbl val="0"/>
      </c:catAx>
      <c:valAx>
        <c:axId val="8443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497765663907399"/>
          <c:y val="1.0515771327400624E-3"/>
          <c:w val="0.14408890234874491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Ener</a:t>
            </a:r>
            <a:r>
              <a:rPr lang="en-US" b="1" baseline="0">
                <a:solidFill>
                  <a:sysClr val="windowText" lastClr="000000"/>
                </a:solidFill>
              </a:rPr>
              <a:t>gia elétrica </a:t>
            </a:r>
            <a:r>
              <a:rPr lang="en-US" b="1">
                <a:solidFill>
                  <a:sysClr val="windowText" lastClr="000000"/>
                </a:solidFill>
              </a:rPr>
              <a:t>(anual)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0"/>
          <c:order val="0"/>
          <c:tx>
            <c:v>Energia elétrica (ETA) (anual)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(B2)'!$C$53:$AF$53</c:f>
              <c:numCache>
                <c:formatCode>_("R$"* #,##0.00_);_("R$"* \(#,##0.00\);_("R$"* "-"??_);_(@_)</c:formatCode>
                <c:ptCount val="30"/>
                <c:pt idx="0">
                  <c:v>4359.8486400000002</c:v>
                </c:pt>
                <c:pt idx="1">
                  <c:v>5521.0512000000008</c:v>
                </c:pt>
                <c:pt idx="2">
                  <c:v>4359.8352000000004</c:v>
                </c:pt>
                <c:pt idx="3">
                  <c:v>4359.8486400000002</c:v>
                </c:pt>
                <c:pt idx="4">
                  <c:v>5521.0512000000008</c:v>
                </c:pt>
                <c:pt idx="5">
                  <c:v>4359.8352000000004</c:v>
                </c:pt>
                <c:pt idx="6">
                  <c:v>4359.8486400000002</c:v>
                </c:pt>
                <c:pt idx="7">
                  <c:v>4359.8352000000004</c:v>
                </c:pt>
                <c:pt idx="8">
                  <c:v>4359.8486400000002</c:v>
                </c:pt>
                <c:pt idx="9">
                  <c:v>4359.8352000000004</c:v>
                </c:pt>
                <c:pt idx="10">
                  <c:v>4975.2192000000014</c:v>
                </c:pt>
                <c:pt idx="11">
                  <c:v>6136.4352000000017</c:v>
                </c:pt>
                <c:pt idx="12">
                  <c:v>4975.2192000000014</c:v>
                </c:pt>
                <c:pt idx="13">
                  <c:v>4975.2192000000014</c:v>
                </c:pt>
                <c:pt idx="14">
                  <c:v>6136.4352000000017</c:v>
                </c:pt>
                <c:pt idx="15">
                  <c:v>4975.2192000000014</c:v>
                </c:pt>
                <c:pt idx="16">
                  <c:v>4975.2192000000014</c:v>
                </c:pt>
                <c:pt idx="17">
                  <c:v>4975.2192000000014</c:v>
                </c:pt>
                <c:pt idx="18">
                  <c:v>4975.2192000000014</c:v>
                </c:pt>
                <c:pt idx="19">
                  <c:v>4975.2192000000014</c:v>
                </c:pt>
                <c:pt idx="20">
                  <c:v>4975.1855999999998</c:v>
                </c:pt>
                <c:pt idx="21">
                  <c:v>6136.4016000000001</c:v>
                </c:pt>
                <c:pt idx="22">
                  <c:v>4975.1855999999998</c:v>
                </c:pt>
                <c:pt idx="23">
                  <c:v>4975.1855999999998</c:v>
                </c:pt>
                <c:pt idx="24">
                  <c:v>6136.4016000000001</c:v>
                </c:pt>
                <c:pt idx="25">
                  <c:v>4975.1855999999998</c:v>
                </c:pt>
                <c:pt idx="26">
                  <c:v>4975.1855999999998</c:v>
                </c:pt>
                <c:pt idx="27">
                  <c:v>4975.1855999999998</c:v>
                </c:pt>
                <c:pt idx="28">
                  <c:v>4975.1855999999998</c:v>
                </c:pt>
                <c:pt idx="29">
                  <c:v>4975.1855999999998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FE-804A-84DE-14585A0F98C1}"/>
            </c:ext>
          </c:extLst>
        </c:ser>
        <c:ser>
          <c:idx val="2"/>
          <c:order val="1"/>
          <c:tx>
            <c:v>Energia elétrica (ETR) (anual)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(B2)'!$C$54:$AF$54</c:f>
              <c:numCache>
                <c:formatCode>_("R$"* #,##0.00_);_("R$"* \(#,##0.00\);_("R$"* "-"??_);_(@_)</c:formatCode>
                <c:ptCount val="30"/>
                <c:pt idx="0">
                  <c:v>1860.7008000000001</c:v>
                </c:pt>
                <c:pt idx="1">
                  <c:v>0</c:v>
                </c:pt>
                <c:pt idx="2">
                  <c:v>5967.3600000000006</c:v>
                </c:pt>
                <c:pt idx="3">
                  <c:v>1860.7008000000001</c:v>
                </c:pt>
                <c:pt idx="4">
                  <c:v>0</c:v>
                </c:pt>
                <c:pt idx="5">
                  <c:v>5967.3600000000006</c:v>
                </c:pt>
                <c:pt idx="6">
                  <c:v>1860.7008000000001</c:v>
                </c:pt>
                <c:pt idx="7">
                  <c:v>5967.3600000000006</c:v>
                </c:pt>
                <c:pt idx="8">
                  <c:v>1860.7008000000001</c:v>
                </c:pt>
                <c:pt idx="9">
                  <c:v>5967.3600000000006</c:v>
                </c:pt>
                <c:pt idx="10">
                  <c:v>1860.7008000000001</c:v>
                </c:pt>
                <c:pt idx="11">
                  <c:v>0</c:v>
                </c:pt>
                <c:pt idx="12">
                  <c:v>5967.3600000000006</c:v>
                </c:pt>
                <c:pt idx="13">
                  <c:v>1860.7008000000001</c:v>
                </c:pt>
                <c:pt idx="14">
                  <c:v>0</c:v>
                </c:pt>
                <c:pt idx="15">
                  <c:v>5967.3600000000006</c:v>
                </c:pt>
                <c:pt idx="16">
                  <c:v>1860.7008000000001</c:v>
                </c:pt>
                <c:pt idx="17">
                  <c:v>5967.3600000000006</c:v>
                </c:pt>
                <c:pt idx="18">
                  <c:v>1860.7008000000001</c:v>
                </c:pt>
                <c:pt idx="19">
                  <c:v>5967.3600000000006</c:v>
                </c:pt>
                <c:pt idx="20">
                  <c:v>1860.7008000000001</c:v>
                </c:pt>
                <c:pt idx="21">
                  <c:v>0</c:v>
                </c:pt>
                <c:pt idx="22">
                  <c:v>4677.12</c:v>
                </c:pt>
                <c:pt idx="23">
                  <c:v>1860.7008000000001</c:v>
                </c:pt>
                <c:pt idx="24">
                  <c:v>0</c:v>
                </c:pt>
                <c:pt idx="25">
                  <c:v>4677.12</c:v>
                </c:pt>
                <c:pt idx="26">
                  <c:v>1860.7008000000001</c:v>
                </c:pt>
                <c:pt idx="27">
                  <c:v>4677.12</c:v>
                </c:pt>
                <c:pt idx="28">
                  <c:v>1860.7008000000001</c:v>
                </c:pt>
                <c:pt idx="29">
                  <c:v>4677.12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FE-804A-84DE-14585A0F98C1}"/>
            </c:ext>
          </c:extLst>
        </c:ser>
        <c:ser>
          <c:idx val="1"/>
          <c:order val="2"/>
          <c:tx>
            <c:v>Energia elétrica (total) (anual)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(B2)'!$C$52:$AF$52</c:f>
              <c:numCache>
                <c:formatCode>_("R$"* #,##0.00_);_("R$"* \(#,##0.00\);_("R$"* "-"??_);_(@_)</c:formatCode>
                <c:ptCount val="30"/>
                <c:pt idx="0">
                  <c:v>6220.5494400000007</c:v>
                </c:pt>
                <c:pt idx="1">
                  <c:v>5521.0512000000008</c:v>
                </c:pt>
                <c:pt idx="2">
                  <c:v>10327.195200000002</c:v>
                </c:pt>
                <c:pt idx="3">
                  <c:v>6220.5494400000007</c:v>
                </c:pt>
                <c:pt idx="4">
                  <c:v>5521.0512000000008</c:v>
                </c:pt>
                <c:pt idx="5">
                  <c:v>10327.195200000002</c:v>
                </c:pt>
                <c:pt idx="6">
                  <c:v>6220.5494400000007</c:v>
                </c:pt>
                <c:pt idx="7">
                  <c:v>10327.195200000002</c:v>
                </c:pt>
                <c:pt idx="8">
                  <c:v>6220.5494400000007</c:v>
                </c:pt>
                <c:pt idx="9">
                  <c:v>10327.195200000002</c:v>
                </c:pt>
                <c:pt idx="10">
                  <c:v>6835.9200000000019</c:v>
                </c:pt>
                <c:pt idx="11">
                  <c:v>6136.4352000000017</c:v>
                </c:pt>
                <c:pt idx="12">
                  <c:v>10942.579200000002</c:v>
                </c:pt>
                <c:pt idx="13">
                  <c:v>6835.9200000000019</c:v>
                </c:pt>
                <c:pt idx="14">
                  <c:v>6136.4352000000017</c:v>
                </c:pt>
                <c:pt idx="15">
                  <c:v>10942.579200000002</c:v>
                </c:pt>
                <c:pt idx="16">
                  <c:v>6835.9200000000019</c:v>
                </c:pt>
                <c:pt idx="17">
                  <c:v>10942.579200000002</c:v>
                </c:pt>
                <c:pt idx="18">
                  <c:v>6835.9200000000019</c:v>
                </c:pt>
                <c:pt idx="19">
                  <c:v>10942.579200000002</c:v>
                </c:pt>
                <c:pt idx="20">
                  <c:v>6835.8863999999994</c:v>
                </c:pt>
                <c:pt idx="21">
                  <c:v>6136.4016000000001</c:v>
                </c:pt>
                <c:pt idx="22">
                  <c:v>9652.3055999999997</c:v>
                </c:pt>
                <c:pt idx="23">
                  <c:v>6835.8863999999994</c:v>
                </c:pt>
                <c:pt idx="24">
                  <c:v>6136.4016000000001</c:v>
                </c:pt>
                <c:pt idx="25">
                  <c:v>9652.3055999999997</c:v>
                </c:pt>
                <c:pt idx="26">
                  <c:v>6835.8863999999994</c:v>
                </c:pt>
                <c:pt idx="27">
                  <c:v>9652.3055999999997</c:v>
                </c:pt>
                <c:pt idx="28">
                  <c:v>6835.8863999999994</c:v>
                </c:pt>
                <c:pt idx="29">
                  <c:v>9652.3055999999997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FE-804A-84DE-14585A0F9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1680"/>
        <c:axId val="844382224"/>
      </c:barChart>
      <c:catAx>
        <c:axId val="8443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2224"/>
        <c:crosses val="autoZero"/>
        <c:auto val="1"/>
        <c:lblAlgn val="ctr"/>
        <c:lblOffset val="100"/>
        <c:noMultiLvlLbl val="0"/>
      </c:catAx>
      <c:valAx>
        <c:axId val="84438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08876775018506"/>
          <c:y val="1.0515771327400624E-3"/>
          <c:w val="0.13297779123763376"/>
          <c:h val="0.1052724844305704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Pessoal</a:t>
            </a:r>
            <a:r>
              <a:rPr lang="en-US" b="1" baseline="0">
                <a:solidFill>
                  <a:sysClr val="windowText" lastClr="000000"/>
                </a:solidFill>
              </a:rPr>
              <a:t> para operação e administração (anual) (com leis sociais)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Pessoal para operação e administração (ETA) (anual) (com leis sociais)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(B2)'!$C$55:$AF$55</c:f>
              <c:numCache>
                <c:formatCode>_("R$"* #,##0.00_);_("R$"* \(#,##0.00\);_("R$"* "-"??_);_(@_)</c:formatCode>
                <c:ptCount val="30"/>
                <c:pt idx="0">
                  <c:v>477355.10111999995</c:v>
                </c:pt>
                <c:pt idx="1">
                  <c:v>477355.10111999995</c:v>
                </c:pt>
                <c:pt idx="2">
                  <c:v>477355.10111999995</c:v>
                </c:pt>
                <c:pt idx="3">
                  <c:v>477355.10111999995</c:v>
                </c:pt>
                <c:pt idx="4">
                  <c:v>477355.10111999995</c:v>
                </c:pt>
                <c:pt idx="5">
                  <c:v>477355.10111999995</c:v>
                </c:pt>
                <c:pt idx="6">
                  <c:v>477355.10111999995</c:v>
                </c:pt>
                <c:pt idx="7">
                  <c:v>477355.10111999995</c:v>
                </c:pt>
                <c:pt idx="8">
                  <c:v>477355.10111999995</c:v>
                </c:pt>
                <c:pt idx="9">
                  <c:v>477355.10111999995</c:v>
                </c:pt>
                <c:pt idx="10">
                  <c:v>477355.10111999995</c:v>
                </c:pt>
                <c:pt idx="11">
                  <c:v>477355.10111999995</c:v>
                </c:pt>
                <c:pt idx="12">
                  <c:v>477355.10111999995</c:v>
                </c:pt>
                <c:pt idx="13">
                  <c:v>477355.10111999995</c:v>
                </c:pt>
                <c:pt idx="14">
                  <c:v>477355.10111999995</c:v>
                </c:pt>
                <c:pt idx="15">
                  <c:v>477355.10111999995</c:v>
                </c:pt>
                <c:pt idx="16">
                  <c:v>477355.10111999995</c:v>
                </c:pt>
                <c:pt idx="17">
                  <c:v>477355.10111999995</c:v>
                </c:pt>
                <c:pt idx="18">
                  <c:v>477355.10111999995</c:v>
                </c:pt>
                <c:pt idx="19">
                  <c:v>477355.10111999995</c:v>
                </c:pt>
                <c:pt idx="20">
                  <c:v>477355.10111999995</c:v>
                </c:pt>
                <c:pt idx="21">
                  <c:v>477355.10111999995</c:v>
                </c:pt>
                <c:pt idx="22">
                  <c:v>477355.10111999995</c:v>
                </c:pt>
                <c:pt idx="23">
                  <c:v>477355.10111999995</c:v>
                </c:pt>
                <c:pt idx="24">
                  <c:v>477355.10111999995</c:v>
                </c:pt>
                <c:pt idx="25">
                  <c:v>477355.10111999995</c:v>
                </c:pt>
                <c:pt idx="26">
                  <c:v>477355.10111999995</c:v>
                </c:pt>
                <c:pt idx="27">
                  <c:v>477355.10111999995</c:v>
                </c:pt>
                <c:pt idx="28">
                  <c:v>477355.10111999995</c:v>
                </c:pt>
                <c:pt idx="29">
                  <c:v>477355.10111999995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D5-C046-8110-8ABD540B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6032"/>
        <c:axId val="844386576"/>
      </c:barChart>
      <c:catAx>
        <c:axId val="84438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6576"/>
        <c:crosses val="autoZero"/>
        <c:auto val="1"/>
        <c:lblAlgn val="ctr"/>
        <c:lblOffset val="100"/>
        <c:noMultiLvlLbl val="0"/>
      </c:catAx>
      <c:valAx>
        <c:axId val="8443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25970792112522"/>
          <c:y val="1.0515771327400624E-3"/>
          <c:w val="0.1928068510666936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Controle</a:t>
            </a:r>
            <a:r>
              <a:rPr lang="en-US" b="1" baseline="0">
                <a:solidFill>
                  <a:sysClr val="windowText" lastClr="000000"/>
                </a:solidFill>
              </a:rPr>
              <a:t> de qualidade da água - laboratório externo (anual)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Controle de qualidade da água - laboratório externo (ETA) (anual)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(B2)'!$C$56:$AF$56</c:f>
              <c:numCache>
                <c:formatCode>_("R$"* #,##0.00_);_("R$"* \(#,##0.00\);_("R$"* "-"??_);_(@_)</c:formatCode>
                <c:ptCount val="30"/>
                <c:pt idx="0">
                  <c:v>10994.290000000008</c:v>
                </c:pt>
                <c:pt idx="1">
                  <c:v>10994.290000000008</c:v>
                </c:pt>
                <c:pt idx="2">
                  <c:v>10994.290000000008</c:v>
                </c:pt>
                <c:pt idx="3">
                  <c:v>10994.290000000008</c:v>
                </c:pt>
                <c:pt idx="4">
                  <c:v>10994.290000000008</c:v>
                </c:pt>
                <c:pt idx="5">
                  <c:v>10994.290000000008</c:v>
                </c:pt>
                <c:pt idx="6">
                  <c:v>10994.290000000008</c:v>
                </c:pt>
                <c:pt idx="7">
                  <c:v>10994.290000000008</c:v>
                </c:pt>
                <c:pt idx="8">
                  <c:v>10994.290000000008</c:v>
                </c:pt>
                <c:pt idx="9">
                  <c:v>10994.290000000008</c:v>
                </c:pt>
                <c:pt idx="10">
                  <c:v>10994.290000000008</c:v>
                </c:pt>
                <c:pt idx="11">
                  <c:v>10994.290000000008</c:v>
                </c:pt>
                <c:pt idx="12">
                  <c:v>10994.290000000008</c:v>
                </c:pt>
                <c:pt idx="13">
                  <c:v>10994.290000000008</c:v>
                </c:pt>
                <c:pt idx="14">
                  <c:v>10994.290000000008</c:v>
                </c:pt>
                <c:pt idx="15">
                  <c:v>10994.290000000008</c:v>
                </c:pt>
                <c:pt idx="16">
                  <c:v>10994.290000000008</c:v>
                </c:pt>
                <c:pt idx="17">
                  <c:v>10994.290000000008</c:v>
                </c:pt>
                <c:pt idx="18">
                  <c:v>10994.290000000008</c:v>
                </c:pt>
                <c:pt idx="19">
                  <c:v>10994.290000000008</c:v>
                </c:pt>
                <c:pt idx="20">
                  <c:v>10994.290000000008</c:v>
                </c:pt>
                <c:pt idx="21">
                  <c:v>10994.290000000008</c:v>
                </c:pt>
                <c:pt idx="22">
                  <c:v>10994.290000000008</c:v>
                </c:pt>
                <c:pt idx="23">
                  <c:v>10994.290000000008</c:v>
                </c:pt>
                <c:pt idx="24">
                  <c:v>10994.290000000008</c:v>
                </c:pt>
                <c:pt idx="25">
                  <c:v>10994.290000000008</c:v>
                </c:pt>
                <c:pt idx="26">
                  <c:v>10994.290000000008</c:v>
                </c:pt>
                <c:pt idx="27">
                  <c:v>10994.290000000008</c:v>
                </c:pt>
                <c:pt idx="28">
                  <c:v>10994.290000000008</c:v>
                </c:pt>
                <c:pt idx="29">
                  <c:v>10994.290000000008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5-1741-B075-192D8CD2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87120"/>
        <c:axId val="844388208"/>
      </c:barChart>
      <c:catAx>
        <c:axId val="84438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8208"/>
        <c:crosses val="autoZero"/>
        <c:auto val="1"/>
        <c:lblAlgn val="ctr"/>
        <c:lblOffset val="100"/>
        <c:noMultiLvlLbl val="0"/>
      </c:catAx>
      <c:valAx>
        <c:axId val="84438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438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190073356215091"/>
          <c:y val="1.0515771327400624E-3"/>
          <c:w val="0.26716582542566797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/>
              <a:t>Contribuição percentual dos custos de cada item de investimento, para a tecnologia selecionada acima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383068125765021"/>
          <c:y val="0.10078336361800928"/>
          <c:w val="0.46202779853248271"/>
          <c:h val="0.81151036408910426"/>
        </c:manualLayout>
      </c:layout>
      <c:pieChart>
        <c:varyColors val="1"/>
        <c:ser>
          <c:idx val="1"/>
          <c:order val="0"/>
          <c:tx>
            <c:strRef>
              <c:f>'Gráficos (B4)'!$J$4:$K$4</c:f>
              <c:strCache>
                <c:ptCount val="1"/>
                <c:pt idx="0">
                  <c:v>DF - ETR1 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47-B64C-8260-4C204DA97C8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47-B64C-8260-4C204DA97C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47-B64C-8260-4C204DA97C8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47-B64C-8260-4C204DA97C8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47-B64C-8260-4C204DA97C8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47-B64C-8260-4C204DA97C8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C47-B64C-8260-4C204DA97C8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C47-B64C-8260-4C204DA97C8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C47-B64C-8260-4C204DA97C8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C47-B64C-8260-4C204DA97C8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C47-B64C-8260-4C204DA97C8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C47-B64C-8260-4C204DA97C8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C47-B64C-8260-4C204DA97C85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C47-B64C-8260-4C204DA97C85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C47-B64C-8260-4C204DA97C85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C47-B64C-8260-4C204DA97C85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C47-B64C-8260-4C204DA97C85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C47-B64C-8260-4C204DA97C85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2F2-134A-A654-99F174B93C5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C47-B64C-8260-4C204DA97C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'Resumo (B2)'!$A$120:$A$139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'Resumo (B2)'!$C$120:$C$139</c:f>
              <c:numCache>
                <c:formatCode>_("R$"* #,##0.00_);_("R$"* \(#,##0.00\);_("R$"* "-"??_);_(@_)</c:formatCode>
                <c:ptCount val="20"/>
                <c:pt idx="0">
                  <c:v>66366.299999999988</c:v>
                </c:pt>
                <c:pt idx="1">
                  <c:v>143991.68699999995</c:v>
                </c:pt>
                <c:pt idx="2">
                  <c:v>2989.7075920000007</c:v>
                </c:pt>
                <c:pt idx="3">
                  <c:v>24266.567900000002</c:v>
                </c:pt>
                <c:pt idx="4">
                  <c:v>181903.57807600001</c:v>
                </c:pt>
                <c:pt idx="5">
                  <c:v>5742.8179529999998</c:v>
                </c:pt>
                <c:pt idx="6">
                  <c:v>0</c:v>
                </c:pt>
                <c:pt idx="7">
                  <c:v>44729.342080999995</c:v>
                </c:pt>
                <c:pt idx="8">
                  <c:v>35530.656041999995</c:v>
                </c:pt>
                <c:pt idx="9">
                  <c:v>12000.38229</c:v>
                </c:pt>
                <c:pt idx="10">
                  <c:v>102601.768148</c:v>
                </c:pt>
                <c:pt idx="11">
                  <c:v>45788.878500000006</c:v>
                </c:pt>
                <c:pt idx="12">
                  <c:v>51215.079360000003</c:v>
                </c:pt>
                <c:pt idx="13">
                  <c:v>18456.830969999999</c:v>
                </c:pt>
                <c:pt idx="14">
                  <c:v>0</c:v>
                </c:pt>
                <c:pt idx="15">
                  <c:v>0</c:v>
                </c:pt>
                <c:pt idx="16">
                  <c:v>131604.34</c:v>
                </c:pt>
                <c:pt idx="17">
                  <c:v>194904.92999999993</c:v>
                </c:pt>
                <c:pt idx="18">
                  <c:v>10067.740000000005</c:v>
                </c:pt>
                <c:pt idx="19">
                  <c:v>78371.680000000008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5D-ED4F-9997-3A3CF3BE62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18294754918971"/>
          <c:y val="0.14029830405814658"/>
          <c:w val="3.4951586678115348E-2"/>
          <c:h val="0.78031159566592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 i="0" baseline="0">
                <a:effectLst/>
              </a:rPr>
              <a:t>Contribuição percentual dos custos de cada item de funcionamento, para a tecnologia selecionada acima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7848611784901295"/>
          <c:y val="0.16044989568611615"/>
          <c:w val="0.43358020779946888"/>
          <c:h val="0.78285315297126323"/>
        </c:manualLayout>
      </c:layout>
      <c:pieChart>
        <c:varyColors val="1"/>
        <c:ser>
          <c:idx val="1"/>
          <c:order val="0"/>
          <c:tx>
            <c:strRef>
              <c:f>'Gráficos (B5)'!$J$4:$K$4</c:f>
              <c:strCache>
                <c:ptCount val="1"/>
                <c:pt idx="0">
                  <c:v>FDD - ETR3 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A9-714E-AD72-30F1AE4FE9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A9-714E-AD72-30F1AE4FE9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A9-714E-AD72-30F1AE4FE92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A9-714E-AD72-30F1AE4FE92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DA9-714E-AD72-30F1AE4FE92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DA9-714E-AD72-30F1AE4FE9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'Resumo (B2)'!$B$142:$B$147</c:f>
              <c:strCache>
                <c:ptCount val="6"/>
                <c:pt idx="0">
                  <c:v>Água captada pela ETA (anual)</c:v>
                </c:pt>
                <c:pt idx="1">
                  <c:v>Operação da ETR (anual)</c:v>
                </c:pt>
                <c:pt idx="2">
                  <c:v>Produtos químicos (anual)</c:v>
                </c:pt>
                <c:pt idx="3">
                  <c:v>Energia elétrica (anual)</c:v>
                </c:pt>
                <c:pt idx="4">
                  <c:v>Pessoal para operação e administração (anual) (com leis sociais)</c:v>
                </c:pt>
                <c:pt idx="5">
                  <c:v>Controle de qualidade da água - laboratório externo (anual)</c:v>
                </c:pt>
              </c:strCache>
            </c:strRef>
          </c:cat>
          <c:val>
            <c:numRef>
              <c:f>'Resumo (B2)'!$C$142:$C$147</c:f>
              <c:numCache>
                <c:formatCode>_("R$"* #,##0.00_);_("R$"* \(#,##0.00\);_("R$"* "-"??_);_(@_)</c:formatCode>
                <c:ptCount val="6"/>
                <c:pt idx="0">
                  <c:v>43545.600000000006</c:v>
                </c:pt>
                <c:pt idx="1">
                  <c:v>8409.24</c:v>
                </c:pt>
                <c:pt idx="2">
                  <c:v>41371.200000000004</c:v>
                </c:pt>
                <c:pt idx="3">
                  <c:v>9652.3055999999997</c:v>
                </c:pt>
                <c:pt idx="4">
                  <c:v>477355.10111999995</c:v>
                </c:pt>
                <c:pt idx="5">
                  <c:v>10994.290000000008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51-A545-9FD0-AADBF69313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Investimento</a:t>
            </a:r>
            <a:r>
              <a:rPr lang="en-US" b="1" baseline="0">
                <a:solidFill>
                  <a:sysClr val="windowText" lastClr="000000"/>
                </a:solidFill>
              </a:rPr>
              <a:t> Inicial (com BDI)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'Seleção (S)'!$C$11:$C$12</c:f>
              <c:strCache>
                <c:ptCount val="2"/>
                <c:pt idx="0">
                  <c:v>Investimento Inicial (com BDI)</c:v>
                </c:pt>
                <c:pt idx="1">
                  <c:v>ETA</c:v>
                </c:pt>
              </c:strCache>
            </c:strRef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(S)'!$C$13:$C$42</c:f>
              <c:numCache>
                <c:formatCode>_("R$"* #,##0.00_);_("R$"* \(#,##0.00\);_("R$"* "-"??_);_(@_)</c:formatCode>
                <c:ptCount val="30"/>
                <c:pt idx="0">
                  <c:v>1045694.3504419522</c:v>
                </c:pt>
                <c:pt idx="1">
                  <c:v>1065527.2548767754</c:v>
                </c:pt>
                <c:pt idx="2">
                  <c:v>1085103.4428147029</c:v>
                </c:pt>
                <c:pt idx="3">
                  <c:v>904388.52651680948</c:v>
                </c:pt>
                <c:pt idx="4">
                  <c:v>924225.90186626266</c:v>
                </c:pt>
                <c:pt idx="5">
                  <c:v>943936.48912278225</c:v>
                </c:pt>
                <c:pt idx="6">
                  <c:v>1045694.3504419522</c:v>
                </c:pt>
                <c:pt idx="7">
                  <c:v>1085194.777577243</c:v>
                </c:pt>
                <c:pt idx="8">
                  <c:v>904388.52651680948</c:v>
                </c:pt>
                <c:pt idx="9">
                  <c:v>946331.10993066232</c:v>
                </c:pt>
                <c:pt idx="10">
                  <c:v>1051111.0820469197</c:v>
                </c:pt>
                <c:pt idx="11">
                  <c:v>1051247.0573040885</c:v>
                </c:pt>
                <c:pt idx="12">
                  <c:v>1080853.2389439258</c:v>
                </c:pt>
                <c:pt idx="13">
                  <c:v>920096.78923405893</c:v>
                </c:pt>
                <c:pt idx="14">
                  <c:v>922845.21336119564</c:v>
                </c:pt>
                <c:pt idx="15">
                  <c:v>949838.94613106514</c:v>
                </c:pt>
                <c:pt idx="16">
                  <c:v>1051111.0820469197</c:v>
                </c:pt>
                <c:pt idx="17">
                  <c:v>1078811.3706888477</c:v>
                </c:pt>
                <c:pt idx="18">
                  <c:v>920096.78923405893</c:v>
                </c:pt>
                <c:pt idx="19">
                  <c:v>947797.07787598681</c:v>
                </c:pt>
                <c:pt idx="20">
                  <c:v>972628.47568198631</c:v>
                </c:pt>
                <c:pt idx="21">
                  <c:v>976398.66096304415</c:v>
                </c:pt>
                <c:pt idx="22">
                  <c:v>999261.83156992216</c:v>
                </c:pt>
                <c:pt idx="23">
                  <c:v>852628.56292265269</c:v>
                </c:pt>
                <c:pt idx="24">
                  <c:v>861388.47837979847</c:v>
                </c:pt>
                <c:pt idx="25">
                  <c:v>881786.8584940224</c:v>
                </c:pt>
                <c:pt idx="26">
                  <c:v>972628.47568198631</c:v>
                </c:pt>
                <c:pt idx="27">
                  <c:v>996052.45420846611</c:v>
                </c:pt>
                <c:pt idx="28">
                  <c:v>878443.43039965257</c:v>
                </c:pt>
                <c:pt idx="29">
                  <c:v>880765.88871937268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D-0145-838B-D57C51FB0ADA}"/>
            </c:ext>
          </c:extLst>
        </c:ser>
        <c:ser>
          <c:idx val="0"/>
          <c:order val="1"/>
          <c:tx>
            <c:strRef>
              <c:f>'Seleção (S)'!$D$11:$D$12</c:f>
              <c:strCache>
                <c:ptCount val="2"/>
                <c:pt idx="0">
                  <c:v>Investimento Inicial (com BDI)</c:v>
                </c:pt>
                <c:pt idx="1">
                  <c:v>ETR</c:v>
                </c:pt>
              </c:strCache>
            </c:strRef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(S)'!$D$13:$D$42</c:f>
              <c:numCache>
                <c:formatCode>_("R$"* #,##0.00_);_("R$"* \(#,##0.00\);_("R$"* "-"??_);_(@_)</c:formatCode>
                <c:ptCount val="30"/>
                <c:pt idx="0">
                  <c:v>383036.64220356912</c:v>
                </c:pt>
                <c:pt idx="1">
                  <c:v>271849.25287422002</c:v>
                </c:pt>
                <c:pt idx="2">
                  <c:v>133257.25711558538</c:v>
                </c:pt>
                <c:pt idx="3">
                  <c:v>383082.78138191317</c:v>
                </c:pt>
                <c:pt idx="4">
                  <c:v>271864.840494212</c:v>
                </c:pt>
                <c:pt idx="5">
                  <c:v>133348.22964754899</c:v>
                </c:pt>
                <c:pt idx="6">
                  <c:v>386527.1728083191</c:v>
                </c:pt>
                <c:pt idx="7">
                  <c:v>116142.26506289681</c:v>
                </c:pt>
                <c:pt idx="8">
                  <c:v>386573.3119866632</c:v>
                </c:pt>
                <c:pt idx="9">
                  <c:v>117719.60886306039</c:v>
                </c:pt>
                <c:pt idx="10">
                  <c:v>345280.85523611546</c:v>
                </c:pt>
                <c:pt idx="11">
                  <c:v>219099.18025830522</c:v>
                </c:pt>
                <c:pt idx="12">
                  <c:v>135777.06902061959</c:v>
                </c:pt>
                <c:pt idx="13">
                  <c:v>345280.85523611546</c:v>
                </c:pt>
                <c:pt idx="14">
                  <c:v>224696.08400685599</c:v>
                </c:pt>
                <c:pt idx="15">
                  <c:v>135777.06902061959</c:v>
                </c:pt>
                <c:pt idx="16">
                  <c:v>347102.58873841737</c:v>
                </c:pt>
                <c:pt idx="17">
                  <c:v>129409.6313337618</c:v>
                </c:pt>
                <c:pt idx="18">
                  <c:v>347102.58873841737</c:v>
                </c:pt>
                <c:pt idx="19">
                  <c:v>129409.6313337618</c:v>
                </c:pt>
                <c:pt idx="20">
                  <c:v>332717.79217733839</c:v>
                </c:pt>
                <c:pt idx="21">
                  <c:v>210891.3844645776</c:v>
                </c:pt>
                <c:pt idx="22">
                  <c:v>122027.55316541999</c:v>
                </c:pt>
                <c:pt idx="23">
                  <c:v>330923.58098646841</c:v>
                </c:pt>
                <c:pt idx="24">
                  <c:v>213155.36642229758</c:v>
                </c:pt>
                <c:pt idx="25">
                  <c:v>122026.4287502904</c:v>
                </c:pt>
                <c:pt idx="26">
                  <c:v>334543.22302489477</c:v>
                </c:pt>
                <c:pt idx="27">
                  <c:v>117909.33236101602</c:v>
                </c:pt>
                <c:pt idx="28">
                  <c:v>267801.57663662481</c:v>
                </c:pt>
                <c:pt idx="29">
                  <c:v>119393.93164270601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4D-0145-838B-D57C51FB0ADA}"/>
            </c:ext>
          </c:extLst>
        </c:ser>
        <c:ser>
          <c:idx val="1"/>
          <c:order val="2"/>
          <c:tx>
            <c:strRef>
              <c:f>'Seleção (S)'!$E$11:$E$12</c:f>
              <c:strCache>
                <c:ptCount val="2"/>
                <c:pt idx="0">
                  <c:v>Investimento Inicial (com BDI)</c:v>
                </c:pt>
                <c:pt idx="1">
                  <c:v>Total</c:v>
                </c:pt>
              </c:strCache>
            </c:strRef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(S)'!$E$13:$E$42</c:f>
              <c:numCache>
                <c:formatCode>_("R$"* #,##0.00_);_("R$"* \(#,##0.00\);_("R$"* "-"??_);_(@_)</c:formatCode>
                <c:ptCount val="30"/>
                <c:pt idx="0">
                  <c:v>1428730.9926455214</c:v>
                </c:pt>
                <c:pt idx="1">
                  <c:v>1337376.5077509955</c:v>
                </c:pt>
                <c:pt idx="2">
                  <c:v>1218360.6999302884</c:v>
                </c:pt>
                <c:pt idx="3">
                  <c:v>1287471.3078987226</c:v>
                </c:pt>
                <c:pt idx="4">
                  <c:v>1196090.7423604745</c:v>
                </c:pt>
                <c:pt idx="5">
                  <c:v>1077284.7187703312</c:v>
                </c:pt>
                <c:pt idx="6">
                  <c:v>1432221.5232502713</c:v>
                </c:pt>
                <c:pt idx="7">
                  <c:v>1201337.0426401398</c:v>
                </c:pt>
                <c:pt idx="8">
                  <c:v>1290961.8385034727</c:v>
                </c:pt>
                <c:pt idx="9">
                  <c:v>1064050.7187937228</c:v>
                </c:pt>
                <c:pt idx="10">
                  <c:v>1396391.9372830351</c:v>
                </c:pt>
                <c:pt idx="11">
                  <c:v>1270346.2375623938</c:v>
                </c:pt>
                <c:pt idx="12">
                  <c:v>1216630.3079645454</c:v>
                </c:pt>
                <c:pt idx="13">
                  <c:v>1265377.6444701743</c:v>
                </c:pt>
                <c:pt idx="14">
                  <c:v>1147541.2973680517</c:v>
                </c:pt>
                <c:pt idx="15">
                  <c:v>1085616.0151516846</c:v>
                </c:pt>
                <c:pt idx="16">
                  <c:v>1398213.6707853372</c:v>
                </c:pt>
                <c:pt idx="17">
                  <c:v>1208221.0020226096</c:v>
                </c:pt>
                <c:pt idx="18">
                  <c:v>1267199.3779724762</c:v>
                </c:pt>
                <c:pt idx="19">
                  <c:v>1077206.7092097485</c:v>
                </c:pt>
                <c:pt idx="20">
                  <c:v>1305346.2678593248</c:v>
                </c:pt>
                <c:pt idx="21">
                  <c:v>1187290.0454276218</c:v>
                </c:pt>
                <c:pt idx="22">
                  <c:v>1121289.3847353421</c:v>
                </c:pt>
                <c:pt idx="23">
                  <c:v>1183552.1439091212</c:v>
                </c:pt>
                <c:pt idx="24">
                  <c:v>1074543.844802096</c:v>
                </c:pt>
                <c:pt idx="25">
                  <c:v>1003813.2872443128</c:v>
                </c:pt>
                <c:pt idx="26">
                  <c:v>1307171.6987068811</c:v>
                </c:pt>
                <c:pt idx="27">
                  <c:v>1113961.7865694822</c:v>
                </c:pt>
                <c:pt idx="28">
                  <c:v>1146245.0070362773</c:v>
                </c:pt>
                <c:pt idx="29">
                  <c:v>1000159.8203620787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4D-0145-838B-D57C51FB0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699120"/>
        <c:axId val="842701296"/>
      </c:barChart>
      <c:catAx>
        <c:axId val="84269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2701296"/>
        <c:crosses val="autoZero"/>
        <c:auto val="1"/>
        <c:lblAlgn val="ctr"/>
        <c:lblOffset val="100"/>
        <c:noMultiLvlLbl val="0"/>
      </c:catAx>
      <c:valAx>
        <c:axId val="84270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269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43132491874096"/>
          <c:y val="1.1478668716706298E-3"/>
          <c:w val="0.15467803487754214"/>
          <c:h val="0.1152072607510599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Caixas</a:t>
            </a:r>
            <a:r>
              <a:rPr lang="en-US" b="1" baseline="0">
                <a:solidFill>
                  <a:sysClr val="windowText" lastClr="000000"/>
                </a:solidFill>
              </a:rPr>
              <a:t> de passagem e de inspeção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0"/>
          <c:order val="0"/>
          <c:tx>
            <c:v>Caixas de passagem e de inspeção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(B2)'!$C$20:$AF$20</c:f>
              <c:numCache>
                <c:formatCode>_("R$"* #,##0.00_);_("R$"* \(#,##0.00\);_("R$"* "-"??_);_(@_)</c:formatCode>
                <c:ptCount val="30"/>
                <c:pt idx="0">
                  <c:v>2372.8210280000003</c:v>
                </c:pt>
                <c:pt idx="1">
                  <c:v>2401.4385419999999</c:v>
                </c:pt>
                <c:pt idx="2">
                  <c:v>1954.7750839999999</c:v>
                </c:pt>
                <c:pt idx="3">
                  <c:v>2372.8210280000003</c:v>
                </c:pt>
                <c:pt idx="4">
                  <c:v>2401.4385419999999</c:v>
                </c:pt>
                <c:pt idx="5">
                  <c:v>1954.7750839999999</c:v>
                </c:pt>
                <c:pt idx="6">
                  <c:v>2372.8210280000003</c:v>
                </c:pt>
                <c:pt idx="7">
                  <c:v>1954.7750839999999</c:v>
                </c:pt>
                <c:pt idx="8">
                  <c:v>2372.8210280000003</c:v>
                </c:pt>
                <c:pt idx="9">
                  <c:v>1954.7750839999999</c:v>
                </c:pt>
                <c:pt idx="10">
                  <c:v>1148.7519440000001</c:v>
                </c:pt>
                <c:pt idx="11">
                  <c:v>1151.5101800000002</c:v>
                </c:pt>
                <c:pt idx="12">
                  <c:v>1147.9467119999999</c:v>
                </c:pt>
                <c:pt idx="13">
                  <c:v>1148.7519440000001</c:v>
                </c:pt>
                <c:pt idx="14">
                  <c:v>1151.5101800000002</c:v>
                </c:pt>
                <c:pt idx="15">
                  <c:v>1147.9467119999999</c:v>
                </c:pt>
                <c:pt idx="16">
                  <c:v>1148.7519440000001</c:v>
                </c:pt>
                <c:pt idx="17">
                  <c:v>1148.7519440000001</c:v>
                </c:pt>
                <c:pt idx="18">
                  <c:v>1148.7519440000001</c:v>
                </c:pt>
                <c:pt idx="19">
                  <c:v>1148.7519440000001</c:v>
                </c:pt>
                <c:pt idx="20">
                  <c:v>1717.1605399999999</c:v>
                </c:pt>
                <c:pt idx="21">
                  <c:v>1717.1605399999999</c:v>
                </c:pt>
                <c:pt idx="22">
                  <c:v>1717.1605399999999</c:v>
                </c:pt>
                <c:pt idx="23">
                  <c:v>1717.1605399999999</c:v>
                </c:pt>
                <c:pt idx="24">
                  <c:v>1717.1605399999999</c:v>
                </c:pt>
                <c:pt idx="25">
                  <c:v>1717.1605399999999</c:v>
                </c:pt>
                <c:pt idx="26">
                  <c:v>1717.1605399999999</c:v>
                </c:pt>
                <c:pt idx="27">
                  <c:v>1717.1605399999999</c:v>
                </c:pt>
                <c:pt idx="28">
                  <c:v>1717.1605399999999</c:v>
                </c:pt>
                <c:pt idx="29">
                  <c:v>1717.1605399999999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CE-E144-8980-D39671282A8C}"/>
            </c:ext>
          </c:extLst>
        </c:ser>
        <c:ser>
          <c:idx val="1"/>
          <c:order val="1"/>
          <c:tx>
            <c:v>Caixas de passagem e de inspeção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(B2)'!$C$21:$AF$21</c:f>
              <c:numCache>
                <c:formatCode>_("R$"* #,##0.00_);_("R$"* \(#,##0.00\);_("R$"* "-"??_);_(@_)</c:formatCode>
                <c:ptCount val="30"/>
                <c:pt idx="0">
                  <c:v>616.88656400000013</c:v>
                </c:pt>
                <c:pt idx="1">
                  <c:v>4671.0221300000003</c:v>
                </c:pt>
                <c:pt idx="2">
                  <c:v>0</c:v>
                </c:pt>
                <c:pt idx="3">
                  <c:v>616.88656400000013</c:v>
                </c:pt>
                <c:pt idx="4">
                  <c:v>4671.0221300000003</c:v>
                </c:pt>
                <c:pt idx="5">
                  <c:v>0</c:v>
                </c:pt>
                <c:pt idx="6">
                  <c:v>616.88656400000013</c:v>
                </c:pt>
                <c:pt idx="7">
                  <c:v>0</c:v>
                </c:pt>
                <c:pt idx="8">
                  <c:v>616.88656400000013</c:v>
                </c:pt>
                <c:pt idx="9">
                  <c:v>0</c:v>
                </c:pt>
                <c:pt idx="10">
                  <c:v>616.05308100000002</c:v>
                </c:pt>
                <c:pt idx="11">
                  <c:v>4008.8803040000003</c:v>
                </c:pt>
                <c:pt idx="12">
                  <c:v>0</c:v>
                </c:pt>
                <c:pt idx="13">
                  <c:v>616.05308100000002</c:v>
                </c:pt>
                <c:pt idx="14">
                  <c:v>4008.8803040000003</c:v>
                </c:pt>
                <c:pt idx="15">
                  <c:v>0</c:v>
                </c:pt>
                <c:pt idx="16">
                  <c:v>616.05308100000002</c:v>
                </c:pt>
                <c:pt idx="17">
                  <c:v>616.05308100000002</c:v>
                </c:pt>
                <c:pt idx="18">
                  <c:v>616.05308100000002</c:v>
                </c:pt>
                <c:pt idx="19">
                  <c:v>616.05308100000002</c:v>
                </c:pt>
                <c:pt idx="20">
                  <c:v>644.01894399999992</c:v>
                </c:pt>
                <c:pt idx="21">
                  <c:v>4029.9489299999996</c:v>
                </c:pt>
                <c:pt idx="22">
                  <c:v>0</c:v>
                </c:pt>
                <c:pt idx="23">
                  <c:v>644.01894399999992</c:v>
                </c:pt>
                <c:pt idx="24">
                  <c:v>4029.9489299999996</c:v>
                </c:pt>
                <c:pt idx="25">
                  <c:v>0</c:v>
                </c:pt>
                <c:pt idx="26">
                  <c:v>644.01894399999992</c:v>
                </c:pt>
                <c:pt idx="27">
                  <c:v>644.01894399999992</c:v>
                </c:pt>
                <c:pt idx="28">
                  <c:v>644.01894399999992</c:v>
                </c:pt>
                <c:pt idx="29">
                  <c:v>644.01894399999992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CE-E144-8980-D39671282A8C}"/>
            </c:ext>
          </c:extLst>
        </c:ser>
        <c:ser>
          <c:idx val="2"/>
          <c:order val="2"/>
          <c:tx>
            <c:v>Caixas de passagem e de inspeção (total)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(B2)'!$C$19:$AF$19</c:f>
              <c:numCache>
                <c:formatCode>_("R$"* #,##0.00_);_("R$"* \(#,##0.00\);_("R$"* "-"??_);_(@_)</c:formatCode>
                <c:ptCount val="30"/>
                <c:pt idx="0">
                  <c:v>2989.7075920000007</c:v>
                </c:pt>
                <c:pt idx="1">
                  <c:v>7072.4606720000002</c:v>
                </c:pt>
                <c:pt idx="2">
                  <c:v>1954.7750839999999</c:v>
                </c:pt>
                <c:pt idx="3">
                  <c:v>2989.7075920000007</c:v>
                </c:pt>
                <c:pt idx="4">
                  <c:v>7072.4606720000002</c:v>
                </c:pt>
                <c:pt idx="5">
                  <c:v>1954.7750839999999</c:v>
                </c:pt>
                <c:pt idx="6">
                  <c:v>2989.7075920000007</c:v>
                </c:pt>
                <c:pt idx="7">
                  <c:v>1954.7750839999999</c:v>
                </c:pt>
                <c:pt idx="8">
                  <c:v>2989.7075920000007</c:v>
                </c:pt>
                <c:pt idx="9">
                  <c:v>1954.7750839999999</c:v>
                </c:pt>
                <c:pt idx="10">
                  <c:v>1764.8050250000001</c:v>
                </c:pt>
                <c:pt idx="11">
                  <c:v>5160.3904840000005</c:v>
                </c:pt>
                <c:pt idx="12">
                  <c:v>1147.9467119999999</c:v>
                </c:pt>
                <c:pt idx="13">
                  <c:v>1764.8050250000001</c:v>
                </c:pt>
                <c:pt idx="14">
                  <c:v>5160.3904840000005</c:v>
                </c:pt>
                <c:pt idx="15">
                  <c:v>1147.9467119999999</c:v>
                </c:pt>
                <c:pt idx="16">
                  <c:v>1764.8050250000001</c:v>
                </c:pt>
                <c:pt idx="17">
                  <c:v>1764.8050250000001</c:v>
                </c:pt>
                <c:pt idx="18">
                  <c:v>1764.8050250000001</c:v>
                </c:pt>
                <c:pt idx="19">
                  <c:v>1764.8050250000001</c:v>
                </c:pt>
                <c:pt idx="20">
                  <c:v>2361.1794839999998</c:v>
                </c:pt>
                <c:pt idx="21">
                  <c:v>5747.1094699999994</c:v>
                </c:pt>
                <c:pt idx="22">
                  <c:v>1717.1605399999999</c:v>
                </c:pt>
                <c:pt idx="23">
                  <c:v>2361.1794839999998</c:v>
                </c:pt>
                <c:pt idx="24">
                  <c:v>5747.1094699999994</c:v>
                </c:pt>
                <c:pt idx="25">
                  <c:v>1717.1605399999999</c:v>
                </c:pt>
                <c:pt idx="26">
                  <c:v>2361.1794839999998</c:v>
                </c:pt>
                <c:pt idx="27">
                  <c:v>2361.1794839999998</c:v>
                </c:pt>
                <c:pt idx="28">
                  <c:v>2361.1794839999998</c:v>
                </c:pt>
                <c:pt idx="29">
                  <c:v>2361.1794839999998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E-E144-8980-D39671282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2928"/>
        <c:axId val="803633472"/>
      </c:barChart>
      <c:catAx>
        <c:axId val="8036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3472"/>
        <c:crosses val="autoZero"/>
        <c:auto val="1"/>
        <c:lblAlgn val="ctr"/>
        <c:lblOffset val="100"/>
        <c:noMultiLvlLbl val="0"/>
      </c:catAx>
      <c:valAx>
        <c:axId val="80363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617423783565514"/>
          <c:y val="1.0515771327400624E-3"/>
          <c:w val="0.16289232115216368"/>
          <c:h val="0.1138464493064070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Funcionamento</a:t>
            </a:r>
            <a:r>
              <a:rPr lang="en-US" b="1" baseline="0">
                <a:solidFill>
                  <a:sysClr val="windowText" lastClr="000000"/>
                </a:solidFill>
              </a:rPr>
              <a:t> (com leis sociais) (anual)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2"/>
          <c:order val="0"/>
          <c:tx>
            <c:v>Funcionamento (com leis sociais) (anual) ETA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(S)'!$F$13:$F$42</c:f>
              <c:numCache>
                <c:formatCode>_("R$"* #,##0.00_);_("R$"* \(#,##0.00\);_("R$"* "-"??_);_(@_)</c:formatCode>
                <c:ptCount val="30"/>
                <c:pt idx="0">
                  <c:v>585934.83975999954</c:v>
                </c:pt>
                <c:pt idx="1">
                  <c:v>587096.04232000001</c:v>
                </c:pt>
                <c:pt idx="2">
                  <c:v>577626.02631999995</c:v>
                </c:pt>
                <c:pt idx="3">
                  <c:v>585934.83975999954</c:v>
                </c:pt>
                <c:pt idx="4">
                  <c:v>587096.04232000001</c:v>
                </c:pt>
                <c:pt idx="5">
                  <c:v>577626.02631999995</c:v>
                </c:pt>
                <c:pt idx="6">
                  <c:v>585934.83975999954</c:v>
                </c:pt>
                <c:pt idx="7">
                  <c:v>577626.02631999995</c:v>
                </c:pt>
                <c:pt idx="8">
                  <c:v>585934.83975999954</c:v>
                </c:pt>
                <c:pt idx="9">
                  <c:v>577626.02631999995</c:v>
                </c:pt>
                <c:pt idx="10">
                  <c:v>578241.41032000002</c:v>
                </c:pt>
                <c:pt idx="11">
                  <c:v>579402.62632000004</c:v>
                </c:pt>
                <c:pt idx="12">
                  <c:v>578241.41032000002</c:v>
                </c:pt>
                <c:pt idx="13">
                  <c:v>578241.41032000002</c:v>
                </c:pt>
                <c:pt idx="14">
                  <c:v>579402.62632000004</c:v>
                </c:pt>
                <c:pt idx="15">
                  <c:v>578241.41032000002</c:v>
                </c:pt>
                <c:pt idx="16">
                  <c:v>578241.41032000002</c:v>
                </c:pt>
                <c:pt idx="17">
                  <c:v>578241.41032000002</c:v>
                </c:pt>
                <c:pt idx="18">
                  <c:v>578241.41032000002</c:v>
                </c:pt>
                <c:pt idx="19">
                  <c:v>578241.41032000002</c:v>
                </c:pt>
                <c:pt idx="20">
                  <c:v>578241.37672000006</c:v>
                </c:pt>
                <c:pt idx="21">
                  <c:v>579402.59271999996</c:v>
                </c:pt>
                <c:pt idx="22">
                  <c:v>578241.37672000006</c:v>
                </c:pt>
                <c:pt idx="23">
                  <c:v>578241.37672000006</c:v>
                </c:pt>
                <c:pt idx="24">
                  <c:v>579402.59271999996</c:v>
                </c:pt>
                <c:pt idx="25">
                  <c:v>578241.37672000006</c:v>
                </c:pt>
                <c:pt idx="26">
                  <c:v>578241.37672000006</c:v>
                </c:pt>
                <c:pt idx="27">
                  <c:v>578241.37672000006</c:v>
                </c:pt>
                <c:pt idx="28">
                  <c:v>578241.37672000006</c:v>
                </c:pt>
                <c:pt idx="29">
                  <c:v>578241.37672000006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6-2D41-8428-F14BAA2387E8}"/>
            </c:ext>
          </c:extLst>
        </c:ser>
        <c:ser>
          <c:idx val="0"/>
          <c:order val="1"/>
          <c:tx>
            <c:v>Funcionamento (com leis sociais) (anual) ETR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(S)'!$G$13:$G$42</c:f>
              <c:numCache>
                <c:formatCode>_("R$"* #,##0.00_);_("R$"* \(#,##0.00\);_("R$"* "-"??_);_(@_)</c:formatCode>
                <c:ptCount val="30"/>
                <c:pt idx="0">
                  <c:v>14448.716640000001</c:v>
                </c:pt>
                <c:pt idx="1">
                  <c:v>12588.01584</c:v>
                </c:pt>
                <c:pt idx="2">
                  <c:v>15445.363079999999</c:v>
                </c:pt>
                <c:pt idx="3">
                  <c:v>14448.716640000001</c:v>
                </c:pt>
                <c:pt idx="4">
                  <c:v>12588.01584</c:v>
                </c:pt>
                <c:pt idx="5">
                  <c:v>15445.363079999999</c:v>
                </c:pt>
                <c:pt idx="6">
                  <c:v>14448.716640000001</c:v>
                </c:pt>
                <c:pt idx="7">
                  <c:v>15445.363079999999</c:v>
                </c:pt>
                <c:pt idx="8">
                  <c:v>14448.716640000001</c:v>
                </c:pt>
                <c:pt idx="9">
                  <c:v>15445.363079999999</c:v>
                </c:pt>
                <c:pt idx="10">
                  <c:v>9510.6676709999992</c:v>
                </c:pt>
                <c:pt idx="11">
                  <c:v>9346.1008709999987</c:v>
                </c:pt>
                <c:pt idx="12">
                  <c:v>16999.2</c:v>
                </c:pt>
                <c:pt idx="13">
                  <c:v>9510.6676709999992</c:v>
                </c:pt>
                <c:pt idx="14">
                  <c:v>9346.1008709999987</c:v>
                </c:pt>
                <c:pt idx="15">
                  <c:v>16999.2</c:v>
                </c:pt>
                <c:pt idx="16">
                  <c:v>9510.6676709999992</c:v>
                </c:pt>
                <c:pt idx="17">
                  <c:v>16999.2</c:v>
                </c:pt>
                <c:pt idx="18">
                  <c:v>9510.6676709999992</c:v>
                </c:pt>
                <c:pt idx="19">
                  <c:v>16999.2</c:v>
                </c:pt>
                <c:pt idx="20">
                  <c:v>9476.599929</c:v>
                </c:pt>
                <c:pt idx="21">
                  <c:v>7615.8991289999994</c:v>
                </c:pt>
                <c:pt idx="22">
                  <c:v>13086.36</c:v>
                </c:pt>
                <c:pt idx="23">
                  <c:v>9476.599929</c:v>
                </c:pt>
                <c:pt idx="24">
                  <c:v>7615.8991289999994</c:v>
                </c:pt>
                <c:pt idx="25">
                  <c:v>13086.36</c:v>
                </c:pt>
                <c:pt idx="26">
                  <c:v>9476.599929</c:v>
                </c:pt>
                <c:pt idx="27">
                  <c:v>13086.36</c:v>
                </c:pt>
                <c:pt idx="28">
                  <c:v>9476.599929</c:v>
                </c:pt>
                <c:pt idx="29">
                  <c:v>13086.36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16-2D41-8428-F14BAA2387E8}"/>
            </c:ext>
          </c:extLst>
        </c:ser>
        <c:ser>
          <c:idx val="1"/>
          <c:order val="2"/>
          <c:tx>
            <c:v>Funcionamento (com leis sociais) (anual) Total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(S)'!$H$13:$H$42</c:f>
              <c:numCache>
                <c:formatCode>_("R$"* #,##0.00_);_("R$"* \(#,##0.00\);_("R$"* "-"??_);_(@_)</c:formatCode>
                <c:ptCount val="30"/>
                <c:pt idx="0">
                  <c:v>600383.55639999954</c:v>
                </c:pt>
                <c:pt idx="1">
                  <c:v>599684.05816000002</c:v>
                </c:pt>
                <c:pt idx="2">
                  <c:v>593071.38939999999</c:v>
                </c:pt>
                <c:pt idx="3">
                  <c:v>600383.55639999954</c:v>
                </c:pt>
                <c:pt idx="4">
                  <c:v>599684.05816000002</c:v>
                </c:pt>
                <c:pt idx="5">
                  <c:v>593071.38939999999</c:v>
                </c:pt>
                <c:pt idx="6">
                  <c:v>600383.55639999954</c:v>
                </c:pt>
                <c:pt idx="7">
                  <c:v>593071.38939999999</c:v>
                </c:pt>
                <c:pt idx="8">
                  <c:v>600383.55639999954</c:v>
                </c:pt>
                <c:pt idx="9">
                  <c:v>593071.38939999999</c:v>
                </c:pt>
                <c:pt idx="10">
                  <c:v>587752.07799100003</c:v>
                </c:pt>
                <c:pt idx="11">
                  <c:v>588748.72719100001</c:v>
                </c:pt>
                <c:pt idx="12">
                  <c:v>595240.61031999998</c:v>
                </c:pt>
                <c:pt idx="13">
                  <c:v>587752.07799100003</c:v>
                </c:pt>
                <c:pt idx="14">
                  <c:v>588748.72719100001</c:v>
                </c:pt>
                <c:pt idx="15">
                  <c:v>595240.61031999998</c:v>
                </c:pt>
                <c:pt idx="16">
                  <c:v>587752.07799100003</c:v>
                </c:pt>
                <c:pt idx="17">
                  <c:v>595240.61031999998</c:v>
                </c:pt>
                <c:pt idx="18">
                  <c:v>587752.07799100003</c:v>
                </c:pt>
                <c:pt idx="19">
                  <c:v>595240.61031999998</c:v>
                </c:pt>
                <c:pt idx="20">
                  <c:v>587717.97664900008</c:v>
                </c:pt>
                <c:pt idx="21">
                  <c:v>587018.49184899998</c:v>
                </c:pt>
                <c:pt idx="22">
                  <c:v>591327.73672000004</c:v>
                </c:pt>
                <c:pt idx="23">
                  <c:v>587717.97664900008</c:v>
                </c:pt>
                <c:pt idx="24">
                  <c:v>587018.49184899998</c:v>
                </c:pt>
                <c:pt idx="25">
                  <c:v>591327.73672000004</c:v>
                </c:pt>
                <c:pt idx="26">
                  <c:v>587717.97664900008</c:v>
                </c:pt>
                <c:pt idx="27">
                  <c:v>591327.73672000004</c:v>
                </c:pt>
                <c:pt idx="28">
                  <c:v>587717.97664900008</c:v>
                </c:pt>
                <c:pt idx="29">
                  <c:v>591327.73672000004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16-2D41-8428-F14BAA238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699664"/>
        <c:axId val="842701840"/>
      </c:barChart>
      <c:catAx>
        <c:axId val="8426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2701840"/>
        <c:crosses val="autoZero"/>
        <c:auto val="1"/>
        <c:lblAlgn val="ctr"/>
        <c:lblOffset val="100"/>
        <c:noMultiLvlLbl val="0"/>
      </c:catAx>
      <c:valAx>
        <c:axId val="84270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26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30847371072479"/>
          <c:y val="1.1478668716706298E-3"/>
          <c:w val="0.18880095509533701"/>
          <c:h val="0.114641315869170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Valor Presente</a:t>
            </a:r>
            <a:r>
              <a:rPr lang="en-US" b="1" baseline="0">
                <a:solidFill>
                  <a:sysClr val="windowText" lastClr="000000"/>
                </a:solidFill>
              </a:rPr>
              <a:t> (com BDI e leis sociais)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2"/>
          <c:order val="0"/>
          <c:tx>
            <c:v>Valor Presente (com BDI e leis sociais) ETA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(S)'!$I$13:$I$42</c:f>
              <c:numCache>
                <c:formatCode>_("R$"* #,##0.00_);_("R$"* \(#,##0.00\);_("R$"* "-"??_);_(@_)</c:formatCode>
                <c:ptCount val="30"/>
                <c:pt idx="0">
                  <c:v>4753636.378173355</c:v>
                </c:pt>
                <c:pt idx="1">
                  <c:v>4780817.6624667626</c:v>
                </c:pt>
                <c:pt idx="2">
                  <c:v>4740465.2236241559</c:v>
                </c:pt>
                <c:pt idx="3">
                  <c:v>4612330.5542482119</c:v>
                </c:pt>
                <c:pt idx="4">
                  <c:v>4639516.3094562497</c:v>
                </c:pt>
                <c:pt idx="5">
                  <c:v>4599298.2699322347</c:v>
                </c:pt>
                <c:pt idx="6">
                  <c:v>4753636.378173355</c:v>
                </c:pt>
                <c:pt idx="7">
                  <c:v>4740556.5583866956</c:v>
                </c:pt>
                <c:pt idx="8">
                  <c:v>4612330.5542482119</c:v>
                </c:pt>
                <c:pt idx="9">
                  <c:v>4601692.8907401152</c:v>
                </c:pt>
                <c:pt idx="10">
                  <c:v>4710367.1665262626</c:v>
                </c:pt>
                <c:pt idx="11">
                  <c:v>4717851.6066936897</c:v>
                </c:pt>
                <c:pt idx="12">
                  <c:v>4740109.3234232683</c:v>
                </c:pt>
                <c:pt idx="13">
                  <c:v>4579352.8737134021</c:v>
                </c:pt>
                <c:pt idx="14">
                  <c:v>4589449.762750797</c:v>
                </c:pt>
                <c:pt idx="15">
                  <c:v>4609095.0306104077</c:v>
                </c:pt>
                <c:pt idx="16">
                  <c:v>4710367.1665262626</c:v>
                </c:pt>
                <c:pt idx="17">
                  <c:v>4738067.4551681904</c:v>
                </c:pt>
                <c:pt idx="18">
                  <c:v>4579352.8737134021</c:v>
                </c:pt>
                <c:pt idx="19">
                  <c:v>4607053.1623553298</c:v>
                </c:pt>
                <c:pt idx="20">
                  <c:v>4631884.3475321364</c:v>
                </c:pt>
                <c:pt idx="21">
                  <c:v>4643002.9977234518</c:v>
                </c:pt>
                <c:pt idx="22">
                  <c:v>4658517.7034200728</c:v>
                </c:pt>
                <c:pt idx="23">
                  <c:v>4511884.4347728025</c:v>
                </c:pt>
                <c:pt idx="24">
                  <c:v>4527992.8151402064</c:v>
                </c:pt>
                <c:pt idx="25">
                  <c:v>4541042.7303441726</c:v>
                </c:pt>
                <c:pt idx="26">
                  <c:v>4631884.3475321364</c:v>
                </c:pt>
                <c:pt idx="27">
                  <c:v>4655308.3260586159</c:v>
                </c:pt>
                <c:pt idx="28">
                  <c:v>4537699.3022498023</c:v>
                </c:pt>
                <c:pt idx="29">
                  <c:v>4540021.7605695231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9-C94C-9831-2D8E36FCE7F8}"/>
            </c:ext>
          </c:extLst>
        </c:ser>
        <c:ser>
          <c:idx val="0"/>
          <c:order val="1"/>
          <c:tx>
            <c:v>Valor Presente (com BDI e leis sociais) ETR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(S)'!$J$13:$J$42</c:f>
              <c:numCache>
                <c:formatCode>_("R$"* #,##0.00_);_("R$"* \(#,##0.00\);_("R$"* "-"??_);_(@_)</c:formatCode>
                <c:ptCount val="30"/>
                <c:pt idx="0">
                  <c:v>474471.73027271777</c:v>
                </c:pt>
                <c:pt idx="1">
                  <c:v>351509.36149312905</c:v>
                </c:pt>
                <c:pt idx="2">
                  <c:v>230999.37281118234</c:v>
                </c:pt>
                <c:pt idx="3">
                  <c:v>474517.86945106182</c:v>
                </c:pt>
                <c:pt idx="4">
                  <c:v>351524.94911312102</c:v>
                </c:pt>
                <c:pt idx="5">
                  <c:v>231090.34534314595</c:v>
                </c:pt>
                <c:pt idx="6">
                  <c:v>477962.26087746775</c:v>
                </c:pt>
                <c:pt idx="7">
                  <c:v>213884.38075849376</c:v>
                </c:pt>
                <c:pt idx="8">
                  <c:v>478008.40005581186</c:v>
                </c:pt>
                <c:pt idx="9">
                  <c:v>215461.72455865733</c:v>
                </c:pt>
                <c:pt idx="10">
                  <c:v>405466.73594519205</c:v>
                </c:pt>
                <c:pt idx="11">
                  <c:v>278243.6411495413</c:v>
                </c:pt>
                <c:pt idx="12">
                  <c:v>243352.25288172904</c:v>
                </c:pt>
                <c:pt idx="13">
                  <c:v>405466.73594519205</c:v>
                </c:pt>
                <c:pt idx="14">
                  <c:v>283840.54489809205</c:v>
                </c:pt>
                <c:pt idx="15">
                  <c:v>243352.25288172904</c:v>
                </c:pt>
                <c:pt idx="16">
                  <c:v>407288.46944749396</c:v>
                </c:pt>
                <c:pt idx="17">
                  <c:v>236984.81519487128</c:v>
                </c:pt>
                <c:pt idx="18">
                  <c:v>407288.46944749396</c:v>
                </c:pt>
                <c:pt idx="19">
                  <c:v>236984.81519487128</c:v>
                </c:pt>
                <c:pt idx="20">
                  <c:v>392688.08370519569</c:v>
                </c:pt>
                <c:pt idx="21">
                  <c:v>259086.69654219528</c:v>
                </c:pt>
                <c:pt idx="22">
                  <c:v>204841.30811110383</c:v>
                </c:pt>
                <c:pt idx="23">
                  <c:v>390893.87251432572</c:v>
                </c:pt>
                <c:pt idx="24">
                  <c:v>261350.67849991526</c:v>
                </c:pt>
                <c:pt idx="25">
                  <c:v>204840.18369597424</c:v>
                </c:pt>
                <c:pt idx="26">
                  <c:v>394513.51455275208</c:v>
                </c:pt>
                <c:pt idx="27">
                  <c:v>200723.08730669983</c:v>
                </c:pt>
                <c:pt idx="28">
                  <c:v>327771.86816448212</c:v>
                </c:pt>
                <c:pt idx="29">
                  <c:v>202207.68658838986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D9-C94C-9831-2D8E36FCE7F8}"/>
            </c:ext>
          </c:extLst>
        </c:ser>
        <c:ser>
          <c:idx val="1"/>
          <c:order val="2"/>
          <c:tx>
            <c:v>Valor Presente (com BDI e leis sociais) Total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'Seleção (S)'!$B$13:$B$42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'Seleção (S)'!$K$13:$K$42</c:f>
              <c:numCache>
                <c:formatCode>_("R$"* #,##0.00_);_("R$"* \(#,##0.00\);_("R$"* "-"??_);_(@_)</c:formatCode>
                <c:ptCount val="30"/>
                <c:pt idx="0">
                  <c:v>5228108.1084460728</c:v>
                </c:pt>
                <c:pt idx="1">
                  <c:v>5132327.0239598919</c:v>
                </c:pt>
                <c:pt idx="2">
                  <c:v>4971464.5964353383</c:v>
                </c:pt>
                <c:pt idx="3">
                  <c:v>5086848.4236992737</c:v>
                </c:pt>
                <c:pt idx="4">
                  <c:v>4991041.258569371</c:v>
                </c:pt>
                <c:pt idx="5">
                  <c:v>4830388.6152753802</c:v>
                </c:pt>
                <c:pt idx="6">
                  <c:v>5231598.6390508227</c:v>
                </c:pt>
                <c:pt idx="7">
                  <c:v>4954440.9391451897</c:v>
                </c:pt>
                <c:pt idx="8">
                  <c:v>5090338.9543040236</c:v>
                </c:pt>
                <c:pt idx="9">
                  <c:v>4817154.6152987722</c:v>
                </c:pt>
                <c:pt idx="10">
                  <c:v>5115833.9024714548</c:v>
                </c:pt>
                <c:pt idx="11">
                  <c:v>4996095.2478432311</c:v>
                </c:pt>
                <c:pt idx="12">
                  <c:v>4983461.5763049973</c:v>
                </c:pt>
                <c:pt idx="13">
                  <c:v>4984819.6096585942</c:v>
                </c:pt>
                <c:pt idx="14">
                  <c:v>4873290.3076488888</c:v>
                </c:pt>
                <c:pt idx="15">
                  <c:v>4852447.2834921367</c:v>
                </c:pt>
                <c:pt idx="16">
                  <c:v>5117655.6359737562</c:v>
                </c:pt>
                <c:pt idx="17">
                  <c:v>4975052.2703630617</c:v>
                </c:pt>
                <c:pt idx="18">
                  <c:v>4986641.3431608956</c:v>
                </c:pt>
                <c:pt idx="19">
                  <c:v>4844037.9775502011</c:v>
                </c:pt>
                <c:pt idx="20">
                  <c:v>5024572.4312373325</c:v>
                </c:pt>
                <c:pt idx="21">
                  <c:v>4902089.6942656469</c:v>
                </c:pt>
                <c:pt idx="22">
                  <c:v>4863359.011531177</c:v>
                </c:pt>
                <c:pt idx="23">
                  <c:v>4902778.3072871286</c:v>
                </c:pt>
                <c:pt idx="24">
                  <c:v>4789343.493640122</c:v>
                </c:pt>
                <c:pt idx="25">
                  <c:v>4745882.9140401464</c:v>
                </c:pt>
                <c:pt idx="26">
                  <c:v>5026397.8620848889</c:v>
                </c:pt>
                <c:pt idx="27">
                  <c:v>4856031.4133653156</c:v>
                </c:pt>
                <c:pt idx="28">
                  <c:v>4865471.1704142848</c:v>
                </c:pt>
                <c:pt idx="29">
                  <c:v>4742229.4471579129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D9-C94C-9831-2D8E36FC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703472"/>
        <c:axId val="842695312"/>
      </c:barChart>
      <c:catAx>
        <c:axId val="84270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2695312"/>
        <c:crosses val="autoZero"/>
        <c:auto val="1"/>
        <c:lblAlgn val="ctr"/>
        <c:lblOffset val="100"/>
        <c:noMultiLvlLbl val="0"/>
      </c:catAx>
      <c:valAx>
        <c:axId val="8426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4270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31308356394106"/>
          <c:y val="1.1478668716706298E-3"/>
          <c:w val="0.18279627623234213"/>
          <c:h val="0.114641315869170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Calçadas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Calçadas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(B2)'!$C$23:$AF$23</c:f>
              <c:numCache>
                <c:formatCode>_("R$"* #,##0.00_);_("R$"* \(#,##0.00\);_("R$"* "-"??_);_(@_)</c:formatCode>
                <c:ptCount val="30"/>
                <c:pt idx="0">
                  <c:v>12924.070400000002</c:v>
                </c:pt>
                <c:pt idx="1">
                  <c:v>13154.993810000002</c:v>
                </c:pt>
                <c:pt idx="2">
                  <c:v>15649.238550000002</c:v>
                </c:pt>
                <c:pt idx="3">
                  <c:v>12957.928510000002</c:v>
                </c:pt>
                <c:pt idx="4">
                  <c:v>13192.452270000002</c:v>
                </c:pt>
                <c:pt idx="5">
                  <c:v>15793.51375</c:v>
                </c:pt>
                <c:pt idx="6">
                  <c:v>12924.070400000002</c:v>
                </c:pt>
                <c:pt idx="7">
                  <c:v>15721.37615</c:v>
                </c:pt>
                <c:pt idx="8">
                  <c:v>12957.928510000002</c:v>
                </c:pt>
                <c:pt idx="9">
                  <c:v>15865.651350000002</c:v>
                </c:pt>
                <c:pt idx="10">
                  <c:v>13563.063599999999</c:v>
                </c:pt>
                <c:pt idx="11">
                  <c:v>12586.733880000002</c:v>
                </c:pt>
                <c:pt idx="12">
                  <c:v>15246.957880000002</c:v>
                </c:pt>
                <c:pt idx="13">
                  <c:v>13563.063599999999</c:v>
                </c:pt>
                <c:pt idx="14">
                  <c:v>12693.014640000001</c:v>
                </c:pt>
                <c:pt idx="15">
                  <c:v>15246.957880000002</c:v>
                </c:pt>
                <c:pt idx="16">
                  <c:v>13563.063599999999</c:v>
                </c:pt>
                <c:pt idx="17">
                  <c:v>13600.458860000001</c:v>
                </c:pt>
                <c:pt idx="18">
                  <c:v>13563.063599999999</c:v>
                </c:pt>
                <c:pt idx="19">
                  <c:v>13600.458860000001</c:v>
                </c:pt>
                <c:pt idx="20">
                  <c:v>11885.599740000001</c:v>
                </c:pt>
                <c:pt idx="21">
                  <c:v>12203.574550000001</c:v>
                </c:pt>
                <c:pt idx="22">
                  <c:v>14542.19326</c:v>
                </c:pt>
                <c:pt idx="23">
                  <c:v>11923.530980000001</c:v>
                </c:pt>
                <c:pt idx="24">
                  <c:v>12311.78095</c:v>
                </c:pt>
                <c:pt idx="25">
                  <c:v>14615.93563</c:v>
                </c:pt>
                <c:pt idx="26">
                  <c:v>11885.599740000001</c:v>
                </c:pt>
                <c:pt idx="27">
                  <c:v>11957.73734</c:v>
                </c:pt>
                <c:pt idx="28">
                  <c:v>11923.530980000001</c:v>
                </c:pt>
                <c:pt idx="29">
                  <c:v>12031.737379999999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40-5F4F-A11C-724315BB5EB7}"/>
            </c:ext>
          </c:extLst>
        </c:ser>
        <c:ser>
          <c:idx val="2"/>
          <c:order val="1"/>
          <c:tx>
            <c:v>Calçadas (ETR)</c:v>
          </c:tx>
          <c:spPr>
            <a:pattFill prst="smCheck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(B2)'!$C$24:$AF$24</c:f>
              <c:numCache>
                <c:formatCode>_("R$"* #,##0.00_);_("R$"* \(#,##0.00\);_("R$"* "-"??_);_(@_)</c:formatCode>
                <c:ptCount val="30"/>
                <c:pt idx="0">
                  <c:v>11342.497500000001</c:v>
                </c:pt>
                <c:pt idx="1">
                  <c:v>11663.761960000002</c:v>
                </c:pt>
                <c:pt idx="2">
                  <c:v>2384.0225860000005</c:v>
                </c:pt>
                <c:pt idx="3">
                  <c:v>11379.65258</c:v>
                </c:pt>
                <c:pt idx="4">
                  <c:v>11676.314400000001</c:v>
                </c:pt>
                <c:pt idx="5">
                  <c:v>2457.2811879999999</c:v>
                </c:pt>
                <c:pt idx="6">
                  <c:v>11342.497500000001</c:v>
                </c:pt>
                <c:pt idx="7">
                  <c:v>2456.1601860000001</c:v>
                </c:pt>
                <c:pt idx="8">
                  <c:v>11379.65258</c:v>
                </c:pt>
                <c:pt idx="9">
                  <c:v>2529.4187880000004</c:v>
                </c:pt>
                <c:pt idx="10">
                  <c:v>9975.9246740000035</c:v>
                </c:pt>
                <c:pt idx="11">
                  <c:v>9537.667386000001</c:v>
                </c:pt>
                <c:pt idx="12">
                  <c:v>2573.5948900000003</c:v>
                </c:pt>
                <c:pt idx="13">
                  <c:v>9975.9246740000035</c:v>
                </c:pt>
                <c:pt idx="14">
                  <c:v>9644.0378920000003</c:v>
                </c:pt>
                <c:pt idx="15">
                  <c:v>2573.5948900000003</c:v>
                </c:pt>
                <c:pt idx="16">
                  <c:v>9975.9246740000035</c:v>
                </c:pt>
                <c:pt idx="17">
                  <c:v>10013.038250000001</c:v>
                </c:pt>
                <c:pt idx="18">
                  <c:v>9975.9246740000035</c:v>
                </c:pt>
                <c:pt idx="19">
                  <c:v>10013.038250000001</c:v>
                </c:pt>
                <c:pt idx="20">
                  <c:v>9880.2901200000015</c:v>
                </c:pt>
                <c:pt idx="21">
                  <c:v>9520.8258620000015</c:v>
                </c:pt>
                <c:pt idx="22">
                  <c:v>2365.8766320000004</c:v>
                </c:pt>
                <c:pt idx="23">
                  <c:v>9914.9319700000015</c:v>
                </c:pt>
                <c:pt idx="24">
                  <c:v>9629.0322620000024</c:v>
                </c:pt>
                <c:pt idx="25">
                  <c:v>2364.9711600000001</c:v>
                </c:pt>
                <c:pt idx="26">
                  <c:v>9880.2901200000015</c:v>
                </c:pt>
                <c:pt idx="27">
                  <c:v>9952.4277200000015</c:v>
                </c:pt>
                <c:pt idx="28">
                  <c:v>9914.9319700000015</c:v>
                </c:pt>
                <c:pt idx="29">
                  <c:v>9951.0007700000006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40-5F4F-A11C-724315BB5EB7}"/>
            </c:ext>
          </c:extLst>
        </c:ser>
        <c:ser>
          <c:idx val="0"/>
          <c:order val="2"/>
          <c:tx>
            <c:v>Calçadas (total)</c:v>
          </c:tx>
          <c:spPr>
            <a:pattFill prst="weave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(B2)'!$C$22:$AF$22</c:f>
              <c:numCache>
                <c:formatCode>_("R$"* #,##0.00_);_("R$"* \(#,##0.00\);_("R$"* "-"??_);_(@_)</c:formatCode>
                <c:ptCount val="30"/>
                <c:pt idx="0">
                  <c:v>24266.567900000002</c:v>
                </c:pt>
                <c:pt idx="1">
                  <c:v>24818.755770000003</c:v>
                </c:pt>
                <c:pt idx="2">
                  <c:v>18033.261136000001</c:v>
                </c:pt>
                <c:pt idx="3">
                  <c:v>24337.58109</c:v>
                </c:pt>
                <c:pt idx="4">
                  <c:v>24868.766670000005</c:v>
                </c:pt>
                <c:pt idx="5">
                  <c:v>18250.794937999999</c:v>
                </c:pt>
                <c:pt idx="6">
                  <c:v>24266.567900000002</c:v>
                </c:pt>
                <c:pt idx="7">
                  <c:v>18177.536336000001</c:v>
                </c:pt>
                <c:pt idx="8">
                  <c:v>24337.58109</c:v>
                </c:pt>
                <c:pt idx="9">
                  <c:v>18395.070138000003</c:v>
                </c:pt>
                <c:pt idx="10">
                  <c:v>23538.988274000003</c:v>
                </c:pt>
                <c:pt idx="11">
                  <c:v>22124.401266000001</c:v>
                </c:pt>
                <c:pt idx="12">
                  <c:v>17820.552770000002</c:v>
                </c:pt>
                <c:pt idx="13">
                  <c:v>23538.988274000003</c:v>
                </c:pt>
                <c:pt idx="14">
                  <c:v>22337.052532000002</c:v>
                </c:pt>
                <c:pt idx="15">
                  <c:v>17820.552770000002</c:v>
                </c:pt>
                <c:pt idx="16">
                  <c:v>23538.988274000003</c:v>
                </c:pt>
                <c:pt idx="17">
                  <c:v>23613.497110000004</c:v>
                </c:pt>
                <c:pt idx="18">
                  <c:v>23538.988274000003</c:v>
                </c:pt>
                <c:pt idx="19">
                  <c:v>23613.497110000004</c:v>
                </c:pt>
                <c:pt idx="20">
                  <c:v>21765.889860000003</c:v>
                </c:pt>
                <c:pt idx="21">
                  <c:v>21724.400412000003</c:v>
                </c:pt>
                <c:pt idx="22">
                  <c:v>16908.069892</c:v>
                </c:pt>
                <c:pt idx="23">
                  <c:v>21838.462950000001</c:v>
                </c:pt>
                <c:pt idx="24">
                  <c:v>21940.813212000001</c:v>
                </c:pt>
                <c:pt idx="25">
                  <c:v>16980.906790000001</c:v>
                </c:pt>
                <c:pt idx="26">
                  <c:v>21765.889860000003</c:v>
                </c:pt>
                <c:pt idx="27">
                  <c:v>21910.165059999999</c:v>
                </c:pt>
                <c:pt idx="28">
                  <c:v>21838.462950000001</c:v>
                </c:pt>
                <c:pt idx="29">
                  <c:v>21982.738149999997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0-5F4F-A11C-724315BB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40000"/>
        <c:axId val="803643264"/>
      </c:barChart>
      <c:catAx>
        <c:axId val="80364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3264"/>
        <c:crosses val="autoZero"/>
        <c:auto val="1"/>
        <c:lblAlgn val="ctr"/>
        <c:lblOffset val="100"/>
        <c:noMultiLvlLbl val="0"/>
      </c:catAx>
      <c:valAx>
        <c:axId val="8036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882381048522776"/>
          <c:y val="1.5446867218520759E-3"/>
          <c:w val="9.0242748502591022E-2"/>
          <c:h val="0.1138464493064070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Casa</a:t>
            </a:r>
            <a:r>
              <a:rPr lang="en-US" b="1" baseline="0">
                <a:solidFill>
                  <a:sysClr val="windowText" lastClr="000000"/>
                </a:solidFill>
              </a:rPr>
              <a:t> de química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Casa de química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(B2)'!$C$25:$AF$25</c:f>
              <c:numCache>
                <c:formatCode>_("R$"* #,##0.00_);_("R$"* \(#,##0.00\);_("R$"* "-"??_);_(@_)</c:formatCode>
                <c:ptCount val="30"/>
                <c:pt idx="0">
                  <c:v>181903.57807600001</c:v>
                </c:pt>
                <c:pt idx="1">
                  <c:v>181903.57807600001</c:v>
                </c:pt>
                <c:pt idx="2">
                  <c:v>181903.57807600001</c:v>
                </c:pt>
                <c:pt idx="3">
                  <c:v>181903.57807600001</c:v>
                </c:pt>
                <c:pt idx="4">
                  <c:v>181903.57807600001</c:v>
                </c:pt>
                <c:pt idx="5">
                  <c:v>181903.57807600001</c:v>
                </c:pt>
                <c:pt idx="6">
                  <c:v>181903.57807600001</c:v>
                </c:pt>
                <c:pt idx="7">
                  <c:v>181903.57807600001</c:v>
                </c:pt>
                <c:pt idx="8">
                  <c:v>181903.57807600001</c:v>
                </c:pt>
                <c:pt idx="9">
                  <c:v>181903.57807600001</c:v>
                </c:pt>
                <c:pt idx="10">
                  <c:v>182211.05086800005</c:v>
                </c:pt>
                <c:pt idx="11">
                  <c:v>182211.05086800005</c:v>
                </c:pt>
                <c:pt idx="12">
                  <c:v>182211.05086800005</c:v>
                </c:pt>
                <c:pt idx="13">
                  <c:v>182211.05086800005</c:v>
                </c:pt>
                <c:pt idx="14">
                  <c:v>182211.05086800005</c:v>
                </c:pt>
                <c:pt idx="15">
                  <c:v>182211.05086800005</c:v>
                </c:pt>
                <c:pt idx="16">
                  <c:v>182211.05086800005</c:v>
                </c:pt>
                <c:pt idx="17">
                  <c:v>182211.05086800005</c:v>
                </c:pt>
                <c:pt idx="18">
                  <c:v>182211.05086800005</c:v>
                </c:pt>
                <c:pt idx="19">
                  <c:v>182211.05086800005</c:v>
                </c:pt>
                <c:pt idx="20">
                  <c:v>181641.62654000003</c:v>
                </c:pt>
                <c:pt idx="21">
                  <c:v>181641.62654000003</c:v>
                </c:pt>
                <c:pt idx="22">
                  <c:v>181641.62654000003</c:v>
                </c:pt>
                <c:pt idx="23">
                  <c:v>181641.62654000003</c:v>
                </c:pt>
                <c:pt idx="24">
                  <c:v>181641.62654000003</c:v>
                </c:pt>
                <c:pt idx="25">
                  <c:v>181641.62654000003</c:v>
                </c:pt>
                <c:pt idx="26">
                  <c:v>181641.62654000003</c:v>
                </c:pt>
                <c:pt idx="27">
                  <c:v>181641.62654000003</c:v>
                </c:pt>
                <c:pt idx="28">
                  <c:v>181641.62654000003</c:v>
                </c:pt>
                <c:pt idx="29">
                  <c:v>181641.62654000003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4-2049-BA37-8D432E57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4560"/>
        <c:axId val="803636736"/>
      </c:barChart>
      <c:catAx>
        <c:axId val="8036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6736"/>
        <c:crosses val="autoZero"/>
        <c:auto val="1"/>
        <c:lblAlgn val="ctr"/>
        <c:lblOffset val="100"/>
        <c:noMultiLvlLbl val="0"/>
      </c:catAx>
      <c:valAx>
        <c:axId val="8036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60158826300561"/>
          <c:y val="1.5446867218520759E-3"/>
          <c:w val="0.11246497072481326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Câmara de carga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Câmara de carga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(B2)'!$C$26:$AF$26</c:f>
              <c:numCache>
                <c:formatCode>_("R$"* #,##0.00_);_("R$"* \(#,##0.00\);_("R$"* "-"??_);_(@_)</c:formatCode>
                <c:ptCount val="30"/>
                <c:pt idx="0">
                  <c:v>5742.8179529999998</c:v>
                </c:pt>
                <c:pt idx="1">
                  <c:v>5742.8179529999998</c:v>
                </c:pt>
                <c:pt idx="2">
                  <c:v>5742.8179529999998</c:v>
                </c:pt>
                <c:pt idx="3">
                  <c:v>2205.6635919999999</c:v>
                </c:pt>
                <c:pt idx="4">
                  <c:v>2205.6635919999999</c:v>
                </c:pt>
                <c:pt idx="5">
                  <c:v>2205.6635919999999</c:v>
                </c:pt>
                <c:pt idx="6">
                  <c:v>5742.8179529999998</c:v>
                </c:pt>
                <c:pt idx="7">
                  <c:v>5742.8179529999998</c:v>
                </c:pt>
                <c:pt idx="8">
                  <c:v>2205.6635919999999</c:v>
                </c:pt>
                <c:pt idx="9">
                  <c:v>2205.6635919999999</c:v>
                </c:pt>
                <c:pt idx="10">
                  <c:v>7313.9725410000001</c:v>
                </c:pt>
                <c:pt idx="11">
                  <c:v>7313.9725410000001</c:v>
                </c:pt>
                <c:pt idx="12">
                  <c:v>7313.9725410000001</c:v>
                </c:pt>
                <c:pt idx="13">
                  <c:v>2047.9420420000001</c:v>
                </c:pt>
                <c:pt idx="14">
                  <c:v>2047.9420420000001</c:v>
                </c:pt>
                <c:pt idx="15">
                  <c:v>2047.9420420000001</c:v>
                </c:pt>
                <c:pt idx="16">
                  <c:v>7313.9725410000001</c:v>
                </c:pt>
                <c:pt idx="17">
                  <c:v>7313.9725410000001</c:v>
                </c:pt>
                <c:pt idx="18">
                  <c:v>2047.9420420000001</c:v>
                </c:pt>
                <c:pt idx="19">
                  <c:v>2047.9420420000001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5E-2948-B9E4-A643EC92C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7824"/>
        <c:axId val="803643808"/>
      </c:barChart>
      <c:catAx>
        <c:axId val="8036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3808"/>
        <c:crosses val="autoZero"/>
        <c:auto val="1"/>
        <c:lblAlgn val="ctr"/>
        <c:lblOffset val="100"/>
        <c:noMultiLvlLbl val="0"/>
      </c:catAx>
      <c:valAx>
        <c:axId val="80364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60158826300561"/>
          <c:y val="1.5446867218520759E-3"/>
          <c:w val="0.11246497072481326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Filtros rápidos ascendentes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Filtros rápidos ascendentes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(B2)'!$C$27:$AF$27</c:f>
              <c:numCache>
                <c:formatCode>_("R$"* #,##0.00_);_("R$"* \(#,##0.00\);_("R$"*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48704.168240999999</c:v>
                </c:pt>
                <c:pt idx="11">
                  <c:v>48704.168240999999</c:v>
                </c:pt>
                <c:pt idx="12">
                  <c:v>48704.168240999999</c:v>
                </c:pt>
                <c:pt idx="13">
                  <c:v>29739.929861999997</c:v>
                </c:pt>
                <c:pt idx="14">
                  <c:v>29739.929861999997</c:v>
                </c:pt>
                <c:pt idx="15">
                  <c:v>29739.929861999997</c:v>
                </c:pt>
                <c:pt idx="16">
                  <c:v>48704.168240999999</c:v>
                </c:pt>
                <c:pt idx="17">
                  <c:v>48704.168240999999</c:v>
                </c:pt>
                <c:pt idx="18">
                  <c:v>29739.929861999997</c:v>
                </c:pt>
                <c:pt idx="19">
                  <c:v>29739.929861999997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3-724B-A5B3-AF0D082C8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41088"/>
        <c:axId val="803630208"/>
      </c:barChart>
      <c:catAx>
        <c:axId val="80364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0208"/>
        <c:crosses val="autoZero"/>
        <c:auto val="1"/>
        <c:lblAlgn val="ctr"/>
        <c:lblOffset val="100"/>
        <c:noMultiLvlLbl val="0"/>
      </c:catAx>
      <c:valAx>
        <c:axId val="80363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83235749377484"/>
          <c:y val="1.0515771327400624E-3"/>
          <c:w val="0.14323420149404401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Filtros rápidos ascendentes em pedregulho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Filtros rápidos ascendentes em pedregulho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(B2)'!$C$28:$AF$28</c:f>
              <c:numCache>
                <c:formatCode>_("R$"* #,##0.00_);_("R$"* \(#,##0.00\);_("R$"* "-"??_);_(@_)</c:formatCode>
                <c:ptCount val="30"/>
                <c:pt idx="0">
                  <c:v>44729.342080999995</c:v>
                </c:pt>
                <c:pt idx="1">
                  <c:v>44729.342080999995</c:v>
                </c:pt>
                <c:pt idx="2">
                  <c:v>44729.342080999995</c:v>
                </c:pt>
                <c:pt idx="3">
                  <c:v>28794.822176999998</c:v>
                </c:pt>
                <c:pt idx="4">
                  <c:v>28794.822176999998</c:v>
                </c:pt>
                <c:pt idx="5">
                  <c:v>28794.822176999998</c:v>
                </c:pt>
                <c:pt idx="6">
                  <c:v>44729.342080999995</c:v>
                </c:pt>
                <c:pt idx="7">
                  <c:v>44729.342080999995</c:v>
                </c:pt>
                <c:pt idx="8">
                  <c:v>28794.822176999998</c:v>
                </c:pt>
                <c:pt idx="9">
                  <c:v>28794.822176999998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C-A04B-8B8B-909AF935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8368"/>
        <c:axId val="803641632"/>
      </c:barChart>
      <c:catAx>
        <c:axId val="8036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1632"/>
        <c:crosses val="autoZero"/>
        <c:auto val="1"/>
        <c:lblAlgn val="ctr"/>
        <c:lblOffset val="100"/>
        <c:noMultiLvlLbl val="0"/>
      </c:catAx>
      <c:valAx>
        <c:axId val="8036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31098997240745"/>
          <c:y val="1.0515771327400624E-3"/>
          <c:w val="0.21075556901541154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Filtros rápidos descendentes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059139170370572E-2"/>
          <c:y val="7.5233265720081141E-2"/>
          <c:w val="0.935964079426024"/>
          <c:h val="0.85542939739023494"/>
        </c:manualLayout>
      </c:layout>
      <c:barChart>
        <c:barDir val="col"/>
        <c:grouping val="clustered"/>
        <c:varyColors val="0"/>
        <c:ser>
          <c:idx val="1"/>
          <c:order val="0"/>
          <c:tx>
            <c:v>Filtros rápidos descendentes (ETA)</c:v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'Resumo (B2)'!$C$11:$AF$11</c:f>
              <c:strCache>
                <c:ptCount val="30"/>
                <c:pt idx="0">
                  <c:v>DF - ETR1 0</c:v>
                </c:pt>
                <c:pt idx="1">
                  <c:v>DF - ETR2 0</c:v>
                </c:pt>
                <c:pt idx="2">
                  <c:v>DF - ETR3 0</c:v>
                </c:pt>
                <c:pt idx="3">
                  <c:v>DF - ETR1 a</c:v>
                </c:pt>
                <c:pt idx="4">
                  <c:v>DF - ETR2 a</c:v>
                </c:pt>
                <c:pt idx="5">
                  <c:v>DF - ETR3 a</c:v>
                </c:pt>
                <c:pt idx="6">
                  <c:v>DF - ETR1 b</c:v>
                </c:pt>
                <c:pt idx="7">
                  <c:v>DF - ETR3 c</c:v>
                </c:pt>
                <c:pt idx="8">
                  <c:v>DF - ETR1 d</c:v>
                </c:pt>
                <c:pt idx="9">
                  <c:v>DF - ETR3 e</c:v>
                </c:pt>
                <c:pt idx="10">
                  <c:v>FDA - ETR1 0</c:v>
                </c:pt>
                <c:pt idx="11">
                  <c:v>FDA - ETR2 0</c:v>
                </c:pt>
                <c:pt idx="12">
                  <c:v>FDA - ETR3 0</c:v>
                </c:pt>
                <c:pt idx="13">
                  <c:v>FDA - ETR1 a</c:v>
                </c:pt>
                <c:pt idx="14">
                  <c:v>FDA - ETR2 a</c:v>
                </c:pt>
                <c:pt idx="15">
                  <c:v>FDA - ETR3 a</c:v>
                </c:pt>
                <c:pt idx="16">
                  <c:v>FDA - ETR1 b</c:v>
                </c:pt>
                <c:pt idx="17">
                  <c:v>FDA - ETR3 c</c:v>
                </c:pt>
                <c:pt idx="18">
                  <c:v>FDA - ETR1 d</c:v>
                </c:pt>
                <c:pt idx="19">
                  <c:v>FDA - ETR3 e</c:v>
                </c:pt>
                <c:pt idx="20">
                  <c:v>FDD - ETR1 0</c:v>
                </c:pt>
                <c:pt idx="21">
                  <c:v>FDD - ETR2 0</c:v>
                </c:pt>
                <c:pt idx="22">
                  <c:v>FDD - ETR3 0</c:v>
                </c:pt>
                <c:pt idx="23">
                  <c:v>FDD - ETR1 a</c:v>
                </c:pt>
                <c:pt idx="24">
                  <c:v>FDD - ETR2 a</c:v>
                </c:pt>
                <c:pt idx="25">
                  <c:v>FDD - ETR3 a</c:v>
                </c:pt>
                <c:pt idx="26">
                  <c:v>FDD - ETR1 b</c:v>
                </c:pt>
                <c:pt idx="27">
                  <c:v>FDD - ETR3 c</c:v>
                </c:pt>
                <c:pt idx="28">
                  <c:v>FDD - ETR1 d</c:v>
                </c:pt>
                <c:pt idx="29">
                  <c:v>FDD - ETR3 e</c:v>
                </c:pt>
              </c:strCache>
            </c:strRef>
          </c:cat>
          <c:val>
            <c:numRef>
              <c:f>'Resumo (B2)'!$C$29:$AF$29</c:f>
              <c:numCache>
                <c:formatCode>_("R$"* #,##0.00_);_("R$"* \(#,##0.00\);_("R$"* "-"??_);_(@_)</c:formatCode>
                <c:ptCount val="30"/>
                <c:pt idx="0">
                  <c:v>35530.656041999995</c:v>
                </c:pt>
                <c:pt idx="1">
                  <c:v>35530.656041999995</c:v>
                </c:pt>
                <c:pt idx="2">
                  <c:v>35530.656041999995</c:v>
                </c:pt>
                <c:pt idx="3">
                  <c:v>18147.532648999993</c:v>
                </c:pt>
                <c:pt idx="4">
                  <c:v>18147.532648999993</c:v>
                </c:pt>
                <c:pt idx="5">
                  <c:v>18147.532648999993</c:v>
                </c:pt>
                <c:pt idx="6">
                  <c:v>35530.656041999995</c:v>
                </c:pt>
                <c:pt idx="7">
                  <c:v>35530.656041999995</c:v>
                </c:pt>
                <c:pt idx="8">
                  <c:v>18147.532648999993</c:v>
                </c:pt>
                <c:pt idx="9">
                  <c:v>18147.532648999993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41514.053501000002</c:v>
                </c:pt>
                <c:pt idx="21">
                  <c:v>41514.053501000002</c:v>
                </c:pt>
                <c:pt idx="22">
                  <c:v>41514.053501000002</c:v>
                </c:pt>
                <c:pt idx="23">
                  <c:v>21217.259786999999</c:v>
                </c:pt>
                <c:pt idx="24">
                  <c:v>21217.259786999999</c:v>
                </c:pt>
                <c:pt idx="25">
                  <c:v>21217.259786999999</c:v>
                </c:pt>
                <c:pt idx="26">
                  <c:v>41514.053501000002</c:v>
                </c:pt>
                <c:pt idx="27">
                  <c:v>41514.053501000002</c:v>
                </c:pt>
                <c:pt idx="28">
                  <c:v>21217.259786999999</c:v>
                </c:pt>
                <c:pt idx="29">
                  <c:v>21217.259786999999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9-8D4A-9DA3-CC4D98FD9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638912"/>
        <c:axId val="803644352"/>
      </c:barChart>
      <c:catAx>
        <c:axId val="8036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44352"/>
        <c:crosses val="autoZero"/>
        <c:auto val="1"/>
        <c:lblAlgn val="ctr"/>
        <c:lblOffset val="100"/>
        <c:noMultiLvlLbl val="0"/>
      </c:catAx>
      <c:valAx>
        <c:axId val="80364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0363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83235749377484"/>
          <c:y val="1.0515771327400624E-3"/>
          <c:w val="0.14323420149404401"/>
          <c:h val="6.881830671728886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" pitchFamily="2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D$3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fmlaLink="$D$51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ados (F)'!A3"/><Relationship Id="rId1" Type="http://schemas.openxmlformats.org/officeDocument/2006/relationships/hyperlink" Target="#Info!A8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Sele&#231;&#227;o (S)'!A10"/><Relationship Id="rId2" Type="http://schemas.openxmlformats.org/officeDocument/2006/relationships/chart" Target="../charts/chart28.xml"/><Relationship Id="rId1" Type="http://schemas.openxmlformats.org/officeDocument/2006/relationships/hyperlink" Target="#'Gr&#225;ficos (B5)'!B6"/><Relationship Id="rId4" Type="http://schemas.openxmlformats.org/officeDocument/2006/relationships/hyperlink" Target="#'Gr&#225;ficos (B4)'!A6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hyperlink" Target="#'Gr&#225;ficos (B5)'!A6"/><Relationship Id="rId5" Type="http://schemas.openxmlformats.org/officeDocument/2006/relationships/hyperlink" Target="#'An&#225;lise (R)'!A3"/><Relationship Id="rId4" Type="http://schemas.openxmlformats.org/officeDocument/2006/relationships/hyperlink" Target="#'Sele&#231;&#227;o (S)'!A10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Sele&#231;&#227;o (S)'!A10"/><Relationship Id="rId2" Type="http://schemas.openxmlformats.org/officeDocument/2006/relationships/hyperlink" Target="#Info!A8"/><Relationship Id="rId1" Type="http://schemas.openxmlformats.org/officeDocument/2006/relationships/hyperlink" Target="#'An&#225;lise (R)'!A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!A8"/><Relationship Id="rId7" Type="http://schemas.openxmlformats.org/officeDocument/2006/relationships/hyperlink" Target="http://www.caixa.gov.br/site/Paginas/downloads.aspx#categoria_664" TargetMode="External"/><Relationship Id="rId2" Type="http://schemas.openxmlformats.org/officeDocument/2006/relationships/hyperlink" Target="#'Quantitativos (A)'!D10"/><Relationship Id="rId1" Type="http://schemas.openxmlformats.org/officeDocument/2006/relationships/hyperlink" Target="#'Dados (F)'!A3"/><Relationship Id="rId6" Type="http://schemas.openxmlformats.org/officeDocument/2006/relationships/hyperlink" Target="https://www3.bcb.gov.br/CALCIDADAO/publico/corrigirPorIndice.do?method=corrigirPorIndice" TargetMode="External"/><Relationship Id="rId5" Type="http://schemas.openxmlformats.org/officeDocument/2006/relationships/hyperlink" Target="http://www.caixa.gov.br/Downloads/sinapi-encargos-sociais-sem-desoneracao/SINAPI_Encargos_Sociais_A_PARTIR_DE_OUTUBRO_2018.pdf" TargetMode="External"/><Relationship Id="rId4" Type="http://schemas.openxmlformats.org/officeDocument/2006/relationships/hyperlink" Target="https://portal.tcu.gov.br/lumis/portal/file/fileDownload.jsp?fileId=8A8182A151356F96015168D520297EE4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Quant. mod. (oc)'!D10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Dados (F)'!A3"/><Relationship Id="rId2" Type="http://schemas.openxmlformats.org/officeDocument/2006/relationships/hyperlink" Target="#'Custos (B1)'!F10"/><Relationship Id="rId1" Type="http://schemas.openxmlformats.org/officeDocument/2006/relationships/hyperlink" Target="#'Quantitativos (A)'!D10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ntitativos (A)'!D10"/><Relationship Id="rId2" Type="http://schemas.openxmlformats.org/officeDocument/2006/relationships/hyperlink" Target="#'Resumo (B2)'!C12"/><Relationship Id="rId1" Type="http://schemas.openxmlformats.org/officeDocument/2006/relationships/hyperlink" Target="#'Custos (B1)'!F10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ustos (B1)'!F10"/><Relationship Id="rId2" Type="http://schemas.openxmlformats.org/officeDocument/2006/relationships/hyperlink" Target="#'Gr&#225;ficos (B3)'!A6"/><Relationship Id="rId1" Type="http://schemas.openxmlformats.org/officeDocument/2006/relationships/hyperlink" Target="#'Resumo (B2)'!C12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hyperlink" Target="#'Resumo (B2)'!C12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hyperlink" Target="#'Gr&#225;ficos (B4)'!A6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hyperlink" Target="#'Gr&#225;ficos (B3)'!A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s (B5)'!A6"/><Relationship Id="rId2" Type="http://schemas.openxmlformats.org/officeDocument/2006/relationships/chart" Target="../charts/chart27.xml"/><Relationship Id="rId1" Type="http://schemas.openxmlformats.org/officeDocument/2006/relationships/hyperlink" Target="#'Gr&#225;ficos (B4)'!B6"/><Relationship Id="rId4" Type="http://schemas.openxmlformats.org/officeDocument/2006/relationships/hyperlink" Target="#'Gr&#225;ficos (B3)'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5</xdr:row>
      <xdr:rowOff>63500</xdr:rowOff>
    </xdr:from>
    <xdr:to>
      <xdr:col>1</xdr:col>
      <xdr:colOff>228600</xdr:colOff>
      <xdr:row>6</xdr:row>
      <xdr:rowOff>101600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0800" y="22479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5</xdr:col>
      <xdr:colOff>50800</xdr:colOff>
      <xdr:row>90</xdr:row>
      <xdr:rowOff>63500</xdr:rowOff>
    </xdr:from>
    <xdr:to>
      <xdr:col>6</xdr:col>
      <xdr:colOff>546100</xdr:colOff>
      <xdr:row>93</xdr:row>
      <xdr:rowOff>50800</xdr:rowOff>
    </xdr:to>
    <xdr:sp macro="" textlink="">
      <xdr:nvSpPr>
        <xdr:cNvPr id="16" name="Rounded Rectangl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4178300" y="16446500"/>
          <a:ext cx="1320800" cy="482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Times" pitchFamily="2" charset="0"/>
            </a:rPr>
            <a:t>INICIAR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50800</xdr:rowOff>
    </xdr:from>
    <xdr:to>
      <xdr:col>2</xdr:col>
      <xdr:colOff>444500</xdr:colOff>
      <xdr:row>1</xdr:row>
      <xdr:rowOff>101600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1092200" y="508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13</xdr:col>
      <xdr:colOff>812800</xdr:colOff>
      <xdr:row>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622300</xdr:colOff>
      <xdr:row>0</xdr:row>
      <xdr:rowOff>50800</xdr:rowOff>
    </xdr:from>
    <xdr:to>
      <xdr:col>14</xdr:col>
      <xdr:colOff>762000</xdr:colOff>
      <xdr:row>1</xdr:row>
      <xdr:rowOff>105300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/>
      </xdr:nvSpPr>
      <xdr:spPr>
        <a:xfrm>
          <a:off x="11353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15</xdr:col>
      <xdr:colOff>0</xdr:colOff>
      <xdr:row>76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15</xdr:col>
      <xdr:colOff>0</xdr:colOff>
      <xdr:row>110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15</xdr:col>
      <xdr:colOff>0</xdr:colOff>
      <xdr:row>144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0</xdr:row>
      <xdr:rowOff>50800</xdr:rowOff>
    </xdr:from>
    <xdr:to>
      <xdr:col>2</xdr:col>
      <xdr:colOff>177800</xdr:colOff>
      <xdr:row>1</xdr:row>
      <xdr:rowOff>101600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1092200" y="508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11</xdr:col>
      <xdr:colOff>889000</xdr:colOff>
      <xdr:row>0</xdr:row>
      <xdr:rowOff>50800</xdr:rowOff>
    </xdr:from>
    <xdr:to>
      <xdr:col>12</xdr:col>
      <xdr:colOff>762000</xdr:colOff>
      <xdr:row>1</xdr:row>
      <xdr:rowOff>105300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126365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50800</xdr:rowOff>
    </xdr:from>
    <xdr:to>
      <xdr:col>1</xdr:col>
      <xdr:colOff>1270000</xdr:colOff>
      <xdr:row>1</xdr:row>
      <xdr:rowOff>101600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1092200" y="508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3</xdr:col>
      <xdr:colOff>706300</xdr:colOff>
      <xdr:row>74</xdr:row>
      <xdr:rowOff>101600</xdr:rowOff>
    </xdr:from>
    <xdr:to>
      <xdr:col>4</xdr:col>
      <xdr:colOff>609600</xdr:colOff>
      <xdr:row>74</xdr:row>
      <xdr:rowOff>457200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6535600" y="21932900"/>
          <a:ext cx="1871800" cy="355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imes" pitchFamily="2" charset="0"/>
            </a:rPr>
            <a:t>VOLTAR</a:t>
          </a:r>
          <a:r>
            <a:rPr lang="en-US" sz="1200" b="1" baseline="0">
              <a:latin typeface="Times" pitchFamily="2" charset="0"/>
            </a:rPr>
            <a:t> AO INÍCIO</a:t>
          </a:r>
          <a:endParaRPr lang="en-US" sz="1200" b="1">
            <a:latin typeface="Times" pitchFamily="2" charset="0"/>
          </a:endParaRP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28575</xdr:rowOff>
        </xdr:from>
        <xdr:to>
          <xdr:col>2</xdr:col>
          <xdr:colOff>790575</xdr:colOff>
          <xdr:row>33</xdr:row>
          <xdr:rowOff>504825</xdr:rowOff>
        </xdr:to>
        <xdr:sp macro="" textlink="">
          <xdr:nvSpPr>
            <xdr:cNvPr id="2072" name="Group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31</xdr:row>
          <xdr:rowOff>66675</xdr:rowOff>
        </xdr:from>
        <xdr:to>
          <xdr:col>2</xdr:col>
          <xdr:colOff>504825</xdr:colOff>
          <xdr:row>31</xdr:row>
          <xdr:rowOff>314325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32</xdr:row>
          <xdr:rowOff>257175</xdr:rowOff>
        </xdr:from>
        <xdr:to>
          <xdr:col>2</xdr:col>
          <xdr:colOff>504825</xdr:colOff>
          <xdr:row>32</xdr:row>
          <xdr:rowOff>495300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xmlns="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33</xdr:row>
          <xdr:rowOff>142875</xdr:rowOff>
        </xdr:from>
        <xdr:to>
          <xdr:col>2</xdr:col>
          <xdr:colOff>523875</xdr:colOff>
          <xdr:row>33</xdr:row>
          <xdr:rowOff>381000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28575</xdr:rowOff>
        </xdr:from>
        <xdr:to>
          <xdr:col>2</xdr:col>
          <xdr:colOff>790575</xdr:colOff>
          <xdr:row>49</xdr:row>
          <xdr:rowOff>142875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46</xdr:row>
          <xdr:rowOff>76200</xdr:rowOff>
        </xdr:from>
        <xdr:to>
          <xdr:col>2</xdr:col>
          <xdr:colOff>523875</xdr:colOff>
          <xdr:row>47</xdr:row>
          <xdr:rowOff>114300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48</xdr:row>
          <xdr:rowOff>47625</xdr:rowOff>
        </xdr:from>
        <xdr:to>
          <xdr:col>2</xdr:col>
          <xdr:colOff>504825</xdr:colOff>
          <xdr:row>49</xdr:row>
          <xdr:rowOff>85725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304800</xdr:colOff>
      <xdr:row>0</xdr:row>
      <xdr:rowOff>50800</xdr:rowOff>
    </xdr:from>
    <xdr:to>
      <xdr:col>1</xdr:col>
      <xdr:colOff>1308100</xdr:colOff>
      <xdr:row>1</xdr:row>
      <xdr:rowOff>88900</xdr:rowOff>
    </xdr:to>
    <xdr:sp macro="" textlink="">
      <xdr:nvSpPr>
        <xdr:cNvPr id="19" name="Rounded Rectangl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1130300" y="508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3</xdr:col>
      <xdr:colOff>723900</xdr:colOff>
      <xdr:row>0</xdr:row>
      <xdr:rowOff>50800</xdr:rowOff>
    </xdr:from>
    <xdr:to>
      <xdr:col>4</xdr:col>
      <xdr:colOff>787400</xdr:colOff>
      <xdr:row>1</xdr:row>
      <xdr:rowOff>92600</xdr:rowOff>
    </xdr:to>
    <xdr:sp macro="" textlink="">
      <xdr:nvSpPr>
        <xdr:cNvPr id="21" name="Rounded Rectangle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92837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92600</xdr:rowOff>
    </xdr:to>
    <xdr:sp macro="" textlink="">
      <xdr:nvSpPr>
        <xdr:cNvPr id="11" name="Rounded Rectangl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  <xdr:twoCellAnchor>
    <xdr:from>
      <xdr:col>1</xdr:col>
      <xdr:colOff>5651500</xdr:colOff>
      <xdr:row>22</xdr:row>
      <xdr:rowOff>520700</xdr:rowOff>
    </xdr:from>
    <xdr:to>
      <xdr:col>1</xdr:col>
      <xdr:colOff>6680200</xdr:colOff>
      <xdr:row>23</xdr:row>
      <xdr:rowOff>0</xdr:rowOff>
    </xdr:to>
    <xdr:sp macro="" textlink="">
      <xdr:nvSpPr>
        <xdr:cNvPr id="2" name="Rounded Rectangl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477000" y="4572000"/>
          <a:ext cx="10287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Ir para o site</a:t>
          </a:r>
        </a:p>
      </xdr:txBody>
    </xdr:sp>
    <xdr:clientData/>
  </xdr:twoCellAnchor>
  <xdr:twoCellAnchor>
    <xdr:from>
      <xdr:col>1</xdr:col>
      <xdr:colOff>5651500</xdr:colOff>
      <xdr:row>23</xdr:row>
      <xdr:rowOff>292100</xdr:rowOff>
    </xdr:from>
    <xdr:to>
      <xdr:col>1</xdr:col>
      <xdr:colOff>6680200</xdr:colOff>
      <xdr:row>23</xdr:row>
      <xdr:rowOff>508000</xdr:rowOff>
    </xdr:to>
    <xdr:sp macro="" textlink="">
      <xdr:nvSpPr>
        <xdr:cNvPr id="13" name="Rounded Rectangl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6477000" y="5080000"/>
          <a:ext cx="10287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Ir para o site</a:t>
          </a:r>
        </a:p>
      </xdr:txBody>
    </xdr:sp>
    <xdr:clientData/>
  </xdr:twoCellAnchor>
  <xdr:twoCellAnchor>
    <xdr:from>
      <xdr:col>3</xdr:col>
      <xdr:colOff>88900</xdr:colOff>
      <xdr:row>32</xdr:row>
      <xdr:rowOff>266700</xdr:rowOff>
    </xdr:from>
    <xdr:to>
      <xdr:col>4</xdr:col>
      <xdr:colOff>215900</xdr:colOff>
      <xdr:row>32</xdr:row>
      <xdr:rowOff>482600</xdr:rowOff>
    </xdr:to>
    <xdr:sp macro="" textlink="">
      <xdr:nvSpPr>
        <xdr:cNvPr id="14" name="Rounded Rectangl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8648700" y="7569200"/>
          <a:ext cx="10287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Ir para o site</a:t>
          </a:r>
        </a:p>
      </xdr:txBody>
    </xdr:sp>
    <xdr:clientData/>
  </xdr:twoCellAnchor>
  <xdr:twoCellAnchor>
    <xdr:from>
      <xdr:col>2</xdr:col>
      <xdr:colOff>711200</xdr:colOff>
      <xdr:row>53</xdr:row>
      <xdr:rowOff>139700</xdr:rowOff>
    </xdr:from>
    <xdr:to>
      <xdr:col>4</xdr:col>
      <xdr:colOff>12700</xdr:colOff>
      <xdr:row>55</xdr:row>
      <xdr:rowOff>25400</xdr:rowOff>
    </xdr:to>
    <xdr:sp macro="" textlink="">
      <xdr:nvSpPr>
        <xdr:cNvPr id="15" name="Rounded Rectangle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8445500" y="12344400"/>
          <a:ext cx="10287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Ir para o site</a:t>
          </a:r>
        </a:p>
      </xdr:txBody>
    </xdr:sp>
    <xdr:clientData/>
  </xdr:twoCellAnchor>
  <xdr:twoCellAnchor>
    <xdr:from>
      <xdr:col>2</xdr:col>
      <xdr:colOff>673100</xdr:colOff>
      <xdr:row>104</xdr:row>
      <xdr:rowOff>139700</xdr:rowOff>
    </xdr:from>
    <xdr:to>
      <xdr:col>3</xdr:col>
      <xdr:colOff>876300</xdr:colOff>
      <xdr:row>106</xdr:row>
      <xdr:rowOff>0</xdr:rowOff>
    </xdr:to>
    <xdr:sp macro="" textlink="">
      <xdr:nvSpPr>
        <xdr:cNvPr id="16" name="Rounded Rectangle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8407400" y="26771600"/>
          <a:ext cx="10287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Ir para o site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50800</xdr:rowOff>
    </xdr:from>
    <xdr:to>
      <xdr:col>1</xdr:col>
      <xdr:colOff>228600</xdr:colOff>
      <xdr:row>1</xdr:row>
      <xdr:rowOff>101600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0800" y="508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3632200</xdr:colOff>
      <xdr:row>5</xdr:row>
      <xdr:rowOff>50800</xdr:rowOff>
    </xdr:from>
    <xdr:to>
      <xdr:col>2</xdr:col>
      <xdr:colOff>762000</xdr:colOff>
      <xdr:row>6</xdr:row>
      <xdr:rowOff>101600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457700" y="9144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1</xdr:col>
      <xdr:colOff>3670300</xdr:colOff>
      <xdr:row>0</xdr:row>
      <xdr:rowOff>50800</xdr:rowOff>
    </xdr:from>
    <xdr:to>
      <xdr:col>2</xdr:col>
      <xdr:colOff>762000</xdr:colOff>
      <xdr:row>1</xdr:row>
      <xdr:rowOff>105300</xdr:rowOff>
    </xdr:to>
    <xdr:sp macro="" textlink="">
      <xdr:nvSpPr>
        <xdr:cNvPr id="5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4495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2819400</xdr:colOff>
      <xdr:row>5</xdr:row>
      <xdr:rowOff>63500</xdr:rowOff>
    </xdr:from>
    <xdr:to>
      <xdr:col>1</xdr:col>
      <xdr:colOff>3822700</xdr:colOff>
      <xdr:row>6</xdr:row>
      <xdr:rowOff>101600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3644900" y="9271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1</xdr:col>
      <xdr:colOff>2844800</xdr:colOff>
      <xdr:row>0</xdr:row>
      <xdr:rowOff>50800</xdr:rowOff>
    </xdr:from>
    <xdr:to>
      <xdr:col>1</xdr:col>
      <xdr:colOff>3810000</xdr:colOff>
      <xdr:row>1</xdr:row>
      <xdr:rowOff>105300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6703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2616200</xdr:colOff>
      <xdr:row>7</xdr:row>
      <xdr:rowOff>393700</xdr:rowOff>
    </xdr:from>
    <xdr:to>
      <xdr:col>1</xdr:col>
      <xdr:colOff>3619500</xdr:colOff>
      <xdr:row>8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3441700" y="16002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1</xdr:col>
      <xdr:colOff>2641600</xdr:colOff>
      <xdr:row>0</xdr:row>
      <xdr:rowOff>50800</xdr:rowOff>
    </xdr:from>
    <xdr:to>
      <xdr:col>1</xdr:col>
      <xdr:colOff>3606800</xdr:colOff>
      <xdr:row>1</xdr:row>
      <xdr:rowOff>105300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34671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19</xdr:col>
      <xdr:colOff>0</xdr:colOff>
      <xdr:row>42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19</xdr:col>
      <xdr:colOff>0</xdr:colOff>
      <xdr:row>80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19</xdr:col>
      <xdr:colOff>0</xdr:colOff>
      <xdr:row>118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19</xdr:col>
      <xdr:colOff>0</xdr:colOff>
      <xdr:row>156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19</xdr:col>
      <xdr:colOff>0</xdr:colOff>
      <xdr:row>194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196</xdr:row>
      <xdr:rowOff>0</xdr:rowOff>
    </xdr:from>
    <xdr:to>
      <xdr:col>19</xdr:col>
      <xdr:colOff>0</xdr:colOff>
      <xdr:row>232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234</xdr:row>
      <xdr:rowOff>0</xdr:rowOff>
    </xdr:from>
    <xdr:to>
      <xdr:col>19</xdr:col>
      <xdr:colOff>0</xdr:colOff>
      <xdr:row>270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272</xdr:row>
      <xdr:rowOff>0</xdr:rowOff>
    </xdr:from>
    <xdr:to>
      <xdr:col>19</xdr:col>
      <xdr:colOff>0</xdr:colOff>
      <xdr:row>308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310</xdr:row>
      <xdr:rowOff>0</xdr:rowOff>
    </xdr:from>
    <xdr:to>
      <xdr:col>19</xdr:col>
      <xdr:colOff>0</xdr:colOff>
      <xdr:row>346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348</xdr:row>
      <xdr:rowOff>0</xdr:rowOff>
    </xdr:from>
    <xdr:to>
      <xdr:col>19</xdr:col>
      <xdr:colOff>0</xdr:colOff>
      <xdr:row>384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386</xdr:row>
      <xdr:rowOff>0</xdr:rowOff>
    </xdr:from>
    <xdr:to>
      <xdr:col>19</xdr:col>
      <xdr:colOff>0</xdr:colOff>
      <xdr:row>422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424</xdr:row>
      <xdr:rowOff>0</xdr:rowOff>
    </xdr:from>
    <xdr:to>
      <xdr:col>19</xdr:col>
      <xdr:colOff>0</xdr:colOff>
      <xdr:row>460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462</xdr:row>
      <xdr:rowOff>0</xdr:rowOff>
    </xdr:from>
    <xdr:to>
      <xdr:col>19</xdr:col>
      <xdr:colOff>0</xdr:colOff>
      <xdr:row>498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500</xdr:row>
      <xdr:rowOff>0</xdr:rowOff>
    </xdr:from>
    <xdr:to>
      <xdr:col>19</xdr:col>
      <xdr:colOff>0</xdr:colOff>
      <xdr:row>536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538</xdr:row>
      <xdr:rowOff>0</xdr:rowOff>
    </xdr:from>
    <xdr:to>
      <xdr:col>19</xdr:col>
      <xdr:colOff>0</xdr:colOff>
      <xdr:row>574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576</xdr:row>
      <xdr:rowOff>0</xdr:rowOff>
    </xdr:from>
    <xdr:to>
      <xdr:col>19</xdr:col>
      <xdr:colOff>0</xdr:colOff>
      <xdr:row>612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614</xdr:row>
      <xdr:rowOff>0</xdr:rowOff>
    </xdr:from>
    <xdr:to>
      <xdr:col>19</xdr:col>
      <xdr:colOff>0</xdr:colOff>
      <xdr:row>650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652</xdr:row>
      <xdr:rowOff>0</xdr:rowOff>
    </xdr:from>
    <xdr:to>
      <xdr:col>19</xdr:col>
      <xdr:colOff>0</xdr:colOff>
      <xdr:row>688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690</xdr:row>
      <xdr:rowOff>0</xdr:rowOff>
    </xdr:from>
    <xdr:to>
      <xdr:col>19</xdr:col>
      <xdr:colOff>0</xdr:colOff>
      <xdr:row>726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728</xdr:row>
      <xdr:rowOff>0</xdr:rowOff>
    </xdr:from>
    <xdr:to>
      <xdr:col>19</xdr:col>
      <xdr:colOff>0</xdr:colOff>
      <xdr:row>764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766</xdr:row>
      <xdr:rowOff>0</xdr:rowOff>
    </xdr:from>
    <xdr:to>
      <xdr:col>19</xdr:col>
      <xdr:colOff>0</xdr:colOff>
      <xdr:row>802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804</xdr:row>
      <xdr:rowOff>0</xdr:rowOff>
    </xdr:from>
    <xdr:to>
      <xdr:col>19</xdr:col>
      <xdr:colOff>0</xdr:colOff>
      <xdr:row>840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842</xdr:row>
      <xdr:rowOff>0</xdr:rowOff>
    </xdr:from>
    <xdr:to>
      <xdr:col>19</xdr:col>
      <xdr:colOff>0</xdr:colOff>
      <xdr:row>878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880</xdr:row>
      <xdr:rowOff>0</xdr:rowOff>
    </xdr:from>
    <xdr:to>
      <xdr:col>19</xdr:col>
      <xdr:colOff>0</xdr:colOff>
      <xdr:row>916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918</xdr:row>
      <xdr:rowOff>0</xdr:rowOff>
    </xdr:from>
    <xdr:to>
      <xdr:col>19</xdr:col>
      <xdr:colOff>0</xdr:colOff>
      <xdr:row>954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956</xdr:row>
      <xdr:rowOff>0</xdr:rowOff>
    </xdr:from>
    <xdr:to>
      <xdr:col>19</xdr:col>
      <xdr:colOff>0</xdr:colOff>
      <xdr:row>992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279400</xdr:colOff>
      <xdr:row>0</xdr:row>
      <xdr:rowOff>50800</xdr:rowOff>
    </xdr:from>
    <xdr:to>
      <xdr:col>2</xdr:col>
      <xdr:colOff>457200</xdr:colOff>
      <xdr:row>1</xdr:row>
      <xdr:rowOff>101600</xdr:rowOff>
    </xdr:to>
    <xdr:sp macro="" textlink="">
      <xdr:nvSpPr>
        <xdr:cNvPr id="31" name="Rounded Rectangle 30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/>
      </xdr:nvSpPr>
      <xdr:spPr>
        <a:xfrm>
          <a:off x="1104900" y="508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17</xdr:col>
      <xdr:colOff>647700</xdr:colOff>
      <xdr:row>0</xdr:row>
      <xdr:rowOff>50800</xdr:rowOff>
    </xdr:from>
    <xdr:to>
      <xdr:col>18</xdr:col>
      <xdr:colOff>787400</xdr:colOff>
      <xdr:row>1</xdr:row>
      <xdr:rowOff>105300</xdr:rowOff>
    </xdr:to>
    <xdr:sp macro="" textlink="">
      <xdr:nvSpPr>
        <xdr:cNvPr id="32" name="Rounded Rectangle 31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/>
      </xdr:nvSpPr>
      <xdr:spPr>
        <a:xfrm>
          <a:off x="146812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33" name="Rounded Rectangle 32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0</xdr:row>
      <xdr:rowOff>50800</xdr:rowOff>
    </xdr:from>
    <xdr:to>
      <xdr:col>2</xdr:col>
      <xdr:colOff>457200</xdr:colOff>
      <xdr:row>1</xdr:row>
      <xdr:rowOff>101600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104900" y="50800"/>
          <a:ext cx="1003300" cy="2159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bg1"/>
              </a:solidFill>
              <a:latin typeface="Times" pitchFamily="2" charset="0"/>
            </a:rPr>
            <a:t>Voltar ao topo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13</xdr:col>
      <xdr:colOff>812800</xdr:colOff>
      <xdr:row>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622300</xdr:colOff>
      <xdr:row>0</xdr:row>
      <xdr:rowOff>50800</xdr:rowOff>
    </xdr:from>
    <xdr:to>
      <xdr:col>14</xdr:col>
      <xdr:colOff>762000</xdr:colOff>
      <xdr:row>1</xdr:row>
      <xdr:rowOff>105300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11353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AVANÇAR</a:t>
          </a:r>
        </a:p>
      </xdr:txBody>
    </xdr:sp>
    <xdr:clientData/>
  </xdr:twoCellAnchor>
  <xdr:twoCellAnchor>
    <xdr:from>
      <xdr:col>0</xdr:col>
      <xdr:colOff>50800</xdr:colOff>
      <xdr:row>0</xdr:row>
      <xdr:rowOff>50800</xdr:rowOff>
    </xdr:from>
    <xdr:to>
      <xdr:col>1</xdr:col>
      <xdr:colOff>190500</xdr:colOff>
      <xdr:row>1</xdr:row>
      <xdr:rowOff>105300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50800" y="50800"/>
          <a:ext cx="965200" cy="2196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Times" pitchFamily="2" charset="0"/>
            </a:rPr>
            <a:t>RETORNAR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0.67343</cdr:x>
      <cdr:y>0.13248</cdr:y>
    </cdr:from>
    <cdr:to>
      <cdr:x>0.89737</cdr:x>
      <cdr:y>0.9359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4BC91FC8-3E94-6841-AF83-1D72AEC26C78}"/>
            </a:ext>
          </a:extLst>
        </cdr:cNvPr>
        <cdr:cNvSpPr txBox="1"/>
      </cdr:nvSpPr>
      <cdr:spPr>
        <a:xfrm xmlns:a="http://schemas.openxmlformats.org/drawingml/2006/main">
          <a:off x="7372361" y="787400"/>
          <a:ext cx="2451469" cy="4775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Área requerida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Serviços iniciais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Caixas de passagem e de inspeção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Calçadas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Casa de química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Câmara de carga 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Filtros rápidos ascendentes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Filtros rápidos ascendentes em pedregulho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Filtros rápidos descendentes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Passarela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Tanque de água filtrada e câmara de contato 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Tanques de clarificação e adensamento 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Casa de bombas 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Leitos de drenagem 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Lagoas de lodo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Tanque de regularização de vazão 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Tubulações, conexões e válvulas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Equipamentos de laboratório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>
            <a:spcAft>
              <a:spcPts val="500"/>
            </a:spcAft>
          </a:pPr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– Vidraria e acessórios de laboratório</a:t>
          </a:r>
          <a:endParaRPr lang="en-US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r>
            <a:rPr lang="pt-BR" sz="1100">
              <a:effectLst/>
              <a:latin typeface="Times New Roman" panose="02020603050405020304" pitchFamily="18" charset="0"/>
              <a:ea typeface="Calibri" panose="020F0502020204030204" pitchFamily="34" charset="0"/>
            </a:rPr>
            <a:t>  – Outros equipamentos e acessórios</a:t>
          </a:r>
          <a:r>
            <a:rPr lang="en-US">
              <a:effectLst/>
            </a:rPr>
            <a:t> 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L105"/>
  <sheetViews>
    <sheetView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ColWidth="0" defaultRowHeight="12.75" zeroHeight="1" x14ac:dyDescent="0.25"/>
  <cols>
    <col min="1" max="12" width="10.875" style="3" customWidth="1"/>
    <col min="13" max="16384" width="10.875" style="3" hidden="1"/>
  </cols>
  <sheetData>
    <row r="1" spans="1:12" ht="45.95" customHeight="1" thickBot="1" x14ac:dyDescent="0.3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ht="66" customHeight="1" thickTop="1" thickBot="1" x14ac:dyDescent="0.3">
      <c r="A2" s="289" t="s">
        <v>48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20.100000000000001" customHeight="1" thickTop="1" x14ac:dyDescent="0.2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2"/>
    </row>
    <row r="4" spans="1:12" ht="20.100000000000001" customHeight="1" x14ac:dyDescent="0.25">
      <c r="A4" s="283" t="s">
        <v>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4"/>
    </row>
    <row r="5" spans="1:12" ht="20.100000000000001" customHeight="1" thickBot="1" x14ac:dyDescent="0.3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3.5" thickTop="1" x14ac:dyDescent="0.25">
      <c r="A6" s="314" t="s">
        <v>4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5"/>
    </row>
    <row r="7" spans="1:12" x14ac:dyDescent="0.2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x14ac:dyDescent="0.25">
      <c r="A9" s="4"/>
      <c r="B9" s="321" t="s">
        <v>417</v>
      </c>
      <c r="C9" s="321"/>
      <c r="D9" s="321"/>
      <c r="E9" s="321"/>
      <c r="F9" s="321"/>
      <c r="G9" s="321"/>
      <c r="H9" s="321"/>
      <c r="I9" s="321"/>
      <c r="J9" s="321"/>
      <c r="K9" s="321"/>
      <c r="L9" s="6"/>
    </row>
    <row r="10" spans="1:12" ht="13.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3.5" thickBot="1" x14ac:dyDescent="0.3">
      <c r="A11" s="4"/>
      <c r="B11" s="318" t="s">
        <v>6</v>
      </c>
      <c r="C11" s="319"/>
      <c r="D11" s="319"/>
      <c r="E11" s="319"/>
      <c r="F11" s="320"/>
      <c r="G11" s="331" t="s">
        <v>5</v>
      </c>
      <c r="H11" s="319"/>
      <c r="I11" s="319"/>
      <c r="J11" s="319"/>
      <c r="K11" s="332"/>
      <c r="L11" s="5"/>
    </row>
    <row r="12" spans="1:12" x14ac:dyDescent="0.25">
      <c r="A12" s="4"/>
      <c r="B12" s="340" t="s">
        <v>7</v>
      </c>
      <c r="C12" s="323"/>
      <c r="D12" s="323"/>
      <c r="E12" s="323"/>
      <c r="F12" s="323"/>
      <c r="G12" s="323" t="s">
        <v>10</v>
      </c>
      <c r="H12" s="323"/>
      <c r="I12" s="323"/>
      <c r="J12" s="323"/>
      <c r="K12" s="324"/>
      <c r="L12" s="5"/>
    </row>
    <row r="13" spans="1:12" x14ac:dyDescent="0.25">
      <c r="A13" s="4"/>
      <c r="B13" s="341" t="s">
        <v>8</v>
      </c>
      <c r="C13" s="326"/>
      <c r="D13" s="326"/>
      <c r="E13" s="326"/>
      <c r="F13" s="326"/>
      <c r="G13" s="326" t="s">
        <v>11</v>
      </c>
      <c r="H13" s="326"/>
      <c r="I13" s="326"/>
      <c r="J13" s="326"/>
      <c r="K13" s="327"/>
      <c r="L13" s="5"/>
    </row>
    <row r="14" spans="1:12" ht="13.5" thickBot="1" x14ac:dyDescent="0.3">
      <c r="A14" s="4"/>
      <c r="B14" s="342" t="s">
        <v>9</v>
      </c>
      <c r="C14" s="329"/>
      <c r="D14" s="329"/>
      <c r="E14" s="329"/>
      <c r="F14" s="329"/>
      <c r="G14" s="329" t="s">
        <v>12</v>
      </c>
      <c r="H14" s="329"/>
      <c r="I14" s="329"/>
      <c r="J14" s="329"/>
      <c r="K14" s="330"/>
      <c r="L14" s="5"/>
    </row>
    <row r="15" spans="1:12" x14ac:dyDescent="0.25">
      <c r="A15" s="4"/>
      <c r="B15" s="7" t="s">
        <v>21</v>
      </c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x14ac:dyDescent="0.25">
      <c r="A16" s="4"/>
      <c r="B16" s="8" t="s">
        <v>28</v>
      </c>
      <c r="C16" s="8"/>
      <c r="D16" s="8"/>
      <c r="E16" s="8"/>
      <c r="F16" s="8"/>
      <c r="G16" s="8"/>
      <c r="H16" s="8"/>
      <c r="I16" s="8"/>
      <c r="J16" s="8"/>
      <c r="K16" s="8"/>
      <c r="L16" s="5"/>
    </row>
    <row r="17" spans="1:12" x14ac:dyDescent="0.25">
      <c r="A17" s="4"/>
      <c r="B17" s="4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x14ac:dyDescent="0.25">
      <c r="A18" s="4"/>
      <c r="B18" s="4" t="s">
        <v>30</v>
      </c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x14ac:dyDescent="0.25">
      <c r="A19" s="4"/>
      <c r="B19" s="8" t="s">
        <v>22</v>
      </c>
      <c r="C19" s="8"/>
      <c r="D19" s="8"/>
      <c r="E19" s="8"/>
      <c r="F19" s="8"/>
      <c r="G19" s="8"/>
      <c r="H19" s="8"/>
      <c r="I19" s="8"/>
      <c r="J19" s="4"/>
      <c r="K19" s="4"/>
      <c r="L19" s="5"/>
    </row>
    <row r="20" spans="1:12" x14ac:dyDescent="0.25">
      <c r="A20" s="4"/>
      <c r="B20" s="4" t="s">
        <v>23</v>
      </c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x14ac:dyDescent="0.25">
      <c r="A21" s="9"/>
      <c r="B21" s="4"/>
      <c r="C21" s="9"/>
      <c r="D21" s="9"/>
      <c r="E21" s="9"/>
      <c r="F21" s="9"/>
      <c r="G21" s="9"/>
      <c r="H21" s="9"/>
      <c r="I21" s="9"/>
      <c r="J21" s="4"/>
      <c r="K21" s="4"/>
      <c r="L21" s="5"/>
    </row>
    <row r="22" spans="1:12" x14ac:dyDescent="0.25">
      <c r="A22" s="9"/>
      <c r="B22" s="4"/>
      <c r="C22" s="9"/>
      <c r="D22" s="9"/>
      <c r="E22" s="9"/>
      <c r="F22" s="9"/>
      <c r="G22" s="9"/>
      <c r="H22" s="9"/>
      <c r="I22" s="9"/>
      <c r="J22" s="4"/>
      <c r="K22" s="4"/>
      <c r="L22" s="5"/>
    </row>
    <row r="23" spans="1:12" x14ac:dyDescent="0.25">
      <c r="A23" s="4"/>
      <c r="B23" s="321" t="s">
        <v>418</v>
      </c>
      <c r="C23" s="321"/>
      <c r="D23" s="321"/>
      <c r="E23" s="321"/>
      <c r="F23" s="321"/>
      <c r="G23" s="321"/>
      <c r="H23" s="321"/>
      <c r="I23" s="321"/>
      <c r="J23" s="321"/>
      <c r="K23" s="321"/>
      <c r="L23" s="5"/>
    </row>
    <row r="24" spans="1:12" ht="13.5" thickBot="1" x14ac:dyDescent="0.3">
      <c r="A24" s="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5"/>
    </row>
    <row r="25" spans="1:12" ht="13.5" thickBot="1" x14ac:dyDescent="0.3">
      <c r="A25" s="4"/>
      <c r="B25" s="318" t="s">
        <v>13</v>
      </c>
      <c r="C25" s="319"/>
      <c r="D25" s="319"/>
      <c r="E25" s="319"/>
      <c r="F25" s="320"/>
      <c r="G25" s="331" t="s">
        <v>5</v>
      </c>
      <c r="H25" s="319"/>
      <c r="I25" s="319"/>
      <c r="J25" s="319"/>
      <c r="K25" s="332"/>
      <c r="L25" s="5"/>
    </row>
    <row r="26" spans="1:12" x14ac:dyDescent="0.25">
      <c r="A26" s="4"/>
      <c r="B26" s="343" t="s">
        <v>14</v>
      </c>
      <c r="C26" s="322"/>
      <c r="D26" s="322"/>
      <c r="E26" s="322" t="s">
        <v>15</v>
      </c>
      <c r="F26" s="322"/>
      <c r="G26" s="323" t="s">
        <v>16</v>
      </c>
      <c r="H26" s="323"/>
      <c r="I26" s="323"/>
      <c r="J26" s="323"/>
      <c r="K26" s="324"/>
      <c r="L26" s="5"/>
    </row>
    <row r="27" spans="1:12" x14ac:dyDescent="0.25">
      <c r="A27" s="4"/>
      <c r="B27" s="344"/>
      <c r="C27" s="325"/>
      <c r="D27" s="325"/>
      <c r="E27" s="325" t="s">
        <v>17</v>
      </c>
      <c r="F27" s="325"/>
      <c r="G27" s="326" t="s">
        <v>18</v>
      </c>
      <c r="H27" s="326"/>
      <c r="I27" s="326"/>
      <c r="J27" s="326"/>
      <c r="K27" s="327"/>
      <c r="L27" s="5"/>
    </row>
    <row r="28" spans="1:12" ht="13.5" thickBot="1" x14ac:dyDescent="0.3">
      <c r="A28" s="4"/>
      <c r="B28" s="345"/>
      <c r="C28" s="328"/>
      <c r="D28" s="328"/>
      <c r="E28" s="328" t="s">
        <v>19</v>
      </c>
      <c r="F28" s="328"/>
      <c r="G28" s="329" t="s">
        <v>20</v>
      </c>
      <c r="H28" s="329"/>
      <c r="I28" s="329"/>
      <c r="J28" s="329"/>
      <c r="K28" s="330"/>
      <c r="L28" s="5"/>
    </row>
    <row r="29" spans="1:12" x14ac:dyDescent="0.25">
      <c r="A29" s="4"/>
      <c r="B29" s="4" t="s">
        <v>24</v>
      </c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x14ac:dyDescent="0.25">
      <c r="A30" s="4"/>
      <c r="B30" s="4" t="s">
        <v>25</v>
      </c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x14ac:dyDescent="0.25">
      <c r="A31" s="4"/>
      <c r="B31" s="4" t="s">
        <v>26</v>
      </c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2" x14ac:dyDescent="0.25">
      <c r="A32" s="4"/>
      <c r="B32" s="4" t="s">
        <v>41</v>
      </c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 x14ac:dyDescent="0.25">
      <c r="A35" s="4"/>
      <c r="B35" s="321" t="s">
        <v>419</v>
      </c>
      <c r="C35" s="321"/>
      <c r="D35" s="321"/>
      <c r="E35" s="321"/>
      <c r="F35" s="321"/>
      <c r="G35" s="321"/>
      <c r="H35" s="321"/>
      <c r="I35" s="321"/>
      <c r="J35" s="321"/>
      <c r="K35" s="321"/>
      <c r="L35" s="5"/>
    </row>
    <row r="36" spans="1:12" ht="13.5" thickBot="1" x14ac:dyDescent="0.3">
      <c r="A36" s="4"/>
      <c r="B36" s="8"/>
      <c r="C36" s="8"/>
      <c r="D36" s="8"/>
      <c r="E36" s="8"/>
      <c r="F36" s="8"/>
      <c r="G36" s="8"/>
      <c r="H36" s="8"/>
      <c r="I36" s="8"/>
      <c r="J36" s="8"/>
      <c r="K36" s="4"/>
      <c r="L36" s="5"/>
    </row>
    <row r="37" spans="1:12" x14ac:dyDescent="0.25">
      <c r="A37" s="4"/>
      <c r="B37" s="346" t="s">
        <v>13</v>
      </c>
      <c r="C37" s="347"/>
      <c r="D37" s="347"/>
      <c r="E37" s="348"/>
      <c r="F37" s="352" t="s">
        <v>27</v>
      </c>
      <c r="G37" s="353"/>
      <c r="H37" s="353"/>
      <c r="I37" s="353"/>
      <c r="J37" s="353"/>
      <c r="K37" s="354"/>
      <c r="L37" s="5"/>
    </row>
    <row r="38" spans="1:12" ht="13.5" thickBot="1" x14ac:dyDescent="0.3">
      <c r="A38" s="4"/>
      <c r="B38" s="349"/>
      <c r="C38" s="350"/>
      <c r="D38" s="350"/>
      <c r="E38" s="351"/>
      <c r="F38" s="307" t="s">
        <v>47</v>
      </c>
      <c r="G38" s="308"/>
      <c r="H38" s="309"/>
      <c r="I38" s="308" t="s">
        <v>35</v>
      </c>
      <c r="J38" s="308"/>
      <c r="K38" s="310"/>
      <c r="L38" s="5"/>
    </row>
    <row r="39" spans="1:12" x14ac:dyDescent="0.25">
      <c r="A39" s="4"/>
      <c r="B39" s="333" t="s">
        <v>32</v>
      </c>
      <c r="C39" s="313"/>
      <c r="D39" s="311" t="s">
        <v>15</v>
      </c>
      <c r="E39" s="313"/>
      <c r="F39" s="311" t="s">
        <v>36</v>
      </c>
      <c r="G39" s="312"/>
      <c r="H39" s="313"/>
      <c r="I39" s="312" t="s">
        <v>37</v>
      </c>
      <c r="J39" s="312"/>
      <c r="K39" s="357"/>
      <c r="L39" s="5"/>
    </row>
    <row r="40" spans="1:12" x14ac:dyDescent="0.25">
      <c r="A40" s="4"/>
      <c r="B40" s="334"/>
      <c r="C40" s="299"/>
      <c r="D40" s="297" t="s">
        <v>17</v>
      </c>
      <c r="E40" s="299"/>
      <c r="F40" s="297" t="s">
        <v>36</v>
      </c>
      <c r="G40" s="298"/>
      <c r="H40" s="299"/>
      <c r="I40" s="298" t="s">
        <v>43</v>
      </c>
      <c r="J40" s="298"/>
      <c r="K40" s="300"/>
      <c r="L40" s="5"/>
    </row>
    <row r="41" spans="1:12" x14ac:dyDescent="0.25">
      <c r="A41" s="4"/>
      <c r="B41" s="335"/>
      <c r="C41" s="292"/>
      <c r="D41" s="291" t="s">
        <v>19</v>
      </c>
      <c r="E41" s="292"/>
      <c r="F41" s="291" t="s">
        <v>36</v>
      </c>
      <c r="G41" s="301"/>
      <c r="H41" s="292"/>
      <c r="I41" s="301" t="s">
        <v>36</v>
      </c>
      <c r="J41" s="301"/>
      <c r="K41" s="302"/>
      <c r="L41" s="5"/>
    </row>
    <row r="42" spans="1:12" x14ac:dyDescent="0.25">
      <c r="A42" s="4"/>
      <c r="B42" s="359" t="s">
        <v>31</v>
      </c>
      <c r="C42" s="305"/>
      <c r="D42" s="303" t="s">
        <v>15</v>
      </c>
      <c r="E42" s="305"/>
      <c r="F42" s="303" t="s">
        <v>37</v>
      </c>
      <c r="G42" s="304"/>
      <c r="H42" s="305"/>
      <c r="I42" s="304" t="s">
        <v>37</v>
      </c>
      <c r="J42" s="304"/>
      <c r="K42" s="306"/>
      <c r="L42" s="5"/>
    </row>
    <row r="43" spans="1:12" x14ac:dyDescent="0.25">
      <c r="A43" s="4"/>
      <c r="B43" s="334"/>
      <c r="C43" s="299"/>
      <c r="D43" s="297" t="s">
        <v>17</v>
      </c>
      <c r="E43" s="299"/>
      <c r="F43" s="297" t="s">
        <v>37</v>
      </c>
      <c r="G43" s="298"/>
      <c r="H43" s="299"/>
      <c r="I43" s="298" t="s">
        <v>43</v>
      </c>
      <c r="J43" s="298"/>
      <c r="K43" s="300"/>
      <c r="L43" s="5"/>
    </row>
    <row r="44" spans="1:12" x14ac:dyDescent="0.25">
      <c r="A44" s="4"/>
      <c r="B44" s="335"/>
      <c r="C44" s="292"/>
      <c r="D44" s="291" t="s">
        <v>19</v>
      </c>
      <c r="E44" s="292"/>
      <c r="F44" s="291" t="s">
        <v>37</v>
      </c>
      <c r="G44" s="301"/>
      <c r="H44" s="292"/>
      <c r="I44" s="301" t="s">
        <v>36</v>
      </c>
      <c r="J44" s="301"/>
      <c r="K44" s="302"/>
      <c r="L44" s="5"/>
    </row>
    <row r="45" spans="1:12" x14ac:dyDescent="0.25">
      <c r="A45" s="4"/>
      <c r="B45" s="360" t="s">
        <v>33</v>
      </c>
      <c r="C45" s="294"/>
      <c r="D45" s="293" t="s">
        <v>15</v>
      </c>
      <c r="E45" s="294"/>
      <c r="F45" s="293" t="s">
        <v>36</v>
      </c>
      <c r="G45" s="336"/>
      <c r="H45" s="294"/>
      <c r="I45" s="336" t="s">
        <v>44</v>
      </c>
      <c r="J45" s="336"/>
      <c r="K45" s="337"/>
      <c r="L45" s="5"/>
    </row>
    <row r="46" spans="1:12" x14ac:dyDescent="0.25">
      <c r="A46" s="4"/>
      <c r="B46" s="360" t="s">
        <v>34</v>
      </c>
      <c r="C46" s="294"/>
      <c r="D46" s="293" t="s">
        <v>19</v>
      </c>
      <c r="E46" s="294"/>
      <c r="F46" s="293" t="s">
        <v>36</v>
      </c>
      <c r="G46" s="336"/>
      <c r="H46" s="294"/>
      <c r="I46" s="336" t="s">
        <v>37</v>
      </c>
      <c r="J46" s="336"/>
      <c r="K46" s="337"/>
      <c r="L46" s="5"/>
    </row>
    <row r="47" spans="1:12" x14ac:dyDescent="0.25">
      <c r="A47" s="4"/>
      <c r="B47" s="360" t="s">
        <v>45</v>
      </c>
      <c r="C47" s="294"/>
      <c r="D47" s="293" t="s">
        <v>15</v>
      </c>
      <c r="E47" s="294"/>
      <c r="F47" s="293" t="s">
        <v>37</v>
      </c>
      <c r="G47" s="336"/>
      <c r="H47" s="294"/>
      <c r="I47" s="336" t="s">
        <v>44</v>
      </c>
      <c r="J47" s="336"/>
      <c r="K47" s="337"/>
      <c r="L47" s="5"/>
    </row>
    <row r="48" spans="1:12" ht="13.5" thickBot="1" x14ac:dyDescent="0.3">
      <c r="A48" s="4"/>
      <c r="B48" s="358" t="s">
        <v>46</v>
      </c>
      <c r="C48" s="296"/>
      <c r="D48" s="295" t="s">
        <v>19</v>
      </c>
      <c r="E48" s="296"/>
      <c r="F48" s="295" t="s">
        <v>37</v>
      </c>
      <c r="G48" s="338"/>
      <c r="H48" s="296"/>
      <c r="I48" s="338" t="s">
        <v>37</v>
      </c>
      <c r="J48" s="338"/>
      <c r="K48" s="339"/>
      <c r="L48" s="5"/>
    </row>
    <row r="49" spans="1:12" x14ac:dyDescent="0.25">
      <c r="A49" s="4"/>
      <c r="B49" s="4" t="s">
        <v>38</v>
      </c>
      <c r="C49" s="4"/>
      <c r="D49" s="4"/>
      <c r="E49" s="4"/>
      <c r="F49" s="4"/>
      <c r="G49" s="4"/>
      <c r="H49" s="4"/>
      <c r="I49" s="4"/>
      <c r="J49" s="4"/>
      <c r="K49" s="4"/>
      <c r="L49" s="5"/>
    </row>
    <row r="50" spans="1:12" x14ac:dyDescent="0.25">
      <c r="A50" s="4"/>
      <c r="B50" s="4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5"/>
    </row>
    <row r="51" spans="1:12" x14ac:dyDescent="0.25">
      <c r="A51" s="4"/>
      <c r="B51" s="4" t="s">
        <v>40</v>
      </c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12" x14ac:dyDescent="0.25">
      <c r="A52" s="4"/>
      <c r="B52" s="4" t="s">
        <v>42</v>
      </c>
      <c r="C52" s="4"/>
      <c r="D52" s="4"/>
      <c r="E52" s="4"/>
      <c r="F52" s="4"/>
      <c r="G52" s="4"/>
      <c r="H52" s="4"/>
      <c r="I52" s="4"/>
      <c r="J52" s="4"/>
      <c r="K52" s="4"/>
      <c r="L52" s="5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</row>
    <row r="54" spans="1:12" x14ac:dyDescent="0.25">
      <c r="A54" s="11"/>
      <c r="B54" s="321" t="s">
        <v>420</v>
      </c>
      <c r="C54" s="321"/>
      <c r="D54" s="321"/>
      <c r="E54" s="321"/>
      <c r="F54" s="321"/>
      <c r="G54" s="321"/>
      <c r="H54" s="321"/>
      <c r="I54" s="321"/>
      <c r="J54" s="321"/>
      <c r="K54" s="321"/>
      <c r="L54" s="5"/>
    </row>
    <row r="55" spans="1:12" ht="13.5" thickBo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5"/>
    </row>
    <row r="56" spans="1:12" x14ac:dyDescent="0.25">
      <c r="A56" s="11"/>
      <c r="B56" s="361" t="s">
        <v>423</v>
      </c>
      <c r="C56" s="362"/>
      <c r="D56" s="362"/>
      <c r="E56" s="362" t="s">
        <v>436</v>
      </c>
      <c r="F56" s="362"/>
      <c r="G56" s="362"/>
      <c r="H56" s="362"/>
      <c r="I56" s="362"/>
      <c r="J56" s="362"/>
      <c r="K56" s="363"/>
      <c r="L56" s="5"/>
    </row>
    <row r="57" spans="1:12" x14ac:dyDescent="0.25">
      <c r="A57" s="11"/>
      <c r="B57" s="364" t="s">
        <v>425</v>
      </c>
      <c r="C57" s="366" t="s">
        <v>35</v>
      </c>
      <c r="D57" s="368" t="s">
        <v>424</v>
      </c>
      <c r="E57" s="366" t="s">
        <v>425</v>
      </c>
      <c r="F57" s="366"/>
      <c r="G57" s="366" t="s">
        <v>35</v>
      </c>
      <c r="H57" s="366"/>
      <c r="I57" s="366"/>
      <c r="J57" s="366" t="s">
        <v>424</v>
      </c>
      <c r="K57" s="372"/>
      <c r="L57" s="5"/>
    </row>
    <row r="58" spans="1:12" ht="13.5" thickBot="1" x14ac:dyDescent="0.3">
      <c r="A58" s="11"/>
      <c r="B58" s="365"/>
      <c r="C58" s="367"/>
      <c r="D58" s="369"/>
      <c r="E58" s="367"/>
      <c r="F58" s="367"/>
      <c r="G58" s="367"/>
      <c r="H58" s="367"/>
      <c r="I58" s="367"/>
      <c r="J58" s="277" t="s">
        <v>425</v>
      </c>
      <c r="K58" s="12" t="s">
        <v>35</v>
      </c>
      <c r="L58" s="5"/>
    </row>
    <row r="59" spans="1:12" x14ac:dyDescent="0.25">
      <c r="A59" s="11"/>
      <c r="B59" s="370" t="s">
        <v>421</v>
      </c>
      <c r="C59" s="355" t="s">
        <v>15</v>
      </c>
      <c r="D59" s="278">
        <v>0</v>
      </c>
      <c r="E59" s="355" t="s">
        <v>428</v>
      </c>
      <c r="F59" s="355"/>
      <c r="G59" s="355" t="s">
        <v>429</v>
      </c>
      <c r="H59" s="355"/>
      <c r="I59" s="355"/>
      <c r="J59" s="278" t="s">
        <v>426</v>
      </c>
      <c r="K59" s="13" t="s">
        <v>427</v>
      </c>
      <c r="L59" s="5"/>
    </row>
    <row r="60" spans="1:12" x14ac:dyDescent="0.25">
      <c r="A60" s="11"/>
      <c r="B60" s="371"/>
      <c r="C60" s="356"/>
      <c r="D60" s="275" t="s">
        <v>31</v>
      </c>
      <c r="E60" s="356"/>
      <c r="F60" s="356"/>
      <c r="G60" s="356"/>
      <c r="H60" s="356"/>
      <c r="I60" s="356"/>
      <c r="J60" s="275" t="s">
        <v>427</v>
      </c>
      <c r="K60" s="14" t="s">
        <v>427</v>
      </c>
      <c r="L60" s="5"/>
    </row>
    <row r="61" spans="1:12" x14ac:dyDescent="0.25">
      <c r="A61" s="11"/>
      <c r="B61" s="371"/>
      <c r="C61" s="356"/>
      <c r="D61" s="275" t="s">
        <v>33</v>
      </c>
      <c r="E61" s="356"/>
      <c r="F61" s="356"/>
      <c r="G61" s="356"/>
      <c r="H61" s="356"/>
      <c r="I61" s="356"/>
      <c r="J61" s="275" t="s">
        <v>426</v>
      </c>
      <c r="K61" s="14" t="s">
        <v>433</v>
      </c>
      <c r="L61" s="5"/>
    </row>
    <row r="62" spans="1:12" x14ac:dyDescent="0.25">
      <c r="A62" s="11"/>
      <c r="B62" s="371"/>
      <c r="C62" s="356"/>
      <c r="D62" s="275" t="s">
        <v>45</v>
      </c>
      <c r="E62" s="356"/>
      <c r="F62" s="356"/>
      <c r="G62" s="356"/>
      <c r="H62" s="356"/>
      <c r="I62" s="356"/>
      <c r="J62" s="275" t="s">
        <v>427</v>
      </c>
      <c r="K62" s="14" t="s">
        <v>433</v>
      </c>
      <c r="L62" s="5"/>
    </row>
    <row r="63" spans="1:12" x14ac:dyDescent="0.25">
      <c r="A63" s="11"/>
      <c r="B63" s="371"/>
      <c r="C63" s="356" t="s">
        <v>17</v>
      </c>
      <c r="D63" s="275">
        <v>0</v>
      </c>
      <c r="E63" s="356"/>
      <c r="F63" s="356"/>
      <c r="G63" s="356" t="s">
        <v>430</v>
      </c>
      <c r="H63" s="356"/>
      <c r="I63" s="356"/>
      <c r="J63" s="275" t="s">
        <v>426</v>
      </c>
      <c r="K63" s="14" t="s">
        <v>434</v>
      </c>
      <c r="L63" s="5"/>
    </row>
    <row r="64" spans="1:12" x14ac:dyDescent="0.25">
      <c r="A64" s="11"/>
      <c r="B64" s="371"/>
      <c r="C64" s="356"/>
      <c r="D64" s="275" t="s">
        <v>31</v>
      </c>
      <c r="E64" s="356"/>
      <c r="F64" s="356"/>
      <c r="G64" s="356"/>
      <c r="H64" s="356"/>
      <c r="I64" s="356"/>
      <c r="J64" s="275" t="s">
        <v>427</v>
      </c>
      <c r="K64" s="14" t="s">
        <v>434</v>
      </c>
      <c r="L64" s="5"/>
    </row>
    <row r="65" spans="1:12" x14ac:dyDescent="0.25">
      <c r="A65" s="11"/>
      <c r="B65" s="371"/>
      <c r="C65" s="356" t="s">
        <v>19</v>
      </c>
      <c r="D65" s="275">
        <v>0</v>
      </c>
      <c r="E65" s="356"/>
      <c r="F65" s="356"/>
      <c r="G65" s="356" t="s">
        <v>431</v>
      </c>
      <c r="H65" s="356"/>
      <c r="I65" s="356"/>
      <c r="J65" s="275" t="s">
        <v>426</v>
      </c>
      <c r="K65" s="14" t="s">
        <v>426</v>
      </c>
      <c r="L65" s="5"/>
    </row>
    <row r="66" spans="1:12" x14ac:dyDescent="0.25">
      <c r="A66" s="11"/>
      <c r="B66" s="371"/>
      <c r="C66" s="356"/>
      <c r="D66" s="275" t="s">
        <v>31</v>
      </c>
      <c r="E66" s="356"/>
      <c r="F66" s="356"/>
      <c r="G66" s="356"/>
      <c r="H66" s="356"/>
      <c r="I66" s="356"/>
      <c r="J66" s="275" t="s">
        <v>427</v>
      </c>
      <c r="K66" s="14" t="s">
        <v>426</v>
      </c>
      <c r="L66" s="5"/>
    </row>
    <row r="67" spans="1:12" x14ac:dyDescent="0.25">
      <c r="A67" s="11"/>
      <c r="B67" s="371"/>
      <c r="C67" s="356"/>
      <c r="D67" s="275" t="s">
        <v>34</v>
      </c>
      <c r="E67" s="356"/>
      <c r="F67" s="356"/>
      <c r="G67" s="356"/>
      <c r="H67" s="356"/>
      <c r="I67" s="356"/>
      <c r="J67" s="275" t="s">
        <v>426</v>
      </c>
      <c r="K67" s="14" t="s">
        <v>427</v>
      </c>
      <c r="L67" s="5"/>
    </row>
    <row r="68" spans="1:12" x14ac:dyDescent="0.25">
      <c r="A68" s="11"/>
      <c r="B68" s="371"/>
      <c r="C68" s="356"/>
      <c r="D68" s="275" t="s">
        <v>46</v>
      </c>
      <c r="E68" s="356"/>
      <c r="F68" s="356"/>
      <c r="G68" s="356"/>
      <c r="H68" s="356"/>
      <c r="I68" s="356"/>
      <c r="J68" s="275" t="s">
        <v>427</v>
      </c>
      <c r="K68" s="14" t="s">
        <v>427</v>
      </c>
      <c r="L68" s="5"/>
    </row>
    <row r="69" spans="1:12" x14ac:dyDescent="0.25">
      <c r="A69" s="11"/>
      <c r="B69" s="371" t="s">
        <v>422</v>
      </c>
      <c r="C69" s="356" t="s">
        <v>15</v>
      </c>
      <c r="D69" s="275">
        <v>0</v>
      </c>
      <c r="E69" s="356" t="s">
        <v>437</v>
      </c>
      <c r="F69" s="356"/>
      <c r="G69" s="356" t="s">
        <v>429</v>
      </c>
      <c r="H69" s="356"/>
      <c r="I69" s="356"/>
      <c r="J69" s="275" t="s">
        <v>426</v>
      </c>
      <c r="K69" s="14" t="s">
        <v>427</v>
      </c>
      <c r="L69" s="5"/>
    </row>
    <row r="70" spans="1:12" x14ac:dyDescent="0.25">
      <c r="A70" s="11"/>
      <c r="B70" s="371"/>
      <c r="C70" s="356"/>
      <c r="D70" s="275" t="s">
        <v>31</v>
      </c>
      <c r="E70" s="356"/>
      <c r="F70" s="356"/>
      <c r="G70" s="356"/>
      <c r="H70" s="356"/>
      <c r="I70" s="356"/>
      <c r="J70" s="275" t="s">
        <v>427</v>
      </c>
      <c r="K70" s="14" t="s">
        <v>427</v>
      </c>
      <c r="L70" s="5"/>
    </row>
    <row r="71" spans="1:12" x14ac:dyDescent="0.25">
      <c r="A71" s="11"/>
      <c r="B71" s="371"/>
      <c r="C71" s="356"/>
      <c r="D71" s="275" t="s">
        <v>33</v>
      </c>
      <c r="E71" s="356"/>
      <c r="F71" s="356"/>
      <c r="G71" s="356"/>
      <c r="H71" s="356"/>
      <c r="I71" s="356"/>
      <c r="J71" s="275" t="s">
        <v>426</v>
      </c>
      <c r="K71" s="14" t="s">
        <v>433</v>
      </c>
      <c r="L71" s="5"/>
    </row>
    <row r="72" spans="1:12" x14ac:dyDescent="0.25">
      <c r="A72" s="11"/>
      <c r="B72" s="371"/>
      <c r="C72" s="356"/>
      <c r="D72" s="275" t="s">
        <v>45</v>
      </c>
      <c r="E72" s="356"/>
      <c r="F72" s="356"/>
      <c r="G72" s="356"/>
      <c r="H72" s="356"/>
      <c r="I72" s="356"/>
      <c r="J72" s="275" t="s">
        <v>427</v>
      </c>
      <c r="K72" s="14" t="s">
        <v>433</v>
      </c>
      <c r="L72" s="5"/>
    </row>
    <row r="73" spans="1:12" x14ac:dyDescent="0.25">
      <c r="A73" s="11"/>
      <c r="B73" s="371"/>
      <c r="C73" s="356" t="s">
        <v>17</v>
      </c>
      <c r="D73" s="275">
        <v>0</v>
      </c>
      <c r="E73" s="356"/>
      <c r="F73" s="356"/>
      <c r="G73" s="356" t="s">
        <v>430</v>
      </c>
      <c r="H73" s="356"/>
      <c r="I73" s="356"/>
      <c r="J73" s="275" t="s">
        <v>426</v>
      </c>
      <c r="K73" s="14" t="s">
        <v>434</v>
      </c>
      <c r="L73" s="5"/>
    </row>
    <row r="74" spans="1:12" x14ac:dyDescent="0.25">
      <c r="A74" s="11"/>
      <c r="B74" s="371"/>
      <c r="C74" s="356"/>
      <c r="D74" s="275" t="s">
        <v>31</v>
      </c>
      <c r="E74" s="356"/>
      <c r="F74" s="356"/>
      <c r="G74" s="356"/>
      <c r="H74" s="356"/>
      <c r="I74" s="356"/>
      <c r="J74" s="275" t="s">
        <v>427</v>
      </c>
      <c r="K74" s="14" t="s">
        <v>434</v>
      </c>
      <c r="L74" s="5"/>
    </row>
    <row r="75" spans="1:12" x14ac:dyDescent="0.25">
      <c r="A75" s="11"/>
      <c r="B75" s="371"/>
      <c r="C75" s="356" t="s">
        <v>19</v>
      </c>
      <c r="D75" s="275">
        <v>0</v>
      </c>
      <c r="E75" s="356"/>
      <c r="F75" s="356"/>
      <c r="G75" s="356" t="s">
        <v>431</v>
      </c>
      <c r="H75" s="356"/>
      <c r="I75" s="356"/>
      <c r="J75" s="275" t="s">
        <v>426</v>
      </c>
      <c r="K75" s="14" t="s">
        <v>426</v>
      </c>
      <c r="L75" s="5"/>
    </row>
    <row r="76" spans="1:12" x14ac:dyDescent="0.25">
      <c r="A76" s="11"/>
      <c r="B76" s="371"/>
      <c r="C76" s="356"/>
      <c r="D76" s="275" t="s">
        <v>31</v>
      </c>
      <c r="E76" s="356"/>
      <c r="F76" s="356"/>
      <c r="G76" s="356"/>
      <c r="H76" s="356"/>
      <c r="I76" s="356"/>
      <c r="J76" s="275" t="s">
        <v>427</v>
      </c>
      <c r="K76" s="14" t="s">
        <v>426</v>
      </c>
      <c r="L76" s="5"/>
    </row>
    <row r="77" spans="1:12" x14ac:dyDescent="0.25">
      <c r="A77" s="11"/>
      <c r="B77" s="371"/>
      <c r="C77" s="356"/>
      <c r="D77" s="275" t="s">
        <v>34</v>
      </c>
      <c r="E77" s="356"/>
      <c r="F77" s="356"/>
      <c r="G77" s="356"/>
      <c r="H77" s="356"/>
      <c r="I77" s="356"/>
      <c r="J77" s="275" t="s">
        <v>426</v>
      </c>
      <c r="K77" s="14" t="s">
        <v>427</v>
      </c>
      <c r="L77" s="5"/>
    </row>
    <row r="78" spans="1:12" x14ac:dyDescent="0.25">
      <c r="A78" s="11"/>
      <c r="B78" s="371"/>
      <c r="C78" s="356"/>
      <c r="D78" s="275" t="s">
        <v>46</v>
      </c>
      <c r="E78" s="356"/>
      <c r="F78" s="356"/>
      <c r="G78" s="356"/>
      <c r="H78" s="356"/>
      <c r="I78" s="356"/>
      <c r="J78" s="275" t="s">
        <v>427</v>
      </c>
      <c r="K78" s="14" t="s">
        <v>427</v>
      </c>
      <c r="L78" s="5"/>
    </row>
    <row r="79" spans="1:12" x14ac:dyDescent="0.25">
      <c r="A79" s="11"/>
      <c r="B79" s="371" t="s">
        <v>432</v>
      </c>
      <c r="C79" s="356" t="s">
        <v>15</v>
      </c>
      <c r="D79" s="275">
        <v>0</v>
      </c>
      <c r="E79" s="356" t="s">
        <v>435</v>
      </c>
      <c r="F79" s="356"/>
      <c r="G79" s="356" t="s">
        <v>429</v>
      </c>
      <c r="H79" s="356"/>
      <c r="I79" s="356"/>
      <c r="J79" s="275" t="s">
        <v>426</v>
      </c>
      <c r="K79" s="14" t="s">
        <v>427</v>
      </c>
      <c r="L79" s="5"/>
    </row>
    <row r="80" spans="1:12" x14ac:dyDescent="0.25">
      <c r="A80" s="11"/>
      <c r="B80" s="371"/>
      <c r="C80" s="356"/>
      <c r="D80" s="275" t="s">
        <v>31</v>
      </c>
      <c r="E80" s="356"/>
      <c r="F80" s="356"/>
      <c r="G80" s="356"/>
      <c r="H80" s="356"/>
      <c r="I80" s="356"/>
      <c r="J80" s="275" t="s">
        <v>427</v>
      </c>
      <c r="K80" s="14" t="s">
        <v>427</v>
      </c>
      <c r="L80" s="5"/>
    </row>
    <row r="81" spans="1:12" x14ac:dyDescent="0.25">
      <c r="A81" s="11"/>
      <c r="B81" s="371"/>
      <c r="C81" s="356"/>
      <c r="D81" s="275" t="s">
        <v>33</v>
      </c>
      <c r="E81" s="356"/>
      <c r="F81" s="356"/>
      <c r="G81" s="356"/>
      <c r="H81" s="356"/>
      <c r="I81" s="356"/>
      <c r="J81" s="275" t="s">
        <v>426</v>
      </c>
      <c r="K81" s="14" t="s">
        <v>433</v>
      </c>
      <c r="L81" s="5"/>
    </row>
    <row r="82" spans="1:12" x14ac:dyDescent="0.25">
      <c r="A82" s="11"/>
      <c r="B82" s="371"/>
      <c r="C82" s="356"/>
      <c r="D82" s="275" t="s">
        <v>45</v>
      </c>
      <c r="E82" s="356"/>
      <c r="F82" s="356"/>
      <c r="G82" s="356"/>
      <c r="H82" s="356"/>
      <c r="I82" s="356"/>
      <c r="J82" s="275" t="s">
        <v>427</v>
      </c>
      <c r="K82" s="14" t="s">
        <v>433</v>
      </c>
      <c r="L82" s="5"/>
    </row>
    <row r="83" spans="1:12" x14ac:dyDescent="0.25">
      <c r="A83" s="11"/>
      <c r="B83" s="371"/>
      <c r="C83" s="356" t="s">
        <v>17</v>
      </c>
      <c r="D83" s="275">
        <v>0</v>
      </c>
      <c r="E83" s="356"/>
      <c r="F83" s="356"/>
      <c r="G83" s="356" t="s">
        <v>430</v>
      </c>
      <c r="H83" s="356"/>
      <c r="I83" s="356"/>
      <c r="J83" s="275" t="s">
        <v>426</v>
      </c>
      <c r="K83" s="14" t="s">
        <v>434</v>
      </c>
      <c r="L83" s="5"/>
    </row>
    <row r="84" spans="1:12" x14ac:dyDescent="0.25">
      <c r="A84" s="11"/>
      <c r="B84" s="371"/>
      <c r="C84" s="356"/>
      <c r="D84" s="275" t="s">
        <v>31</v>
      </c>
      <c r="E84" s="356"/>
      <c r="F84" s="356"/>
      <c r="G84" s="356"/>
      <c r="H84" s="356"/>
      <c r="I84" s="356"/>
      <c r="J84" s="275" t="s">
        <v>427</v>
      </c>
      <c r="K84" s="14" t="s">
        <v>434</v>
      </c>
      <c r="L84" s="5"/>
    </row>
    <row r="85" spans="1:12" x14ac:dyDescent="0.25">
      <c r="A85" s="11"/>
      <c r="B85" s="371"/>
      <c r="C85" s="356" t="s">
        <v>19</v>
      </c>
      <c r="D85" s="275">
        <v>0</v>
      </c>
      <c r="E85" s="356"/>
      <c r="F85" s="356"/>
      <c r="G85" s="356" t="s">
        <v>431</v>
      </c>
      <c r="H85" s="356"/>
      <c r="I85" s="356"/>
      <c r="J85" s="275" t="s">
        <v>426</v>
      </c>
      <c r="K85" s="14" t="s">
        <v>426</v>
      </c>
      <c r="L85" s="5"/>
    </row>
    <row r="86" spans="1:12" x14ac:dyDescent="0.25">
      <c r="A86" s="11"/>
      <c r="B86" s="371"/>
      <c r="C86" s="356"/>
      <c r="D86" s="275" t="s">
        <v>31</v>
      </c>
      <c r="E86" s="356"/>
      <c r="F86" s="356"/>
      <c r="G86" s="356"/>
      <c r="H86" s="356"/>
      <c r="I86" s="356"/>
      <c r="J86" s="275" t="s">
        <v>427</v>
      </c>
      <c r="K86" s="14" t="s">
        <v>426</v>
      </c>
      <c r="L86" s="5"/>
    </row>
    <row r="87" spans="1:12" x14ac:dyDescent="0.25">
      <c r="A87" s="11"/>
      <c r="B87" s="371"/>
      <c r="C87" s="356"/>
      <c r="D87" s="275" t="s">
        <v>34</v>
      </c>
      <c r="E87" s="356"/>
      <c r="F87" s="356"/>
      <c r="G87" s="356"/>
      <c r="H87" s="356"/>
      <c r="I87" s="356"/>
      <c r="J87" s="275" t="s">
        <v>426</v>
      </c>
      <c r="K87" s="14" t="s">
        <v>427</v>
      </c>
      <c r="L87" s="5"/>
    </row>
    <row r="88" spans="1:12" ht="13.5" thickBot="1" x14ac:dyDescent="0.3">
      <c r="A88" s="11"/>
      <c r="B88" s="373"/>
      <c r="C88" s="374"/>
      <c r="D88" s="276" t="s">
        <v>46</v>
      </c>
      <c r="E88" s="374"/>
      <c r="F88" s="374"/>
      <c r="G88" s="374"/>
      <c r="H88" s="374"/>
      <c r="I88" s="374"/>
      <c r="J88" s="276" t="s">
        <v>427</v>
      </c>
      <c r="K88" s="15" t="s">
        <v>427</v>
      </c>
      <c r="L88" s="5"/>
    </row>
    <row r="89" spans="1:12" ht="12.9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16"/>
      <c r="L89" s="17"/>
    </row>
    <row r="90" spans="1:12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x14ac:dyDescent="0.25">
      <c r="A91" s="1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1"/>
    </row>
    <row r="92" spans="1:12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</sheetData>
  <sheetProtection algorithmName="SHA-512" hashValue="g5LYmhop1XEIDAZnxrKwqAfQHQegKP+eQXSVFenwfBNsrnNJgU953Y97lgQK3UcHguUVn1SkKsEKqo+YXFw4qA==" saltValue="bHrZQxFSlVgALDF2TMflhw==" spinCount="100000" sheet="1" objects="1" scenarios="1"/>
  <mergeCells count="99">
    <mergeCell ref="E69:F78"/>
    <mergeCell ref="G69:I72"/>
    <mergeCell ref="G73:I74"/>
    <mergeCell ref="G75:I78"/>
    <mergeCell ref="E79:F88"/>
    <mergeCell ref="G79:I82"/>
    <mergeCell ref="G83:I84"/>
    <mergeCell ref="G85:I88"/>
    <mergeCell ref="B69:B78"/>
    <mergeCell ref="C69:C72"/>
    <mergeCell ref="C73:C74"/>
    <mergeCell ref="C75:C78"/>
    <mergeCell ref="B79:B88"/>
    <mergeCell ref="C79:C82"/>
    <mergeCell ref="C83:C84"/>
    <mergeCell ref="C85:C88"/>
    <mergeCell ref="G63:I64"/>
    <mergeCell ref="G65:I68"/>
    <mergeCell ref="B56:D56"/>
    <mergeCell ref="E56:K56"/>
    <mergeCell ref="B57:B58"/>
    <mergeCell ref="C57:C58"/>
    <mergeCell ref="D57:D58"/>
    <mergeCell ref="E57:F58"/>
    <mergeCell ref="G57:I58"/>
    <mergeCell ref="B59:B68"/>
    <mergeCell ref="C59:C62"/>
    <mergeCell ref="C63:C64"/>
    <mergeCell ref="C65:C68"/>
    <mergeCell ref="E59:F68"/>
    <mergeCell ref="J57:K57"/>
    <mergeCell ref="D39:E39"/>
    <mergeCell ref="B26:D28"/>
    <mergeCell ref="B37:E38"/>
    <mergeCell ref="F37:K37"/>
    <mergeCell ref="G59:I62"/>
    <mergeCell ref="B54:K54"/>
    <mergeCell ref="D40:E40"/>
    <mergeCell ref="D41:E41"/>
    <mergeCell ref="I39:K39"/>
    <mergeCell ref="B48:C48"/>
    <mergeCell ref="D43:E43"/>
    <mergeCell ref="B42:C44"/>
    <mergeCell ref="B45:C45"/>
    <mergeCell ref="B46:C46"/>
    <mergeCell ref="B47:C47"/>
    <mergeCell ref="D42:E42"/>
    <mergeCell ref="B11:F11"/>
    <mergeCell ref="G11:K11"/>
    <mergeCell ref="B12:F12"/>
    <mergeCell ref="B13:F13"/>
    <mergeCell ref="B14:F14"/>
    <mergeCell ref="G12:K12"/>
    <mergeCell ref="G13:K13"/>
    <mergeCell ref="G14:K14"/>
    <mergeCell ref="F47:H47"/>
    <mergeCell ref="I47:K47"/>
    <mergeCell ref="F48:H48"/>
    <mergeCell ref="I48:K48"/>
    <mergeCell ref="F45:H45"/>
    <mergeCell ref="I45:K45"/>
    <mergeCell ref="F46:H46"/>
    <mergeCell ref="I46:K46"/>
    <mergeCell ref="F38:H38"/>
    <mergeCell ref="I38:K38"/>
    <mergeCell ref="F39:H39"/>
    <mergeCell ref="A6:L7"/>
    <mergeCell ref="B25:F25"/>
    <mergeCell ref="B35:K35"/>
    <mergeCell ref="E26:F26"/>
    <mergeCell ref="G26:K26"/>
    <mergeCell ref="E27:F27"/>
    <mergeCell ref="G27:K27"/>
    <mergeCell ref="E28:F28"/>
    <mergeCell ref="G28:K28"/>
    <mergeCell ref="B9:K9"/>
    <mergeCell ref="B23:K23"/>
    <mergeCell ref="G25:K25"/>
    <mergeCell ref="B39:C41"/>
    <mergeCell ref="F40:H40"/>
    <mergeCell ref="I40:K40"/>
    <mergeCell ref="F44:H44"/>
    <mergeCell ref="I44:K44"/>
    <mergeCell ref="F41:H41"/>
    <mergeCell ref="I41:K41"/>
    <mergeCell ref="F42:H42"/>
    <mergeCell ref="I42:K42"/>
    <mergeCell ref="F43:H43"/>
    <mergeCell ref="I43:K43"/>
    <mergeCell ref="D44:E44"/>
    <mergeCell ref="D45:E45"/>
    <mergeCell ref="D46:E46"/>
    <mergeCell ref="D47:E47"/>
    <mergeCell ref="D48:E48"/>
    <mergeCell ref="A3:L3"/>
    <mergeCell ref="A4:L4"/>
    <mergeCell ref="A5:L5"/>
    <mergeCell ref="A1:L1"/>
    <mergeCell ref="A2:L2"/>
  </mergeCells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R157"/>
  <sheetViews>
    <sheetView workbookViewId="0">
      <pane ySplit="9" topLeftCell="A10" activePane="bottomLeft" state="frozen"/>
      <selection pane="bottomLeft" activeCell="A10" sqref="A10"/>
    </sheetView>
  </sheetViews>
  <sheetFormatPr defaultColWidth="0" defaultRowHeight="12.75" zeroHeight="1" x14ac:dyDescent="0.25"/>
  <cols>
    <col min="1" max="1" width="10.875" style="109" customWidth="1"/>
    <col min="2" max="12" width="14.375" style="109" customWidth="1"/>
    <col min="13" max="16" width="10.875" style="109" customWidth="1"/>
    <col min="17" max="17" width="10.875" style="109" hidden="1" customWidth="1"/>
    <col min="18" max="18" width="14" style="109" hidden="1" customWidth="1"/>
    <col min="19" max="16384" width="10.875" style="109" hidden="1"/>
  </cols>
  <sheetData>
    <row r="1" spans="1:18" ht="12.95" customHeight="1" x14ac:dyDescent="0.25">
      <c r="A1" s="384" t="s">
        <v>760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213"/>
      <c r="O1" s="213"/>
      <c r="P1" s="214"/>
      <c r="Q1" s="215"/>
    </row>
    <row r="2" spans="1:18" ht="12.95" customHeigh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216"/>
      <c r="O2" s="216"/>
      <c r="P2" s="217"/>
      <c r="Q2" s="215"/>
    </row>
    <row r="3" spans="1:18" ht="13.5" thickBot="1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18"/>
      <c r="N3" s="21"/>
      <c r="O3" s="112"/>
      <c r="P3" s="22"/>
      <c r="Q3" s="23"/>
    </row>
    <row r="4" spans="1:18" ht="12.95" customHeight="1" x14ac:dyDescent="0.25">
      <c r="A4" s="112"/>
      <c r="B4" s="395" t="s">
        <v>750</v>
      </c>
      <c r="C4" s="393"/>
      <c r="D4" s="394"/>
      <c r="E4" s="112"/>
      <c r="F4" s="395" t="s">
        <v>753</v>
      </c>
      <c r="G4" s="422" t="s">
        <v>748</v>
      </c>
      <c r="H4" s="422"/>
      <c r="I4" s="422"/>
      <c r="J4" s="219" t="str">
        <f ca="1">OFFSET($B$12,MATCH($J$7,$K$13:$K$42,0),0)</f>
        <v>FDD - ETR3 e</v>
      </c>
      <c r="K4" s="112"/>
      <c r="L4" s="395" t="s">
        <v>834</v>
      </c>
      <c r="M4" s="394"/>
      <c r="N4" s="21"/>
      <c r="O4" s="112"/>
      <c r="P4" s="22"/>
      <c r="Q4" s="23"/>
    </row>
    <row r="5" spans="1:18" ht="13.5" thickBot="1" x14ac:dyDescent="0.3">
      <c r="A5" s="112"/>
      <c r="B5" s="417" t="s">
        <v>751</v>
      </c>
      <c r="C5" s="418"/>
      <c r="D5" s="220">
        <f>'Dados (F)'!$C$14</f>
        <v>10</v>
      </c>
      <c r="E5" s="112"/>
      <c r="F5" s="421"/>
      <c r="G5" s="423" t="s">
        <v>754</v>
      </c>
      <c r="H5" s="423"/>
      <c r="I5" s="423"/>
      <c r="J5" s="221">
        <f ca="1">VLOOKUP(J4,$B$13:$L$42,8,0)</f>
        <v>4540021.7605695231</v>
      </c>
      <c r="K5" s="112"/>
      <c r="L5" s="412" t="s">
        <v>805</v>
      </c>
      <c r="M5" s="413"/>
      <c r="N5" s="109" t="s">
        <v>839</v>
      </c>
      <c r="O5" s="112"/>
      <c r="P5" s="22"/>
      <c r="Q5" s="23"/>
    </row>
    <row r="6" spans="1:18" x14ac:dyDescent="0.25">
      <c r="A6" s="112"/>
      <c r="B6" s="417" t="s">
        <v>50</v>
      </c>
      <c r="C6" s="418"/>
      <c r="D6" s="222">
        <f>'Dados (F)'!$C$15</f>
        <v>10</v>
      </c>
      <c r="E6" s="112"/>
      <c r="F6" s="421"/>
      <c r="G6" s="423" t="s">
        <v>755</v>
      </c>
      <c r="H6" s="423"/>
      <c r="I6" s="423"/>
      <c r="J6" s="221">
        <f ca="1">VLOOKUP(J4,$B$13:$L$42,9,0)</f>
        <v>202207.68658838986</v>
      </c>
      <c r="K6" s="112"/>
      <c r="L6" s="21"/>
      <c r="M6" s="21"/>
      <c r="N6" s="223">
        <f>MATCH(L5,N12:N14,0)</f>
        <v>1</v>
      </c>
      <c r="O6" s="112"/>
      <c r="P6" s="22"/>
      <c r="Q6" s="23"/>
    </row>
    <row r="7" spans="1:18" ht="13.5" thickBot="1" x14ac:dyDescent="0.3">
      <c r="A7" s="112"/>
      <c r="B7" s="419" t="s">
        <v>752</v>
      </c>
      <c r="C7" s="420"/>
      <c r="D7" s="224">
        <f>'Dados (F)'!$C$16</f>
        <v>0.12</v>
      </c>
      <c r="E7" s="112"/>
      <c r="F7" s="421"/>
      <c r="G7" s="424" t="s">
        <v>756</v>
      </c>
      <c r="H7" s="424"/>
      <c r="I7" s="424"/>
      <c r="J7" s="225">
        <f>MIN(K13:K42)</f>
        <v>4742229.4471579129</v>
      </c>
      <c r="K7" s="112"/>
      <c r="L7" s="414" t="str">
        <f>HYPERLINK("#"&amp;"'Seleção (S)'!A"&amp;(44+(N6-1)*39+2*(N6-1)),"IR PARA O GRÁFICO")</f>
        <v>IR PARA O GRÁFICO</v>
      </c>
      <c r="M7" s="415"/>
      <c r="N7" s="21"/>
      <c r="O7" s="112"/>
      <c r="P7" s="22"/>
      <c r="Q7" s="23"/>
    </row>
    <row r="8" spans="1:18" ht="13.5" thickBot="1" x14ac:dyDescent="0.3">
      <c r="A8" s="112"/>
      <c r="B8" s="11" t="s">
        <v>749</v>
      </c>
      <c r="D8" s="112"/>
      <c r="E8" s="112"/>
      <c r="F8" s="396"/>
      <c r="G8" s="425" t="s">
        <v>746</v>
      </c>
      <c r="H8" s="425"/>
      <c r="I8" s="425"/>
      <c r="J8" s="226">
        <f ca="1">VLOOKUP(J4,$B$13:$L$42,11,0)</f>
        <v>1267975.7880101372</v>
      </c>
      <c r="K8" s="112"/>
      <c r="L8" s="112"/>
      <c r="M8" s="21"/>
      <c r="N8" s="21"/>
      <c r="O8" s="112"/>
      <c r="P8" s="22"/>
      <c r="Q8" s="23"/>
    </row>
    <row r="9" spans="1:18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21"/>
      <c r="N9" s="21"/>
      <c r="O9" s="112"/>
      <c r="P9" s="22"/>
      <c r="Q9" s="23"/>
    </row>
    <row r="10" spans="1:18" ht="13.5" thickBot="1" x14ac:dyDescent="0.3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21"/>
      <c r="N10" s="21"/>
      <c r="O10" s="112"/>
      <c r="P10" s="22"/>
      <c r="Q10" s="23"/>
    </row>
    <row r="11" spans="1:18" x14ac:dyDescent="0.25">
      <c r="A11" s="112"/>
      <c r="B11" s="395" t="s">
        <v>725</v>
      </c>
      <c r="C11" s="393" t="s">
        <v>747</v>
      </c>
      <c r="D11" s="393"/>
      <c r="E11" s="393"/>
      <c r="F11" s="393" t="s">
        <v>761</v>
      </c>
      <c r="G11" s="393"/>
      <c r="H11" s="393"/>
      <c r="I11" s="393" t="s">
        <v>836</v>
      </c>
      <c r="J11" s="393"/>
      <c r="K11" s="393"/>
      <c r="L11" s="394" t="s">
        <v>837</v>
      </c>
      <c r="M11" s="21"/>
      <c r="N11" s="21"/>
      <c r="O11" s="112"/>
      <c r="P11" s="22"/>
      <c r="Q11" s="23"/>
    </row>
    <row r="12" spans="1:18" ht="13.5" thickBot="1" x14ac:dyDescent="0.3">
      <c r="A12" s="112"/>
      <c r="B12" s="396"/>
      <c r="C12" s="115" t="s">
        <v>425</v>
      </c>
      <c r="D12" s="115" t="s">
        <v>35</v>
      </c>
      <c r="E12" s="115" t="s">
        <v>726</v>
      </c>
      <c r="F12" s="115" t="s">
        <v>425</v>
      </c>
      <c r="G12" s="115" t="s">
        <v>35</v>
      </c>
      <c r="H12" s="115" t="s">
        <v>726</v>
      </c>
      <c r="I12" s="115" t="s">
        <v>425</v>
      </c>
      <c r="J12" s="115" t="s">
        <v>35</v>
      </c>
      <c r="K12" s="115" t="s">
        <v>726</v>
      </c>
      <c r="L12" s="416"/>
      <c r="M12" s="21"/>
      <c r="N12" s="211" t="s">
        <v>805</v>
      </c>
      <c r="O12" s="112"/>
      <c r="P12" s="22"/>
      <c r="Q12" s="23"/>
    </row>
    <row r="13" spans="1:18" x14ac:dyDescent="0.25">
      <c r="A13" s="112"/>
      <c r="B13" s="227" t="s">
        <v>466</v>
      </c>
      <c r="C13" s="228">
        <f>'Resumo (B2)'!$C$45</f>
        <v>1045694.3504419522</v>
      </c>
      <c r="D13" s="228">
        <f>'Resumo (B2)'!$C$46</f>
        <v>383036.64220356912</v>
      </c>
      <c r="E13" s="228">
        <f t="shared" ref="E13:E42" si="0">SUM(C13:D13)</f>
        <v>1428730.9926455214</v>
      </c>
      <c r="F13" s="228">
        <f>'Resumo (B2)'!$C$57</f>
        <v>585934.83975999954</v>
      </c>
      <c r="G13" s="228">
        <f>'Resumo (B2)'!$C$58</f>
        <v>14448.716640000001</v>
      </c>
      <c r="H13" s="228">
        <f t="shared" ref="H13:H42" si="1">SUM(F13:G13)</f>
        <v>600383.55639999954</v>
      </c>
      <c r="I13" s="229">
        <f>C13-PV('Dados (F)'!$C$16,'Dados (F)'!$C$15,F13,0,1)</f>
        <v>4753636.378173355</v>
      </c>
      <c r="J13" s="229">
        <f>D13-PV('Dados (F)'!$C$16,'Dados (F)'!$C$15,G13,0,1)</f>
        <v>474471.73027271777</v>
      </c>
      <c r="K13" s="230">
        <f t="shared" ref="K13:K42" si="2">SUM(I13:J13)</f>
        <v>5228108.1084460728</v>
      </c>
      <c r="L13" s="231">
        <f>K13/'Dados (F)'!$C$19</f>
        <v>1397889.8685684686</v>
      </c>
      <c r="M13" s="21"/>
      <c r="N13" s="211" t="s">
        <v>806</v>
      </c>
      <c r="O13" s="112"/>
      <c r="P13" s="22"/>
      <c r="Q13" s="23"/>
    </row>
    <row r="14" spans="1:18" x14ac:dyDescent="0.25">
      <c r="A14" s="112"/>
      <c r="B14" s="232" t="s">
        <v>467</v>
      </c>
      <c r="C14" s="233">
        <f>'Resumo (B2)'!$D$45</f>
        <v>1065527.2548767754</v>
      </c>
      <c r="D14" s="233">
        <f>'Resumo (B2)'!$D$46</f>
        <v>271849.25287422002</v>
      </c>
      <c r="E14" s="233">
        <f t="shared" si="0"/>
        <v>1337376.5077509955</v>
      </c>
      <c r="F14" s="233">
        <f>'Resumo (B2)'!$D$57</f>
        <v>587096.04232000001</v>
      </c>
      <c r="G14" s="233">
        <f>'Resumo (B2)'!$D$58</f>
        <v>12588.01584</v>
      </c>
      <c r="H14" s="233">
        <f t="shared" si="1"/>
        <v>599684.05816000002</v>
      </c>
      <c r="I14" s="234">
        <f>C14-PV('Dados (F)'!$C$16,'Dados (F)'!$C$15,F14,0,1)</f>
        <v>4780817.6624667626</v>
      </c>
      <c r="J14" s="234">
        <f>D14-PV('Dados (F)'!$C$16,'Dados (F)'!$C$15,G14,0,1)</f>
        <v>351509.36149312905</v>
      </c>
      <c r="K14" s="235">
        <f t="shared" si="2"/>
        <v>5132327.0239598919</v>
      </c>
      <c r="L14" s="236">
        <f>K14/'Dados (F)'!$C$19</f>
        <v>1372279.9529304523</v>
      </c>
      <c r="M14" s="21"/>
      <c r="N14" s="211" t="s">
        <v>835</v>
      </c>
      <c r="O14" s="112"/>
      <c r="P14" s="22"/>
      <c r="Q14" s="23"/>
      <c r="R14" s="169"/>
    </row>
    <row r="15" spans="1:18" x14ac:dyDescent="0.25">
      <c r="A15" s="112"/>
      <c r="B15" s="232" t="s">
        <v>468</v>
      </c>
      <c r="C15" s="233">
        <f>'Resumo (B2)'!$E$45</f>
        <v>1085103.4428147029</v>
      </c>
      <c r="D15" s="233">
        <f>'Resumo (B2)'!$E$46</f>
        <v>133257.25711558538</v>
      </c>
      <c r="E15" s="233">
        <f t="shared" si="0"/>
        <v>1218360.6999302884</v>
      </c>
      <c r="F15" s="233">
        <f>'Resumo (B2)'!$E$57</f>
        <v>577626.02631999995</v>
      </c>
      <c r="G15" s="233">
        <f>'Resumo (B2)'!$E$58</f>
        <v>15445.363079999999</v>
      </c>
      <c r="H15" s="233">
        <f t="shared" si="1"/>
        <v>593071.38939999999</v>
      </c>
      <c r="I15" s="234">
        <f>C15-PV('Dados (F)'!$C$16,'Dados (F)'!$C$15,F15,0,1)</f>
        <v>4740465.2236241559</v>
      </c>
      <c r="J15" s="234">
        <f>D15-PV('Dados (F)'!$C$16,'Dados (F)'!$C$15,G15,0,1)</f>
        <v>230999.37281118234</v>
      </c>
      <c r="K15" s="235">
        <f t="shared" si="2"/>
        <v>4971464.5964353383</v>
      </c>
      <c r="L15" s="236">
        <f>K15/'Dados (F)'!$C$19</f>
        <v>1329268.6086725502</v>
      </c>
      <c r="M15" s="21"/>
      <c r="N15" s="21"/>
      <c r="O15" s="112"/>
      <c r="P15" s="22"/>
      <c r="Q15" s="23"/>
      <c r="R15" s="169"/>
    </row>
    <row r="16" spans="1:18" x14ac:dyDescent="0.25">
      <c r="A16" s="112"/>
      <c r="B16" s="232" t="s">
        <v>469</v>
      </c>
      <c r="C16" s="233">
        <f>'Resumo (B2)'!$F$45</f>
        <v>904388.52651680948</v>
      </c>
      <c r="D16" s="233">
        <f>'Resumo (B2)'!$F$46</f>
        <v>383082.78138191317</v>
      </c>
      <c r="E16" s="233">
        <f t="shared" si="0"/>
        <v>1287471.3078987226</v>
      </c>
      <c r="F16" s="233">
        <f>'Resumo (B2)'!$F$57</f>
        <v>585934.83975999954</v>
      </c>
      <c r="G16" s="233">
        <f>'Resumo (B2)'!$F$58</f>
        <v>14448.716640000001</v>
      </c>
      <c r="H16" s="233">
        <f t="shared" si="1"/>
        <v>600383.55639999954</v>
      </c>
      <c r="I16" s="234">
        <f>C16-PV('Dados (F)'!$C$16,'Dados (F)'!$C$15,F16,0,1)</f>
        <v>4612330.5542482119</v>
      </c>
      <c r="J16" s="234">
        <f>D16-PV('Dados (F)'!$C$16,'Dados (F)'!$C$15,G16,0,1)</f>
        <v>474517.86945106182</v>
      </c>
      <c r="K16" s="235">
        <f t="shared" si="2"/>
        <v>5086848.4236992737</v>
      </c>
      <c r="L16" s="236">
        <f>K16/'Dados (F)'!$C$19</f>
        <v>1360119.8993848325</v>
      </c>
      <c r="M16" s="21"/>
      <c r="N16" s="21"/>
      <c r="O16" s="112"/>
      <c r="P16" s="22"/>
      <c r="Q16" s="23"/>
      <c r="R16" s="169"/>
    </row>
    <row r="17" spans="1:18" x14ac:dyDescent="0.25">
      <c r="A17" s="112"/>
      <c r="B17" s="232" t="s">
        <v>470</v>
      </c>
      <c r="C17" s="233">
        <f>'Resumo (B2)'!$G$45</f>
        <v>924225.90186626266</v>
      </c>
      <c r="D17" s="233">
        <f>'Resumo (B2)'!$G$46</f>
        <v>271864.840494212</v>
      </c>
      <c r="E17" s="233">
        <f t="shared" si="0"/>
        <v>1196090.7423604745</v>
      </c>
      <c r="F17" s="233">
        <f>'Resumo (B2)'!$G$57</f>
        <v>587096.04232000001</v>
      </c>
      <c r="G17" s="233">
        <f>'Resumo (B2)'!$G$58</f>
        <v>12588.01584</v>
      </c>
      <c r="H17" s="233">
        <f t="shared" si="1"/>
        <v>599684.05816000002</v>
      </c>
      <c r="I17" s="234">
        <f>C17-PV('Dados (F)'!$C$16,'Dados (F)'!$C$15,F17,0,1)</f>
        <v>4639516.3094562497</v>
      </c>
      <c r="J17" s="234">
        <f>D17-PV('Dados (F)'!$C$16,'Dados (F)'!$C$15,G17,0,1)</f>
        <v>351524.94911312102</v>
      </c>
      <c r="K17" s="235">
        <f t="shared" si="2"/>
        <v>4991041.258569371</v>
      </c>
      <c r="L17" s="236">
        <f>K17/'Dados (F)'!$C$19</f>
        <v>1334503.010312666</v>
      </c>
      <c r="M17" s="21"/>
      <c r="N17" s="21"/>
      <c r="O17" s="112"/>
      <c r="P17" s="22"/>
      <c r="Q17" s="23"/>
      <c r="R17" s="169"/>
    </row>
    <row r="18" spans="1:18" x14ac:dyDescent="0.25">
      <c r="A18" s="112"/>
      <c r="B18" s="232" t="s">
        <v>471</v>
      </c>
      <c r="C18" s="233">
        <f>'Resumo (B2)'!$H$45</f>
        <v>943936.48912278225</v>
      </c>
      <c r="D18" s="233">
        <f>'Resumo (B2)'!$H$46</f>
        <v>133348.22964754899</v>
      </c>
      <c r="E18" s="233">
        <f t="shared" si="0"/>
        <v>1077284.7187703312</v>
      </c>
      <c r="F18" s="233">
        <f>'Resumo (B2)'!$H$57</f>
        <v>577626.02631999995</v>
      </c>
      <c r="G18" s="233">
        <f>'Resumo (B2)'!$H$58</f>
        <v>15445.363079999999</v>
      </c>
      <c r="H18" s="233">
        <f t="shared" si="1"/>
        <v>593071.38939999999</v>
      </c>
      <c r="I18" s="234">
        <f>C18-PV('Dados (F)'!$C$16,'Dados (F)'!$C$15,F18,0,1)</f>
        <v>4599298.2699322347</v>
      </c>
      <c r="J18" s="234">
        <f>D18-PV('Dados (F)'!$C$16,'Dados (F)'!$C$15,G18,0,1)</f>
        <v>231090.34534314595</v>
      </c>
      <c r="K18" s="235">
        <f t="shared" si="2"/>
        <v>4830388.6152753802</v>
      </c>
      <c r="L18" s="236">
        <f>K18/'Dados (F)'!$C$19</f>
        <v>1291547.7580950214</v>
      </c>
      <c r="M18" s="21"/>
      <c r="N18" s="21"/>
      <c r="O18" s="112"/>
      <c r="P18" s="22"/>
      <c r="Q18" s="23"/>
      <c r="R18" s="169"/>
    </row>
    <row r="19" spans="1:18" x14ac:dyDescent="0.25">
      <c r="A19" s="112"/>
      <c r="B19" s="232" t="s">
        <v>472</v>
      </c>
      <c r="C19" s="233">
        <f>'Resumo (B2)'!$I$45</f>
        <v>1045694.3504419522</v>
      </c>
      <c r="D19" s="233">
        <f>'Resumo (B2)'!$I$46</f>
        <v>386527.1728083191</v>
      </c>
      <c r="E19" s="233">
        <f t="shared" si="0"/>
        <v>1432221.5232502713</v>
      </c>
      <c r="F19" s="233">
        <f>'Resumo (B2)'!$I$57</f>
        <v>585934.83975999954</v>
      </c>
      <c r="G19" s="233">
        <f>'Resumo (B2)'!$I$58</f>
        <v>14448.716640000001</v>
      </c>
      <c r="H19" s="233">
        <f t="shared" si="1"/>
        <v>600383.55639999954</v>
      </c>
      <c r="I19" s="234">
        <f>C19-PV('Dados (F)'!$C$16,'Dados (F)'!$C$15,F19,0,1)</f>
        <v>4753636.378173355</v>
      </c>
      <c r="J19" s="234">
        <f>D19-PV('Dados (F)'!$C$16,'Dados (F)'!$C$15,G19,0,1)</f>
        <v>477962.26087746775</v>
      </c>
      <c r="K19" s="235">
        <f t="shared" si="2"/>
        <v>5231598.6390508227</v>
      </c>
      <c r="L19" s="236">
        <f>K19/'Dados (F)'!$C$19</f>
        <v>1398823.1655216103</v>
      </c>
      <c r="M19" s="21"/>
      <c r="N19" s="21"/>
      <c r="O19" s="112"/>
      <c r="P19" s="22"/>
      <c r="Q19" s="23"/>
      <c r="R19" s="169"/>
    </row>
    <row r="20" spans="1:18" x14ac:dyDescent="0.25">
      <c r="A20" s="112"/>
      <c r="B20" s="232" t="s">
        <v>473</v>
      </c>
      <c r="C20" s="233">
        <f>'Resumo (B2)'!$J$45</f>
        <v>1085194.777577243</v>
      </c>
      <c r="D20" s="233">
        <f>'Resumo (B2)'!$J$46</f>
        <v>116142.26506289681</v>
      </c>
      <c r="E20" s="233">
        <f t="shared" si="0"/>
        <v>1201337.0426401398</v>
      </c>
      <c r="F20" s="233">
        <f>'Resumo (B2)'!$J$57</f>
        <v>577626.02631999995</v>
      </c>
      <c r="G20" s="233">
        <f>'Resumo (B2)'!$J$58</f>
        <v>15445.363079999999</v>
      </c>
      <c r="H20" s="233">
        <f t="shared" si="1"/>
        <v>593071.38939999999</v>
      </c>
      <c r="I20" s="234">
        <f>C20-PV('Dados (F)'!$C$16,'Dados (F)'!$C$15,F20,0,1)</f>
        <v>4740556.5583866956</v>
      </c>
      <c r="J20" s="234">
        <f>D20-PV('Dados (F)'!$C$16,'Dados (F)'!$C$15,G20,0,1)</f>
        <v>213884.38075849376</v>
      </c>
      <c r="K20" s="235">
        <f t="shared" si="2"/>
        <v>4954440.9391451897</v>
      </c>
      <c r="L20" s="236">
        <f>K20/'Dados (F)'!$C$19</f>
        <v>1324716.8286484464</v>
      </c>
      <c r="M20" s="21"/>
      <c r="N20" s="21"/>
      <c r="O20" s="112"/>
      <c r="P20" s="22"/>
      <c r="Q20" s="23"/>
      <c r="R20" s="169"/>
    </row>
    <row r="21" spans="1:18" x14ac:dyDescent="0.25">
      <c r="A21" s="112"/>
      <c r="B21" s="232" t="s">
        <v>474</v>
      </c>
      <c r="C21" s="233">
        <f>'Resumo (B2)'!$K$45</f>
        <v>904388.52651680948</v>
      </c>
      <c r="D21" s="233">
        <f>'Resumo (B2)'!$K$46</f>
        <v>386573.3119866632</v>
      </c>
      <c r="E21" s="233">
        <f t="shared" si="0"/>
        <v>1290961.8385034727</v>
      </c>
      <c r="F21" s="233">
        <f>'Resumo (B2)'!$K$57</f>
        <v>585934.83975999954</v>
      </c>
      <c r="G21" s="233">
        <f>'Resumo (B2)'!$K$58</f>
        <v>14448.716640000001</v>
      </c>
      <c r="H21" s="233">
        <f t="shared" si="1"/>
        <v>600383.55639999954</v>
      </c>
      <c r="I21" s="234">
        <f>C21-PV('Dados (F)'!$C$16,'Dados (F)'!$C$15,F21,0,1)</f>
        <v>4612330.5542482119</v>
      </c>
      <c r="J21" s="234">
        <f>D21-PV('Dados (F)'!$C$16,'Dados (F)'!$C$15,G21,0,1)</f>
        <v>478008.40005581186</v>
      </c>
      <c r="K21" s="235">
        <f t="shared" si="2"/>
        <v>5090338.9543040236</v>
      </c>
      <c r="L21" s="236">
        <f>K21/'Dados (F)'!$C$19</f>
        <v>1361053.1963379742</v>
      </c>
      <c r="M21" s="21"/>
      <c r="N21" s="21"/>
      <c r="O21" s="112"/>
      <c r="P21" s="22"/>
      <c r="Q21" s="23"/>
      <c r="R21" s="169"/>
    </row>
    <row r="22" spans="1:18" x14ac:dyDescent="0.25">
      <c r="A22" s="112"/>
      <c r="B22" s="232" t="s">
        <v>475</v>
      </c>
      <c r="C22" s="233">
        <f>'Resumo (B2)'!$L$45</f>
        <v>946331.10993066232</v>
      </c>
      <c r="D22" s="233">
        <f>'Resumo (B2)'!$L$46</f>
        <v>117719.60886306039</v>
      </c>
      <c r="E22" s="233">
        <f t="shared" si="0"/>
        <v>1064050.7187937228</v>
      </c>
      <c r="F22" s="233">
        <f>'Resumo (B2)'!$L$57</f>
        <v>577626.02631999995</v>
      </c>
      <c r="G22" s="233">
        <f>'Resumo (B2)'!$L$58</f>
        <v>15445.363079999999</v>
      </c>
      <c r="H22" s="233">
        <f t="shared" si="1"/>
        <v>593071.38939999999</v>
      </c>
      <c r="I22" s="234">
        <f>C22-PV('Dados (F)'!$C$16,'Dados (F)'!$C$15,F22,0,1)</f>
        <v>4601692.8907401152</v>
      </c>
      <c r="J22" s="234">
        <f>D22-PV('Dados (F)'!$C$16,'Dados (F)'!$C$15,G22,0,1)</f>
        <v>215461.72455865733</v>
      </c>
      <c r="K22" s="235">
        <f t="shared" si="2"/>
        <v>4817154.6152987722</v>
      </c>
      <c r="L22" s="236">
        <f>K22/'Dados (F)'!$C$19</f>
        <v>1288009.255427479</v>
      </c>
      <c r="M22" s="21"/>
      <c r="N22" s="21"/>
      <c r="O22" s="112"/>
      <c r="P22" s="22"/>
      <c r="Q22" s="23"/>
      <c r="R22" s="169"/>
    </row>
    <row r="23" spans="1:18" x14ac:dyDescent="0.25">
      <c r="A23" s="112"/>
      <c r="B23" s="232" t="s">
        <v>476</v>
      </c>
      <c r="C23" s="233">
        <f>'Resumo (B2)'!$M$45</f>
        <v>1051111.0820469197</v>
      </c>
      <c r="D23" s="233">
        <f>'Resumo (B2)'!$M$46</f>
        <v>345280.85523611546</v>
      </c>
      <c r="E23" s="233">
        <f t="shared" si="0"/>
        <v>1396391.9372830351</v>
      </c>
      <c r="F23" s="233">
        <f>'Resumo (B2)'!$M$57</f>
        <v>578241.41032000002</v>
      </c>
      <c r="G23" s="233">
        <f>'Resumo (B2)'!$M$58</f>
        <v>9510.6676709999992</v>
      </c>
      <c r="H23" s="233">
        <f t="shared" si="1"/>
        <v>587752.07799100003</v>
      </c>
      <c r="I23" s="234">
        <f>C23-PV('Dados (F)'!$C$16,'Dados (F)'!$C$15,F23,0,1)</f>
        <v>4710367.1665262626</v>
      </c>
      <c r="J23" s="234">
        <f>D23-PV('Dados (F)'!$C$16,'Dados (F)'!$C$15,G23,0,1)</f>
        <v>405466.73594519205</v>
      </c>
      <c r="K23" s="235">
        <f t="shared" si="2"/>
        <v>5115833.9024714548</v>
      </c>
      <c r="L23" s="236">
        <f>K23/'Dados (F)'!$C$19</f>
        <v>1367870.0273987846</v>
      </c>
      <c r="M23" s="21"/>
      <c r="N23" s="21"/>
      <c r="O23" s="112"/>
      <c r="P23" s="22"/>
      <c r="Q23" s="23"/>
      <c r="R23" s="169"/>
    </row>
    <row r="24" spans="1:18" x14ac:dyDescent="0.25">
      <c r="A24" s="112"/>
      <c r="B24" s="232" t="s">
        <v>477</v>
      </c>
      <c r="C24" s="233">
        <f>'Resumo (B2)'!$N$45</f>
        <v>1051247.0573040885</v>
      </c>
      <c r="D24" s="233">
        <f>'Resumo (B2)'!$N$46</f>
        <v>219099.18025830522</v>
      </c>
      <c r="E24" s="233">
        <f t="shared" si="0"/>
        <v>1270346.2375623938</v>
      </c>
      <c r="F24" s="233">
        <f>'Resumo (B2)'!$N$57</f>
        <v>579402.62632000004</v>
      </c>
      <c r="G24" s="233">
        <f>'Resumo (B2)'!$N$58</f>
        <v>9346.1008709999987</v>
      </c>
      <c r="H24" s="233">
        <f t="shared" si="1"/>
        <v>588748.72719100001</v>
      </c>
      <c r="I24" s="234">
        <f>C24-PV('Dados (F)'!$C$16,'Dados (F)'!$C$15,F24,0,1)</f>
        <v>4717851.6066936897</v>
      </c>
      <c r="J24" s="234">
        <f>D24-PV('Dados (F)'!$C$16,'Dados (F)'!$C$15,G24,0,1)</f>
        <v>278243.6411495413</v>
      </c>
      <c r="K24" s="235">
        <f t="shared" si="2"/>
        <v>4996095.2478432311</v>
      </c>
      <c r="L24" s="236">
        <f>K24/'Dados (F)'!$C$19</f>
        <v>1335854.3443431098</v>
      </c>
      <c r="M24" s="21"/>
      <c r="N24" s="21"/>
      <c r="O24" s="112"/>
      <c r="P24" s="22"/>
      <c r="Q24" s="23"/>
      <c r="R24" s="169"/>
    </row>
    <row r="25" spans="1:18" x14ac:dyDescent="0.25">
      <c r="A25" s="112"/>
      <c r="B25" s="232" t="s">
        <v>478</v>
      </c>
      <c r="C25" s="233">
        <f>'Resumo (B2)'!$O$45</f>
        <v>1080853.2389439258</v>
      </c>
      <c r="D25" s="233">
        <f>'Resumo (B2)'!$O$46</f>
        <v>135777.06902061959</v>
      </c>
      <c r="E25" s="233">
        <f t="shared" si="0"/>
        <v>1216630.3079645454</v>
      </c>
      <c r="F25" s="233">
        <f>'Resumo (B2)'!$O$57</f>
        <v>578241.41032000002</v>
      </c>
      <c r="G25" s="233">
        <f>'Resumo (B2)'!$O$58</f>
        <v>16999.2</v>
      </c>
      <c r="H25" s="233">
        <f t="shared" si="1"/>
        <v>595240.61031999998</v>
      </c>
      <c r="I25" s="234">
        <f>C25-PV('Dados (F)'!$C$16,'Dados (F)'!$C$15,F25,0,1)</f>
        <v>4740109.3234232683</v>
      </c>
      <c r="J25" s="234">
        <f>D25-PV('Dados (F)'!$C$16,'Dados (F)'!$C$15,G25,0,1)</f>
        <v>243352.25288172904</v>
      </c>
      <c r="K25" s="235">
        <f t="shared" si="2"/>
        <v>4983461.5763049973</v>
      </c>
      <c r="L25" s="236">
        <f>K25/'Dados (F)'!$C$19</f>
        <v>1332476.3573008014</v>
      </c>
      <c r="M25" s="21"/>
      <c r="N25" s="21"/>
      <c r="O25" s="112"/>
      <c r="P25" s="22"/>
      <c r="Q25" s="23"/>
      <c r="R25" s="169"/>
    </row>
    <row r="26" spans="1:18" x14ac:dyDescent="0.25">
      <c r="A26" s="112"/>
      <c r="B26" s="232" t="s">
        <v>479</v>
      </c>
      <c r="C26" s="233">
        <f>'Resumo (B2)'!$P$45</f>
        <v>920096.78923405893</v>
      </c>
      <c r="D26" s="233">
        <f>'Resumo (B2)'!$P$46</f>
        <v>345280.85523611546</v>
      </c>
      <c r="E26" s="233">
        <f t="shared" si="0"/>
        <v>1265377.6444701743</v>
      </c>
      <c r="F26" s="233">
        <f>'Resumo (B2)'!$P$57</f>
        <v>578241.41032000002</v>
      </c>
      <c r="G26" s="233">
        <f>'Resumo (B2)'!$P$58</f>
        <v>9510.6676709999992</v>
      </c>
      <c r="H26" s="233">
        <f t="shared" si="1"/>
        <v>587752.07799100003</v>
      </c>
      <c r="I26" s="234">
        <f>C26-PV('Dados (F)'!$C$16,'Dados (F)'!$C$15,F26,0,1)</f>
        <v>4579352.8737134021</v>
      </c>
      <c r="J26" s="234">
        <f>D26-PV('Dados (F)'!$C$16,'Dados (F)'!$C$15,G26,0,1)</f>
        <v>405466.73594519205</v>
      </c>
      <c r="K26" s="235">
        <f t="shared" si="2"/>
        <v>4984819.6096585942</v>
      </c>
      <c r="L26" s="236">
        <f>K26/'Dados (F)'!$C$19</f>
        <v>1332839.4678231534</v>
      </c>
      <c r="M26" s="21"/>
      <c r="N26" s="21"/>
      <c r="O26" s="112"/>
      <c r="P26" s="22"/>
      <c r="Q26" s="23"/>
      <c r="R26" s="169"/>
    </row>
    <row r="27" spans="1:18" x14ac:dyDescent="0.25">
      <c r="A27" s="112"/>
      <c r="B27" s="232" t="s">
        <v>480</v>
      </c>
      <c r="C27" s="233">
        <f>'Resumo (B2)'!$Q$45</f>
        <v>922845.21336119564</v>
      </c>
      <c r="D27" s="233">
        <f>'Resumo (B2)'!$Q$46</f>
        <v>224696.08400685599</v>
      </c>
      <c r="E27" s="233">
        <f t="shared" si="0"/>
        <v>1147541.2973680517</v>
      </c>
      <c r="F27" s="233">
        <f>'Resumo (B2)'!$Q$57</f>
        <v>579402.62632000004</v>
      </c>
      <c r="G27" s="233">
        <f>'Resumo (B2)'!$Q$58</f>
        <v>9346.1008709999987</v>
      </c>
      <c r="H27" s="233">
        <f t="shared" si="1"/>
        <v>588748.72719100001</v>
      </c>
      <c r="I27" s="234">
        <f>C27-PV('Dados (F)'!$C$16,'Dados (F)'!$C$15,F27,0,1)</f>
        <v>4589449.762750797</v>
      </c>
      <c r="J27" s="234">
        <f>D27-PV('Dados (F)'!$C$16,'Dados (F)'!$C$15,G27,0,1)</f>
        <v>283840.54489809205</v>
      </c>
      <c r="K27" s="235">
        <f t="shared" si="2"/>
        <v>4873290.3076488888</v>
      </c>
      <c r="L27" s="236">
        <f>K27/'Dados (F)'!$C$19</f>
        <v>1303018.7988366012</v>
      </c>
      <c r="M27" s="21"/>
      <c r="N27" s="21"/>
      <c r="O27" s="112"/>
      <c r="P27" s="22"/>
      <c r="Q27" s="23"/>
      <c r="R27" s="169"/>
    </row>
    <row r="28" spans="1:18" x14ac:dyDescent="0.25">
      <c r="A28" s="112"/>
      <c r="B28" s="232" t="s">
        <v>481</v>
      </c>
      <c r="C28" s="233">
        <f>'Resumo (B2)'!$R$45</f>
        <v>949838.94613106514</v>
      </c>
      <c r="D28" s="233">
        <f>'Resumo (B2)'!$R$46</f>
        <v>135777.06902061959</v>
      </c>
      <c r="E28" s="233">
        <f t="shared" si="0"/>
        <v>1085616.0151516846</v>
      </c>
      <c r="F28" s="233">
        <f>'Resumo (B2)'!$R$57</f>
        <v>578241.41032000002</v>
      </c>
      <c r="G28" s="233">
        <f>'Resumo (B2)'!$R$58</f>
        <v>16999.2</v>
      </c>
      <c r="H28" s="233">
        <f t="shared" si="1"/>
        <v>595240.61031999998</v>
      </c>
      <c r="I28" s="234">
        <f>C28-PV('Dados (F)'!$C$16,'Dados (F)'!$C$15,F28,0,1)</f>
        <v>4609095.0306104077</v>
      </c>
      <c r="J28" s="234">
        <f>D28-PV('Dados (F)'!$C$16,'Dados (F)'!$C$15,G28,0,1)</f>
        <v>243352.25288172904</v>
      </c>
      <c r="K28" s="235">
        <f t="shared" si="2"/>
        <v>4852447.2834921367</v>
      </c>
      <c r="L28" s="236">
        <f>K28/'Dados (F)'!$C$19</f>
        <v>1297445.7977251702</v>
      </c>
      <c r="M28" s="21"/>
      <c r="N28" s="21"/>
      <c r="O28" s="112"/>
      <c r="P28" s="22"/>
      <c r="Q28" s="23"/>
      <c r="R28" s="169"/>
    </row>
    <row r="29" spans="1:18" x14ac:dyDescent="0.25">
      <c r="A29" s="112"/>
      <c r="B29" s="232" t="s">
        <v>482</v>
      </c>
      <c r="C29" s="233">
        <f>'Resumo (B2)'!$S$45</f>
        <v>1051111.0820469197</v>
      </c>
      <c r="D29" s="233">
        <f>'Resumo (B2)'!$S$46</f>
        <v>347102.58873841737</v>
      </c>
      <c r="E29" s="233">
        <f t="shared" si="0"/>
        <v>1398213.6707853372</v>
      </c>
      <c r="F29" s="233">
        <f>'Resumo (B2)'!$S$57</f>
        <v>578241.41032000002</v>
      </c>
      <c r="G29" s="233">
        <f>'Resumo (B2)'!$S$58</f>
        <v>9510.6676709999992</v>
      </c>
      <c r="H29" s="233">
        <f t="shared" si="1"/>
        <v>587752.07799100003</v>
      </c>
      <c r="I29" s="234">
        <f>C29-PV('Dados (F)'!$C$16,'Dados (F)'!$C$15,F29,0,1)</f>
        <v>4710367.1665262626</v>
      </c>
      <c r="J29" s="234">
        <f>D29-PV('Dados (F)'!$C$16,'Dados (F)'!$C$15,G29,0,1)</f>
        <v>407288.46944749396</v>
      </c>
      <c r="K29" s="235">
        <f t="shared" si="2"/>
        <v>5117655.6359737562</v>
      </c>
      <c r="L29" s="236">
        <f>K29/'Dados (F)'!$C$19</f>
        <v>1368357.1219181165</v>
      </c>
      <c r="M29" s="21"/>
      <c r="N29" s="21"/>
      <c r="O29" s="112"/>
      <c r="P29" s="22"/>
      <c r="Q29" s="23"/>
      <c r="R29" s="169"/>
    </row>
    <row r="30" spans="1:18" x14ac:dyDescent="0.25">
      <c r="A30" s="112"/>
      <c r="B30" s="232" t="s">
        <v>483</v>
      </c>
      <c r="C30" s="233">
        <f>'Resumo (B2)'!$T$45</f>
        <v>1078811.3706888477</v>
      </c>
      <c r="D30" s="233">
        <f>'Resumo (B2)'!$T$46</f>
        <v>129409.6313337618</v>
      </c>
      <c r="E30" s="233">
        <f t="shared" si="0"/>
        <v>1208221.0020226096</v>
      </c>
      <c r="F30" s="233">
        <f>'Resumo (B2)'!$T$57</f>
        <v>578241.41032000002</v>
      </c>
      <c r="G30" s="233">
        <f>'Resumo (B2)'!$T$58</f>
        <v>16999.2</v>
      </c>
      <c r="H30" s="233">
        <f t="shared" si="1"/>
        <v>595240.61031999998</v>
      </c>
      <c r="I30" s="234">
        <f>C30-PV('Dados (F)'!$C$16,'Dados (F)'!$C$15,F30,0,1)</f>
        <v>4738067.4551681904</v>
      </c>
      <c r="J30" s="234">
        <f>D30-PV('Dados (F)'!$C$16,'Dados (F)'!$C$15,G30,0,1)</f>
        <v>236984.81519487128</v>
      </c>
      <c r="K30" s="235">
        <f t="shared" si="2"/>
        <v>4975052.2703630617</v>
      </c>
      <c r="L30" s="236">
        <f>K30/'Dados (F)'!$C$19</f>
        <v>1330227.8797762196</v>
      </c>
      <c r="M30" s="21"/>
      <c r="N30" s="21"/>
      <c r="O30" s="112"/>
      <c r="P30" s="22"/>
      <c r="Q30" s="23"/>
      <c r="R30" s="169"/>
    </row>
    <row r="31" spans="1:18" x14ac:dyDescent="0.25">
      <c r="A31" s="112"/>
      <c r="B31" s="232" t="s">
        <v>484</v>
      </c>
      <c r="C31" s="233">
        <f>'Resumo (B2)'!$U$45</f>
        <v>920096.78923405893</v>
      </c>
      <c r="D31" s="233">
        <f>'Resumo (B2)'!$U$46</f>
        <v>347102.58873841737</v>
      </c>
      <c r="E31" s="233">
        <f t="shared" si="0"/>
        <v>1267199.3779724762</v>
      </c>
      <c r="F31" s="233">
        <f>'Resumo (B2)'!$U$57</f>
        <v>578241.41032000002</v>
      </c>
      <c r="G31" s="233">
        <f>'Resumo (B2)'!$U$58</f>
        <v>9510.6676709999992</v>
      </c>
      <c r="H31" s="233">
        <f t="shared" si="1"/>
        <v>587752.07799100003</v>
      </c>
      <c r="I31" s="234">
        <f>C31-PV('Dados (F)'!$C$16,'Dados (F)'!$C$15,F31,0,1)</f>
        <v>4579352.8737134021</v>
      </c>
      <c r="J31" s="234">
        <f>D31-PV('Dados (F)'!$C$16,'Dados (F)'!$C$15,G31,0,1)</f>
        <v>407288.46944749396</v>
      </c>
      <c r="K31" s="235">
        <f t="shared" si="2"/>
        <v>4986641.3431608956</v>
      </c>
      <c r="L31" s="236">
        <f>K31/'Dados (F)'!$C$19</f>
        <v>1333326.5623424854</v>
      </c>
      <c r="M31" s="21"/>
      <c r="N31" s="21"/>
      <c r="O31" s="112"/>
      <c r="P31" s="22"/>
      <c r="Q31" s="23"/>
      <c r="R31" s="169"/>
    </row>
    <row r="32" spans="1:18" x14ac:dyDescent="0.25">
      <c r="A32" s="112"/>
      <c r="B32" s="232" t="s">
        <v>485</v>
      </c>
      <c r="C32" s="233">
        <f>'Resumo (B2)'!$V$45</f>
        <v>947797.07787598681</v>
      </c>
      <c r="D32" s="233">
        <f>'Resumo (B2)'!$V$46</f>
        <v>129409.6313337618</v>
      </c>
      <c r="E32" s="233">
        <f t="shared" si="0"/>
        <v>1077206.7092097485</v>
      </c>
      <c r="F32" s="233">
        <f>'Resumo (B2)'!$V$57</f>
        <v>578241.41032000002</v>
      </c>
      <c r="G32" s="233">
        <f>'Resumo (B2)'!$V$58</f>
        <v>16999.2</v>
      </c>
      <c r="H32" s="233">
        <f t="shared" si="1"/>
        <v>595240.61031999998</v>
      </c>
      <c r="I32" s="234">
        <f>C32-PV('Dados (F)'!$C$16,'Dados (F)'!$C$15,F32,0,1)</f>
        <v>4607053.1623553298</v>
      </c>
      <c r="J32" s="234">
        <f>D32-PV('Dados (F)'!$C$16,'Dados (F)'!$C$15,G32,0,1)</f>
        <v>236984.81519487128</v>
      </c>
      <c r="K32" s="235">
        <f t="shared" si="2"/>
        <v>4844037.9775502011</v>
      </c>
      <c r="L32" s="236">
        <f>K32/'Dados (F)'!$C$19</f>
        <v>1295197.3202005886</v>
      </c>
      <c r="M32" s="21"/>
      <c r="N32" s="21"/>
      <c r="O32" s="112"/>
      <c r="P32" s="22"/>
      <c r="Q32" s="23"/>
      <c r="R32" s="169"/>
    </row>
    <row r="33" spans="1:18" x14ac:dyDescent="0.25">
      <c r="A33" s="112"/>
      <c r="B33" s="232" t="s">
        <v>486</v>
      </c>
      <c r="C33" s="233">
        <f>'Resumo (B2)'!$W$45</f>
        <v>972628.47568198631</v>
      </c>
      <c r="D33" s="233">
        <f>'Resumo (B2)'!$W$46</f>
        <v>332717.79217733839</v>
      </c>
      <c r="E33" s="233">
        <f t="shared" si="0"/>
        <v>1305346.2678593248</v>
      </c>
      <c r="F33" s="233">
        <f>'Resumo (B2)'!$W$57</f>
        <v>578241.37672000006</v>
      </c>
      <c r="G33" s="233">
        <f>'Resumo (B2)'!$W$58</f>
        <v>9476.599929</v>
      </c>
      <c r="H33" s="233">
        <f t="shared" si="1"/>
        <v>587717.97664900008</v>
      </c>
      <c r="I33" s="234">
        <f>C33-PV('Dados (F)'!$C$16,'Dados (F)'!$C$15,F33,0,1)</f>
        <v>4631884.3475321364</v>
      </c>
      <c r="J33" s="234">
        <f>D33-PV('Dados (F)'!$C$16,'Dados (F)'!$C$15,G33,0,1)</f>
        <v>392688.08370519569</v>
      </c>
      <c r="K33" s="235">
        <f t="shared" si="2"/>
        <v>5024572.4312373325</v>
      </c>
      <c r="L33" s="236">
        <f>K33/'Dados (F)'!$C$19</f>
        <v>1343468.5645019605</v>
      </c>
      <c r="M33" s="21"/>
      <c r="N33" s="21"/>
      <c r="O33" s="112"/>
      <c r="P33" s="22"/>
      <c r="Q33" s="23"/>
      <c r="R33" s="169"/>
    </row>
    <row r="34" spans="1:18" x14ac:dyDescent="0.25">
      <c r="A34" s="112"/>
      <c r="B34" s="232" t="s">
        <v>487</v>
      </c>
      <c r="C34" s="233">
        <f>'Resumo (B2)'!$X$45</f>
        <v>976398.66096304415</v>
      </c>
      <c r="D34" s="233">
        <f>'Resumo (B2)'!$X$46</f>
        <v>210891.3844645776</v>
      </c>
      <c r="E34" s="233">
        <f t="shared" si="0"/>
        <v>1187290.0454276218</v>
      </c>
      <c r="F34" s="233">
        <f>'Resumo (B2)'!$X$57</f>
        <v>579402.59271999996</v>
      </c>
      <c r="G34" s="233">
        <f>'Resumo (B2)'!$X$58</f>
        <v>7615.8991289999994</v>
      </c>
      <c r="H34" s="233">
        <f t="shared" si="1"/>
        <v>587018.49184899998</v>
      </c>
      <c r="I34" s="234">
        <f>C34-PV('Dados (F)'!$C$16,'Dados (F)'!$C$15,F34,0,1)</f>
        <v>4643002.9977234518</v>
      </c>
      <c r="J34" s="234">
        <f>D34-PV('Dados (F)'!$C$16,'Dados (F)'!$C$15,G34,0,1)</f>
        <v>259086.69654219528</v>
      </c>
      <c r="K34" s="235">
        <f t="shared" si="2"/>
        <v>4902089.6942656469</v>
      </c>
      <c r="L34" s="236">
        <f>K34/'Dados (F)'!$C$19</f>
        <v>1310719.1695897451</v>
      </c>
      <c r="M34" s="21"/>
      <c r="N34" s="21"/>
      <c r="O34" s="112"/>
      <c r="P34" s="22"/>
      <c r="Q34" s="23"/>
      <c r="R34" s="169"/>
    </row>
    <row r="35" spans="1:18" x14ac:dyDescent="0.25">
      <c r="A35" s="112"/>
      <c r="B35" s="232" t="s">
        <v>488</v>
      </c>
      <c r="C35" s="233">
        <f>'Resumo (B2)'!$Y$45</f>
        <v>999261.83156992216</v>
      </c>
      <c r="D35" s="233">
        <f>'Resumo (B2)'!$Y$46</f>
        <v>122027.55316541999</v>
      </c>
      <c r="E35" s="233">
        <f t="shared" si="0"/>
        <v>1121289.3847353421</v>
      </c>
      <c r="F35" s="233">
        <f>'Resumo (B2)'!$Y$57</f>
        <v>578241.37672000006</v>
      </c>
      <c r="G35" s="233">
        <f>'Resumo (B2)'!$Y$58</f>
        <v>13086.36</v>
      </c>
      <c r="H35" s="233">
        <f t="shared" si="1"/>
        <v>591327.73672000004</v>
      </c>
      <c r="I35" s="234">
        <f>C35-PV('Dados (F)'!$C$16,'Dados (F)'!$C$15,F35,0,1)</f>
        <v>4658517.7034200728</v>
      </c>
      <c r="J35" s="234">
        <f>D35-PV('Dados (F)'!$C$16,'Dados (F)'!$C$15,G35,0,1)</f>
        <v>204841.30811110383</v>
      </c>
      <c r="K35" s="235">
        <f t="shared" si="2"/>
        <v>4863359.011531177</v>
      </c>
      <c r="L35" s="236">
        <f>K35/'Dados (F)'!$C$19</f>
        <v>1300363.3720671595</v>
      </c>
      <c r="M35" s="21"/>
      <c r="N35" s="21"/>
      <c r="O35" s="112"/>
      <c r="P35" s="22"/>
      <c r="Q35" s="23"/>
      <c r="R35" s="169"/>
    </row>
    <row r="36" spans="1:18" x14ac:dyDescent="0.25">
      <c r="A36" s="112"/>
      <c r="B36" s="232" t="s">
        <v>489</v>
      </c>
      <c r="C36" s="233">
        <f>'Resumo (B2)'!$Z$45</f>
        <v>852628.56292265269</v>
      </c>
      <c r="D36" s="233">
        <f>'Resumo (B2)'!$Z$46</f>
        <v>330923.58098646841</v>
      </c>
      <c r="E36" s="233">
        <f t="shared" si="0"/>
        <v>1183552.1439091212</v>
      </c>
      <c r="F36" s="233">
        <f>'Resumo (B2)'!$Z$57</f>
        <v>578241.37672000006</v>
      </c>
      <c r="G36" s="233">
        <f>'Resumo (B2)'!$Z$58</f>
        <v>9476.599929</v>
      </c>
      <c r="H36" s="233">
        <f t="shared" si="1"/>
        <v>587717.97664900008</v>
      </c>
      <c r="I36" s="234">
        <f>C36-PV('Dados (F)'!$C$16,'Dados (F)'!$C$15,F36,0,1)</f>
        <v>4511884.4347728025</v>
      </c>
      <c r="J36" s="234">
        <f>D36-PV('Dados (F)'!$C$16,'Dados (F)'!$C$15,G36,0,1)</f>
        <v>390893.87251432572</v>
      </c>
      <c r="K36" s="235">
        <f t="shared" si="2"/>
        <v>4902778.3072871286</v>
      </c>
      <c r="L36" s="236">
        <f>K36/'Dados (F)'!$C$19</f>
        <v>1310903.2907184835</v>
      </c>
      <c r="M36" s="21"/>
      <c r="N36" s="21"/>
      <c r="O36" s="112"/>
      <c r="P36" s="22"/>
      <c r="Q36" s="23"/>
      <c r="R36" s="169"/>
    </row>
    <row r="37" spans="1:18" x14ac:dyDescent="0.25">
      <c r="A37" s="112"/>
      <c r="B37" s="232" t="s">
        <v>490</v>
      </c>
      <c r="C37" s="233">
        <f>'Resumo (B2)'!$AA$45</f>
        <v>861388.47837979847</v>
      </c>
      <c r="D37" s="233">
        <f>'Resumo (B2)'!$AA$46</f>
        <v>213155.36642229758</v>
      </c>
      <c r="E37" s="233">
        <f t="shared" si="0"/>
        <v>1074543.844802096</v>
      </c>
      <c r="F37" s="233">
        <f>'Resumo (B2)'!$AA$57</f>
        <v>579402.59271999996</v>
      </c>
      <c r="G37" s="233">
        <f>'Resumo (B2)'!$AA$58</f>
        <v>7615.8991289999994</v>
      </c>
      <c r="H37" s="233">
        <f t="shared" si="1"/>
        <v>587018.49184899998</v>
      </c>
      <c r="I37" s="234">
        <f>C37-PV('Dados (F)'!$C$16,'Dados (F)'!$C$15,F37,0,1)</f>
        <v>4527992.8151402064</v>
      </c>
      <c r="J37" s="234">
        <f>D37-PV('Dados (F)'!$C$16,'Dados (F)'!$C$15,G37,0,1)</f>
        <v>261350.67849991526</v>
      </c>
      <c r="K37" s="235">
        <f t="shared" si="2"/>
        <v>4789343.493640122</v>
      </c>
      <c r="L37" s="236">
        <f>K37/'Dados (F)'!$C$19</f>
        <v>1280573.1266417438</v>
      </c>
      <c r="M37" s="21"/>
      <c r="N37" s="21"/>
      <c r="O37" s="112"/>
      <c r="P37" s="22"/>
      <c r="Q37" s="23"/>
      <c r="R37" s="169"/>
    </row>
    <row r="38" spans="1:18" x14ac:dyDescent="0.25">
      <c r="A38" s="112"/>
      <c r="B38" s="232" t="s">
        <v>491</v>
      </c>
      <c r="C38" s="233">
        <f>'Resumo (B2)'!$AB$45</f>
        <v>881786.8584940224</v>
      </c>
      <c r="D38" s="233">
        <f>'Resumo (B2)'!$AB$46</f>
        <v>122026.4287502904</v>
      </c>
      <c r="E38" s="233">
        <f t="shared" si="0"/>
        <v>1003813.2872443128</v>
      </c>
      <c r="F38" s="233">
        <f>'Resumo (B2)'!$AB$57</f>
        <v>578241.37672000006</v>
      </c>
      <c r="G38" s="233">
        <f>'Resumo (B2)'!$AB$58</f>
        <v>13086.36</v>
      </c>
      <c r="H38" s="233">
        <f t="shared" si="1"/>
        <v>591327.73672000004</v>
      </c>
      <c r="I38" s="234">
        <f>C38-PV('Dados (F)'!$C$16,'Dados (F)'!$C$15,F38,0,1)</f>
        <v>4541042.7303441726</v>
      </c>
      <c r="J38" s="234">
        <f>D38-PV('Dados (F)'!$C$16,'Dados (F)'!$C$15,G38,0,1)</f>
        <v>204840.18369597424</v>
      </c>
      <c r="K38" s="235">
        <f t="shared" si="2"/>
        <v>4745882.9140401464</v>
      </c>
      <c r="L38" s="236">
        <f>K38/'Dados (F)'!$C$19</f>
        <v>1268952.6508128734</v>
      </c>
      <c r="M38" s="21"/>
      <c r="N38" s="21"/>
      <c r="O38" s="112"/>
      <c r="P38" s="22"/>
      <c r="Q38" s="23"/>
      <c r="R38" s="169"/>
    </row>
    <row r="39" spans="1:18" x14ac:dyDescent="0.25">
      <c r="A39" s="112"/>
      <c r="B39" s="232" t="s">
        <v>492</v>
      </c>
      <c r="C39" s="233">
        <f>'Resumo (B2)'!$AC$45</f>
        <v>972628.47568198631</v>
      </c>
      <c r="D39" s="233">
        <f>'Resumo (B2)'!$AC$46</f>
        <v>334543.22302489477</v>
      </c>
      <c r="E39" s="233">
        <f t="shared" si="0"/>
        <v>1307171.6987068811</v>
      </c>
      <c r="F39" s="233">
        <f>'Resumo (B2)'!$AC$57</f>
        <v>578241.37672000006</v>
      </c>
      <c r="G39" s="233">
        <f>'Resumo (B2)'!$AC$58</f>
        <v>9476.599929</v>
      </c>
      <c r="H39" s="233">
        <f t="shared" si="1"/>
        <v>587717.97664900008</v>
      </c>
      <c r="I39" s="234">
        <f>C39-PV('Dados (F)'!$C$16,'Dados (F)'!$C$15,F39,0,1)</f>
        <v>4631884.3475321364</v>
      </c>
      <c r="J39" s="234">
        <f>D39-PV('Dados (F)'!$C$16,'Dados (F)'!$C$15,G39,0,1)</f>
        <v>394513.51455275208</v>
      </c>
      <c r="K39" s="235">
        <f t="shared" si="2"/>
        <v>5026397.8620848889</v>
      </c>
      <c r="L39" s="236">
        <f>K39/'Dados (F)'!$C$19</f>
        <v>1343956.6476162805</v>
      </c>
      <c r="M39" s="21"/>
      <c r="N39" s="21"/>
      <c r="O39" s="112"/>
      <c r="P39" s="22"/>
      <c r="Q39" s="23"/>
      <c r="R39" s="169"/>
    </row>
    <row r="40" spans="1:18" x14ac:dyDescent="0.25">
      <c r="A40" s="112"/>
      <c r="B40" s="232" t="s">
        <v>493</v>
      </c>
      <c r="C40" s="233">
        <f>'Resumo (B2)'!$AD$45</f>
        <v>996052.45420846611</v>
      </c>
      <c r="D40" s="233">
        <f>'Resumo (B2)'!$AD$46</f>
        <v>117909.33236101602</v>
      </c>
      <c r="E40" s="233">
        <f t="shared" si="0"/>
        <v>1113961.7865694822</v>
      </c>
      <c r="F40" s="233">
        <f>'Resumo (B2)'!$AD$57</f>
        <v>578241.37672000006</v>
      </c>
      <c r="G40" s="233">
        <f>'Resumo (B2)'!$AD$58</f>
        <v>13086.36</v>
      </c>
      <c r="H40" s="233">
        <f t="shared" si="1"/>
        <v>591327.73672000004</v>
      </c>
      <c r="I40" s="234">
        <f>C40-PV('Dados (F)'!$C$16,'Dados (F)'!$C$15,F40,0,1)</f>
        <v>4655308.3260586159</v>
      </c>
      <c r="J40" s="234">
        <f>D40-PV('Dados (F)'!$C$16,'Dados (F)'!$C$15,G40,0,1)</f>
        <v>200723.08730669983</v>
      </c>
      <c r="K40" s="235">
        <f t="shared" si="2"/>
        <v>4856031.4133653156</v>
      </c>
      <c r="L40" s="236">
        <f>K40/'Dados (F)'!$C$19</f>
        <v>1298404.1212206725</v>
      </c>
      <c r="M40" s="21"/>
      <c r="N40" s="21"/>
      <c r="O40" s="112"/>
      <c r="P40" s="22"/>
      <c r="Q40" s="23"/>
      <c r="R40" s="169"/>
    </row>
    <row r="41" spans="1:18" x14ac:dyDescent="0.25">
      <c r="A41" s="112"/>
      <c r="B41" s="232" t="s">
        <v>494</v>
      </c>
      <c r="C41" s="233">
        <f>'Resumo (B2)'!$AE$45</f>
        <v>878443.43039965257</v>
      </c>
      <c r="D41" s="233">
        <f>'Resumo (B2)'!$AE$46</f>
        <v>267801.57663662481</v>
      </c>
      <c r="E41" s="233">
        <f t="shared" si="0"/>
        <v>1146245.0070362773</v>
      </c>
      <c r="F41" s="233">
        <f>'Resumo (B2)'!$AE$57</f>
        <v>578241.37672000006</v>
      </c>
      <c r="G41" s="233">
        <f>'Resumo (B2)'!$AE$58</f>
        <v>9476.599929</v>
      </c>
      <c r="H41" s="233">
        <f t="shared" si="1"/>
        <v>587717.97664900008</v>
      </c>
      <c r="I41" s="234">
        <f>C41-PV('Dados (F)'!$C$16,'Dados (F)'!$C$15,F41,0,1)</f>
        <v>4537699.3022498023</v>
      </c>
      <c r="J41" s="234">
        <f>D41-PV('Dados (F)'!$C$16,'Dados (F)'!$C$15,G41,0,1)</f>
        <v>327771.86816448212</v>
      </c>
      <c r="K41" s="235">
        <f t="shared" si="2"/>
        <v>4865471.1704142848</v>
      </c>
      <c r="L41" s="236">
        <f>K41/'Dados (F)'!$C$19</f>
        <v>1300928.1204316269</v>
      </c>
      <c r="M41" s="21"/>
      <c r="N41" s="21"/>
      <c r="O41" s="112"/>
      <c r="P41" s="22"/>
      <c r="Q41" s="23"/>
      <c r="R41" s="169"/>
    </row>
    <row r="42" spans="1:18" ht="13.5" thickBot="1" x14ac:dyDescent="0.3">
      <c r="A42" s="112"/>
      <c r="B42" s="237" t="s">
        <v>495</v>
      </c>
      <c r="C42" s="238">
        <f>'Resumo (B2)'!$AF$45</f>
        <v>880765.88871937268</v>
      </c>
      <c r="D42" s="238">
        <f>'Resumo (B2)'!$AF$46</f>
        <v>119393.93164270601</v>
      </c>
      <c r="E42" s="238">
        <f t="shared" si="0"/>
        <v>1000159.8203620787</v>
      </c>
      <c r="F42" s="238">
        <f>'Resumo (B2)'!$AF$57</f>
        <v>578241.37672000006</v>
      </c>
      <c r="G42" s="238">
        <f>'Resumo (B2)'!$AF$58</f>
        <v>13086.36</v>
      </c>
      <c r="H42" s="238">
        <f t="shared" si="1"/>
        <v>591327.73672000004</v>
      </c>
      <c r="I42" s="239">
        <f>C42-PV('Dados (F)'!$C$16,'Dados (F)'!$C$15,F42,0,1)</f>
        <v>4540021.7605695231</v>
      </c>
      <c r="J42" s="239">
        <f>D42-PV('Dados (F)'!$C$16,'Dados (F)'!$C$15,G42,0,1)</f>
        <v>202207.68658838986</v>
      </c>
      <c r="K42" s="240">
        <f t="shared" si="2"/>
        <v>4742229.4471579129</v>
      </c>
      <c r="L42" s="241">
        <f>K42/'Dados (F)'!$C$19</f>
        <v>1267975.7880101372</v>
      </c>
      <c r="M42" s="21"/>
      <c r="N42" s="21"/>
      <c r="O42" s="112"/>
      <c r="P42" s="22"/>
      <c r="Q42" s="23"/>
      <c r="R42" s="169"/>
    </row>
    <row r="43" spans="1: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2"/>
      <c r="P43" s="22"/>
      <c r="Q43" s="23"/>
    </row>
    <row r="44" spans="1:18" x14ac:dyDescent="0.25">
      <c r="A44" s="41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3"/>
    </row>
    <row r="45" spans="1:18" x14ac:dyDescent="0.25">
      <c r="A45" s="41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3"/>
    </row>
    <row r="46" spans="1:18" x14ac:dyDescent="0.25">
      <c r="A46" s="4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3"/>
    </row>
    <row r="47" spans="1:18" x14ac:dyDescent="0.25">
      <c r="A47" s="41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3"/>
    </row>
    <row r="48" spans="1:18" x14ac:dyDescent="0.25">
      <c r="A48" s="41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3"/>
    </row>
    <row r="49" spans="1:17" x14ac:dyDescent="0.25">
      <c r="A49" s="41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3"/>
    </row>
    <row r="50" spans="1:17" x14ac:dyDescent="0.25">
      <c r="A50" s="41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3"/>
    </row>
    <row r="51" spans="1:17" x14ac:dyDescent="0.25">
      <c r="A51" s="41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3"/>
    </row>
    <row r="52" spans="1:17" x14ac:dyDescent="0.25">
      <c r="A52" s="41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23"/>
    </row>
    <row r="53" spans="1:17" x14ac:dyDescent="0.25">
      <c r="A53" s="41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3"/>
    </row>
    <row r="54" spans="1:17" x14ac:dyDescent="0.25">
      <c r="A54" s="41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3"/>
    </row>
    <row r="55" spans="1:17" x14ac:dyDescent="0.25">
      <c r="A55" s="4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3"/>
    </row>
    <row r="56" spans="1:17" x14ac:dyDescent="0.25">
      <c r="A56" s="41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  <c r="Q56" s="23"/>
    </row>
    <row r="57" spans="1:17" x14ac:dyDescent="0.25">
      <c r="A57" s="41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3"/>
    </row>
    <row r="58" spans="1:17" x14ac:dyDescent="0.25">
      <c r="A58" s="4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23"/>
    </row>
    <row r="59" spans="1:17" x14ac:dyDescent="0.25">
      <c r="A59" s="41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3"/>
    </row>
    <row r="60" spans="1:17" x14ac:dyDescent="0.25">
      <c r="A60" s="41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3"/>
    </row>
    <row r="61" spans="1:17" x14ac:dyDescent="0.25">
      <c r="A61" s="41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3"/>
    </row>
    <row r="62" spans="1:17" x14ac:dyDescent="0.25">
      <c r="A62" s="41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3"/>
    </row>
    <row r="63" spans="1:17" x14ac:dyDescent="0.25">
      <c r="A63" s="41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3"/>
    </row>
    <row r="64" spans="1:17" x14ac:dyDescent="0.25">
      <c r="A64" s="41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3"/>
    </row>
    <row r="65" spans="1:17" x14ac:dyDescent="0.25">
      <c r="A65" s="41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3"/>
    </row>
    <row r="66" spans="1:17" x14ac:dyDescent="0.25">
      <c r="A66" s="41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3"/>
    </row>
    <row r="67" spans="1:17" x14ac:dyDescent="0.25">
      <c r="A67" s="41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3"/>
    </row>
    <row r="68" spans="1:17" x14ac:dyDescent="0.25">
      <c r="A68" s="41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3"/>
    </row>
    <row r="69" spans="1:17" x14ac:dyDescent="0.25">
      <c r="A69" s="41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3"/>
    </row>
    <row r="70" spans="1:17" x14ac:dyDescent="0.25">
      <c r="A70" s="41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3"/>
    </row>
    <row r="71" spans="1:17" x14ac:dyDescent="0.25">
      <c r="A71" s="41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3"/>
    </row>
    <row r="72" spans="1:17" x14ac:dyDescent="0.25">
      <c r="A72" s="41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3"/>
    </row>
    <row r="73" spans="1:17" x14ac:dyDescent="0.25">
      <c r="A73" s="41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3"/>
    </row>
    <row r="74" spans="1:17" x14ac:dyDescent="0.25">
      <c r="A74" s="41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  <c r="Q74" s="23"/>
    </row>
    <row r="75" spans="1:17" x14ac:dyDescent="0.25">
      <c r="A75" s="41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  <c r="Q75" s="23"/>
    </row>
    <row r="76" spans="1:17" x14ac:dyDescent="0.25">
      <c r="A76" s="41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23"/>
    </row>
    <row r="77" spans="1:17" x14ac:dyDescent="0.25">
      <c r="A77" s="41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3"/>
    </row>
    <row r="78" spans="1:17" x14ac:dyDescent="0.25">
      <c r="A78" s="41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23"/>
    </row>
    <row r="79" spans="1:17" x14ac:dyDescent="0.25">
      <c r="A79" s="41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23"/>
    </row>
    <row r="80" spans="1:17" x14ac:dyDescent="0.25">
      <c r="A80" s="41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  <c r="Q80" s="23"/>
    </row>
    <row r="81" spans="1:17" x14ac:dyDescent="0.25">
      <c r="A81" s="41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3"/>
    </row>
    <row r="82" spans="1:17" x14ac:dyDescent="0.25">
      <c r="A82" s="41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23"/>
    </row>
    <row r="83" spans="1:17" x14ac:dyDescent="0.25">
      <c r="A83" s="41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3"/>
    </row>
    <row r="84" spans="1:17" x14ac:dyDescent="0.25">
      <c r="A84" s="41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3"/>
    </row>
    <row r="85" spans="1:17" x14ac:dyDescent="0.25">
      <c r="A85" s="41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3"/>
    </row>
    <row r="86" spans="1:17" x14ac:dyDescent="0.25">
      <c r="A86" s="41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23"/>
    </row>
    <row r="87" spans="1:17" x14ac:dyDescent="0.25">
      <c r="A87" s="41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  <c r="Q87" s="23"/>
    </row>
    <row r="88" spans="1:17" x14ac:dyDescent="0.25">
      <c r="A88" s="41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3"/>
    </row>
    <row r="89" spans="1:17" x14ac:dyDescent="0.25">
      <c r="A89" s="41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3"/>
    </row>
    <row r="90" spans="1:17" x14ac:dyDescent="0.25">
      <c r="A90" s="41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  <c r="Q90" s="23"/>
    </row>
    <row r="91" spans="1:17" x14ac:dyDescent="0.25">
      <c r="A91" s="41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3"/>
    </row>
    <row r="92" spans="1:17" x14ac:dyDescent="0.25">
      <c r="A92" s="41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3"/>
    </row>
    <row r="93" spans="1:17" x14ac:dyDescent="0.25">
      <c r="A93" s="41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3"/>
    </row>
    <row r="94" spans="1:17" x14ac:dyDescent="0.25">
      <c r="A94" s="41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3"/>
    </row>
    <row r="95" spans="1:17" x14ac:dyDescent="0.25">
      <c r="A95" s="41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3"/>
    </row>
    <row r="96" spans="1:17" x14ac:dyDescent="0.25">
      <c r="A96" s="41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3"/>
    </row>
    <row r="97" spans="1:17" x14ac:dyDescent="0.25">
      <c r="A97" s="41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3"/>
    </row>
    <row r="98" spans="1:17" x14ac:dyDescent="0.25">
      <c r="A98" s="41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  <c r="Q98" s="23"/>
    </row>
    <row r="99" spans="1:17" x14ac:dyDescent="0.25">
      <c r="A99" s="41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23"/>
    </row>
    <row r="100" spans="1:17" x14ac:dyDescent="0.25">
      <c r="A100" s="41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  <c r="Q100" s="23"/>
    </row>
    <row r="101" spans="1:17" x14ac:dyDescent="0.25">
      <c r="A101" s="41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3"/>
    </row>
    <row r="102" spans="1:17" x14ac:dyDescent="0.25">
      <c r="A102" s="41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  <c r="Q102" s="23"/>
    </row>
    <row r="103" spans="1:17" x14ac:dyDescent="0.25">
      <c r="A103" s="41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  <c r="Q103" s="23"/>
    </row>
    <row r="104" spans="1:17" x14ac:dyDescent="0.25">
      <c r="A104" s="41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  <c r="Q104" s="23"/>
    </row>
    <row r="105" spans="1:17" x14ac:dyDescent="0.25">
      <c r="A105" s="41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  <c r="Q105" s="23"/>
    </row>
    <row r="106" spans="1:17" x14ac:dyDescent="0.25">
      <c r="A106" s="41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23"/>
    </row>
    <row r="107" spans="1:17" x14ac:dyDescent="0.25">
      <c r="A107" s="41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  <c r="Q107" s="23"/>
    </row>
    <row r="108" spans="1:17" x14ac:dyDescent="0.25">
      <c r="A108" s="41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3"/>
    </row>
    <row r="109" spans="1:17" x14ac:dyDescent="0.25">
      <c r="A109" s="41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23"/>
    </row>
    <row r="110" spans="1:17" x14ac:dyDescent="0.25">
      <c r="A110" s="41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  <c r="Q110" s="23"/>
    </row>
    <row r="111" spans="1:17" x14ac:dyDescent="0.25">
      <c r="A111" s="41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23"/>
    </row>
    <row r="112" spans="1:17" x14ac:dyDescent="0.25">
      <c r="A112" s="41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  <c r="Q112" s="23"/>
    </row>
    <row r="113" spans="1:17" x14ac:dyDescent="0.25">
      <c r="A113" s="41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Q113" s="23"/>
    </row>
    <row r="114" spans="1:17" x14ac:dyDescent="0.25">
      <c r="A114" s="41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  <c r="Q114" s="23"/>
    </row>
    <row r="115" spans="1:17" x14ac:dyDescent="0.25">
      <c r="A115" s="41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3"/>
    </row>
    <row r="116" spans="1:17" x14ac:dyDescent="0.25">
      <c r="A116" s="41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  <c r="Q116" s="23"/>
    </row>
    <row r="117" spans="1:17" x14ac:dyDescent="0.25">
      <c r="A117" s="41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  <c r="Q117" s="23"/>
    </row>
    <row r="118" spans="1:17" x14ac:dyDescent="0.25">
      <c r="A118" s="41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  <c r="Q118" s="23"/>
    </row>
    <row r="119" spans="1:17" x14ac:dyDescent="0.25">
      <c r="A119" s="41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  <c r="Q119" s="23"/>
    </row>
    <row r="120" spans="1:17" x14ac:dyDescent="0.25">
      <c r="A120" s="41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23"/>
    </row>
    <row r="121" spans="1:17" x14ac:dyDescent="0.25">
      <c r="A121" s="41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  <c r="Q121" s="23"/>
    </row>
    <row r="122" spans="1:17" x14ac:dyDescent="0.25">
      <c r="A122" s="41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  <c r="Q122" s="23"/>
    </row>
    <row r="123" spans="1:17" x14ac:dyDescent="0.25">
      <c r="A123" s="41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  <c r="Q123" s="23"/>
    </row>
    <row r="124" spans="1:17" x14ac:dyDescent="0.25">
      <c r="A124" s="41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  <c r="Q124" s="23"/>
    </row>
    <row r="125" spans="1:17" x14ac:dyDescent="0.25">
      <c r="A125" s="41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3"/>
    </row>
    <row r="126" spans="1:17" x14ac:dyDescent="0.25">
      <c r="A126" s="41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  <c r="Q126" s="23"/>
    </row>
    <row r="127" spans="1:17" x14ac:dyDescent="0.25">
      <c r="A127" s="41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  <c r="Q127" s="23"/>
    </row>
    <row r="128" spans="1:17" x14ac:dyDescent="0.25">
      <c r="A128" s="41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  <c r="Q128" s="23"/>
    </row>
    <row r="129" spans="1:17" x14ac:dyDescent="0.25">
      <c r="A129" s="41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  <c r="Q129" s="23"/>
    </row>
    <row r="130" spans="1:17" x14ac:dyDescent="0.25">
      <c r="A130" s="41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  <c r="Q130" s="23"/>
    </row>
    <row r="131" spans="1:17" x14ac:dyDescent="0.25">
      <c r="A131" s="41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  <c r="Q131" s="23"/>
    </row>
    <row r="132" spans="1:17" x14ac:dyDescent="0.25">
      <c r="A132" s="41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  <c r="Q132" s="23"/>
    </row>
    <row r="133" spans="1:17" x14ac:dyDescent="0.25">
      <c r="A133" s="41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  <c r="Q133" s="23"/>
    </row>
    <row r="134" spans="1:17" x14ac:dyDescent="0.25">
      <c r="A134" s="41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  <c r="Q134" s="23"/>
    </row>
    <row r="135" spans="1:17" x14ac:dyDescent="0.25">
      <c r="A135" s="41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  <c r="Q135" s="23"/>
    </row>
    <row r="136" spans="1:17" x14ac:dyDescent="0.25">
      <c r="A136" s="41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  <c r="Q136" s="23"/>
    </row>
    <row r="137" spans="1:17" x14ac:dyDescent="0.25">
      <c r="A137" s="41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  <c r="Q137" s="23"/>
    </row>
    <row r="138" spans="1:17" x14ac:dyDescent="0.25">
      <c r="A138" s="41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  <c r="Q138" s="23"/>
    </row>
    <row r="139" spans="1:17" x14ac:dyDescent="0.25">
      <c r="A139" s="41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  <c r="Q139" s="23"/>
    </row>
    <row r="140" spans="1:17" x14ac:dyDescent="0.25">
      <c r="A140" s="41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23"/>
    </row>
    <row r="141" spans="1:17" x14ac:dyDescent="0.25">
      <c r="A141" s="41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  <c r="Q141" s="23"/>
    </row>
    <row r="142" spans="1:17" x14ac:dyDescent="0.25">
      <c r="A142" s="41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  <c r="Q142" s="23"/>
    </row>
    <row r="143" spans="1:17" x14ac:dyDescent="0.25">
      <c r="A143" s="41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  <c r="Q143" s="23"/>
    </row>
    <row r="144" spans="1:17" x14ac:dyDescent="0.25">
      <c r="A144" s="41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  <c r="Q144" s="23"/>
    </row>
    <row r="145" spans="1:17" x14ac:dyDescent="0.25">
      <c r="A145" s="411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7"/>
      <c r="Q145" s="23"/>
    </row>
    <row r="146" spans="1:17" hidden="1" x14ac:dyDescent="0.25"/>
    <row r="147" spans="1:17" hidden="1" x14ac:dyDescent="0.25"/>
    <row r="148" spans="1:17" hidden="1" x14ac:dyDescent="0.25"/>
    <row r="149" spans="1:17" hidden="1" x14ac:dyDescent="0.25"/>
    <row r="150" spans="1:17" hidden="1" x14ac:dyDescent="0.25"/>
    <row r="151" spans="1:17" hidden="1" x14ac:dyDescent="0.25"/>
    <row r="152" spans="1:17" hidden="1" x14ac:dyDescent="0.25"/>
    <row r="153" spans="1:17" hidden="1" x14ac:dyDescent="0.25"/>
    <row r="154" spans="1:17" hidden="1" x14ac:dyDescent="0.25"/>
    <row r="155" spans="1:17" hidden="1" x14ac:dyDescent="0.25"/>
    <row r="156" spans="1:17" hidden="1" x14ac:dyDescent="0.25"/>
    <row r="157" spans="1:17" hidden="1" x14ac:dyDescent="0.25"/>
  </sheetData>
  <sheetProtection algorithmName="SHA-512" hashValue="uhrnSWI2QphcYoZcCwQnqBsdIxHWxryJvzSy25rnpDwV2Q/jgzelfjcu5uEHTmyE5u8+zSd+Kp9DXhlBOjnb+Q==" saltValue="+bc/GMSa0cZw2Ap0kRpJEA==" spinCount="100000" sheet="1" objects="1" scenarios="1"/>
  <sortState ref="R13:R42">
    <sortCondition ref="R13"/>
  </sortState>
  <mergeCells count="22">
    <mergeCell ref="A1:M2"/>
    <mergeCell ref="B11:B12"/>
    <mergeCell ref="I11:K11"/>
    <mergeCell ref="F11:H11"/>
    <mergeCell ref="C11:E11"/>
    <mergeCell ref="B6:C6"/>
    <mergeCell ref="B5:C5"/>
    <mergeCell ref="B7:C7"/>
    <mergeCell ref="B4:D4"/>
    <mergeCell ref="F4:F8"/>
    <mergeCell ref="G4:I4"/>
    <mergeCell ref="G5:I5"/>
    <mergeCell ref="G6:I6"/>
    <mergeCell ref="G7:I7"/>
    <mergeCell ref="G8:I8"/>
    <mergeCell ref="A44:A77"/>
    <mergeCell ref="A78:A111"/>
    <mergeCell ref="A112:A145"/>
    <mergeCell ref="L4:M4"/>
    <mergeCell ref="L5:M5"/>
    <mergeCell ref="L7:M7"/>
    <mergeCell ref="L11:L12"/>
  </mergeCells>
  <dataValidations count="1">
    <dataValidation type="list" allowBlank="1" showInputMessage="1" showErrorMessage="1" sqref="L5:M5">
      <formula1>$N$12:$N$14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45200"/>
  </sheetPr>
  <dimension ref="A1:E78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5"/>
  <cols>
    <col min="1" max="1" width="10.875" style="109" customWidth="1"/>
    <col min="2" max="2" width="39.875" style="109" customWidth="1"/>
    <col min="3" max="4" width="25.875" style="109" customWidth="1"/>
    <col min="5" max="5" width="10.875" style="109" customWidth="1"/>
    <col min="6" max="16384" width="10.875" style="109" hidden="1"/>
  </cols>
  <sheetData>
    <row r="1" spans="1:5" ht="12.95" customHeight="1" x14ac:dyDescent="0.25">
      <c r="A1" s="384" t="s">
        <v>796</v>
      </c>
      <c r="B1" s="384"/>
      <c r="C1" s="384"/>
      <c r="D1" s="384"/>
      <c r="E1" s="385"/>
    </row>
    <row r="2" spans="1:5" ht="12.95" customHeight="1" x14ac:dyDescent="0.25">
      <c r="A2" s="386"/>
      <c r="B2" s="386"/>
      <c r="C2" s="386"/>
      <c r="D2" s="386"/>
      <c r="E2" s="387"/>
    </row>
    <row r="3" spans="1:5" x14ac:dyDescent="0.25">
      <c r="A3" s="112"/>
      <c r="B3" s="112"/>
      <c r="C3" s="112"/>
      <c r="D3" s="112"/>
      <c r="E3" s="174"/>
    </row>
    <row r="4" spans="1:5" ht="12.95" customHeight="1" x14ac:dyDescent="0.25">
      <c r="A4" s="112"/>
      <c r="B4" s="426" t="s">
        <v>879</v>
      </c>
      <c r="C4" s="426"/>
      <c r="D4" s="426"/>
      <c r="E4" s="22"/>
    </row>
    <row r="5" spans="1:5" ht="13.5" thickBot="1" x14ac:dyDescent="0.3">
      <c r="A5" s="112"/>
      <c r="B5" s="112"/>
      <c r="C5" s="112"/>
      <c r="D5" s="112"/>
      <c r="E5" s="22"/>
    </row>
    <row r="6" spans="1:5" ht="13.5" thickBot="1" x14ac:dyDescent="0.3">
      <c r="A6" s="112"/>
      <c r="B6" s="61" t="s">
        <v>799</v>
      </c>
      <c r="C6" s="461" t="s">
        <v>794</v>
      </c>
      <c r="D6" s="389"/>
      <c r="E6" s="22"/>
    </row>
    <row r="7" spans="1:5" ht="14.1" customHeight="1" x14ac:dyDescent="0.25">
      <c r="A7" s="112"/>
      <c r="B7" s="462" t="s">
        <v>805</v>
      </c>
      <c r="C7" s="463"/>
      <c r="D7" s="464"/>
      <c r="E7" s="22"/>
    </row>
    <row r="8" spans="1:5" x14ac:dyDescent="0.25">
      <c r="A8" s="112"/>
      <c r="B8" s="120" t="s">
        <v>762</v>
      </c>
      <c r="C8" s="465" t="s">
        <v>841</v>
      </c>
      <c r="D8" s="466"/>
      <c r="E8" s="22"/>
    </row>
    <row r="9" spans="1:5" x14ac:dyDescent="0.25">
      <c r="A9" s="112"/>
      <c r="B9" s="120" t="s">
        <v>763</v>
      </c>
      <c r="C9" s="465" t="s">
        <v>842</v>
      </c>
      <c r="D9" s="466"/>
      <c r="E9" s="22"/>
    </row>
    <row r="10" spans="1:5" x14ac:dyDescent="0.25">
      <c r="A10" s="112"/>
      <c r="B10" s="120" t="s">
        <v>764</v>
      </c>
      <c r="C10" s="465" t="s">
        <v>843</v>
      </c>
      <c r="D10" s="466"/>
      <c r="E10" s="22"/>
    </row>
    <row r="11" spans="1:5" x14ac:dyDescent="0.25">
      <c r="A11" s="112"/>
      <c r="B11" s="120" t="s">
        <v>765</v>
      </c>
      <c r="C11" s="465" t="s">
        <v>847</v>
      </c>
      <c r="D11" s="466"/>
      <c r="E11" s="22"/>
    </row>
    <row r="12" spans="1:5" x14ac:dyDescent="0.25">
      <c r="A12" s="112"/>
      <c r="B12" s="120" t="s">
        <v>772</v>
      </c>
      <c r="C12" s="467" t="s">
        <v>847</v>
      </c>
      <c r="D12" s="468"/>
      <c r="E12" s="22"/>
    </row>
    <row r="13" spans="1:5" x14ac:dyDescent="0.25">
      <c r="A13" s="112"/>
      <c r="B13" s="458" t="s">
        <v>766</v>
      </c>
      <c r="C13" s="242" t="s">
        <v>844</v>
      </c>
      <c r="D13" s="243" t="s">
        <v>845</v>
      </c>
      <c r="E13" s="22"/>
    </row>
    <row r="14" spans="1:5" ht="42" customHeight="1" x14ac:dyDescent="0.25">
      <c r="A14" s="112"/>
      <c r="B14" s="459"/>
      <c r="C14" s="433" t="s">
        <v>846</v>
      </c>
      <c r="D14" s="244" t="s">
        <v>864</v>
      </c>
      <c r="E14" s="22"/>
    </row>
    <row r="15" spans="1:5" ht="25.5" x14ac:dyDescent="0.25">
      <c r="A15" s="112"/>
      <c r="B15" s="459"/>
      <c r="C15" s="433"/>
      <c r="D15" s="244" t="s">
        <v>849</v>
      </c>
      <c r="E15" s="22"/>
    </row>
    <row r="16" spans="1:5" ht="38.25" x14ac:dyDescent="0.25">
      <c r="A16" s="112"/>
      <c r="B16" s="460"/>
      <c r="C16" s="431"/>
      <c r="D16" s="245" t="s">
        <v>872</v>
      </c>
      <c r="E16" s="22"/>
    </row>
    <row r="17" spans="1:5" ht="14.1" customHeight="1" x14ac:dyDescent="0.25">
      <c r="A17" s="112"/>
      <c r="B17" s="427" t="s">
        <v>767</v>
      </c>
      <c r="C17" s="246" t="s">
        <v>853</v>
      </c>
      <c r="D17" s="247" t="s">
        <v>854</v>
      </c>
      <c r="E17" s="22"/>
    </row>
    <row r="18" spans="1:5" ht="25.5" x14ac:dyDescent="0.25">
      <c r="A18" s="112"/>
      <c r="B18" s="428"/>
      <c r="C18" s="248" t="s">
        <v>859</v>
      </c>
      <c r="D18" s="446" t="s">
        <v>850</v>
      </c>
      <c r="E18" s="22"/>
    </row>
    <row r="19" spans="1:5" x14ac:dyDescent="0.25">
      <c r="A19" s="112"/>
      <c r="B19" s="429"/>
      <c r="C19" s="249" t="s">
        <v>860</v>
      </c>
      <c r="D19" s="435"/>
      <c r="E19" s="22"/>
    </row>
    <row r="20" spans="1:5" x14ac:dyDescent="0.25">
      <c r="A20" s="112"/>
      <c r="B20" s="458" t="s">
        <v>768</v>
      </c>
      <c r="C20" s="246" t="s">
        <v>853</v>
      </c>
      <c r="D20" s="247" t="s">
        <v>854</v>
      </c>
      <c r="E20" s="22"/>
    </row>
    <row r="21" spans="1:5" ht="25.5" x14ac:dyDescent="0.25">
      <c r="A21" s="112"/>
      <c r="B21" s="459"/>
      <c r="C21" s="248" t="s">
        <v>861</v>
      </c>
      <c r="D21" s="446" t="s">
        <v>847</v>
      </c>
      <c r="E21" s="22"/>
    </row>
    <row r="22" spans="1:5" x14ac:dyDescent="0.25">
      <c r="A22" s="112"/>
      <c r="B22" s="460"/>
      <c r="C22" s="249" t="s">
        <v>862</v>
      </c>
      <c r="D22" s="435"/>
      <c r="E22" s="22"/>
    </row>
    <row r="23" spans="1:5" x14ac:dyDescent="0.25">
      <c r="A23" s="112"/>
      <c r="B23" s="458" t="s">
        <v>769</v>
      </c>
      <c r="C23" s="246" t="s">
        <v>853</v>
      </c>
      <c r="D23" s="247" t="s">
        <v>854</v>
      </c>
      <c r="E23" s="22"/>
    </row>
    <row r="24" spans="1:5" ht="25.5" x14ac:dyDescent="0.25">
      <c r="A24" s="112"/>
      <c r="B24" s="459"/>
      <c r="C24" s="248" t="s">
        <v>846</v>
      </c>
      <c r="D24" s="244" t="s">
        <v>875</v>
      </c>
      <c r="E24" s="22"/>
    </row>
    <row r="25" spans="1:5" x14ac:dyDescent="0.25">
      <c r="A25" s="112"/>
      <c r="B25" s="120" t="s">
        <v>770</v>
      </c>
      <c r="C25" s="443" t="s">
        <v>882</v>
      </c>
      <c r="D25" s="442"/>
      <c r="E25" s="22"/>
    </row>
    <row r="26" spans="1:5" ht="14.1" customHeight="1" x14ac:dyDescent="0.25">
      <c r="A26" s="112"/>
      <c r="B26" s="458" t="s">
        <v>771</v>
      </c>
      <c r="C26" s="246" t="s">
        <v>855</v>
      </c>
      <c r="D26" s="247" t="s">
        <v>856</v>
      </c>
      <c r="E26" s="22"/>
    </row>
    <row r="27" spans="1:5" x14ac:dyDescent="0.25">
      <c r="A27" s="112"/>
      <c r="B27" s="460"/>
      <c r="C27" s="250" t="s">
        <v>846</v>
      </c>
      <c r="D27" s="251" t="s">
        <v>847</v>
      </c>
      <c r="E27" s="22"/>
    </row>
    <row r="28" spans="1:5" ht="27.95" customHeight="1" x14ac:dyDescent="0.25">
      <c r="A28" s="112"/>
      <c r="B28" s="458" t="s">
        <v>773</v>
      </c>
      <c r="C28" s="436" t="s">
        <v>865</v>
      </c>
      <c r="D28" s="437"/>
      <c r="E28" s="22"/>
    </row>
    <row r="29" spans="1:5" x14ac:dyDescent="0.25">
      <c r="A29" s="112"/>
      <c r="B29" s="460"/>
      <c r="C29" s="433" t="s">
        <v>863</v>
      </c>
      <c r="D29" s="434"/>
      <c r="E29" s="22"/>
    </row>
    <row r="30" spans="1:5" ht="14.1" customHeight="1" x14ac:dyDescent="0.25">
      <c r="A30" s="112"/>
      <c r="B30" s="427" t="s">
        <v>774</v>
      </c>
      <c r="C30" s="436" t="s">
        <v>866</v>
      </c>
      <c r="D30" s="437"/>
      <c r="E30" s="22"/>
    </row>
    <row r="31" spans="1:5" x14ac:dyDescent="0.25">
      <c r="A31" s="112"/>
      <c r="B31" s="428"/>
      <c r="C31" s="433" t="s">
        <v>867</v>
      </c>
      <c r="D31" s="446"/>
      <c r="E31" s="22"/>
    </row>
    <row r="32" spans="1:5" x14ac:dyDescent="0.25">
      <c r="A32" s="112"/>
      <c r="B32" s="429"/>
      <c r="C32" s="431"/>
      <c r="D32" s="446"/>
      <c r="E32" s="22"/>
    </row>
    <row r="33" spans="1:5" x14ac:dyDescent="0.25">
      <c r="A33" s="112"/>
      <c r="B33" s="458" t="s">
        <v>775</v>
      </c>
      <c r="C33" s="252" t="s">
        <v>857</v>
      </c>
      <c r="D33" s="243" t="s">
        <v>858</v>
      </c>
      <c r="E33" s="22"/>
    </row>
    <row r="34" spans="1:5" ht="38.25" x14ac:dyDescent="0.25">
      <c r="A34" s="112"/>
      <c r="B34" s="459"/>
      <c r="C34" s="430" t="s">
        <v>843</v>
      </c>
      <c r="D34" s="244" t="s">
        <v>873</v>
      </c>
      <c r="E34" s="22"/>
    </row>
    <row r="35" spans="1:5" ht="25.5" x14ac:dyDescent="0.25">
      <c r="A35" s="112"/>
      <c r="B35" s="460"/>
      <c r="C35" s="430"/>
      <c r="D35" s="244" t="s">
        <v>874</v>
      </c>
      <c r="E35" s="22"/>
    </row>
    <row r="36" spans="1:5" ht="27.95" customHeight="1" x14ac:dyDescent="0.25">
      <c r="A36" s="112"/>
      <c r="B36" s="427" t="s">
        <v>430</v>
      </c>
      <c r="C36" s="436" t="s">
        <v>876</v>
      </c>
      <c r="D36" s="437"/>
      <c r="E36" s="22"/>
    </row>
    <row r="37" spans="1:5" ht="27.95" customHeight="1" x14ac:dyDescent="0.25">
      <c r="A37" s="112"/>
      <c r="B37" s="428"/>
      <c r="C37" s="433" t="s">
        <v>877</v>
      </c>
      <c r="D37" s="434"/>
      <c r="E37" s="22"/>
    </row>
    <row r="38" spans="1:5" x14ac:dyDescent="0.25">
      <c r="A38" s="112"/>
      <c r="B38" s="429"/>
      <c r="C38" s="431" t="s">
        <v>878</v>
      </c>
      <c r="D38" s="432"/>
      <c r="E38" s="22"/>
    </row>
    <row r="39" spans="1:5" x14ac:dyDescent="0.25">
      <c r="A39" s="112"/>
      <c r="B39" s="458" t="s">
        <v>776</v>
      </c>
      <c r="C39" s="253" t="s">
        <v>855</v>
      </c>
      <c r="D39" s="254" t="s">
        <v>856</v>
      </c>
      <c r="E39" s="22"/>
    </row>
    <row r="40" spans="1:5" ht="25.5" x14ac:dyDescent="0.25">
      <c r="A40" s="112"/>
      <c r="B40" s="460"/>
      <c r="C40" s="255" t="s">
        <v>881</v>
      </c>
      <c r="D40" s="256" t="s">
        <v>847</v>
      </c>
      <c r="E40" s="22"/>
    </row>
    <row r="41" spans="1:5" ht="27.95" customHeight="1" x14ac:dyDescent="0.25">
      <c r="A41" s="112"/>
      <c r="B41" s="120" t="s">
        <v>777</v>
      </c>
      <c r="C41" s="441" t="s">
        <v>892</v>
      </c>
      <c r="D41" s="442"/>
      <c r="E41" s="22"/>
    </row>
    <row r="42" spans="1:5" x14ac:dyDescent="0.25">
      <c r="A42" s="112"/>
      <c r="B42" s="120" t="s">
        <v>778</v>
      </c>
      <c r="C42" s="441" t="s">
        <v>868</v>
      </c>
      <c r="D42" s="442"/>
      <c r="E42" s="22"/>
    </row>
    <row r="43" spans="1:5" x14ac:dyDescent="0.25">
      <c r="A43" s="112"/>
      <c r="B43" s="120" t="s">
        <v>779</v>
      </c>
      <c r="C43" s="443" t="s">
        <v>869</v>
      </c>
      <c r="D43" s="437"/>
      <c r="E43" s="22"/>
    </row>
    <row r="44" spans="1:5" ht="42" customHeight="1" x14ac:dyDescent="0.25">
      <c r="A44" s="112"/>
      <c r="B44" s="427" t="s">
        <v>783</v>
      </c>
      <c r="C44" s="436" t="s">
        <v>884</v>
      </c>
      <c r="D44" s="437"/>
      <c r="E44" s="22"/>
    </row>
    <row r="45" spans="1:5" ht="27.95" customHeight="1" x14ac:dyDescent="0.25">
      <c r="A45" s="112"/>
      <c r="B45" s="429"/>
      <c r="C45" s="431" t="s">
        <v>885</v>
      </c>
      <c r="D45" s="435"/>
      <c r="E45" s="22"/>
    </row>
    <row r="46" spans="1:5" ht="14.1" customHeight="1" x14ac:dyDescent="0.25">
      <c r="A46" s="112"/>
      <c r="B46" s="469" t="s">
        <v>806</v>
      </c>
      <c r="C46" s="470"/>
      <c r="D46" s="471"/>
      <c r="E46" s="22"/>
    </row>
    <row r="47" spans="1:5" x14ac:dyDescent="0.25">
      <c r="A47" s="112"/>
      <c r="B47" s="120" t="s">
        <v>792</v>
      </c>
      <c r="C47" s="441" t="s">
        <v>870</v>
      </c>
      <c r="D47" s="442"/>
      <c r="E47" s="22"/>
    </row>
    <row r="48" spans="1:5" ht="27.95" customHeight="1" x14ac:dyDescent="0.25">
      <c r="A48" s="112"/>
      <c r="B48" s="120" t="s">
        <v>791</v>
      </c>
      <c r="C48" s="443" t="s">
        <v>886</v>
      </c>
      <c r="D48" s="437"/>
      <c r="E48" s="22"/>
    </row>
    <row r="49" spans="1:5" ht="25.5" x14ac:dyDescent="0.25">
      <c r="A49" s="112"/>
      <c r="B49" s="427" t="s">
        <v>790</v>
      </c>
      <c r="C49" s="242" t="s">
        <v>888</v>
      </c>
      <c r="D49" s="243" t="s">
        <v>889</v>
      </c>
      <c r="E49" s="22"/>
    </row>
    <row r="50" spans="1:5" ht="51" x14ac:dyDescent="0.25">
      <c r="A50" s="112"/>
      <c r="B50" s="428"/>
      <c r="C50" s="430" t="s">
        <v>887</v>
      </c>
      <c r="D50" s="257" t="s">
        <v>890</v>
      </c>
      <c r="E50" s="22"/>
    </row>
    <row r="51" spans="1:5" ht="51" x14ac:dyDescent="0.25">
      <c r="A51" s="112"/>
      <c r="B51" s="428"/>
      <c r="C51" s="430"/>
      <c r="D51" s="257" t="s">
        <v>891</v>
      </c>
      <c r="E51" s="22"/>
    </row>
    <row r="52" spans="1:5" ht="63.75" x14ac:dyDescent="0.25">
      <c r="A52" s="112"/>
      <c r="B52" s="429"/>
      <c r="C52" s="430"/>
      <c r="D52" s="257" t="s">
        <v>893</v>
      </c>
      <c r="E52" s="22"/>
    </row>
    <row r="53" spans="1:5" ht="27.95" customHeight="1" x14ac:dyDescent="0.25">
      <c r="A53" s="112"/>
      <c r="B53" s="427" t="s">
        <v>789</v>
      </c>
      <c r="C53" s="436" t="s">
        <v>894</v>
      </c>
      <c r="D53" s="437"/>
      <c r="E53" s="22"/>
    </row>
    <row r="54" spans="1:5" ht="41.1" customHeight="1" x14ac:dyDescent="0.25">
      <c r="A54" s="112"/>
      <c r="B54" s="429"/>
      <c r="C54" s="431" t="s">
        <v>895</v>
      </c>
      <c r="D54" s="432"/>
      <c r="E54" s="22"/>
    </row>
    <row r="55" spans="1:5" x14ac:dyDescent="0.25">
      <c r="A55" s="112"/>
      <c r="B55" s="120" t="s">
        <v>788</v>
      </c>
      <c r="C55" s="438" t="s">
        <v>871</v>
      </c>
      <c r="D55" s="432"/>
      <c r="E55" s="22"/>
    </row>
    <row r="56" spans="1:5" ht="13.5" thickBot="1" x14ac:dyDescent="0.3">
      <c r="A56" s="112"/>
      <c r="B56" s="258" t="s">
        <v>793</v>
      </c>
      <c r="C56" s="439" t="s">
        <v>896</v>
      </c>
      <c r="D56" s="440"/>
      <c r="E56" s="22"/>
    </row>
    <row r="57" spans="1:5" x14ac:dyDescent="0.25">
      <c r="A57" s="112"/>
      <c r="B57" s="112"/>
      <c r="C57" s="112"/>
      <c r="D57" s="112"/>
      <c r="E57" s="22"/>
    </row>
    <row r="58" spans="1:5" x14ac:dyDescent="0.25">
      <c r="A58" s="112"/>
      <c r="B58" s="112"/>
      <c r="C58" s="112"/>
      <c r="D58" s="112"/>
      <c r="E58" s="22"/>
    </row>
    <row r="59" spans="1:5" ht="12.95" customHeight="1" x14ac:dyDescent="0.25">
      <c r="A59" s="112"/>
      <c r="B59" s="426" t="s">
        <v>880</v>
      </c>
      <c r="C59" s="426"/>
      <c r="D59" s="426"/>
      <c r="E59" s="22"/>
    </row>
    <row r="60" spans="1:5" ht="13.5" thickBot="1" x14ac:dyDescent="0.3">
      <c r="A60" s="112"/>
      <c r="B60" s="112"/>
      <c r="C60" s="112"/>
      <c r="D60" s="112"/>
      <c r="E60" s="22"/>
    </row>
    <row r="61" spans="1:5" ht="27.95" customHeight="1" x14ac:dyDescent="0.25">
      <c r="A61" s="112"/>
      <c r="B61" s="447" t="s">
        <v>805</v>
      </c>
      <c r="C61" s="444" t="s">
        <v>852</v>
      </c>
      <c r="D61" s="445"/>
      <c r="E61" s="22"/>
    </row>
    <row r="62" spans="1:5" ht="42" customHeight="1" x14ac:dyDescent="0.25">
      <c r="A62" s="112"/>
      <c r="B62" s="448"/>
      <c r="C62" s="433" t="s">
        <v>848</v>
      </c>
      <c r="D62" s="446"/>
      <c r="E62" s="22"/>
    </row>
    <row r="63" spans="1:5" ht="27.95" customHeight="1" x14ac:dyDescent="0.25">
      <c r="A63" s="112"/>
      <c r="B63" s="449"/>
      <c r="C63" s="431" t="s">
        <v>883</v>
      </c>
      <c r="D63" s="435"/>
      <c r="E63" s="22"/>
    </row>
    <row r="64" spans="1:5" ht="13.5" thickBot="1" x14ac:dyDescent="0.3">
      <c r="A64" s="112"/>
      <c r="B64" s="259" t="s">
        <v>806</v>
      </c>
      <c r="C64" s="450" t="s">
        <v>838</v>
      </c>
      <c r="D64" s="451"/>
      <c r="E64" s="22"/>
    </row>
    <row r="65" spans="1:5" x14ac:dyDescent="0.25">
      <c r="A65" s="112"/>
      <c r="B65" s="112"/>
      <c r="C65" s="112"/>
      <c r="D65" s="112"/>
      <c r="E65" s="22"/>
    </row>
    <row r="66" spans="1:5" x14ac:dyDescent="0.25">
      <c r="A66" s="112"/>
      <c r="B66" s="112"/>
      <c r="C66" s="112"/>
      <c r="D66" s="112"/>
      <c r="E66" s="22"/>
    </row>
    <row r="67" spans="1:5" ht="14.1" customHeight="1" x14ac:dyDescent="0.25">
      <c r="A67" s="112"/>
      <c r="B67" s="426" t="s">
        <v>795</v>
      </c>
      <c r="C67" s="426"/>
      <c r="D67" s="260"/>
      <c r="E67" s="22"/>
    </row>
    <row r="68" spans="1:5" ht="13.5" thickBot="1" x14ac:dyDescent="0.3">
      <c r="A68" s="112"/>
      <c r="B68" s="112"/>
      <c r="C68" s="112"/>
      <c r="D68" s="112"/>
      <c r="E68" s="22"/>
    </row>
    <row r="69" spans="1:5" ht="65.099999999999994" customHeight="1" x14ac:dyDescent="0.25">
      <c r="A69" s="112"/>
      <c r="B69" s="456" t="s">
        <v>797</v>
      </c>
      <c r="C69" s="457"/>
      <c r="D69" s="261"/>
      <c r="E69" s="22"/>
    </row>
    <row r="70" spans="1:5" ht="38.1" customHeight="1" x14ac:dyDescent="0.25">
      <c r="A70" s="112"/>
      <c r="B70" s="452" t="s">
        <v>798</v>
      </c>
      <c r="C70" s="453"/>
      <c r="D70" s="261"/>
      <c r="E70" s="22"/>
    </row>
    <row r="71" spans="1:5" ht="26.1" customHeight="1" x14ac:dyDescent="0.25">
      <c r="A71" s="112"/>
      <c r="B71" s="452" t="s">
        <v>800</v>
      </c>
      <c r="C71" s="453"/>
      <c r="D71" s="261"/>
      <c r="E71" s="22"/>
    </row>
    <row r="72" spans="1:5" ht="39" customHeight="1" x14ac:dyDescent="0.25">
      <c r="A72" s="112"/>
      <c r="B72" s="452" t="s">
        <v>801</v>
      </c>
      <c r="C72" s="453"/>
      <c r="D72" s="261"/>
      <c r="E72" s="22"/>
    </row>
    <row r="73" spans="1:5" ht="39" customHeight="1" x14ac:dyDescent="0.25">
      <c r="A73" s="112"/>
      <c r="B73" s="452" t="s">
        <v>803</v>
      </c>
      <c r="C73" s="453"/>
      <c r="D73" s="261"/>
      <c r="E73" s="22"/>
    </row>
    <row r="74" spans="1:5" ht="39" customHeight="1" x14ac:dyDescent="0.25">
      <c r="A74" s="112"/>
      <c r="B74" s="452" t="s">
        <v>804</v>
      </c>
      <c r="C74" s="453"/>
      <c r="D74" s="261"/>
      <c r="E74" s="22"/>
    </row>
    <row r="75" spans="1:5" ht="39" customHeight="1" thickBot="1" x14ac:dyDescent="0.3">
      <c r="A75" s="112"/>
      <c r="B75" s="454" t="s">
        <v>802</v>
      </c>
      <c r="C75" s="455"/>
      <c r="D75" s="261"/>
      <c r="E75" s="22"/>
    </row>
    <row r="76" spans="1:5" x14ac:dyDescent="0.25">
      <c r="A76" s="145"/>
      <c r="B76" s="145"/>
      <c r="C76" s="145"/>
      <c r="D76" s="145"/>
      <c r="E76" s="147"/>
    </row>
    <row r="77" spans="1:5" hidden="1" x14ac:dyDescent="0.25"/>
    <row r="78" spans="1:5" hidden="1" x14ac:dyDescent="0.25"/>
  </sheetData>
  <sheetProtection algorithmName="SHA-512" hashValue="zGnYL9eEYQkEE695C4wsWbo7Vw9WqZG6mqf48Z18qjL8wHavHuY9nIHjm/zI9VtA2FKgMS6nQ0qDLdTRTQltkg==" saltValue="IWuJtXdybr7NKkxG/TKA8A==" spinCount="100000" sheet="1" objects="1" scenarios="1"/>
  <mergeCells count="61">
    <mergeCell ref="B26:B27"/>
    <mergeCell ref="B46:D46"/>
    <mergeCell ref="B39:B40"/>
    <mergeCell ref="C29:D29"/>
    <mergeCell ref="B28:B29"/>
    <mergeCell ref="C42:D42"/>
    <mergeCell ref="C43:D43"/>
    <mergeCell ref="C44:D44"/>
    <mergeCell ref="B33:B35"/>
    <mergeCell ref="C25:D25"/>
    <mergeCell ref="C28:D28"/>
    <mergeCell ref="C30:D30"/>
    <mergeCell ref="C36:D36"/>
    <mergeCell ref="C41:D41"/>
    <mergeCell ref="C31:D32"/>
    <mergeCell ref="C34:C35"/>
    <mergeCell ref="D21:D22"/>
    <mergeCell ref="B20:B22"/>
    <mergeCell ref="B23:B24"/>
    <mergeCell ref="A1:E2"/>
    <mergeCell ref="C6:D6"/>
    <mergeCell ref="B7:D7"/>
    <mergeCell ref="C8:D8"/>
    <mergeCell ref="C9:D9"/>
    <mergeCell ref="C10:D10"/>
    <mergeCell ref="C11:D11"/>
    <mergeCell ref="C12:D12"/>
    <mergeCell ref="C14:C16"/>
    <mergeCell ref="B13:B16"/>
    <mergeCell ref="B4:D4"/>
    <mergeCell ref="B17:B19"/>
    <mergeCell ref="D18:D19"/>
    <mergeCell ref="B73:C73"/>
    <mergeCell ref="B74:C74"/>
    <mergeCell ref="B75:C75"/>
    <mergeCell ref="B67:C67"/>
    <mergeCell ref="B69:C69"/>
    <mergeCell ref="B70:C70"/>
    <mergeCell ref="B71:C71"/>
    <mergeCell ref="B72:C72"/>
    <mergeCell ref="C61:D61"/>
    <mergeCell ref="C62:D62"/>
    <mergeCell ref="C63:D63"/>
    <mergeCell ref="B61:B63"/>
    <mergeCell ref="C64:D64"/>
    <mergeCell ref="B59:D59"/>
    <mergeCell ref="B30:B32"/>
    <mergeCell ref="C50:C52"/>
    <mergeCell ref="B49:B52"/>
    <mergeCell ref="B53:B54"/>
    <mergeCell ref="C54:D54"/>
    <mergeCell ref="B36:B38"/>
    <mergeCell ref="C37:D37"/>
    <mergeCell ref="C38:D38"/>
    <mergeCell ref="C45:D45"/>
    <mergeCell ref="B44:B45"/>
    <mergeCell ref="C53:D53"/>
    <mergeCell ref="C55:D55"/>
    <mergeCell ref="C56:D56"/>
    <mergeCell ref="C47:D47"/>
    <mergeCell ref="C48:D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G61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5"/>
  <cols>
    <col min="1" max="1" width="10.875" style="94" customWidth="1"/>
    <col min="2" max="2" width="90.625" style="94" bestFit="1" customWidth="1"/>
    <col min="3" max="3" width="10.875" style="94" customWidth="1"/>
    <col min="4" max="4" width="11.875" style="94" customWidth="1"/>
    <col min="5" max="5" width="10.875" style="94" customWidth="1"/>
    <col min="6" max="16384" width="10.875" style="20" hidden="1"/>
  </cols>
  <sheetData>
    <row r="1" spans="1:5" x14ac:dyDescent="0.25">
      <c r="A1" s="384" t="s">
        <v>757</v>
      </c>
      <c r="B1" s="384"/>
      <c r="C1" s="384"/>
      <c r="D1" s="384"/>
      <c r="E1" s="385"/>
    </row>
    <row r="2" spans="1:5" x14ac:dyDescent="0.25">
      <c r="A2" s="386"/>
      <c r="B2" s="386"/>
      <c r="C2" s="386"/>
      <c r="D2" s="386"/>
      <c r="E2" s="387"/>
    </row>
    <row r="3" spans="1:5" s="23" customFormat="1" ht="13.5" thickBot="1" x14ac:dyDescent="0.3">
      <c r="A3" s="21"/>
      <c r="B3" s="21"/>
      <c r="C3" s="21"/>
      <c r="D3" s="21"/>
      <c r="E3" s="22"/>
    </row>
    <row r="4" spans="1:5" s="23" customFormat="1" ht="13.5" thickBot="1" x14ac:dyDescent="0.3">
      <c r="A4" s="21"/>
      <c r="B4" s="388" t="s">
        <v>49</v>
      </c>
      <c r="C4" s="389"/>
      <c r="D4" s="24"/>
      <c r="E4" s="22"/>
    </row>
    <row r="5" spans="1:5" s="23" customFormat="1" x14ac:dyDescent="0.25">
      <c r="A5" s="21"/>
      <c r="B5" s="25" t="s">
        <v>55</v>
      </c>
      <c r="C5" s="26"/>
      <c r="D5" s="21"/>
      <c r="E5" s="22"/>
    </row>
    <row r="6" spans="1:5" s="23" customFormat="1" x14ac:dyDescent="0.25">
      <c r="A6" s="21"/>
      <c r="B6" s="27" t="s">
        <v>438</v>
      </c>
      <c r="C6" s="28"/>
      <c r="D6" s="21"/>
      <c r="E6" s="22"/>
    </row>
    <row r="7" spans="1:5" s="23" customFormat="1" ht="13.5" thickBot="1" x14ac:dyDescent="0.3">
      <c r="A7" s="21"/>
      <c r="B7" s="29" t="s">
        <v>56</v>
      </c>
      <c r="C7" s="30"/>
      <c r="D7" s="21"/>
      <c r="E7" s="22"/>
    </row>
    <row r="8" spans="1:5" s="23" customFormat="1" x14ac:dyDescent="0.25">
      <c r="A8" s="21"/>
      <c r="B8" s="31" t="s">
        <v>439</v>
      </c>
      <c r="C8" s="31"/>
      <c r="D8" s="31"/>
      <c r="E8" s="22"/>
    </row>
    <row r="9" spans="1:5" s="23" customFormat="1" x14ac:dyDescent="0.25">
      <c r="A9" s="21"/>
      <c r="B9" s="31" t="s">
        <v>457</v>
      </c>
      <c r="C9" s="31"/>
      <c r="D9" s="31"/>
      <c r="E9" s="22"/>
    </row>
    <row r="10" spans="1:5" s="23" customFormat="1" ht="13.5" thickBot="1" x14ac:dyDescent="0.3">
      <c r="A10" s="32"/>
      <c r="B10" s="32"/>
      <c r="C10" s="32"/>
      <c r="D10" s="32"/>
      <c r="E10" s="33"/>
    </row>
    <row r="11" spans="1:5" s="23" customFormat="1" ht="13.5" thickTop="1" x14ac:dyDescent="0.25">
      <c r="A11" s="21"/>
      <c r="B11" s="21"/>
      <c r="C11" s="21"/>
      <c r="D11" s="21"/>
      <c r="E11" s="22"/>
    </row>
    <row r="12" spans="1:5" s="23" customFormat="1" x14ac:dyDescent="0.25">
      <c r="A12" s="21"/>
      <c r="B12" s="383" t="s">
        <v>612</v>
      </c>
      <c r="C12" s="383"/>
      <c r="D12" s="34"/>
      <c r="E12" s="22"/>
    </row>
    <row r="13" spans="1:5" s="23" customFormat="1" ht="13.5" thickBot="1" x14ac:dyDescent="0.3">
      <c r="A13" s="21"/>
      <c r="B13" s="21"/>
      <c r="C13" s="21"/>
      <c r="D13" s="21"/>
      <c r="E13" s="22"/>
    </row>
    <row r="14" spans="1:5" s="39" customFormat="1" ht="15.95" customHeight="1" x14ac:dyDescent="0.2">
      <c r="A14" s="35"/>
      <c r="B14" s="36" t="s">
        <v>613</v>
      </c>
      <c r="C14" s="37">
        <v>10</v>
      </c>
      <c r="D14" s="390" t="str">
        <f>IF(OR(C14="",C15="",C16="",C17="",C18="",C19="",C20="",C21=""),"ERRO! Não deixar nenhum campo em branco","")</f>
        <v/>
      </c>
      <c r="E14" s="38"/>
    </row>
    <row r="15" spans="1:5" s="39" customFormat="1" x14ac:dyDescent="0.2">
      <c r="A15" s="35"/>
      <c r="B15" s="40" t="s">
        <v>50</v>
      </c>
      <c r="C15" s="41">
        <v>10</v>
      </c>
      <c r="D15" s="390"/>
      <c r="E15" s="38"/>
    </row>
    <row r="16" spans="1:5" s="39" customFormat="1" x14ac:dyDescent="0.2">
      <c r="A16" s="35"/>
      <c r="B16" s="40" t="s">
        <v>51</v>
      </c>
      <c r="C16" s="42">
        <v>0.12</v>
      </c>
      <c r="D16" s="390"/>
      <c r="E16" s="38"/>
    </row>
    <row r="17" spans="1:5" s="39" customFormat="1" ht="15.75" x14ac:dyDescent="0.2">
      <c r="A17" s="35"/>
      <c r="B17" s="40" t="s">
        <v>614</v>
      </c>
      <c r="C17" s="43">
        <v>0.24179999999999999</v>
      </c>
      <c r="D17" s="390"/>
      <c r="E17" s="38"/>
    </row>
    <row r="18" spans="1:5" s="39" customFormat="1" ht="15.75" x14ac:dyDescent="0.2">
      <c r="A18" s="35"/>
      <c r="B18" s="40" t="s">
        <v>615</v>
      </c>
      <c r="C18" s="44">
        <v>1.1578999999999999</v>
      </c>
      <c r="D18" s="390"/>
      <c r="E18" s="38"/>
    </row>
    <row r="19" spans="1:5" s="39" customFormat="1" ht="15.75" x14ac:dyDescent="0.2">
      <c r="A19" s="35"/>
      <c r="B19" s="40" t="s">
        <v>616</v>
      </c>
      <c r="C19" s="45">
        <v>3.74</v>
      </c>
      <c r="D19" s="390"/>
      <c r="E19" s="38"/>
    </row>
    <row r="20" spans="1:5" s="39" customFormat="1" x14ac:dyDescent="0.2">
      <c r="A20" s="35"/>
      <c r="B20" s="40" t="s">
        <v>727</v>
      </c>
      <c r="C20" s="46">
        <v>43466</v>
      </c>
      <c r="D20" s="390"/>
      <c r="E20" s="38"/>
    </row>
    <row r="21" spans="1:5" s="39" customFormat="1" ht="13.5" thickBot="1" x14ac:dyDescent="0.25">
      <c r="A21" s="35"/>
      <c r="B21" s="47" t="s">
        <v>905</v>
      </c>
      <c r="C21" s="48">
        <v>43466</v>
      </c>
      <c r="D21" s="390"/>
      <c r="E21" s="38"/>
    </row>
    <row r="22" spans="1:5" s="39" customFormat="1" ht="15.75" x14ac:dyDescent="0.2">
      <c r="A22" s="35"/>
      <c r="B22" s="49" t="s">
        <v>851</v>
      </c>
      <c r="C22" s="49"/>
      <c r="D22" s="49"/>
      <c r="E22" s="38"/>
    </row>
    <row r="23" spans="1:5" s="23" customFormat="1" ht="54" x14ac:dyDescent="0.2">
      <c r="A23" s="21"/>
      <c r="B23" s="50" t="s">
        <v>617</v>
      </c>
      <c r="C23" s="50"/>
      <c r="D23" s="50"/>
      <c r="E23" s="22"/>
    </row>
    <row r="24" spans="1:5" s="23" customFormat="1" ht="41.25" x14ac:dyDescent="0.2">
      <c r="A24" s="21"/>
      <c r="B24" s="50" t="s">
        <v>618</v>
      </c>
      <c r="C24" s="50"/>
      <c r="D24" s="50"/>
      <c r="E24" s="22"/>
    </row>
    <row r="25" spans="1:5" s="23" customFormat="1" ht="28.5" x14ac:dyDescent="0.2">
      <c r="A25" s="21"/>
      <c r="B25" s="50" t="s">
        <v>900</v>
      </c>
      <c r="C25" s="50"/>
      <c r="D25" s="50"/>
      <c r="E25" s="22"/>
    </row>
    <row r="26" spans="1:5" s="23" customFormat="1" ht="13.5" thickBot="1" x14ac:dyDescent="0.3">
      <c r="A26" s="32"/>
      <c r="B26" s="32"/>
      <c r="C26" s="32"/>
      <c r="D26" s="32"/>
      <c r="E26" s="33"/>
    </row>
    <row r="27" spans="1:5" s="23" customFormat="1" ht="13.5" thickTop="1" x14ac:dyDescent="0.25">
      <c r="A27" s="21"/>
      <c r="B27" s="21"/>
      <c r="C27" s="21"/>
      <c r="D27" s="21"/>
      <c r="E27" s="22"/>
    </row>
    <row r="28" spans="1:5" s="23" customFormat="1" x14ac:dyDescent="0.25">
      <c r="A28" s="21"/>
      <c r="B28" s="383" t="s">
        <v>729</v>
      </c>
      <c r="C28" s="383"/>
      <c r="D28" s="21"/>
      <c r="E28" s="22"/>
    </row>
    <row r="29" spans="1:5" s="23" customFormat="1" x14ac:dyDescent="0.2">
      <c r="A29" s="21"/>
      <c r="B29" s="50"/>
      <c r="C29" s="50"/>
      <c r="D29" s="21"/>
      <c r="E29" s="22"/>
    </row>
    <row r="30" spans="1:5" s="23" customFormat="1" ht="25.5" x14ac:dyDescent="0.2">
      <c r="A30" s="21"/>
      <c r="B30" s="50" t="s">
        <v>730</v>
      </c>
      <c r="C30" s="50"/>
      <c r="D30" s="21"/>
      <c r="E30" s="22"/>
    </row>
    <row r="31" spans="1:5" s="23" customFormat="1" ht="13.5" thickBot="1" x14ac:dyDescent="0.25">
      <c r="A31" s="21"/>
      <c r="B31" s="50"/>
      <c r="C31" s="50"/>
      <c r="D31" s="21"/>
      <c r="E31" s="22"/>
    </row>
    <row r="32" spans="1:5" s="23" customFormat="1" ht="25.5" x14ac:dyDescent="0.2">
      <c r="A32" s="21"/>
      <c r="B32" s="51" t="s">
        <v>731</v>
      </c>
      <c r="C32" s="52"/>
      <c r="D32" s="21"/>
      <c r="E32" s="22"/>
    </row>
    <row r="33" spans="1:5" s="23" customFormat="1" ht="51" x14ac:dyDescent="0.2">
      <c r="A33" s="21"/>
      <c r="B33" s="53" t="s">
        <v>906</v>
      </c>
      <c r="C33" s="279"/>
      <c r="D33" s="21"/>
      <c r="E33" s="22"/>
    </row>
    <row r="34" spans="1:5" s="23" customFormat="1" ht="39" thickBot="1" x14ac:dyDescent="0.25">
      <c r="A34" s="21"/>
      <c r="B34" s="54" t="s">
        <v>907</v>
      </c>
      <c r="C34" s="280"/>
      <c r="D34" s="21"/>
      <c r="E34" s="22"/>
    </row>
    <row r="35" spans="1:5" s="23" customFormat="1" x14ac:dyDescent="0.25">
      <c r="A35" s="21"/>
      <c r="B35" s="9"/>
      <c r="C35" s="9"/>
      <c r="D35" s="55">
        <v>1</v>
      </c>
      <c r="E35" s="22"/>
    </row>
    <row r="36" spans="1:5" s="23" customFormat="1" ht="25.5" x14ac:dyDescent="0.25">
      <c r="A36" s="21"/>
      <c r="B36" s="21" t="s">
        <v>898</v>
      </c>
      <c r="C36" s="21"/>
      <c r="D36" s="21"/>
      <c r="E36" s="22"/>
    </row>
    <row r="37" spans="1:5" s="23" customFormat="1" x14ac:dyDescent="0.25">
      <c r="A37" s="21"/>
      <c r="B37" s="31" t="s">
        <v>897</v>
      </c>
      <c r="C37" s="21"/>
      <c r="D37" s="21"/>
      <c r="E37" s="22"/>
    </row>
    <row r="38" spans="1:5" s="23" customFormat="1" ht="13.5" thickBot="1" x14ac:dyDescent="0.3">
      <c r="A38" s="21"/>
      <c r="B38" s="21"/>
      <c r="C38" s="21"/>
      <c r="D38" s="21"/>
      <c r="E38" s="22"/>
    </row>
    <row r="39" spans="1:5" s="23" customFormat="1" ht="13.5" thickBot="1" x14ac:dyDescent="0.25">
      <c r="A39" s="21"/>
      <c r="B39" s="56" t="s">
        <v>728</v>
      </c>
      <c r="C39" s="57">
        <v>1</v>
      </c>
      <c r="D39" s="21"/>
      <c r="E39" s="22"/>
    </row>
    <row r="40" spans="1:5" s="23" customFormat="1" x14ac:dyDescent="0.25">
      <c r="A40" s="21"/>
      <c r="B40" s="375" t="str">
        <f>IF(C39="","ERRO! O campo não deve ficar vazio. Insira um índice de reajuste ou, caso não queira reajustar os custos, deixe o campo igual a 1",IF(C39&lt;=0,"ERRO! Insira um índice de reajuste válido",IF(AND(D35=1,C39&lt;&gt;1),"ERRO! Quando a opção 1 é escolhida, o índice de reajuste deve ser igual a 1",IF(AND(OR(D35=2,D35=3),C39=1),"ERRO! Quando a opção 2 ou a opção 3 é escolhida, o índice de reajuste deve ser diferente de 1",""))))</f>
        <v/>
      </c>
      <c r="C40" s="375"/>
      <c r="D40" s="21"/>
      <c r="E40" s="22"/>
    </row>
    <row r="41" spans="1:5" s="23" customFormat="1" ht="13.5" thickBot="1" x14ac:dyDescent="0.3">
      <c r="A41" s="32"/>
      <c r="B41" s="32"/>
      <c r="C41" s="32"/>
      <c r="D41" s="32"/>
      <c r="E41" s="33"/>
    </row>
    <row r="42" spans="1:5" s="23" customFormat="1" ht="13.5" thickTop="1" x14ac:dyDescent="0.25">
      <c r="A42" s="21"/>
      <c r="B42" s="21"/>
      <c r="C42" s="21"/>
      <c r="D42" s="21"/>
      <c r="E42" s="22"/>
    </row>
    <row r="43" spans="1:5" s="23" customFormat="1" x14ac:dyDescent="0.25">
      <c r="A43" s="21"/>
      <c r="B43" s="383" t="s">
        <v>711</v>
      </c>
      <c r="C43" s="383"/>
      <c r="D43" s="21"/>
      <c r="E43" s="22"/>
    </row>
    <row r="44" spans="1:5" s="23" customFormat="1" x14ac:dyDescent="0.25">
      <c r="A44" s="21"/>
      <c r="B44" s="34"/>
      <c r="C44" s="21"/>
      <c r="D44" s="21"/>
      <c r="E44" s="22"/>
    </row>
    <row r="45" spans="1:5" s="23" customFormat="1" ht="25.5" x14ac:dyDescent="0.25">
      <c r="A45" s="21"/>
      <c r="B45" s="21" t="s">
        <v>732</v>
      </c>
      <c r="C45" s="21"/>
      <c r="D45" s="21"/>
      <c r="E45" s="22"/>
    </row>
    <row r="46" spans="1:5" s="23" customFormat="1" ht="13.5" thickBot="1" x14ac:dyDescent="0.3">
      <c r="A46" s="21"/>
      <c r="B46" s="21"/>
      <c r="C46" s="21"/>
      <c r="D46" s="21"/>
      <c r="E46" s="22"/>
    </row>
    <row r="47" spans="1:5" s="23" customFormat="1" x14ac:dyDescent="0.25">
      <c r="A47" s="21"/>
      <c r="B47" s="376" t="s">
        <v>733</v>
      </c>
      <c r="C47" s="381"/>
      <c r="D47" s="21"/>
      <c r="E47" s="22"/>
    </row>
    <row r="48" spans="1:5" s="23" customFormat="1" x14ac:dyDescent="0.25">
      <c r="A48" s="21"/>
      <c r="B48" s="377"/>
      <c r="C48" s="382"/>
      <c r="D48" s="21"/>
      <c r="E48" s="22"/>
    </row>
    <row r="49" spans="1:5" s="23" customFormat="1" x14ac:dyDescent="0.25">
      <c r="A49" s="21"/>
      <c r="B49" s="377" t="s">
        <v>734</v>
      </c>
      <c r="C49" s="379"/>
      <c r="D49" s="21"/>
      <c r="E49" s="22"/>
    </row>
    <row r="50" spans="1:5" s="23" customFormat="1" ht="13.5" thickBot="1" x14ac:dyDescent="0.3">
      <c r="A50" s="21"/>
      <c r="B50" s="378"/>
      <c r="C50" s="380"/>
      <c r="D50" s="58"/>
      <c r="E50" s="22"/>
    </row>
    <row r="51" spans="1:5" s="23" customFormat="1" ht="13.5" thickBot="1" x14ac:dyDescent="0.3">
      <c r="A51" s="32"/>
      <c r="B51" s="32"/>
      <c r="C51" s="32"/>
      <c r="D51" s="59">
        <v>1</v>
      </c>
      <c r="E51" s="33"/>
    </row>
    <row r="52" spans="1:5" s="23" customFormat="1" ht="13.5" thickTop="1" x14ac:dyDescent="0.25">
      <c r="A52" s="21"/>
      <c r="B52" s="21"/>
      <c r="C52" s="21"/>
      <c r="D52" s="21"/>
      <c r="E52" s="22"/>
    </row>
    <row r="53" spans="1:5" s="23" customFormat="1" x14ac:dyDescent="0.25">
      <c r="A53" s="21"/>
      <c r="B53" s="383" t="s">
        <v>735</v>
      </c>
      <c r="C53" s="383"/>
      <c r="D53" s="383"/>
      <c r="E53" s="22"/>
    </row>
    <row r="54" spans="1:5" s="23" customFormat="1" x14ac:dyDescent="0.25">
      <c r="A54" s="21"/>
      <c r="B54" s="60"/>
      <c r="C54" s="60"/>
      <c r="D54" s="60"/>
      <c r="E54" s="22"/>
    </row>
    <row r="55" spans="1:5" s="23" customFormat="1" x14ac:dyDescent="0.25">
      <c r="A55" s="21"/>
      <c r="B55" s="392" t="s">
        <v>736</v>
      </c>
      <c r="C55" s="392"/>
      <c r="D55" s="392"/>
      <c r="E55" s="22"/>
    </row>
    <row r="56" spans="1:5" s="23" customFormat="1" ht="13.5" thickBot="1" x14ac:dyDescent="0.3">
      <c r="A56" s="21"/>
      <c r="B56" s="21"/>
      <c r="C56" s="21"/>
      <c r="D56" s="21"/>
      <c r="E56" s="22"/>
    </row>
    <row r="57" spans="1:5" s="23" customFormat="1" ht="26.25" thickBot="1" x14ac:dyDescent="0.3">
      <c r="A57" s="21"/>
      <c r="B57" s="61" t="s">
        <v>52</v>
      </c>
      <c r="C57" s="62" t="s">
        <v>53</v>
      </c>
      <c r="D57" s="63" t="s">
        <v>54</v>
      </c>
      <c r="E57" s="22"/>
    </row>
    <row r="58" spans="1:5" s="23" customFormat="1" x14ac:dyDescent="0.25">
      <c r="A58" s="21"/>
      <c r="B58" s="64" t="s">
        <v>291</v>
      </c>
      <c r="C58" s="65" t="s">
        <v>57</v>
      </c>
      <c r="D58" s="66">
        <v>0.35</v>
      </c>
      <c r="E58" s="22"/>
    </row>
    <row r="59" spans="1:5" s="23" customFormat="1" x14ac:dyDescent="0.25">
      <c r="A59" s="21"/>
      <c r="B59" s="27" t="s">
        <v>58</v>
      </c>
      <c r="C59" s="67" t="s">
        <v>57</v>
      </c>
      <c r="D59" s="68">
        <v>4.8899999999999997</v>
      </c>
      <c r="E59" s="22"/>
    </row>
    <row r="60" spans="1:5" s="23" customFormat="1" x14ac:dyDescent="0.25">
      <c r="A60" s="21"/>
      <c r="B60" s="69" t="s">
        <v>76</v>
      </c>
      <c r="C60" s="70" t="s">
        <v>57</v>
      </c>
      <c r="D60" s="68">
        <v>805.46</v>
      </c>
      <c r="E60" s="22"/>
    </row>
    <row r="61" spans="1:5" x14ac:dyDescent="0.25">
      <c r="A61" s="71"/>
      <c r="B61" s="69" t="s">
        <v>74</v>
      </c>
      <c r="C61" s="70" t="s">
        <v>57</v>
      </c>
      <c r="D61" s="68">
        <v>245.8</v>
      </c>
      <c r="E61" s="72"/>
    </row>
    <row r="62" spans="1:5" x14ac:dyDescent="0.25">
      <c r="A62" s="71"/>
      <c r="B62" s="27" t="s">
        <v>293</v>
      </c>
      <c r="C62" s="67" t="s">
        <v>60</v>
      </c>
      <c r="D62" s="68">
        <v>1453.55</v>
      </c>
      <c r="E62" s="72"/>
    </row>
    <row r="63" spans="1:5" x14ac:dyDescent="0.25">
      <c r="A63" s="71"/>
      <c r="B63" s="27" t="s">
        <v>61</v>
      </c>
      <c r="C63" s="67" t="s">
        <v>57</v>
      </c>
      <c r="D63" s="68">
        <v>569.16</v>
      </c>
      <c r="E63" s="72"/>
    </row>
    <row r="64" spans="1:5" x14ac:dyDescent="0.25">
      <c r="A64" s="71"/>
      <c r="B64" s="27" t="s">
        <v>294</v>
      </c>
      <c r="C64" s="67" t="s">
        <v>65</v>
      </c>
      <c r="D64" s="68">
        <v>296.22000000000003</v>
      </c>
      <c r="E64" s="72"/>
    </row>
    <row r="65" spans="1:5" x14ac:dyDescent="0.25">
      <c r="A65" s="71"/>
      <c r="B65" s="27" t="s">
        <v>290</v>
      </c>
      <c r="C65" s="67" t="s">
        <v>63</v>
      </c>
      <c r="D65" s="68">
        <v>6.32</v>
      </c>
      <c r="E65" s="72"/>
    </row>
    <row r="66" spans="1:5" ht="25.5" x14ac:dyDescent="0.25">
      <c r="A66" s="71"/>
      <c r="B66" s="69" t="s">
        <v>296</v>
      </c>
      <c r="C66" s="70" t="s">
        <v>65</v>
      </c>
      <c r="D66" s="68">
        <v>4.7699999999999996</v>
      </c>
      <c r="E66" s="72"/>
    </row>
    <row r="67" spans="1:5" ht="25.5" x14ac:dyDescent="0.25">
      <c r="A67" s="71"/>
      <c r="B67" s="69" t="s">
        <v>441</v>
      </c>
      <c r="C67" s="70" t="s">
        <v>65</v>
      </c>
      <c r="D67" s="68">
        <v>4.13</v>
      </c>
      <c r="E67" s="72"/>
    </row>
    <row r="68" spans="1:5" ht="25.5" x14ac:dyDescent="0.25">
      <c r="A68" s="71"/>
      <c r="B68" s="69" t="s">
        <v>442</v>
      </c>
      <c r="C68" s="70" t="s">
        <v>65</v>
      </c>
      <c r="D68" s="68">
        <v>4.03</v>
      </c>
      <c r="E68" s="72"/>
    </row>
    <row r="69" spans="1:5" ht="25.5" x14ac:dyDescent="0.25">
      <c r="A69" s="71"/>
      <c r="B69" s="69" t="s">
        <v>440</v>
      </c>
      <c r="C69" s="70" t="s">
        <v>65</v>
      </c>
      <c r="D69" s="68">
        <v>7.93</v>
      </c>
      <c r="E69" s="72"/>
    </row>
    <row r="70" spans="1:5" ht="25.5" x14ac:dyDescent="0.25">
      <c r="A70" s="71"/>
      <c r="B70" s="27" t="s">
        <v>297</v>
      </c>
      <c r="C70" s="67" t="s">
        <v>57</v>
      </c>
      <c r="D70" s="68">
        <v>46.57</v>
      </c>
      <c r="E70" s="72"/>
    </row>
    <row r="71" spans="1:5" ht="25.5" x14ac:dyDescent="0.25">
      <c r="A71" s="71"/>
      <c r="B71" s="27" t="s">
        <v>462</v>
      </c>
      <c r="C71" s="67" t="s">
        <v>57</v>
      </c>
      <c r="D71" s="73">
        <v>116.3</v>
      </c>
      <c r="E71" s="72"/>
    </row>
    <row r="72" spans="1:5" ht="25.5" x14ac:dyDescent="0.25">
      <c r="A72" s="71"/>
      <c r="B72" s="27" t="s">
        <v>540</v>
      </c>
      <c r="C72" s="67" t="s">
        <v>57</v>
      </c>
      <c r="D72" s="68">
        <v>51.29</v>
      </c>
      <c r="E72" s="72"/>
    </row>
    <row r="73" spans="1:5" ht="25.5" x14ac:dyDescent="0.25">
      <c r="A73" s="71"/>
      <c r="B73" s="27" t="s">
        <v>66</v>
      </c>
      <c r="C73" s="67" t="s">
        <v>57</v>
      </c>
      <c r="D73" s="68">
        <v>59.1</v>
      </c>
      <c r="E73" s="72"/>
    </row>
    <row r="74" spans="1:5" x14ac:dyDescent="0.25">
      <c r="A74" s="71"/>
      <c r="B74" s="27" t="s">
        <v>541</v>
      </c>
      <c r="C74" s="67" t="s">
        <v>57</v>
      </c>
      <c r="D74" s="68">
        <v>30.67</v>
      </c>
      <c r="E74" s="72"/>
    </row>
    <row r="75" spans="1:5" x14ac:dyDescent="0.25">
      <c r="A75" s="71"/>
      <c r="B75" s="27" t="s">
        <v>67</v>
      </c>
      <c r="C75" s="67" t="s">
        <v>57</v>
      </c>
      <c r="D75" s="68">
        <v>33.659999999999997</v>
      </c>
      <c r="E75" s="72"/>
    </row>
    <row r="76" spans="1:5" x14ac:dyDescent="0.25">
      <c r="A76" s="71"/>
      <c r="B76" s="27" t="s">
        <v>68</v>
      </c>
      <c r="C76" s="67" t="s">
        <v>64</v>
      </c>
      <c r="D76" s="68">
        <v>38.93</v>
      </c>
      <c r="E76" s="72"/>
    </row>
    <row r="77" spans="1:5" x14ac:dyDescent="0.25">
      <c r="A77" s="71"/>
      <c r="B77" s="272" t="s">
        <v>902</v>
      </c>
      <c r="C77" s="67" t="s">
        <v>57</v>
      </c>
      <c r="D77" s="68">
        <v>273.13</v>
      </c>
      <c r="E77" s="72"/>
    </row>
    <row r="78" spans="1:5" x14ac:dyDescent="0.25">
      <c r="A78" s="71"/>
      <c r="B78" s="27" t="s">
        <v>77</v>
      </c>
      <c r="C78" s="67" t="s">
        <v>57</v>
      </c>
      <c r="D78" s="68">
        <v>503.65</v>
      </c>
      <c r="E78" s="72"/>
    </row>
    <row r="79" spans="1:5" x14ac:dyDescent="0.25">
      <c r="A79" s="71"/>
      <c r="B79" s="27" t="s">
        <v>69</v>
      </c>
      <c r="C79" s="67" t="s">
        <v>57</v>
      </c>
      <c r="D79" s="68">
        <v>275.85000000000002</v>
      </c>
      <c r="E79" s="72"/>
    </row>
    <row r="80" spans="1:5" ht="25.5" x14ac:dyDescent="0.25">
      <c r="A80" s="71"/>
      <c r="B80" s="69" t="s">
        <v>302</v>
      </c>
      <c r="C80" s="70" t="s">
        <v>57</v>
      </c>
      <c r="D80" s="68">
        <v>26.15</v>
      </c>
      <c r="E80" s="72"/>
    </row>
    <row r="81" spans="1:5" ht="25.5" x14ac:dyDescent="0.25">
      <c r="A81" s="71"/>
      <c r="B81" s="69" t="s">
        <v>298</v>
      </c>
      <c r="C81" s="70" t="s">
        <v>57</v>
      </c>
      <c r="D81" s="68">
        <v>38.14</v>
      </c>
      <c r="E81" s="72"/>
    </row>
    <row r="82" spans="1:5" ht="25.5" x14ac:dyDescent="0.25">
      <c r="A82" s="71"/>
      <c r="B82" s="69" t="s">
        <v>544</v>
      </c>
      <c r="C82" s="70" t="s">
        <v>57</v>
      </c>
      <c r="D82" s="68">
        <v>29.62</v>
      </c>
      <c r="E82" s="72"/>
    </row>
    <row r="83" spans="1:5" ht="25.5" x14ac:dyDescent="0.25">
      <c r="A83" s="71"/>
      <c r="B83" s="69" t="s">
        <v>299</v>
      </c>
      <c r="C83" s="70" t="s">
        <v>57</v>
      </c>
      <c r="D83" s="68">
        <v>46.76</v>
      </c>
      <c r="E83" s="72"/>
    </row>
    <row r="84" spans="1:5" ht="25.5" x14ac:dyDescent="0.25">
      <c r="A84" s="71"/>
      <c r="B84" s="69" t="s">
        <v>301</v>
      </c>
      <c r="C84" s="70" t="s">
        <v>57</v>
      </c>
      <c r="D84" s="68">
        <v>13.87</v>
      </c>
      <c r="E84" s="72"/>
    </row>
    <row r="85" spans="1:5" ht="25.5" x14ac:dyDescent="0.25">
      <c r="A85" s="71"/>
      <c r="B85" s="69" t="s">
        <v>300</v>
      </c>
      <c r="C85" s="70" t="s">
        <v>57</v>
      </c>
      <c r="D85" s="68">
        <v>18.55</v>
      </c>
      <c r="E85" s="72"/>
    </row>
    <row r="86" spans="1:5" ht="25.5" x14ac:dyDescent="0.25">
      <c r="A86" s="71"/>
      <c r="B86" s="27" t="s">
        <v>303</v>
      </c>
      <c r="C86" s="70" t="s">
        <v>57</v>
      </c>
      <c r="D86" s="68">
        <v>34.26</v>
      </c>
      <c r="E86" s="72"/>
    </row>
    <row r="87" spans="1:5" ht="25.5" x14ac:dyDescent="0.25">
      <c r="A87" s="71"/>
      <c r="B87" s="27" t="s">
        <v>304</v>
      </c>
      <c r="C87" s="70" t="s">
        <v>57</v>
      </c>
      <c r="D87" s="68">
        <v>43.79</v>
      </c>
      <c r="E87" s="72"/>
    </row>
    <row r="88" spans="1:5" x14ac:dyDescent="0.25">
      <c r="A88" s="71"/>
      <c r="B88" s="69" t="s">
        <v>309</v>
      </c>
      <c r="C88" s="70" t="s">
        <v>57</v>
      </c>
      <c r="D88" s="74">
        <v>13.41</v>
      </c>
      <c r="E88" s="72"/>
    </row>
    <row r="89" spans="1:5" x14ac:dyDescent="0.25">
      <c r="A89" s="71"/>
      <c r="B89" s="69" t="s">
        <v>71</v>
      </c>
      <c r="C89" s="70" t="s">
        <v>57</v>
      </c>
      <c r="D89" s="74">
        <v>11.6</v>
      </c>
      <c r="E89" s="72"/>
    </row>
    <row r="90" spans="1:5" x14ac:dyDescent="0.25">
      <c r="A90" s="71"/>
      <c r="B90" s="69" t="s">
        <v>70</v>
      </c>
      <c r="C90" s="70" t="s">
        <v>57</v>
      </c>
      <c r="D90" s="74">
        <v>9.02</v>
      </c>
      <c r="E90" s="72"/>
    </row>
    <row r="91" spans="1:5" x14ac:dyDescent="0.25">
      <c r="A91" s="71"/>
      <c r="B91" s="27" t="s">
        <v>458</v>
      </c>
      <c r="C91" s="67" t="s">
        <v>64</v>
      </c>
      <c r="D91" s="73">
        <v>263.83</v>
      </c>
      <c r="E91" s="72"/>
    </row>
    <row r="92" spans="1:5" x14ac:dyDescent="0.25">
      <c r="A92" s="71"/>
      <c r="B92" s="27" t="s">
        <v>535</v>
      </c>
      <c r="C92" s="67" t="s">
        <v>57</v>
      </c>
      <c r="D92" s="73">
        <v>363.1</v>
      </c>
      <c r="E92" s="72"/>
    </row>
    <row r="93" spans="1:5" x14ac:dyDescent="0.25">
      <c r="A93" s="71"/>
      <c r="B93" s="27" t="s">
        <v>459</v>
      </c>
      <c r="C93" s="67" t="s">
        <v>57</v>
      </c>
      <c r="D93" s="73">
        <v>63.38</v>
      </c>
      <c r="E93" s="72"/>
    </row>
    <row r="94" spans="1:5" x14ac:dyDescent="0.25">
      <c r="A94" s="71"/>
      <c r="B94" s="69" t="s">
        <v>710</v>
      </c>
      <c r="C94" s="70" t="s">
        <v>57</v>
      </c>
      <c r="D94" s="73">
        <v>362.27</v>
      </c>
      <c r="E94" s="72"/>
    </row>
    <row r="95" spans="1:5" ht="25.5" x14ac:dyDescent="0.25">
      <c r="A95" s="71"/>
      <c r="B95" s="27" t="s">
        <v>310</v>
      </c>
      <c r="C95" s="67" t="s">
        <v>64</v>
      </c>
      <c r="D95" s="73">
        <v>5.09</v>
      </c>
      <c r="E95" s="72"/>
    </row>
    <row r="96" spans="1:5" ht="25.5" x14ac:dyDescent="0.25">
      <c r="A96" s="71"/>
      <c r="B96" s="27" t="s">
        <v>311</v>
      </c>
      <c r="C96" s="67" t="s">
        <v>64</v>
      </c>
      <c r="D96" s="73">
        <v>6.45</v>
      </c>
      <c r="E96" s="72"/>
    </row>
    <row r="97" spans="1:5" ht="25.5" x14ac:dyDescent="0.25">
      <c r="A97" s="71"/>
      <c r="B97" s="27" t="s">
        <v>312</v>
      </c>
      <c r="C97" s="67" t="s">
        <v>64</v>
      </c>
      <c r="D97" s="73">
        <v>7.77</v>
      </c>
      <c r="E97" s="72"/>
    </row>
    <row r="98" spans="1:5" ht="25.5" x14ac:dyDescent="0.25">
      <c r="A98" s="71"/>
      <c r="B98" s="27" t="s">
        <v>313</v>
      </c>
      <c r="C98" s="67" t="s">
        <v>64</v>
      </c>
      <c r="D98" s="73">
        <v>9.15</v>
      </c>
      <c r="E98" s="72"/>
    </row>
    <row r="99" spans="1:5" ht="25.5" x14ac:dyDescent="0.25">
      <c r="A99" s="71"/>
      <c r="B99" s="27" t="s">
        <v>314</v>
      </c>
      <c r="C99" s="67" t="s">
        <v>64</v>
      </c>
      <c r="D99" s="73">
        <v>10.5</v>
      </c>
      <c r="E99" s="72"/>
    </row>
    <row r="100" spans="1:5" ht="25.5" x14ac:dyDescent="0.25">
      <c r="A100" s="71"/>
      <c r="B100" s="27" t="s">
        <v>315</v>
      </c>
      <c r="C100" s="67" t="s">
        <v>64</v>
      </c>
      <c r="D100" s="73">
        <v>11.87</v>
      </c>
      <c r="E100" s="72"/>
    </row>
    <row r="101" spans="1:5" ht="26.25" thickBot="1" x14ac:dyDescent="0.3">
      <c r="A101" s="71"/>
      <c r="B101" s="29" t="s">
        <v>316</v>
      </c>
      <c r="C101" s="75" t="s">
        <v>64</v>
      </c>
      <c r="D101" s="76">
        <v>13.22</v>
      </c>
      <c r="E101" s="72"/>
    </row>
    <row r="102" spans="1:5" ht="13.5" thickBot="1" x14ac:dyDescent="0.3">
      <c r="A102" s="77"/>
      <c r="B102" s="77"/>
      <c r="C102" s="77"/>
      <c r="D102" s="32"/>
      <c r="E102" s="78"/>
    </row>
    <row r="103" spans="1:5" ht="13.5" thickTop="1" x14ac:dyDescent="0.25">
      <c r="A103" s="71"/>
      <c r="B103" s="71"/>
      <c r="C103" s="71"/>
      <c r="D103" s="79"/>
      <c r="E103" s="72"/>
    </row>
    <row r="104" spans="1:5" x14ac:dyDescent="0.25">
      <c r="A104" s="71"/>
      <c r="B104" s="383" t="s">
        <v>737</v>
      </c>
      <c r="C104" s="383"/>
      <c r="D104" s="383"/>
      <c r="E104" s="72"/>
    </row>
    <row r="105" spans="1:5" x14ac:dyDescent="0.25">
      <c r="A105" s="71"/>
      <c r="B105" s="60"/>
      <c r="C105" s="60"/>
      <c r="D105" s="60"/>
      <c r="E105" s="72"/>
    </row>
    <row r="106" spans="1:5" x14ac:dyDescent="0.25">
      <c r="A106" s="71"/>
      <c r="B106" s="392" t="s">
        <v>738</v>
      </c>
      <c r="C106" s="392"/>
      <c r="D106" s="392"/>
      <c r="E106" s="72"/>
    </row>
    <row r="107" spans="1:5" ht="13.5" thickBot="1" x14ac:dyDescent="0.3">
      <c r="A107" s="71"/>
      <c r="B107" s="71"/>
      <c r="C107" s="71"/>
      <c r="D107" s="71"/>
      <c r="E107" s="72"/>
    </row>
    <row r="108" spans="1:5" ht="26.25" thickBot="1" x14ac:dyDescent="0.3">
      <c r="A108" s="71"/>
      <c r="B108" s="61" t="s">
        <v>52</v>
      </c>
      <c r="C108" s="62" t="s">
        <v>53</v>
      </c>
      <c r="D108" s="63" t="s">
        <v>54</v>
      </c>
      <c r="E108" s="72"/>
    </row>
    <row r="109" spans="1:5" ht="25.5" x14ac:dyDescent="0.25">
      <c r="A109" s="71"/>
      <c r="B109" s="80" t="s">
        <v>292</v>
      </c>
      <c r="C109" s="81" t="s">
        <v>57</v>
      </c>
      <c r="D109" s="66">
        <v>300.89</v>
      </c>
      <c r="E109" s="72"/>
    </row>
    <row r="110" spans="1:5" x14ac:dyDescent="0.25">
      <c r="A110" s="71"/>
      <c r="B110" s="27" t="s">
        <v>295</v>
      </c>
      <c r="C110" s="67" t="s">
        <v>57</v>
      </c>
      <c r="D110" s="68">
        <v>30.97</v>
      </c>
      <c r="E110" s="72"/>
    </row>
    <row r="111" spans="1:5" x14ac:dyDescent="0.25">
      <c r="A111" s="71"/>
      <c r="B111" s="27" t="s">
        <v>305</v>
      </c>
      <c r="C111" s="67" t="s">
        <v>63</v>
      </c>
      <c r="D111" s="73">
        <v>6.01</v>
      </c>
      <c r="E111" s="72"/>
    </row>
    <row r="112" spans="1:5" x14ac:dyDescent="0.25">
      <c r="A112" s="71"/>
      <c r="B112" s="27" t="s">
        <v>465</v>
      </c>
      <c r="C112" s="67" t="s">
        <v>63</v>
      </c>
      <c r="D112" s="73">
        <v>5.83</v>
      </c>
      <c r="E112" s="72"/>
    </row>
    <row r="113" spans="1:5" x14ac:dyDescent="0.25">
      <c r="A113" s="71"/>
      <c r="B113" s="27" t="s">
        <v>460</v>
      </c>
      <c r="C113" s="67" t="s">
        <v>63</v>
      </c>
      <c r="D113" s="73">
        <v>6.11</v>
      </c>
      <c r="E113" s="72"/>
    </row>
    <row r="114" spans="1:5" x14ac:dyDescent="0.25">
      <c r="A114" s="71"/>
      <c r="B114" s="27" t="s">
        <v>307</v>
      </c>
      <c r="C114" s="67" t="s">
        <v>65</v>
      </c>
      <c r="D114" s="73">
        <v>633.75</v>
      </c>
      <c r="E114" s="72"/>
    </row>
    <row r="115" spans="1:5" x14ac:dyDescent="0.25">
      <c r="A115" s="71"/>
      <c r="B115" s="27" t="s">
        <v>306</v>
      </c>
      <c r="C115" s="67" t="s">
        <v>65</v>
      </c>
      <c r="D115" s="73">
        <v>621.17999999999995</v>
      </c>
      <c r="E115" s="72"/>
    </row>
    <row r="116" spans="1:5" x14ac:dyDescent="0.25">
      <c r="A116" s="71"/>
      <c r="B116" s="27" t="s">
        <v>308</v>
      </c>
      <c r="C116" s="67" t="s">
        <v>65</v>
      </c>
      <c r="D116" s="73">
        <v>1031.6199999999999</v>
      </c>
      <c r="E116" s="72"/>
    </row>
    <row r="117" spans="1:5" x14ac:dyDescent="0.25">
      <c r="A117" s="71"/>
      <c r="B117" s="69" t="s">
        <v>73</v>
      </c>
      <c r="C117" s="70" t="s">
        <v>57</v>
      </c>
      <c r="D117" s="74">
        <v>15.47</v>
      </c>
      <c r="E117" s="72"/>
    </row>
    <row r="118" spans="1:5" x14ac:dyDescent="0.25">
      <c r="A118" s="71"/>
      <c r="B118" s="27" t="s">
        <v>545</v>
      </c>
      <c r="C118" s="67" t="s">
        <v>64</v>
      </c>
      <c r="D118" s="73">
        <v>18.29</v>
      </c>
      <c r="E118" s="72"/>
    </row>
    <row r="119" spans="1:5" x14ac:dyDescent="0.25">
      <c r="A119" s="71"/>
      <c r="B119" s="27" t="s">
        <v>547</v>
      </c>
      <c r="C119" s="67" t="s">
        <v>65</v>
      </c>
      <c r="D119" s="73">
        <v>49.79</v>
      </c>
      <c r="E119" s="72"/>
    </row>
    <row r="120" spans="1:5" x14ac:dyDescent="0.25">
      <c r="A120" s="71"/>
      <c r="B120" s="27" t="s">
        <v>461</v>
      </c>
      <c r="C120" s="67" t="s">
        <v>64</v>
      </c>
      <c r="D120" s="73">
        <v>42.54</v>
      </c>
      <c r="E120" s="72"/>
    </row>
    <row r="121" spans="1:5" ht="13.5" thickBot="1" x14ac:dyDescent="0.3">
      <c r="A121" s="71"/>
      <c r="B121" s="82" t="s">
        <v>456</v>
      </c>
      <c r="C121" s="83" t="s">
        <v>318</v>
      </c>
      <c r="D121" s="76">
        <v>0.56000000000000005</v>
      </c>
      <c r="E121" s="72"/>
    </row>
    <row r="122" spans="1:5" ht="13.5" thickBot="1" x14ac:dyDescent="0.3">
      <c r="A122" s="77"/>
      <c r="B122" s="84"/>
      <c r="C122" s="84"/>
      <c r="D122" s="84"/>
      <c r="E122" s="78"/>
    </row>
    <row r="123" spans="1:5" ht="13.5" thickTop="1" x14ac:dyDescent="0.25">
      <c r="A123" s="71"/>
      <c r="B123" s="85"/>
      <c r="C123" s="85"/>
      <c r="D123" s="85"/>
      <c r="E123" s="72"/>
    </row>
    <row r="124" spans="1:5" x14ac:dyDescent="0.25">
      <c r="A124" s="71"/>
      <c r="B124" s="383" t="s">
        <v>739</v>
      </c>
      <c r="C124" s="383"/>
      <c r="D124" s="383"/>
      <c r="E124" s="72"/>
    </row>
    <row r="125" spans="1:5" s="88" customFormat="1" x14ac:dyDescent="0.25">
      <c r="A125" s="86"/>
      <c r="B125" s="60"/>
      <c r="C125" s="60"/>
      <c r="D125" s="60"/>
      <c r="E125" s="87"/>
    </row>
    <row r="126" spans="1:5" s="88" customFormat="1" x14ac:dyDescent="0.25">
      <c r="A126" s="86"/>
      <c r="B126" s="391" t="s">
        <v>740</v>
      </c>
      <c r="C126" s="391"/>
      <c r="D126" s="391"/>
      <c r="E126" s="87"/>
    </row>
    <row r="127" spans="1:5" ht="13.5" thickBot="1" x14ac:dyDescent="0.3">
      <c r="A127" s="71"/>
      <c r="B127" s="85"/>
      <c r="C127" s="85"/>
      <c r="D127" s="85"/>
      <c r="E127" s="72"/>
    </row>
    <row r="128" spans="1:5" ht="26.25" thickBot="1" x14ac:dyDescent="0.3">
      <c r="A128" s="71"/>
      <c r="B128" s="61" t="s">
        <v>52</v>
      </c>
      <c r="C128" s="62" t="s">
        <v>53</v>
      </c>
      <c r="D128" s="63" t="s">
        <v>54</v>
      </c>
      <c r="E128" s="72"/>
    </row>
    <row r="129" spans="1:5" x14ac:dyDescent="0.25">
      <c r="A129" s="71"/>
      <c r="B129" s="80" t="s">
        <v>72</v>
      </c>
      <c r="C129" s="81" t="s">
        <v>57</v>
      </c>
      <c r="D129" s="89">
        <v>37.18</v>
      </c>
      <c r="E129" s="72"/>
    </row>
    <row r="130" spans="1:5" x14ac:dyDescent="0.25">
      <c r="A130" s="71"/>
      <c r="B130" s="69" t="s">
        <v>506</v>
      </c>
      <c r="C130" s="70" t="s">
        <v>60</v>
      </c>
      <c r="D130" s="89">
        <v>330.71</v>
      </c>
      <c r="E130" s="72"/>
    </row>
    <row r="131" spans="1:5" x14ac:dyDescent="0.25">
      <c r="A131" s="71"/>
      <c r="B131" s="27" t="s">
        <v>62</v>
      </c>
      <c r="C131" s="67" t="s">
        <v>57</v>
      </c>
      <c r="D131" s="89">
        <v>4.67</v>
      </c>
      <c r="E131" s="72"/>
    </row>
    <row r="132" spans="1:5" x14ac:dyDescent="0.25">
      <c r="A132" s="71"/>
      <c r="B132" s="69" t="s">
        <v>443</v>
      </c>
      <c r="C132" s="70" t="s">
        <v>59</v>
      </c>
      <c r="D132" s="89">
        <v>5564.93</v>
      </c>
      <c r="E132" s="72"/>
    </row>
    <row r="133" spans="1:5" x14ac:dyDescent="0.25">
      <c r="A133" s="71"/>
      <c r="B133" s="69" t="s">
        <v>444</v>
      </c>
      <c r="C133" s="70" t="s">
        <v>59</v>
      </c>
      <c r="D133" s="89">
        <v>4173.7</v>
      </c>
      <c r="E133" s="72"/>
    </row>
    <row r="134" spans="1:5" x14ac:dyDescent="0.25">
      <c r="A134" s="71"/>
      <c r="B134" s="69" t="s">
        <v>75</v>
      </c>
      <c r="C134" s="70" t="s">
        <v>59</v>
      </c>
      <c r="D134" s="89">
        <v>13912.32</v>
      </c>
      <c r="E134" s="72"/>
    </row>
    <row r="135" spans="1:5" x14ac:dyDescent="0.25">
      <c r="A135" s="71"/>
      <c r="B135" s="69" t="s">
        <v>522</v>
      </c>
      <c r="C135" s="70" t="s">
        <v>63</v>
      </c>
      <c r="D135" s="89">
        <v>1.39</v>
      </c>
      <c r="E135" s="72"/>
    </row>
    <row r="136" spans="1:5" x14ac:dyDescent="0.25">
      <c r="A136" s="71"/>
      <c r="B136" s="69" t="s">
        <v>516</v>
      </c>
      <c r="C136" s="70" t="s">
        <v>57</v>
      </c>
      <c r="D136" s="89">
        <v>69.56</v>
      </c>
      <c r="E136" s="72"/>
    </row>
    <row r="137" spans="1:5" x14ac:dyDescent="0.25">
      <c r="A137" s="71"/>
      <c r="B137" s="69" t="s">
        <v>517</v>
      </c>
      <c r="C137" s="70" t="s">
        <v>57</v>
      </c>
      <c r="D137" s="89">
        <v>69.56</v>
      </c>
      <c r="E137" s="72"/>
    </row>
    <row r="138" spans="1:5" x14ac:dyDescent="0.25">
      <c r="A138" s="71"/>
      <c r="B138" s="69" t="s">
        <v>514</v>
      </c>
      <c r="C138" s="70" t="s">
        <v>57</v>
      </c>
      <c r="D138" s="89">
        <v>111.3</v>
      </c>
      <c r="E138" s="72"/>
    </row>
    <row r="139" spans="1:5" x14ac:dyDescent="0.25">
      <c r="A139" s="71"/>
      <c r="B139" s="69" t="s">
        <v>416</v>
      </c>
      <c r="C139" s="70" t="s">
        <v>64</v>
      </c>
      <c r="D139" s="89">
        <v>69.56</v>
      </c>
      <c r="E139" s="72"/>
    </row>
    <row r="140" spans="1:5" x14ac:dyDescent="0.25">
      <c r="A140" s="71"/>
      <c r="B140" s="69" t="s">
        <v>445</v>
      </c>
      <c r="C140" s="70" t="s">
        <v>59</v>
      </c>
      <c r="D140" s="89">
        <v>4.79</v>
      </c>
      <c r="E140" s="72"/>
    </row>
    <row r="141" spans="1:5" x14ac:dyDescent="0.25">
      <c r="A141" s="71"/>
      <c r="B141" s="69" t="s">
        <v>463</v>
      </c>
      <c r="C141" s="70" t="s">
        <v>60</v>
      </c>
      <c r="D141" s="89">
        <v>35.659999999999997</v>
      </c>
      <c r="E141" s="72"/>
    </row>
    <row r="142" spans="1:5" x14ac:dyDescent="0.25">
      <c r="A142" s="71"/>
      <c r="B142" s="69" t="s">
        <v>464</v>
      </c>
      <c r="C142" s="70" t="s">
        <v>60</v>
      </c>
      <c r="D142" s="89">
        <v>27.8</v>
      </c>
      <c r="E142" s="72"/>
    </row>
    <row r="143" spans="1:5" x14ac:dyDescent="0.25">
      <c r="A143" s="71"/>
      <c r="B143" s="27" t="s">
        <v>234</v>
      </c>
      <c r="C143" s="70" t="s">
        <v>64</v>
      </c>
      <c r="D143" s="89">
        <v>242.78</v>
      </c>
      <c r="E143" s="72"/>
    </row>
    <row r="144" spans="1:5" x14ac:dyDescent="0.25">
      <c r="A144" s="71"/>
      <c r="B144" s="27" t="s">
        <v>235</v>
      </c>
      <c r="C144" s="70" t="s">
        <v>64</v>
      </c>
      <c r="D144" s="89">
        <v>281.75</v>
      </c>
      <c r="E144" s="72"/>
    </row>
    <row r="145" spans="1:5" x14ac:dyDescent="0.25">
      <c r="A145" s="71"/>
      <c r="B145" s="27" t="s">
        <v>236</v>
      </c>
      <c r="C145" s="70" t="s">
        <v>64</v>
      </c>
      <c r="D145" s="89">
        <v>355.9</v>
      </c>
      <c r="E145" s="72"/>
    </row>
    <row r="146" spans="1:5" x14ac:dyDescent="0.25">
      <c r="A146" s="71"/>
      <c r="B146" s="27" t="s">
        <v>237</v>
      </c>
      <c r="C146" s="70" t="s">
        <v>64</v>
      </c>
      <c r="D146" s="89">
        <v>438.48</v>
      </c>
      <c r="E146" s="72"/>
    </row>
    <row r="147" spans="1:5" x14ac:dyDescent="0.25">
      <c r="A147" s="71"/>
      <c r="B147" s="27" t="s">
        <v>238</v>
      </c>
      <c r="C147" s="70" t="s">
        <v>64</v>
      </c>
      <c r="D147" s="89">
        <v>522.08000000000004</v>
      </c>
      <c r="E147" s="72"/>
    </row>
    <row r="148" spans="1:5" x14ac:dyDescent="0.25">
      <c r="A148" s="71"/>
      <c r="B148" s="27" t="s">
        <v>239</v>
      </c>
      <c r="C148" s="70" t="s">
        <v>64</v>
      </c>
      <c r="D148" s="89">
        <v>586.36</v>
      </c>
      <c r="E148" s="72"/>
    </row>
    <row r="149" spans="1:5" x14ac:dyDescent="0.25">
      <c r="A149" s="71"/>
      <c r="B149" s="27" t="s">
        <v>240</v>
      </c>
      <c r="C149" s="70" t="s">
        <v>64</v>
      </c>
      <c r="D149" s="89">
        <v>807.53</v>
      </c>
      <c r="E149" s="72"/>
    </row>
    <row r="150" spans="1:5" x14ac:dyDescent="0.25">
      <c r="A150" s="71"/>
      <c r="B150" s="27" t="s">
        <v>193</v>
      </c>
      <c r="C150" s="70" t="s">
        <v>59</v>
      </c>
      <c r="D150" s="89">
        <v>272.58999999999997</v>
      </c>
      <c r="E150" s="72"/>
    </row>
    <row r="151" spans="1:5" x14ac:dyDescent="0.25">
      <c r="A151" s="71"/>
      <c r="B151" s="27" t="s">
        <v>194</v>
      </c>
      <c r="C151" s="70" t="s">
        <v>59</v>
      </c>
      <c r="D151" s="89">
        <v>425.45</v>
      </c>
      <c r="E151" s="72"/>
    </row>
    <row r="152" spans="1:5" x14ac:dyDescent="0.25">
      <c r="A152" s="71"/>
      <c r="B152" s="27" t="s">
        <v>195</v>
      </c>
      <c r="C152" s="70" t="s">
        <v>59</v>
      </c>
      <c r="D152" s="89">
        <v>549.59</v>
      </c>
      <c r="E152" s="72"/>
    </row>
    <row r="153" spans="1:5" x14ac:dyDescent="0.25">
      <c r="A153" s="71"/>
      <c r="B153" s="27" t="s">
        <v>196</v>
      </c>
      <c r="C153" s="70" t="s">
        <v>59</v>
      </c>
      <c r="D153" s="89">
        <v>980.04</v>
      </c>
      <c r="E153" s="72"/>
    </row>
    <row r="154" spans="1:5" x14ac:dyDescent="0.25">
      <c r="A154" s="71"/>
      <c r="B154" s="27" t="s">
        <v>197</v>
      </c>
      <c r="C154" s="70" t="s">
        <v>59</v>
      </c>
      <c r="D154" s="89">
        <v>1096.29</v>
      </c>
      <c r="E154" s="72"/>
    </row>
    <row r="155" spans="1:5" x14ac:dyDescent="0.25">
      <c r="A155" s="71"/>
      <c r="B155" s="27" t="s">
        <v>198</v>
      </c>
      <c r="C155" s="70" t="s">
        <v>59</v>
      </c>
      <c r="D155" s="89">
        <v>1660.92</v>
      </c>
      <c r="E155" s="72"/>
    </row>
    <row r="156" spans="1:5" x14ac:dyDescent="0.25">
      <c r="A156" s="71"/>
      <c r="B156" s="27" t="s">
        <v>199</v>
      </c>
      <c r="C156" s="70" t="s">
        <v>59</v>
      </c>
      <c r="D156" s="89">
        <v>2221.84</v>
      </c>
      <c r="E156" s="72"/>
    </row>
    <row r="157" spans="1:5" x14ac:dyDescent="0.25">
      <c r="A157" s="71"/>
      <c r="B157" s="27" t="s">
        <v>200</v>
      </c>
      <c r="C157" s="70" t="s">
        <v>59</v>
      </c>
      <c r="D157" s="89">
        <v>2517.25</v>
      </c>
      <c r="E157" s="72"/>
    </row>
    <row r="158" spans="1:5" x14ac:dyDescent="0.25">
      <c r="A158" s="71"/>
      <c r="B158" s="27" t="s">
        <v>201</v>
      </c>
      <c r="C158" s="70" t="s">
        <v>59</v>
      </c>
      <c r="D158" s="89">
        <v>470.04</v>
      </c>
      <c r="E158" s="72"/>
    </row>
    <row r="159" spans="1:5" x14ac:dyDescent="0.25">
      <c r="A159" s="71"/>
      <c r="B159" s="27" t="s">
        <v>202</v>
      </c>
      <c r="C159" s="70" t="s">
        <v>59</v>
      </c>
      <c r="D159" s="89">
        <v>962.82</v>
      </c>
      <c r="E159" s="72"/>
    </row>
    <row r="160" spans="1:5" x14ac:dyDescent="0.25">
      <c r="A160" s="71"/>
      <c r="B160" s="27" t="s">
        <v>203</v>
      </c>
      <c r="C160" s="70" t="s">
        <v>59</v>
      </c>
      <c r="D160" s="89">
        <v>960.78</v>
      </c>
      <c r="E160" s="72"/>
    </row>
    <row r="161" spans="1:5" x14ac:dyDescent="0.25">
      <c r="A161" s="71"/>
      <c r="B161" s="27" t="s">
        <v>204</v>
      </c>
      <c r="C161" s="70" t="s">
        <v>59</v>
      </c>
      <c r="D161" s="89">
        <v>960.78</v>
      </c>
      <c r="E161" s="72"/>
    </row>
    <row r="162" spans="1:5" x14ac:dyDescent="0.25">
      <c r="A162" s="71"/>
      <c r="B162" s="27" t="s">
        <v>205</v>
      </c>
      <c r="C162" s="70" t="s">
        <v>59</v>
      </c>
      <c r="D162" s="89">
        <v>624.29999999999995</v>
      </c>
      <c r="E162" s="72"/>
    </row>
    <row r="163" spans="1:5" x14ac:dyDescent="0.25">
      <c r="A163" s="71"/>
      <c r="B163" s="27" t="s">
        <v>206</v>
      </c>
      <c r="C163" s="70" t="s">
        <v>59</v>
      </c>
      <c r="D163" s="89">
        <v>1530.02</v>
      </c>
      <c r="E163" s="72"/>
    </row>
    <row r="164" spans="1:5" x14ac:dyDescent="0.25">
      <c r="A164" s="71"/>
      <c r="B164" s="27" t="s">
        <v>207</v>
      </c>
      <c r="C164" s="70" t="s">
        <v>59</v>
      </c>
      <c r="D164" s="89">
        <v>1604.13</v>
      </c>
      <c r="E164" s="72"/>
    </row>
    <row r="165" spans="1:5" x14ac:dyDescent="0.25">
      <c r="A165" s="71"/>
      <c r="B165" s="27" t="s">
        <v>208</v>
      </c>
      <c r="C165" s="70" t="s">
        <v>59</v>
      </c>
      <c r="D165" s="89">
        <v>1604.13</v>
      </c>
      <c r="E165" s="72"/>
    </row>
    <row r="166" spans="1:5" x14ac:dyDescent="0.25">
      <c r="A166" s="71"/>
      <c r="B166" s="27" t="s">
        <v>209</v>
      </c>
      <c r="C166" s="70" t="s">
        <v>59</v>
      </c>
      <c r="D166" s="89">
        <v>1604.13</v>
      </c>
      <c r="E166" s="72"/>
    </row>
    <row r="167" spans="1:5" x14ac:dyDescent="0.25">
      <c r="A167" s="71"/>
      <c r="B167" s="27" t="s">
        <v>320</v>
      </c>
      <c r="C167" s="70" t="s">
        <v>59</v>
      </c>
      <c r="D167" s="89">
        <v>1530.02</v>
      </c>
      <c r="E167" s="72"/>
    </row>
    <row r="168" spans="1:5" x14ac:dyDescent="0.25">
      <c r="A168" s="71"/>
      <c r="B168" s="27" t="s">
        <v>210</v>
      </c>
      <c r="C168" s="70" t="s">
        <v>59</v>
      </c>
      <c r="D168" s="89">
        <v>190.25</v>
      </c>
      <c r="E168" s="72"/>
    </row>
    <row r="169" spans="1:5" x14ac:dyDescent="0.25">
      <c r="A169" s="71"/>
      <c r="B169" s="27" t="s">
        <v>211</v>
      </c>
      <c r="C169" s="70" t="s">
        <v>59</v>
      </c>
      <c r="D169" s="89">
        <v>495.39</v>
      </c>
      <c r="E169" s="72"/>
    </row>
    <row r="170" spans="1:5" x14ac:dyDescent="0.25">
      <c r="A170" s="71"/>
      <c r="B170" s="27" t="s">
        <v>212</v>
      </c>
      <c r="C170" s="70" t="s">
        <v>59</v>
      </c>
      <c r="D170" s="89">
        <v>1146.55</v>
      </c>
      <c r="E170" s="72"/>
    </row>
    <row r="171" spans="1:5" x14ac:dyDescent="0.25">
      <c r="A171" s="71"/>
      <c r="B171" s="27" t="s">
        <v>213</v>
      </c>
      <c r="C171" s="70" t="s">
        <v>59</v>
      </c>
      <c r="D171" s="89">
        <v>1146.55</v>
      </c>
      <c r="E171" s="72"/>
    </row>
    <row r="172" spans="1:5" x14ac:dyDescent="0.25">
      <c r="A172" s="71"/>
      <c r="B172" s="27" t="s">
        <v>214</v>
      </c>
      <c r="C172" s="70" t="s">
        <v>59</v>
      </c>
      <c r="D172" s="89">
        <v>1227.43</v>
      </c>
      <c r="E172" s="72"/>
    </row>
    <row r="173" spans="1:5" x14ac:dyDescent="0.25">
      <c r="A173" s="71"/>
      <c r="B173" s="27" t="s">
        <v>215</v>
      </c>
      <c r="C173" s="70" t="s">
        <v>59</v>
      </c>
      <c r="D173" s="89">
        <v>929.21</v>
      </c>
      <c r="E173" s="72"/>
    </row>
    <row r="174" spans="1:5" x14ac:dyDescent="0.25">
      <c r="A174" s="71"/>
      <c r="B174" s="27" t="s">
        <v>216</v>
      </c>
      <c r="C174" s="70" t="s">
        <v>59</v>
      </c>
      <c r="D174" s="89">
        <v>929.21</v>
      </c>
      <c r="E174" s="72"/>
    </row>
    <row r="175" spans="1:5" x14ac:dyDescent="0.25">
      <c r="A175" s="71"/>
      <c r="B175" s="27" t="s">
        <v>217</v>
      </c>
      <c r="C175" s="70" t="s">
        <v>59</v>
      </c>
      <c r="D175" s="89">
        <v>929.21</v>
      </c>
      <c r="E175" s="72"/>
    </row>
    <row r="176" spans="1:5" x14ac:dyDescent="0.25">
      <c r="A176" s="71"/>
      <c r="B176" s="27" t="s">
        <v>218</v>
      </c>
      <c r="C176" s="70" t="s">
        <v>59</v>
      </c>
      <c r="D176" s="89">
        <v>1040</v>
      </c>
      <c r="E176" s="72"/>
    </row>
    <row r="177" spans="1:5" x14ac:dyDescent="0.25">
      <c r="A177" s="71"/>
      <c r="B177" s="27" t="s">
        <v>219</v>
      </c>
      <c r="C177" s="70" t="s">
        <v>59</v>
      </c>
      <c r="D177" s="89">
        <v>735.39</v>
      </c>
      <c r="E177" s="72"/>
    </row>
    <row r="178" spans="1:5" x14ac:dyDescent="0.25">
      <c r="A178" s="71"/>
      <c r="B178" s="27" t="s">
        <v>220</v>
      </c>
      <c r="C178" s="70" t="s">
        <v>59</v>
      </c>
      <c r="D178" s="89">
        <v>1452.82</v>
      </c>
      <c r="E178" s="72"/>
    </row>
    <row r="179" spans="1:5" x14ac:dyDescent="0.25">
      <c r="A179" s="71"/>
      <c r="B179" s="27" t="s">
        <v>221</v>
      </c>
      <c r="C179" s="70" t="s">
        <v>59</v>
      </c>
      <c r="D179" s="89">
        <v>274.75</v>
      </c>
      <c r="E179" s="72"/>
    </row>
    <row r="180" spans="1:5" x14ac:dyDescent="0.25">
      <c r="A180" s="71"/>
      <c r="B180" s="27" t="s">
        <v>222</v>
      </c>
      <c r="C180" s="70" t="s">
        <v>59</v>
      </c>
      <c r="D180" s="89">
        <v>428.78</v>
      </c>
      <c r="E180" s="72"/>
    </row>
    <row r="181" spans="1:5" x14ac:dyDescent="0.25">
      <c r="A181" s="71"/>
      <c r="B181" s="27" t="s">
        <v>223</v>
      </c>
      <c r="C181" s="70" t="s">
        <v>59</v>
      </c>
      <c r="D181" s="89">
        <v>653.12</v>
      </c>
      <c r="E181" s="72"/>
    </row>
    <row r="182" spans="1:5" x14ac:dyDescent="0.25">
      <c r="A182" s="71"/>
      <c r="B182" s="27" t="s">
        <v>224</v>
      </c>
      <c r="C182" s="70" t="s">
        <v>59</v>
      </c>
      <c r="D182" s="89">
        <v>961.03</v>
      </c>
      <c r="E182" s="72"/>
    </row>
    <row r="183" spans="1:5" x14ac:dyDescent="0.25">
      <c r="A183" s="71"/>
      <c r="B183" s="27" t="s">
        <v>225</v>
      </c>
      <c r="C183" s="70" t="s">
        <v>59</v>
      </c>
      <c r="D183" s="89">
        <v>1484.19</v>
      </c>
      <c r="E183" s="72"/>
    </row>
    <row r="184" spans="1:5" x14ac:dyDescent="0.25">
      <c r="A184" s="71"/>
      <c r="B184" s="27" t="s">
        <v>226</v>
      </c>
      <c r="C184" s="70" t="s">
        <v>59</v>
      </c>
      <c r="D184" s="89">
        <v>1998.66</v>
      </c>
      <c r="E184" s="72"/>
    </row>
    <row r="185" spans="1:5" x14ac:dyDescent="0.25">
      <c r="A185" s="71"/>
      <c r="B185" s="27" t="s">
        <v>227</v>
      </c>
      <c r="C185" s="70" t="s">
        <v>59</v>
      </c>
      <c r="D185" s="89">
        <v>710.38</v>
      </c>
      <c r="E185" s="72"/>
    </row>
    <row r="186" spans="1:5" x14ac:dyDescent="0.25">
      <c r="A186" s="71"/>
      <c r="B186" s="27" t="s">
        <v>228</v>
      </c>
      <c r="C186" s="70" t="s">
        <v>59</v>
      </c>
      <c r="D186" s="89">
        <v>154.55000000000001</v>
      </c>
      <c r="E186" s="72"/>
    </row>
    <row r="187" spans="1:5" x14ac:dyDescent="0.25">
      <c r="A187" s="71"/>
      <c r="B187" s="27" t="s">
        <v>229</v>
      </c>
      <c r="C187" s="70" t="s">
        <v>59</v>
      </c>
      <c r="D187" s="89">
        <v>235.27</v>
      </c>
      <c r="E187" s="72"/>
    </row>
    <row r="188" spans="1:5" x14ac:dyDescent="0.25">
      <c r="A188" s="71"/>
      <c r="B188" s="27" t="s">
        <v>230</v>
      </c>
      <c r="C188" s="70" t="s">
        <v>59</v>
      </c>
      <c r="D188" s="89">
        <v>309.11</v>
      </c>
      <c r="E188" s="72"/>
    </row>
    <row r="189" spans="1:5" x14ac:dyDescent="0.25">
      <c r="A189" s="71"/>
      <c r="B189" s="27" t="s">
        <v>231</v>
      </c>
      <c r="C189" s="70" t="s">
        <v>59</v>
      </c>
      <c r="D189" s="89">
        <v>470.48</v>
      </c>
      <c r="E189" s="72"/>
    </row>
    <row r="190" spans="1:5" x14ac:dyDescent="0.25">
      <c r="A190" s="71"/>
      <c r="B190" s="27" t="s">
        <v>232</v>
      </c>
      <c r="C190" s="70" t="s">
        <v>59</v>
      </c>
      <c r="D190" s="89">
        <v>658.66</v>
      </c>
      <c r="E190" s="72"/>
    </row>
    <row r="191" spans="1:5" x14ac:dyDescent="0.25">
      <c r="A191" s="71"/>
      <c r="B191" s="27" t="s">
        <v>233</v>
      </c>
      <c r="C191" s="70" t="s">
        <v>59</v>
      </c>
      <c r="D191" s="89">
        <v>806.56</v>
      </c>
      <c r="E191" s="72"/>
    </row>
    <row r="192" spans="1:5" x14ac:dyDescent="0.25">
      <c r="A192" s="71"/>
      <c r="B192" s="27" t="s">
        <v>241</v>
      </c>
      <c r="C192" s="70" t="s">
        <v>64</v>
      </c>
      <c r="D192" s="89">
        <v>144.55000000000001</v>
      </c>
      <c r="E192" s="72"/>
    </row>
    <row r="193" spans="1:5" x14ac:dyDescent="0.25">
      <c r="A193" s="71"/>
      <c r="B193" s="27" t="s">
        <v>242</v>
      </c>
      <c r="C193" s="70" t="s">
        <v>64</v>
      </c>
      <c r="D193" s="89">
        <v>220.37</v>
      </c>
      <c r="E193" s="72"/>
    </row>
    <row r="194" spans="1:5" x14ac:dyDescent="0.25">
      <c r="A194" s="71"/>
      <c r="B194" s="27" t="s">
        <v>243</v>
      </c>
      <c r="C194" s="70" t="s">
        <v>64</v>
      </c>
      <c r="D194" s="89">
        <v>316.05</v>
      </c>
      <c r="E194" s="72"/>
    </row>
    <row r="195" spans="1:5" x14ac:dyDescent="0.25">
      <c r="A195" s="71"/>
      <c r="B195" s="27" t="s">
        <v>244</v>
      </c>
      <c r="C195" s="70" t="s">
        <v>64</v>
      </c>
      <c r="D195" s="89">
        <v>392.63</v>
      </c>
      <c r="E195" s="72"/>
    </row>
    <row r="196" spans="1:5" x14ac:dyDescent="0.25">
      <c r="A196" s="71"/>
      <c r="B196" s="27" t="s">
        <v>245</v>
      </c>
      <c r="C196" s="70" t="s">
        <v>64</v>
      </c>
      <c r="D196" s="89">
        <v>907.73</v>
      </c>
      <c r="E196" s="72"/>
    </row>
    <row r="197" spans="1:5" x14ac:dyDescent="0.25">
      <c r="A197" s="71"/>
      <c r="B197" s="27" t="s">
        <v>246</v>
      </c>
      <c r="C197" s="70" t="s">
        <v>59</v>
      </c>
      <c r="D197" s="89">
        <v>16.62</v>
      </c>
      <c r="E197" s="72"/>
    </row>
    <row r="198" spans="1:5" x14ac:dyDescent="0.25">
      <c r="A198" s="71"/>
      <c r="B198" s="27" t="s">
        <v>247</v>
      </c>
      <c r="C198" s="70" t="s">
        <v>59</v>
      </c>
      <c r="D198" s="89">
        <v>24.51</v>
      </c>
      <c r="E198" s="72"/>
    </row>
    <row r="199" spans="1:5" x14ac:dyDescent="0.25">
      <c r="A199" s="71"/>
      <c r="B199" s="27" t="s">
        <v>248</v>
      </c>
      <c r="C199" s="70" t="s">
        <v>59</v>
      </c>
      <c r="D199" s="89">
        <v>16.62</v>
      </c>
      <c r="E199" s="72"/>
    </row>
    <row r="200" spans="1:5" x14ac:dyDescent="0.25">
      <c r="A200" s="71"/>
      <c r="B200" s="27" t="s">
        <v>249</v>
      </c>
      <c r="C200" s="70" t="s">
        <v>59</v>
      </c>
      <c r="D200" s="89">
        <v>49.71</v>
      </c>
      <c r="E200" s="72"/>
    </row>
    <row r="201" spans="1:5" x14ac:dyDescent="0.25">
      <c r="A201" s="71"/>
      <c r="B201" s="27" t="s">
        <v>250</v>
      </c>
      <c r="C201" s="70" t="s">
        <v>59</v>
      </c>
      <c r="D201" s="89">
        <v>11.05</v>
      </c>
      <c r="E201" s="72"/>
    </row>
    <row r="202" spans="1:5" x14ac:dyDescent="0.25">
      <c r="A202" s="71"/>
      <c r="B202" s="27" t="s">
        <v>251</v>
      </c>
      <c r="C202" s="70" t="s">
        <v>59</v>
      </c>
      <c r="D202" s="89">
        <v>11.05</v>
      </c>
      <c r="E202" s="72"/>
    </row>
    <row r="203" spans="1:5" x14ac:dyDescent="0.25">
      <c r="A203" s="71"/>
      <c r="B203" s="27" t="s">
        <v>253</v>
      </c>
      <c r="C203" s="70" t="s">
        <v>59</v>
      </c>
      <c r="D203" s="89">
        <v>12.72</v>
      </c>
      <c r="E203" s="72"/>
    </row>
    <row r="204" spans="1:5" x14ac:dyDescent="0.25">
      <c r="A204" s="71"/>
      <c r="B204" s="27" t="s">
        <v>252</v>
      </c>
      <c r="C204" s="70" t="s">
        <v>59</v>
      </c>
      <c r="D204" s="89">
        <v>11.05</v>
      </c>
      <c r="E204" s="72"/>
    </row>
    <row r="205" spans="1:5" x14ac:dyDescent="0.25">
      <c r="A205" s="71"/>
      <c r="B205" s="27" t="s">
        <v>254</v>
      </c>
      <c r="C205" s="70" t="s">
        <v>59</v>
      </c>
      <c r="D205" s="89">
        <v>11.05</v>
      </c>
      <c r="E205" s="72"/>
    </row>
    <row r="206" spans="1:5" x14ac:dyDescent="0.25">
      <c r="A206" s="71"/>
      <c r="B206" s="27" t="s">
        <v>255</v>
      </c>
      <c r="C206" s="70" t="s">
        <v>59</v>
      </c>
      <c r="D206" s="89">
        <v>11.05</v>
      </c>
      <c r="E206" s="72"/>
    </row>
    <row r="207" spans="1:5" x14ac:dyDescent="0.25">
      <c r="A207" s="71"/>
      <c r="B207" s="27" t="s">
        <v>256</v>
      </c>
      <c r="C207" s="70" t="s">
        <v>59</v>
      </c>
      <c r="D207" s="89">
        <v>4.1399999999999997</v>
      </c>
      <c r="E207" s="72"/>
    </row>
    <row r="208" spans="1:5" x14ac:dyDescent="0.25">
      <c r="A208" s="71"/>
      <c r="B208" s="27" t="s">
        <v>257</v>
      </c>
      <c r="C208" s="70" t="s">
        <v>59</v>
      </c>
      <c r="D208" s="89">
        <v>19.36</v>
      </c>
      <c r="E208" s="72"/>
    </row>
    <row r="209" spans="1:5" x14ac:dyDescent="0.25">
      <c r="A209" s="71"/>
      <c r="B209" s="27" t="s">
        <v>258</v>
      </c>
      <c r="C209" s="70" t="s">
        <v>59</v>
      </c>
      <c r="D209" s="89">
        <v>19.36</v>
      </c>
      <c r="E209" s="72"/>
    </row>
    <row r="210" spans="1:5" x14ac:dyDescent="0.25">
      <c r="A210" s="71"/>
      <c r="B210" s="27" t="s">
        <v>259</v>
      </c>
      <c r="C210" s="70" t="s">
        <v>59</v>
      </c>
      <c r="D210" s="89">
        <v>49.71</v>
      </c>
      <c r="E210" s="72"/>
    </row>
    <row r="211" spans="1:5" x14ac:dyDescent="0.25">
      <c r="A211" s="71"/>
      <c r="B211" s="27" t="s">
        <v>260</v>
      </c>
      <c r="C211" s="70" t="s">
        <v>59</v>
      </c>
      <c r="D211" s="89">
        <v>6.5</v>
      </c>
      <c r="E211" s="72"/>
    </row>
    <row r="212" spans="1:5" x14ac:dyDescent="0.25">
      <c r="A212" s="71"/>
      <c r="B212" s="27" t="s">
        <v>261</v>
      </c>
      <c r="C212" s="70" t="s">
        <v>59</v>
      </c>
      <c r="D212" s="89">
        <v>12.8</v>
      </c>
      <c r="E212" s="72"/>
    </row>
    <row r="213" spans="1:5" x14ac:dyDescent="0.25">
      <c r="A213" s="71"/>
      <c r="B213" s="27" t="s">
        <v>262</v>
      </c>
      <c r="C213" s="70" t="s">
        <v>59</v>
      </c>
      <c r="D213" s="89">
        <v>18.5</v>
      </c>
      <c r="E213" s="72"/>
    </row>
    <row r="214" spans="1:5" x14ac:dyDescent="0.25">
      <c r="A214" s="71"/>
      <c r="B214" s="27" t="s">
        <v>263</v>
      </c>
      <c r="C214" s="70" t="s">
        <v>59</v>
      </c>
      <c r="D214" s="89">
        <v>46.73</v>
      </c>
      <c r="E214" s="72"/>
    </row>
    <row r="215" spans="1:5" x14ac:dyDescent="0.25">
      <c r="A215" s="71"/>
      <c r="B215" s="27" t="s">
        <v>264</v>
      </c>
      <c r="C215" s="70" t="s">
        <v>59</v>
      </c>
      <c r="D215" s="89">
        <v>85.02</v>
      </c>
      <c r="E215" s="72"/>
    </row>
    <row r="216" spans="1:5" x14ac:dyDescent="0.25">
      <c r="A216" s="71"/>
      <c r="B216" s="27" t="s">
        <v>274</v>
      </c>
      <c r="C216" s="70" t="s">
        <v>64</v>
      </c>
      <c r="D216" s="89">
        <v>40.44</v>
      </c>
      <c r="E216" s="72"/>
    </row>
    <row r="217" spans="1:5" x14ac:dyDescent="0.25">
      <c r="A217" s="71"/>
      <c r="B217" s="27" t="s">
        <v>275</v>
      </c>
      <c r="C217" s="70" t="s">
        <v>59</v>
      </c>
      <c r="D217" s="89">
        <v>1.0900000000000001</v>
      </c>
      <c r="E217" s="72"/>
    </row>
    <row r="218" spans="1:5" x14ac:dyDescent="0.25">
      <c r="A218" s="71"/>
      <c r="B218" s="27" t="s">
        <v>276</v>
      </c>
      <c r="C218" s="70" t="s">
        <v>59</v>
      </c>
      <c r="D218" s="89">
        <v>1.0900000000000001</v>
      </c>
      <c r="E218" s="72"/>
    </row>
    <row r="219" spans="1:5" x14ac:dyDescent="0.25">
      <c r="A219" s="71"/>
      <c r="B219" s="27" t="s">
        <v>265</v>
      </c>
      <c r="C219" s="70" t="s">
        <v>64</v>
      </c>
      <c r="D219" s="89">
        <v>30.03</v>
      </c>
      <c r="E219" s="72"/>
    </row>
    <row r="220" spans="1:5" x14ac:dyDescent="0.25">
      <c r="A220" s="71"/>
      <c r="B220" s="27" t="s">
        <v>266</v>
      </c>
      <c r="C220" s="70" t="s">
        <v>64</v>
      </c>
      <c r="D220" s="89">
        <v>28.56</v>
      </c>
      <c r="E220" s="72"/>
    </row>
    <row r="221" spans="1:5" x14ac:dyDescent="0.25">
      <c r="A221" s="71"/>
      <c r="B221" s="27" t="s">
        <v>267</v>
      </c>
      <c r="C221" s="70" t="s">
        <v>59</v>
      </c>
      <c r="D221" s="89">
        <v>2.7</v>
      </c>
      <c r="E221" s="72"/>
    </row>
    <row r="222" spans="1:5" x14ac:dyDescent="0.25">
      <c r="A222" s="71"/>
      <c r="B222" s="27" t="s">
        <v>268</v>
      </c>
      <c r="C222" s="70" t="s">
        <v>59</v>
      </c>
      <c r="D222" s="89">
        <v>247.55</v>
      </c>
      <c r="E222" s="72"/>
    </row>
    <row r="223" spans="1:5" x14ac:dyDescent="0.25">
      <c r="A223" s="71"/>
      <c r="B223" s="27" t="s">
        <v>269</v>
      </c>
      <c r="C223" s="70" t="s">
        <v>59</v>
      </c>
      <c r="D223" s="89">
        <v>342.04</v>
      </c>
      <c r="E223" s="72"/>
    </row>
    <row r="224" spans="1:5" x14ac:dyDescent="0.25">
      <c r="A224" s="71"/>
      <c r="B224" s="27" t="s">
        <v>270</v>
      </c>
      <c r="C224" s="70" t="s">
        <v>59</v>
      </c>
      <c r="D224" s="89">
        <v>612.70000000000005</v>
      </c>
      <c r="E224" s="72"/>
    </row>
    <row r="225" spans="1:5" x14ac:dyDescent="0.25">
      <c r="A225" s="71"/>
      <c r="B225" s="27" t="s">
        <v>271</v>
      </c>
      <c r="C225" s="70" t="s">
        <v>59</v>
      </c>
      <c r="D225" s="89">
        <v>986.11</v>
      </c>
      <c r="E225" s="72"/>
    </row>
    <row r="226" spans="1:5" x14ac:dyDescent="0.25">
      <c r="A226" s="71"/>
      <c r="B226" s="27" t="s">
        <v>272</v>
      </c>
      <c r="C226" s="70" t="s">
        <v>59</v>
      </c>
      <c r="D226" s="89">
        <v>1379.77</v>
      </c>
      <c r="E226" s="72"/>
    </row>
    <row r="227" spans="1:5" x14ac:dyDescent="0.25">
      <c r="A227" s="71"/>
      <c r="B227" s="27" t="s">
        <v>273</v>
      </c>
      <c r="C227" s="70" t="s">
        <v>59</v>
      </c>
      <c r="D227" s="89">
        <v>2500.84</v>
      </c>
      <c r="E227" s="72"/>
    </row>
    <row r="228" spans="1:5" x14ac:dyDescent="0.25">
      <c r="A228" s="71"/>
      <c r="B228" s="27" t="s">
        <v>277</v>
      </c>
      <c r="C228" s="70" t="s">
        <v>59</v>
      </c>
      <c r="D228" s="89">
        <v>86.13</v>
      </c>
      <c r="E228" s="72"/>
    </row>
    <row r="229" spans="1:5" x14ac:dyDescent="0.25">
      <c r="A229" s="71"/>
      <c r="B229" s="27" t="s">
        <v>278</v>
      </c>
      <c r="C229" s="70" t="s">
        <v>59</v>
      </c>
      <c r="D229" s="89">
        <v>86.13</v>
      </c>
      <c r="E229" s="72"/>
    </row>
    <row r="230" spans="1:5" x14ac:dyDescent="0.25">
      <c r="A230" s="71"/>
      <c r="B230" s="27" t="s">
        <v>279</v>
      </c>
      <c r="C230" s="70" t="s">
        <v>59</v>
      </c>
      <c r="D230" s="89">
        <v>373.09</v>
      </c>
      <c r="E230" s="72"/>
    </row>
    <row r="231" spans="1:5" x14ac:dyDescent="0.25">
      <c r="A231" s="71"/>
      <c r="B231" s="27" t="s">
        <v>280</v>
      </c>
      <c r="C231" s="70" t="s">
        <v>59</v>
      </c>
      <c r="D231" s="89">
        <v>517.41</v>
      </c>
      <c r="E231" s="72"/>
    </row>
    <row r="232" spans="1:5" x14ac:dyDescent="0.25">
      <c r="A232" s="71"/>
      <c r="B232" s="27" t="s">
        <v>281</v>
      </c>
      <c r="C232" s="70" t="s">
        <v>59</v>
      </c>
      <c r="D232" s="89">
        <v>517.41</v>
      </c>
      <c r="E232" s="72"/>
    </row>
    <row r="233" spans="1:5" x14ac:dyDescent="0.25">
      <c r="A233" s="71"/>
      <c r="B233" s="27" t="s">
        <v>282</v>
      </c>
      <c r="C233" s="70" t="s">
        <v>59</v>
      </c>
      <c r="D233" s="89">
        <v>517.41</v>
      </c>
      <c r="E233" s="72"/>
    </row>
    <row r="234" spans="1:5" x14ac:dyDescent="0.25">
      <c r="A234" s="71"/>
      <c r="B234" s="27" t="s">
        <v>283</v>
      </c>
      <c r="C234" s="70" t="s">
        <v>59</v>
      </c>
      <c r="D234" s="89">
        <v>92.22</v>
      </c>
      <c r="E234" s="72"/>
    </row>
    <row r="235" spans="1:5" x14ac:dyDescent="0.25">
      <c r="A235" s="71"/>
      <c r="B235" s="27" t="s">
        <v>284</v>
      </c>
      <c r="C235" s="70" t="s">
        <v>59</v>
      </c>
      <c r="D235" s="89">
        <v>273.93</v>
      </c>
      <c r="E235" s="72"/>
    </row>
    <row r="236" spans="1:5" x14ac:dyDescent="0.25">
      <c r="A236" s="71"/>
      <c r="B236" s="27" t="s">
        <v>285</v>
      </c>
      <c r="C236" s="70" t="s">
        <v>59</v>
      </c>
      <c r="D236" s="89">
        <v>118.25</v>
      </c>
      <c r="E236" s="72"/>
    </row>
    <row r="237" spans="1:5" x14ac:dyDescent="0.25">
      <c r="A237" s="71"/>
      <c r="B237" s="27" t="s">
        <v>286</v>
      </c>
      <c r="C237" s="70" t="s">
        <v>59</v>
      </c>
      <c r="D237" s="89">
        <v>75.599999999999994</v>
      </c>
      <c r="E237" s="72"/>
    </row>
    <row r="238" spans="1:5" x14ac:dyDescent="0.25">
      <c r="A238" s="71"/>
      <c r="B238" s="27" t="s">
        <v>287</v>
      </c>
      <c r="C238" s="70" t="s">
        <v>59</v>
      </c>
      <c r="D238" s="89">
        <v>89.18</v>
      </c>
      <c r="E238" s="72"/>
    </row>
    <row r="239" spans="1:5" x14ac:dyDescent="0.25">
      <c r="A239" s="71"/>
      <c r="B239" s="27" t="s">
        <v>288</v>
      </c>
      <c r="C239" s="70" t="s">
        <v>59</v>
      </c>
      <c r="D239" s="89">
        <v>296.25</v>
      </c>
      <c r="E239" s="72"/>
    </row>
    <row r="240" spans="1:5" x14ac:dyDescent="0.25">
      <c r="A240" s="71"/>
      <c r="B240" s="27" t="s">
        <v>289</v>
      </c>
      <c r="C240" s="70" t="s">
        <v>59</v>
      </c>
      <c r="D240" s="89">
        <v>172.47</v>
      </c>
      <c r="E240" s="72"/>
    </row>
    <row r="241" spans="1:5" x14ac:dyDescent="0.25">
      <c r="A241" s="71"/>
      <c r="B241" s="27" t="s">
        <v>78</v>
      </c>
      <c r="C241" s="67" t="s">
        <v>59</v>
      </c>
      <c r="D241" s="89">
        <v>20290.759999999998</v>
      </c>
      <c r="E241" s="72"/>
    </row>
    <row r="242" spans="1:5" x14ac:dyDescent="0.25">
      <c r="A242" s="71"/>
      <c r="B242" s="27" t="s">
        <v>79</v>
      </c>
      <c r="C242" s="67" t="s">
        <v>59</v>
      </c>
      <c r="D242" s="89">
        <v>14511.99</v>
      </c>
      <c r="E242" s="72"/>
    </row>
    <row r="243" spans="1:5" x14ac:dyDescent="0.25">
      <c r="A243" s="71"/>
      <c r="B243" s="27" t="s">
        <v>80</v>
      </c>
      <c r="C243" s="67" t="s">
        <v>59</v>
      </c>
      <c r="D243" s="89">
        <v>65711.62</v>
      </c>
      <c r="E243" s="72"/>
    </row>
    <row r="244" spans="1:5" x14ac:dyDescent="0.25">
      <c r="A244" s="71"/>
      <c r="B244" s="27" t="s">
        <v>568</v>
      </c>
      <c r="C244" s="67" t="s">
        <v>59</v>
      </c>
      <c r="D244" s="89">
        <v>6046.65</v>
      </c>
      <c r="E244" s="72"/>
    </row>
    <row r="245" spans="1:5" x14ac:dyDescent="0.25">
      <c r="A245" s="71"/>
      <c r="B245" s="27" t="s">
        <v>81</v>
      </c>
      <c r="C245" s="67" t="s">
        <v>59</v>
      </c>
      <c r="D245" s="89">
        <v>6060.85</v>
      </c>
      <c r="E245" s="72"/>
    </row>
    <row r="246" spans="1:5" x14ac:dyDescent="0.25">
      <c r="A246" s="71"/>
      <c r="B246" s="27" t="s">
        <v>82</v>
      </c>
      <c r="C246" s="67" t="s">
        <v>59</v>
      </c>
      <c r="D246" s="89">
        <v>2069.66</v>
      </c>
      <c r="E246" s="72"/>
    </row>
    <row r="247" spans="1:5" x14ac:dyDescent="0.25">
      <c r="A247" s="71"/>
      <c r="B247" s="27" t="s">
        <v>83</v>
      </c>
      <c r="C247" s="67" t="s">
        <v>59</v>
      </c>
      <c r="D247" s="89">
        <v>3163.33</v>
      </c>
      <c r="E247" s="72"/>
    </row>
    <row r="248" spans="1:5" x14ac:dyDescent="0.25">
      <c r="A248" s="71"/>
      <c r="B248" s="27" t="s">
        <v>446</v>
      </c>
      <c r="C248" s="67" t="s">
        <v>59</v>
      </c>
      <c r="D248" s="89">
        <v>4259.03</v>
      </c>
      <c r="E248" s="72"/>
    </row>
    <row r="249" spans="1:5" x14ac:dyDescent="0.25">
      <c r="A249" s="71"/>
      <c r="B249" s="27" t="s">
        <v>84</v>
      </c>
      <c r="C249" s="67" t="s">
        <v>59</v>
      </c>
      <c r="D249" s="89">
        <v>1487.11</v>
      </c>
      <c r="E249" s="72"/>
    </row>
    <row r="250" spans="1:5" x14ac:dyDescent="0.25">
      <c r="A250" s="71"/>
      <c r="B250" s="27" t="s">
        <v>85</v>
      </c>
      <c r="C250" s="67" t="s">
        <v>59</v>
      </c>
      <c r="D250" s="89">
        <v>5879.26</v>
      </c>
      <c r="E250" s="72"/>
    </row>
    <row r="251" spans="1:5" x14ac:dyDescent="0.25">
      <c r="A251" s="71"/>
      <c r="B251" s="27" t="s">
        <v>86</v>
      </c>
      <c r="C251" s="67" t="s">
        <v>59</v>
      </c>
      <c r="D251" s="89">
        <v>2029.07</v>
      </c>
      <c r="E251" s="72"/>
    </row>
    <row r="252" spans="1:5" x14ac:dyDescent="0.25">
      <c r="A252" s="71"/>
      <c r="B252" s="27" t="s">
        <v>87</v>
      </c>
      <c r="C252" s="67" t="s">
        <v>59</v>
      </c>
      <c r="D252" s="89">
        <v>2355.3200000000002</v>
      </c>
      <c r="E252" s="72"/>
    </row>
    <row r="253" spans="1:5" x14ac:dyDescent="0.25">
      <c r="A253" s="71"/>
      <c r="B253" s="27" t="s">
        <v>88</v>
      </c>
      <c r="C253" s="67" t="s">
        <v>59</v>
      </c>
      <c r="D253" s="89">
        <v>3286.86</v>
      </c>
      <c r="E253" s="72"/>
    </row>
    <row r="254" spans="1:5" x14ac:dyDescent="0.25">
      <c r="A254" s="71"/>
      <c r="B254" s="27" t="s">
        <v>89</v>
      </c>
      <c r="C254" s="67" t="s">
        <v>59</v>
      </c>
      <c r="D254" s="89">
        <v>4058.15</v>
      </c>
      <c r="E254" s="72"/>
    </row>
    <row r="255" spans="1:5" x14ac:dyDescent="0.25">
      <c r="A255" s="71"/>
      <c r="B255" s="27" t="s">
        <v>447</v>
      </c>
      <c r="C255" s="67" t="s">
        <v>59</v>
      </c>
      <c r="D255" s="89">
        <v>623.74</v>
      </c>
      <c r="E255" s="72"/>
    </row>
    <row r="256" spans="1:5" x14ac:dyDescent="0.25">
      <c r="A256" s="71"/>
      <c r="B256" s="27" t="s">
        <v>90</v>
      </c>
      <c r="C256" s="67" t="s">
        <v>59</v>
      </c>
      <c r="D256" s="89">
        <v>4261.0600000000004</v>
      </c>
      <c r="E256" s="72"/>
    </row>
    <row r="257" spans="1:5" x14ac:dyDescent="0.25">
      <c r="A257" s="71"/>
      <c r="B257" s="27" t="s">
        <v>91</v>
      </c>
      <c r="C257" s="67" t="s">
        <v>59</v>
      </c>
      <c r="D257" s="89">
        <v>5049.6400000000003</v>
      </c>
      <c r="E257" s="72"/>
    </row>
    <row r="258" spans="1:5" x14ac:dyDescent="0.25">
      <c r="A258" s="71"/>
      <c r="B258" s="27" t="s">
        <v>92</v>
      </c>
      <c r="C258" s="67" t="s">
        <v>59</v>
      </c>
      <c r="D258" s="89">
        <v>2786.51</v>
      </c>
      <c r="E258" s="72"/>
    </row>
    <row r="259" spans="1:5" x14ac:dyDescent="0.25">
      <c r="A259" s="71"/>
      <c r="B259" s="27" t="s">
        <v>93</v>
      </c>
      <c r="C259" s="67" t="s">
        <v>59</v>
      </c>
      <c r="D259" s="89">
        <v>5781.11</v>
      </c>
      <c r="E259" s="72"/>
    </row>
    <row r="260" spans="1:5" x14ac:dyDescent="0.25">
      <c r="A260" s="71"/>
      <c r="B260" s="27" t="s">
        <v>94</v>
      </c>
      <c r="C260" s="67" t="s">
        <v>59</v>
      </c>
      <c r="D260" s="89">
        <v>4058.15</v>
      </c>
      <c r="E260" s="72"/>
    </row>
    <row r="261" spans="1:5" x14ac:dyDescent="0.25">
      <c r="A261" s="71"/>
      <c r="B261" s="27" t="s">
        <v>95</v>
      </c>
      <c r="C261" s="67" t="s">
        <v>59</v>
      </c>
      <c r="D261" s="89">
        <v>2783.9</v>
      </c>
      <c r="E261" s="72"/>
    </row>
    <row r="262" spans="1:5" x14ac:dyDescent="0.25">
      <c r="A262" s="71"/>
      <c r="B262" s="27" t="s">
        <v>96</v>
      </c>
      <c r="C262" s="67" t="s">
        <v>59</v>
      </c>
      <c r="D262" s="89">
        <v>7142.34</v>
      </c>
      <c r="E262" s="72"/>
    </row>
    <row r="263" spans="1:5" x14ac:dyDescent="0.25">
      <c r="A263" s="71"/>
      <c r="B263" s="27" t="s">
        <v>97</v>
      </c>
      <c r="C263" s="67" t="s">
        <v>59</v>
      </c>
      <c r="D263" s="89">
        <v>3824.3</v>
      </c>
      <c r="E263" s="72"/>
    </row>
    <row r="264" spans="1:5" x14ac:dyDescent="0.25">
      <c r="A264" s="71"/>
      <c r="B264" s="27" t="s">
        <v>98</v>
      </c>
      <c r="C264" s="67" t="s">
        <v>59</v>
      </c>
      <c r="D264" s="89">
        <v>44.03</v>
      </c>
      <c r="E264" s="72"/>
    </row>
    <row r="265" spans="1:5" x14ac:dyDescent="0.25">
      <c r="A265" s="71"/>
      <c r="B265" s="27" t="s">
        <v>99</v>
      </c>
      <c r="C265" s="67" t="s">
        <v>59</v>
      </c>
      <c r="D265" s="89">
        <v>36.22</v>
      </c>
      <c r="E265" s="72"/>
    </row>
    <row r="266" spans="1:5" x14ac:dyDescent="0.25">
      <c r="A266" s="71"/>
      <c r="B266" s="27" t="s">
        <v>448</v>
      </c>
      <c r="C266" s="67" t="s">
        <v>59</v>
      </c>
      <c r="D266" s="89">
        <v>5.27</v>
      </c>
      <c r="E266" s="72"/>
    </row>
    <row r="267" spans="1:5" x14ac:dyDescent="0.25">
      <c r="A267" s="71"/>
      <c r="B267" s="27" t="s">
        <v>100</v>
      </c>
      <c r="C267" s="67" t="s">
        <v>59</v>
      </c>
      <c r="D267" s="89">
        <v>5.86</v>
      </c>
      <c r="E267" s="72"/>
    </row>
    <row r="268" spans="1:5" x14ac:dyDescent="0.25">
      <c r="A268" s="71"/>
      <c r="B268" s="27" t="s">
        <v>101</v>
      </c>
      <c r="C268" s="67" t="s">
        <v>59</v>
      </c>
      <c r="D268" s="89">
        <v>6.07</v>
      </c>
      <c r="E268" s="72"/>
    </row>
    <row r="269" spans="1:5" x14ac:dyDescent="0.25">
      <c r="A269" s="71"/>
      <c r="B269" s="27" t="s">
        <v>102</v>
      </c>
      <c r="C269" s="67" t="s">
        <v>59</v>
      </c>
      <c r="D269" s="89">
        <v>7.82</v>
      </c>
      <c r="E269" s="72"/>
    </row>
    <row r="270" spans="1:5" x14ac:dyDescent="0.25">
      <c r="A270" s="71"/>
      <c r="B270" s="27" t="s">
        <v>103</v>
      </c>
      <c r="C270" s="67" t="s">
        <v>59</v>
      </c>
      <c r="D270" s="89">
        <v>11.61</v>
      </c>
      <c r="E270" s="72"/>
    </row>
    <row r="271" spans="1:5" x14ac:dyDescent="0.25">
      <c r="A271" s="71"/>
      <c r="B271" s="27" t="s">
        <v>104</v>
      </c>
      <c r="C271" s="67" t="s">
        <v>59</v>
      </c>
      <c r="D271" s="89">
        <v>12.66</v>
      </c>
      <c r="E271" s="72"/>
    </row>
    <row r="272" spans="1:5" x14ac:dyDescent="0.25">
      <c r="A272" s="71"/>
      <c r="B272" s="27" t="s">
        <v>105</v>
      </c>
      <c r="C272" s="67" t="s">
        <v>59</v>
      </c>
      <c r="D272" s="89">
        <v>38.83</v>
      </c>
      <c r="E272" s="72"/>
    </row>
    <row r="273" spans="1:5" x14ac:dyDescent="0.25">
      <c r="A273" s="71"/>
      <c r="B273" s="27" t="s">
        <v>106</v>
      </c>
      <c r="C273" s="67" t="s">
        <v>59</v>
      </c>
      <c r="D273" s="89">
        <v>14.49</v>
      </c>
      <c r="E273" s="72"/>
    </row>
    <row r="274" spans="1:5" x14ac:dyDescent="0.25">
      <c r="A274" s="71"/>
      <c r="B274" s="27" t="s">
        <v>107</v>
      </c>
      <c r="C274" s="67" t="s">
        <v>59</v>
      </c>
      <c r="D274" s="89">
        <v>19.559999999999999</v>
      </c>
      <c r="E274" s="72"/>
    </row>
    <row r="275" spans="1:5" x14ac:dyDescent="0.25">
      <c r="A275" s="71"/>
      <c r="B275" s="27" t="s">
        <v>108</v>
      </c>
      <c r="C275" s="67" t="s">
        <v>59</v>
      </c>
      <c r="D275" s="89">
        <v>22.7</v>
      </c>
      <c r="E275" s="72"/>
    </row>
    <row r="276" spans="1:5" x14ac:dyDescent="0.25">
      <c r="A276" s="71"/>
      <c r="B276" s="27" t="s">
        <v>109</v>
      </c>
      <c r="C276" s="67" t="s">
        <v>59</v>
      </c>
      <c r="D276" s="89">
        <v>31.46</v>
      </c>
      <c r="E276" s="72"/>
    </row>
    <row r="277" spans="1:5" x14ac:dyDescent="0.25">
      <c r="A277" s="71"/>
      <c r="B277" s="27" t="s">
        <v>449</v>
      </c>
      <c r="C277" s="67" t="s">
        <v>59</v>
      </c>
      <c r="D277" s="89">
        <v>43.19</v>
      </c>
      <c r="E277" s="72"/>
    </row>
    <row r="278" spans="1:5" x14ac:dyDescent="0.25">
      <c r="A278" s="71"/>
      <c r="B278" s="27" t="s">
        <v>110</v>
      </c>
      <c r="C278" s="67" t="s">
        <v>59</v>
      </c>
      <c r="D278" s="89">
        <v>60.79</v>
      </c>
      <c r="E278" s="72"/>
    </row>
    <row r="279" spans="1:5" x14ac:dyDescent="0.25">
      <c r="A279" s="71"/>
      <c r="B279" s="27" t="s">
        <v>450</v>
      </c>
      <c r="C279" s="67" t="s">
        <v>59</v>
      </c>
      <c r="D279" s="89">
        <v>88.04</v>
      </c>
      <c r="E279" s="72"/>
    </row>
    <row r="280" spans="1:5" x14ac:dyDescent="0.25">
      <c r="A280" s="71"/>
      <c r="B280" s="27" t="s">
        <v>111</v>
      </c>
      <c r="C280" s="67" t="s">
        <v>59</v>
      </c>
      <c r="D280" s="89">
        <v>30.43</v>
      </c>
      <c r="E280" s="72"/>
    </row>
    <row r="281" spans="1:5" x14ac:dyDescent="0.25">
      <c r="A281" s="71"/>
      <c r="B281" s="27" t="s">
        <v>112</v>
      </c>
      <c r="C281" s="67" t="s">
        <v>59</v>
      </c>
      <c r="D281" s="89">
        <v>34.49</v>
      </c>
      <c r="E281" s="72"/>
    </row>
    <row r="282" spans="1:5" x14ac:dyDescent="0.25">
      <c r="A282" s="71"/>
      <c r="B282" s="27" t="s">
        <v>113</v>
      </c>
      <c r="C282" s="67" t="s">
        <v>59</v>
      </c>
      <c r="D282" s="89">
        <v>38.56</v>
      </c>
      <c r="E282" s="72"/>
    </row>
    <row r="283" spans="1:5" x14ac:dyDescent="0.25">
      <c r="A283" s="71"/>
      <c r="B283" s="27" t="s">
        <v>114</v>
      </c>
      <c r="C283" s="67" t="s">
        <v>59</v>
      </c>
      <c r="D283" s="89">
        <v>62.9</v>
      </c>
      <c r="E283" s="72"/>
    </row>
    <row r="284" spans="1:5" x14ac:dyDescent="0.25">
      <c r="A284" s="71"/>
      <c r="B284" s="27" t="s">
        <v>115</v>
      </c>
      <c r="C284" s="67" t="s">
        <v>59</v>
      </c>
      <c r="D284" s="89">
        <v>71.010000000000005</v>
      </c>
      <c r="E284" s="72"/>
    </row>
    <row r="285" spans="1:5" x14ac:dyDescent="0.25">
      <c r="A285" s="71"/>
      <c r="B285" s="27" t="s">
        <v>116</v>
      </c>
      <c r="C285" s="67" t="s">
        <v>59</v>
      </c>
      <c r="D285" s="89">
        <v>97.39</v>
      </c>
      <c r="E285" s="72"/>
    </row>
    <row r="286" spans="1:5" x14ac:dyDescent="0.25">
      <c r="A286" s="71"/>
      <c r="B286" s="27" t="s">
        <v>117</v>
      </c>
      <c r="C286" s="67" t="s">
        <v>59</v>
      </c>
      <c r="D286" s="89">
        <v>24.35</v>
      </c>
      <c r="E286" s="72"/>
    </row>
    <row r="287" spans="1:5" x14ac:dyDescent="0.25">
      <c r="A287" s="71"/>
      <c r="B287" s="27" t="s">
        <v>118</v>
      </c>
      <c r="C287" s="67" t="s">
        <v>59</v>
      </c>
      <c r="D287" s="89">
        <v>26.71</v>
      </c>
      <c r="E287" s="72"/>
    </row>
    <row r="288" spans="1:5" x14ac:dyDescent="0.25">
      <c r="A288" s="71"/>
      <c r="B288" s="27" t="s">
        <v>119</v>
      </c>
      <c r="C288" s="67" t="s">
        <v>59</v>
      </c>
      <c r="D288" s="89">
        <v>27.72</v>
      </c>
      <c r="E288" s="72"/>
    </row>
    <row r="289" spans="1:5" x14ac:dyDescent="0.25">
      <c r="A289" s="71"/>
      <c r="B289" s="27" t="s">
        <v>120</v>
      </c>
      <c r="C289" s="67" t="s">
        <v>59</v>
      </c>
      <c r="D289" s="89">
        <v>74.38</v>
      </c>
      <c r="E289" s="72"/>
    </row>
    <row r="290" spans="1:5" x14ac:dyDescent="0.25">
      <c r="A290" s="71"/>
      <c r="B290" s="27" t="s">
        <v>121</v>
      </c>
      <c r="C290" s="67" t="s">
        <v>59</v>
      </c>
      <c r="D290" s="89">
        <v>98.37</v>
      </c>
      <c r="E290" s="72"/>
    </row>
    <row r="291" spans="1:5" x14ac:dyDescent="0.25">
      <c r="A291" s="71"/>
      <c r="B291" s="27" t="s">
        <v>122</v>
      </c>
      <c r="C291" s="67" t="s">
        <v>59</v>
      </c>
      <c r="D291" s="89">
        <v>120.53</v>
      </c>
      <c r="E291" s="72"/>
    </row>
    <row r="292" spans="1:5" x14ac:dyDescent="0.25">
      <c r="A292" s="71"/>
      <c r="B292" s="27" t="s">
        <v>123</v>
      </c>
      <c r="C292" s="67" t="s">
        <v>59</v>
      </c>
      <c r="D292" s="89">
        <v>16.11</v>
      </c>
      <c r="E292" s="72"/>
    </row>
    <row r="293" spans="1:5" x14ac:dyDescent="0.25">
      <c r="A293" s="71"/>
      <c r="B293" s="27" t="s">
        <v>124</v>
      </c>
      <c r="C293" s="67" t="s">
        <v>59</v>
      </c>
      <c r="D293" s="89">
        <v>16.11</v>
      </c>
      <c r="E293" s="72"/>
    </row>
    <row r="294" spans="1:5" x14ac:dyDescent="0.25">
      <c r="A294" s="71"/>
      <c r="B294" s="27" t="s">
        <v>125</v>
      </c>
      <c r="C294" s="67" t="s">
        <v>59</v>
      </c>
      <c r="D294" s="89">
        <v>14.67</v>
      </c>
      <c r="E294" s="72"/>
    </row>
    <row r="295" spans="1:5" x14ac:dyDescent="0.25">
      <c r="A295" s="71"/>
      <c r="B295" s="27" t="s">
        <v>126</v>
      </c>
      <c r="C295" s="67" t="s">
        <v>59</v>
      </c>
      <c r="D295" s="89">
        <v>12.86</v>
      </c>
      <c r="E295" s="72"/>
    </row>
    <row r="296" spans="1:5" x14ac:dyDescent="0.25">
      <c r="A296" s="71"/>
      <c r="B296" s="27" t="s">
        <v>127</v>
      </c>
      <c r="C296" s="67" t="s">
        <v>59</v>
      </c>
      <c r="D296" s="89">
        <v>12.86</v>
      </c>
      <c r="E296" s="72"/>
    </row>
    <row r="297" spans="1:5" x14ac:dyDescent="0.25">
      <c r="A297" s="71"/>
      <c r="B297" s="27" t="s">
        <v>128</v>
      </c>
      <c r="C297" s="67" t="s">
        <v>59</v>
      </c>
      <c r="D297" s="89">
        <v>14.67</v>
      </c>
      <c r="E297" s="72"/>
    </row>
    <row r="298" spans="1:5" x14ac:dyDescent="0.25">
      <c r="A298" s="71"/>
      <c r="B298" s="27" t="s">
        <v>129</v>
      </c>
      <c r="C298" s="67" t="s">
        <v>59</v>
      </c>
      <c r="D298" s="89">
        <v>24.59</v>
      </c>
      <c r="E298" s="72"/>
    </row>
    <row r="299" spans="1:5" x14ac:dyDescent="0.25">
      <c r="A299" s="71"/>
      <c r="B299" s="27" t="s">
        <v>130</v>
      </c>
      <c r="C299" s="67" t="s">
        <v>59</v>
      </c>
      <c r="D299" s="89">
        <v>30.43</v>
      </c>
      <c r="E299" s="72"/>
    </row>
    <row r="300" spans="1:5" x14ac:dyDescent="0.25">
      <c r="A300" s="71"/>
      <c r="B300" s="27" t="s">
        <v>131</v>
      </c>
      <c r="C300" s="67" t="s">
        <v>59</v>
      </c>
      <c r="D300" s="89">
        <v>30.43</v>
      </c>
      <c r="E300" s="72"/>
    </row>
    <row r="301" spans="1:5" x14ac:dyDescent="0.25">
      <c r="A301" s="71"/>
      <c r="B301" s="27" t="s">
        <v>132</v>
      </c>
      <c r="C301" s="67" t="s">
        <v>59</v>
      </c>
      <c r="D301" s="89">
        <v>27.57</v>
      </c>
      <c r="E301" s="72"/>
    </row>
    <row r="302" spans="1:5" x14ac:dyDescent="0.25">
      <c r="A302" s="71"/>
      <c r="B302" s="27" t="s">
        <v>133</v>
      </c>
      <c r="C302" s="67" t="s">
        <v>59</v>
      </c>
      <c r="D302" s="89">
        <v>41.15</v>
      </c>
      <c r="E302" s="72"/>
    </row>
    <row r="303" spans="1:5" x14ac:dyDescent="0.25">
      <c r="A303" s="71"/>
      <c r="B303" s="27" t="s">
        <v>134</v>
      </c>
      <c r="C303" s="67" t="s">
        <v>59</v>
      </c>
      <c r="D303" s="89">
        <v>13.45</v>
      </c>
      <c r="E303" s="72"/>
    </row>
    <row r="304" spans="1:5" x14ac:dyDescent="0.25">
      <c r="A304" s="71"/>
      <c r="B304" s="27" t="s">
        <v>135</v>
      </c>
      <c r="C304" s="67" t="s">
        <v>59</v>
      </c>
      <c r="D304" s="89">
        <v>14.87</v>
      </c>
      <c r="E304" s="72"/>
    </row>
    <row r="305" spans="1:5" x14ac:dyDescent="0.25">
      <c r="A305" s="71"/>
      <c r="B305" s="27" t="s">
        <v>136</v>
      </c>
      <c r="C305" s="67" t="s">
        <v>59</v>
      </c>
      <c r="D305" s="89">
        <v>16.34</v>
      </c>
      <c r="E305" s="72"/>
    </row>
    <row r="306" spans="1:5" x14ac:dyDescent="0.25">
      <c r="A306" s="71"/>
      <c r="B306" s="27" t="s">
        <v>137</v>
      </c>
      <c r="C306" s="67" t="s">
        <v>59</v>
      </c>
      <c r="D306" s="89">
        <v>34.130000000000003</v>
      </c>
      <c r="E306" s="72"/>
    </row>
    <row r="307" spans="1:5" x14ac:dyDescent="0.25">
      <c r="A307" s="71"/>
      <c r="B307" s="27" t="s">
        <v>138</v>
      </c>
      <c r="C307" s="67" t="s">
        <v>59</v>
      </c>
      <c r="D307" s="89">
        <v>32.9</v>
      </c>
      <c r="E307" s="72"/>
    </row>
    <row r="308" spans="1:5" x14ac:dyDescent="0.25">
      <c r="A308" s="71"/>
      <c r="B308" s="27" t="s">
        <v>139</v>
      </c>
      <c r="C308" s="67" t="s">
        <v>59</v>
      </c>
      <c r="D308" s="89">
        <v>39.71</v>
      </c>
      <c r="E308" s="72"/>
    </row>
    <row r="309" spans="1:5" x14ac:dyDescent="0.25">
      <c r="A309" s="71"/>
      <c r="B309" s="27" t="s">
        <v>140</v>
      </c>
      <c r="C309" s="67" t="s">
        <v>59</v>
      </c>
      <c r="D309" s="89">
        <v>40.22</v>
      </c>
      <c r="E309" s="72"/>
    </row>
    <row r="310" spans="1:5" x14ac:dyDescent="0.25">
      <c r="A310" s="71"/>
      <c r="B310" s="27" t="s">
        <v>141</v>
      </c>
      <c r="C310" s="67" t="s">
        <v>59</v>
      </c>
      <c r="D310" s="89">
        <v>42.08</v>
      </c>
      <c r="E310" s="72"/>
    </row>
    <row r="311" spans="1:5" x14ac:dyDescent="0.25">
      <c r="A311" s="71"/>
      <c r="B311" s="27" t="s">
        <v>142</v>
      </c>
      <c r="C311" s="67" t="s">
        <v>59</v>
      </c>
      <c r="D311" s="89">
        <v>41.33</v>
      </c>
      <c r="E311" s="72"/>
    </row>
    <row r="312" spans="1:5" x14ac:dyDescent="0.25">
      <c r="A312" s="71"/>
      <c r="B312" s="27" t="s">
        <v>143</v>
      </c>
      <c r="C312" s="67" t="s">
        <v>59</v>
      </c>
      <c r="D312" s="89">
        <v>55.35</v>
      </c>
      <c r="E312" s="72"/>
    </row>
    <row r="313" spans="1:5" x14ac:dyDescent="0.25">
      <c r="A313" s="71"/>
      <c r="B313" s="27" t="s">
        <v>144</v>
      </c>
      <c r="C313" s="67" t="s">
        <v>59</v>
      </c>
      <c r="D313" s="89">
        <v>72.28</v>
      </c>
      <c r="E313" s="72"/>
    </row>
    <row r="314" spans="1:5" x14ac:dyDescent="0.25">
      <c r="A314" s="71"/>
      <c r="B314" s="27" t="s">
        <v>145</v>
      </c>
      <c r="C314" s="67" t="s">
        <v>59</v>
      </c>
      <c r="D314" s="89">
        <v>19.18</v>
      </c>
      <c r="E314" s="72"/>
    </row>
    <row r="315" spans="1:5" x14ac:dyDescent="0.25">
      <c r="A315" s="71"/>
      <c r="B315" s="27" t="s">
        <v>146</v>
      </c>
      <c r="C315" s="67" t="s">
        <v>59</v>
      </c>
      <c r="D315" s="89">
        <v>34.549999999999997</v>
      </c>
      <c r="E315" s="72"/>
    </row>
    <row r="316" spans="1:5" x14ac:dyDescent="0.25">
      <c r="A316" s="71"/>
      <c r="B316" s="27" t="s">
        <v>147</v>
      </c>
      <c r="C316" s="67" t="s">
        <v>59</v>
      </c>
      <c r="D316" s="89">
        <v>39.32</v>
      </c>
      <c r="E316" s="72"/>
    </row>
    <row r="317" spans="1:5" x14ac:dyDescent="0.25">
      <c r="A317" s="71"/>
      <c r="B317" s="27" t="s">
        <v>148</v>
      </c>
      <c r="C317" s="67" t="s">
        <v>59</v>
      </c>
      <c r="D317" s="89">
        <v>52.65</v>
      </c>
      <c r="E317" s="72"/>
    </row>
    <row r="318" spans="1:5" x14ac:dyDescent="0.25">
      <c r="A318" s="71"/>
      <c r="B318" s="27" t="s">
        <v>149</v>
      </c>
      <c r="C318" s="67" t="s">
        <v>59</v>
      </c>
      <c r="D318" s="89">
        <v>72.34</v>
      </c>
      <c r="E318" s="72"/>
    </row>
    <row r="319" spans="1:5" x14ac:dyDescent="0.25">
      <c r="A319" s="71"/>
      <c r="B319" s="27" t="s">
        <v>150</v>
      </c>
      <c r="C319" s="67" t="s">
        <v>59</v>
      </c>
      <c r="D319" s="89">
        <v>81.17</v>
      </c>
      <c r="E319" s="72"/>
    </row>
    <row r="320" spans="1:5" x14ac:dyDescent="0.25">
      <c r="A320" s="71"/>
      <c r="B320" s="27" t="s">
        <v>151</v>
      </c>
      <c r="C320" s="67" t="s">
        <v>59</v>
      </c>
      <c r="D320" s="89">
        <v>18.18</v>
      </c>
      <c r="E320" s="72"/>
    </row>
    <row r="321" spans="1:5" x14ac:dyDescent="0.25">
      <c r="A321" s="71"/>
      <c r="B321" s="27" t="s">
        <v>152</v>
      </c>
      <c r="C321" s="67" t="s">
        <v>59</v>
      </c>
      <c r="D321" s="89">
        <v>74.400000000000006</v>
      </c>
      <c r="E321" s="72"/>
    </row>
    <row r="322" spans="1:5" x14ac:dyDescent="0.25">
      <c r="A322" s="71"/>
      <c r="B322" s="27" t="s">
        <v>153</v>
      </c>
      <c r="C322" s="67" t="s">
        <v>59</v>
      </c>
      <c r="D322" s="89">
        <v>90.94</v>
      </c>
      <c r="E322" s="72"/>
    </row>
    <row r="323" spans="1:5" x14ac:dyDescent="0.25">
      <c r="A323" s="71"/>
      <c r="B323" s="27" t="s">
        <v>154</v>
      </c>
      <c r="C323" s="67" t="s">
        <v>59</v>
      </c>
      <c r="D323" s="89">
        <v>66.19</v>
      </c>
      <c r="E323" s="72"/>
    </row>
    <row r="324" spans="1:5" x14ac:dyDescent="0.25">
      <c r="A324" s="71"/>
      <c r="B324" s="27" t="s">
        <v>155</v>
      </c>
      <c r="C324" s="67" t="s">
        <v>59</v>
      </c>
      <c r="D324" s="89">
        <v>153.07</v>
      </c>
      <c r="E324" s="72"/>
    </row>
    <row r="325" spans="1:5" x14ac:dyDescent="0.25">
      <c r="A325" s="71"/>
      <c r="B325" s="27" t="s">
        <v>156</v>
      </c>
      <c r="C325" s="67" t="s">
        <v>59</v>
      </c>
      <c r="D325" s="89">
        <v>214.32</v>
      </c>
      <c r="E325" s="72"/>
    </row>
    <row r="326" spans="1:5" x14ac:dyDescent="0.25">
      <c r="A326" s="71"/>
      <c r="B326" s="27" t="s">
        <v>451</v>
      </c>
      <c r="C326" s="67" t="s">
        <v>59</v>
      </c>
      <c r="D326" s="89">
        <v>31.31</v>
      </c>
      <c r="E326" s="72"/>
    </row>
    <row r="327" spans="1:5" x14ac:dyDescent="0.25">
      <c r="A327" s="71"/>
      <c r="B327" s="27" t="s">
        <v>452</v>
      </c>
      <c r="C327" s="67" t="s">
        <v>59</v>
      </c>
      <c r="D327" s="89">
        <v>41.58</v>
      </c>
      <c r="E327" s="72"/>
    </row>
    <row r="328" spans="1:5" x14ac:dyDescent="0.25">
      <c r="A328" s="71"/>
      <c r="B328" s="27" t="s">
        <v>453</v>
      </c>
      <c r="C328" s="67" t="s">
        <v>59</v>
      </c>
      <c r="D328" s="89">
        <v>23.72</v>
      </c>
      <c r="E328" s="72"/>
    </row>
    <row r="329" spans="1:5" x14ac:dyDescent="0.25">
      <c r="A329" s="71"/>
      <c r="B329" s="27" t="s">
        <v>157</v>
      </c>
      <c r="C329" s="67" t="s">
        <v>59</v>
      </c>
      <c r="D329" s="89">
        <v>46.61</v>
      </c>
      <c r="E329" s="72"/>
    </row>
    <row r="330" spans="1:5" x14ac:dyDescent="0.25">
      <c r="A330" s="71"/>
      <c r="B330" s="27" t="s">
        <v>158</v>
      </c>
      <c r="C330" s="67" t="s">
        <v>59</v>
      </c>
      <c r="D330" s="89">
        <v>29.69</v>
      </c>
      <c r="E330" s="72"/>
    </row>
    <row r="331" spans="1:5" x14ac:dyDescent="0.25">
      <c r="A331" s="71"/>
      <c r="B331" s="27" t="s">
        <v>159</v>
      </c>
      <c r="C331" s="67" t="s">
        <v>59</v>
      </c>
      <c r="D331" s="89">
        <v>45.88</v>
      </c>
      <c r="E331" s="72"/>
    </row>
    <row r="332" spans="1:5" x14ac:dyDescent="0.25">
      <c r="A332" s="71"/>
      <c r="B332" s="27" t="s">
        <v>160</v>
      </c>
      <c r="C332" s="67" t="s">
        <v>59</v>
      </c>
      <c r="D332" s="89">
        <v>37.76</v>
      </c>
      <c r="E332" s="72"/>
    </row>
    <row r="333" spans="1:5" x14ac:dyDescent="0.25">
      <c r="A333" s="71"/>
      <c r="B333" s="27" t="s">
        <v>161</v>
      </c>
      <c r="C333" s="67" t="s">
        <v>59</v>
      </c>
      <c r="D333" s="89">
        <v>26.19</v>
      </c>
      <c r="E333" s="72"/>
    </row>
    <row r="334" spans="1:5" x14ac:dyDescent="0.25">
      <c r="A334" s="71"/>
      <c r="B334" s="27" t="s">
        <v>162</v>
      </c>
      <c r="C334" s="67" t="s">
        <v>59</v>
      </c>
      <c r="D334" s="89">
        <v>27.94</v>
      </c>
      <c r="E334" s="72"/>
    </row>
    <row r="335" spans="1:5" x14ac:dyDescent="0.25">
      <c r="A335" s="71"/>
      <c r="B335" s="27" t="s">
        <v>163</v>
      </c>
      <c r="C335" s="67" t="s">
        <v>59</v>
      </c>
      <c r="D335" s="89">
        <v>39.979999999999997</v>
      </c>
      <c r="E335" s="72"/>
    </row>
    <row r="336" spans="1:5" x14ac:dyDescent="0.25">
      <c r="A336" s="71"/>
      <c r="B336" s="27" t="s">
        <v>164</v>
      </c>
      <c r="C336" s="67" t="s">
        <v>59</v>
      </c>
      <c r="D336" s="89">
        <v>34.9</v>
      </c>
      <c r="E336" s="72"/>
    </row>
    <row r="337" spans="1:5" x14ac:dyDescent="0.25">
      <c r="A337" s="71"/>
      <c r="B337" s="27" t="s">
        <v>165</v>
      </c>
      <c r="C337" s="67" t="s">
        <v>59</v>
      </c>
      <c r="D337" s="89">
        <v>125.29</v>
      </c>
      <c r="E337" s="72"/>
    </row>
    <row r="338" spans="1:5" x14ac:dyDescent="0.25">
      <c r="A338" s="71"/>
      <c r="B338" s="27" t="s">
        <v>166</v>
      </c>
      <c r="C338" s="67" t="s">
        <v>59</v>
      </c>
      <c r="D338" s="89">
        <v>313.8</v>
      </c>
      <c r="E338" s="72"/>
    </row>
    <row r="339" spans="1:5" x14ac:dyDescent="0.25">
      <c r="A339" s="71"/>
      <c r="B339" s="27" t="s">
        <v>167</v>
      </c>
      <c r="C339" s="67" t="s">
        <v>59</v>
      </c>
      <c r="D339" s="89">
        <v>7.94</v>
      </c>
      <c r="E339" s="72"/>
    </row>
    <row r="340" spans="1:5" x14ac:dyDescent="0.25">
      <c r="A340" s="71"/>
      <c r="B340" s="27" t="s">
        <v>168</v>
      </c>
      <c r="C340" s="67" t="s">
        <v>59</v>
      </c>
      <c r="D340" s="89">
        <v>8.34</v>
      </c>
      <c r="E340" s="72"/>
    </row>
    <row r="341" spans="1:5" x14ac:dyDescent="0.25">
      <c r="A341" s="71"/>
      <c r="B341" s="27" t="s">
        <v>169</v>
      </c>
      <c r="C341" s="67" t="s">
        <v>59</v>
      </c>
      <c r="D341" s="89">
        <v>10.14</v>
      </c>
      <c r="E341" s="72"/>
    </row>
    <row r="342" spans="1:5" x14ac:dyDescent="0.25">
      <c r="A342" s="71"/>
      <c r="B342" s="27" t="s">
        <v>170</v>
      </c>
      <c r="C342" s="67" t="s">
        <v>59</v>
      </c>
      <c r="D342" s="89">
        <v>15</v>
      </c>
      <c r="E342" s="72"/>
    </row>
    <row r="343" spans="1:5" x14ac:dyDescent="0.25">
      <c r="A343" s="71"/>
      <c r="B343" s="27" t="s">
        <v>171</v>
      </c>
      <c r="C343" s="67" t="s">
        <v>59</v>
      </c>
      <c r="D343" s="89">
        <v>23.76</v>
      </c>
      <c r="E343" s="72"/>
    </row>
    <row r="344" spans="1:5" x14ac:dyDescent="0.25">
      <c r="A344" s="71"/>
      <c r="B344" s="27" t="s">
        <v>172</v>
      </c>
      <c r="C344" s="67" t="s">
        <v>59</v>
      </c>
      <c r="D344" s="89">
        <v>68.040000000000006</v>
      </c>
      <c r="E344" s="72"/>
    </row>
    <row r="345" spans="1:5" x14ac:dyDescent="0.25">
      <c r="A345" s="71"/>
      <c r="B345" s="27" t="s">
        <v>173</v>
      </c>
      <c r="C345" s="67" t="s">
        <v>59</v>
      </c>
      <c r="D345" s="89">
        <v>982.68</v>
      </c>
      <c r="E345" s="72"/>
    </row>
    <row r="346" spans="1:5" x14ac:dyDescent="0.25">
      <c r="A346" s="71"/>
      <c r="B346" s="27" t="s">
        <v>174</v>
      </c>
      <c r="C346" s="67" t="s">
        <v>59</v>
      </c>
      <c r="D346" s="89">
        <v>4.75</v>
      </c>
      <c r="E346" s="72"/>
    </row>
    <row r="347" spans="1:5" x14ac:dyDescent="0.25">
      <c r="A347" s="71"/>
      <c r="B347" s="27" t="s">
        <v>175</v>
      </c>
      <c r="C347" s="67" t="s">
        <v>59</v>
      </c>
      <c r="D347" s="89">
        <v>1.87</v>
      </c>
      <c r="E347" s="72"/>
    </row>
    <row r="348" spans="1:5" x14ac:dyDescent="0.25">
      <c r="A348" s="71"/>
      <c r="B348" s="27" t="s">
        <v>176</v>
      </c>
      <c r="C348" s="67" t="s">
        <v>59</v>
      </c>
      <c r="D348" s="89">
        <v>24.94</v>
      </c>
      <c r="E348" s="72"/>
    </row>
    <row r="349" spans="1:5" x14ac:dyDescent="0.25">
      <c r="A349" s="71"/>
      <c r="B349" s="27" t="s">
        <v>177</v>
      </c>
      <c r="C349" s="67" t="s">
        <v>59</v>
      </c>
      <c r="D349" s="89">
        <v>28.85</v>
      </c>
      <c r="E349" s="72"/>
    </row>
    <row r="350" spans="1:5" x14ac:dyDescent="0.25">
      <c r="A350" s="71"/>
      <c r="B350" s="27" t="s">
        <v>178</v>
      </c>
      <c r="C350" s="67" t="s">
        <v>59</v>
      </c>
      <c r="D350" s="89">
        <v>33.03</v>
      </c>
      <c r="E350" s="72"/>
    </row>
    <row r="351" spans="1:5" x14ac:dyDescent="0.25">
      <c r="A351" s="71"/>
      <c r="B351" s="27" t="s">
        <v>179</v>
      </c>
      <c r="C351" s="67" t="s">
        <v>59</v>
      </c>
      <c r="D351" s="89">
        <v>44.58</v>
      </c>
      <c r="E351" s="72"/>
    </row>
    <row r="352" spans="1:5" x14ac:dyDescent="0.25">
      <c r="A352" s="71"/>
      <c r="B352" s="27" t="s">
        <v>180</v>
      </c>
      <c r="C352" s="67" t="s">
        <v>59</v>
      </c>
      <c r="D352" s="89">
        <v>9364.18</v>
      </c>
      <c r="E352" s="72"/>
    </row>
    <row r="353" spans="1:5" x14ac:dyDescent="0.25">
      <c r="A353" s="71"/>
      <c r="B353" s="27" t="s">
        <v>572</v>
      </c>
      <c r="C353" s="67" t="s">
        <v>59</v>
      </c>
      <c r="D353" s="89">
        <v>1359.48</v>
      </c>
      <c r="E353" s="72"/>
    </row>
    <row r="354" spans="1:5" x14ac:dyDescent="0.25">
      <c r="A354" s="71"/>
      <c r="B354" s="27" t="s">
        <v>181</v>
      </c>
      <c r="C354" s="67" t="s">
        <v>59</v>
      </c>
      <c r="D354" s="89">
        <v>1268.17</v>
      </c>
      <c r="E354" s="72"/>
    </row>
    <row r="355" spans="1:5" x14ac:dyDescent="0.25">
      <c r="A355" s="71"/>
      <c r="B355" s="27" t="s">
        <v>182</v>
      </c>
      <c r="C355" s="67" t="s">
        <v>59</v>
      </c>
      <c r="D355" s="89">
        <v>1988.49</v>
      </c>
      <c r="E355" s="72"/>
    </row>
    <row r="356" spans="1:5" x14ac:dyDescent="0.25">
      <c r="A356" s="71"/>
      <c r="B356" s="27" t="s">
        <v>189</v>
      </c>
      <c r="C356" s="67" t="s">
        <v>59</v>
      </c>
      <c r="D356" s="89">
        <v>1704.42</v>
      </c>
      <c r="E356" s="72"/>
    </row>
    <row r="357" spans="1:5" x14ac:dyDescent="0.25">
      <c r="A357" s="71"/>
      <c r="B357" s="27" t="s">
        <v>183</v>
      </c>
      <c r="C357" s="67" t="s">
        <v>59</v>
      </c>
      <c r="D357" s="89">
        <v>1935.74</v>
      </c>
      <c r="E357" s="72"/>
    </row>
    <row r="358" spans="1:5" x14ac:dyDescent="0.25">
      <c r="A358" s="71"/>
      <c r="B358" s="27" t="s">
        <v>573</v>
      </c>
      <c r="C358" s="67" t="s">
        <v>59</v>
      </c>
      <c r="D358" s="89">
        <v>6166.46</v>
      </c>
      <c r="E358" s="72"/>
    </row>
    <row r="359" spans="1:5" x14ac:dyDescent="0.25">
      <c r="A359" s="71"/>
      <c r="B359" s="27" t="s">
        <v>454</v>
      </c>
      <c r="C359" s="67" t="s">
        <v>59</v>
      </c>
      <c r="D359" s="89">
        <v>1153.7</v>
      </c>
      <c r="E359" s="72"/>
    </row>
    <row r="360" spans="1:5" x14ac:dyDescent="0.25">
      <c r="A360" s="71"/>
      <c r="B360" s="27" t="s">
        <v>574</v>
      </c>
      <c r="C360" s="67" t="s">
        <v>59</v>
      </c>
      <c r="D360" s="89">
        <v>202.9</v>
      </c>
      <c r="E360" s="72"/>
    </row>
    <row r="361" spans="1:5" x14ac:dyDescent="0.25">
      <c r="A361" s="71"/>
      <c r="B361" s="27" t="s">
        <v>184</v>
      </c>
      <c r="C361" s="67" t="s">
        <v>59</v>
      </c>
      <c r="D361" s="89">
        <v>20.29</v>
      </c>
      <c r="E361" s="72"/>
    </row>
    <row r="362" spans="1:5" x14ac:dyDescent="0.25">
      <c r="A362" s="71"/>
      <c r="B362" s="27" t="s">
        <v>185</v>
      </c>
      <c r="C362" s="67" t="s">
        <v>59</v>
      </c>
      <c r="D362" s="89">
        <v>121.75</v>
      </c>
      <c r="E362" s="72"/>
    </row>
    <row r="363" spans="1:5" x14ac:dyDescent="0.25">
      <c r="A363" s="71"/>
      <c r="B363" s="27" t="s">
        <v>186</v>
      </c>
      <c r="C363" s="67" t="s">
        <v>59</v>
      </c>
      <c r="D363" s="89">
        <v>141.83000000000001</v>
      </c>
      <c r="E363" s="72"/>
    </row>
    <row r="364" spans="1:5" x14ac:dyDescent="0.25">
      <c r="A364" s="71"/>
      <c r="B364" s="27" t="s">
        <v>187</v>
      </c>
      <c r="C364" s="67" t="s">
        <v>59</v>
      </c>
      <c r="D364" s="89">
        <v>1040.92</v>
      </c>
      <c r="E364" s="72"/>
    </row>
    <row r="365" spans="1:5" x14ac:dyDescent="0.25">
      <c r="A365" s="71"/>
      <c r="B365" s="27" t="s">
        <v>455</v>
      </c>
      <c r="C365" s="67" t="s">
        <v>59</v>
      </c>
      <c r="D365" s="89">
        <v>365.23</v>
      </c>
      <c r="E365" s="72"/>
    </row>
    <row r="366" spans="1:5" x14ac:dyDescent="0.25">
      <c r="A366" s="71"/>
      <c r="B366" s="27" t="s">
        <v>188</v>
      </c>
      <c r="C366" s="67" t="s">
        <v>59</v>
      </c>
      <c r="D366" s="89">
        <v>7842.38</v>
      </c>
      <c r="E366" s="72"/>
    </row>
    <row r="367" spans="1:5" x14ac:dyDescent="0.25">
      <c r="A367" s="71"/>
      <c r="B367" s="27" t="s">
        <v>190</v>
      </c>
      <c r="C367" s="67" t="s">
        <v>59</v>
      </c>
      <c r="D367" s="89">
        <v>4250.91</v>
      </c>
      <c r="E367" s="72"/>
    </row>
    <row r="368" spans="1:5" x14ac:dyDescent="0.25">
      <c r="A368" s="71"/>
      <c r="B368" s="27" t="s">
        <v>191</v>
      </c>
      <c r="C368" s="67" t="s">
        <v>59</v>
      </c>
      <c r="D368" s="89">
        <v>6184.63</v>
      </c>
      <c r="E368" s="72"/>
    </row>
    <row r="369" spans="1:5" x14ac:dyDescent="0.25">
      <c r="A369" s="71"/>
      <c r="B369" s="27" t="s">
        <v>192</v>
      </c>
      <c r="C369" s="67" t="s">
        <v>59</v>
      </c>
      <c r="D369" s="89">
        <v>18793.3</v>
      </c>
      <c r="E369" s="72"/>
    </row>
    <row r="370" spans="1:5" x14ac:dyDescent="0.25">
      <c r="A370" s="71"/>
      <c r="B370" s="69" t="s">
        <v>321</v>
      </c>
      <c r="C370" s="70" t="s">
        <v>65</v>
      </c>
      <c r="D370" s="89">
        <v>0.14000000000000001</v>
      </c>
      <c r="E370" s="72"/>
    </row>
    <row r="371" spans="1:5" x14ac:dyDescent="0.25">
      <c r="A371" s="71"/>
      <c r="B371" s="69" t="s">
        <v>322</v>
      </c>
      <c r="C371" s="70" t="s">
        <v>65</v>
      </c>
      <c r="D371" s="89">
        <v>0.31</v>
      </c>
      <c r="E371" s="72"/>
    </row>
    <row r="372" spans="1:5" x14ac:dyDescent="0.25">
      <c r="A372" s="71"/>
      <c r="B372" s="69" t="s">
        <v>331</v>
      </c>
      <c r="C372" s="90" t="s">
        <v>65</v>
      </c>
      <c r="D372" s="89">
        <v>60.87</v>
      </c>
      <c r="E372" s="72"/>
    </row>
    <row r="373" spans="1:5" x14ac:dyDescent="0.25">
      <c r="A373" s="71"/>
      <c r="B373" s="69" t="s">
        <v>323</v>
      </c>
      <c r="C373" s="90" t="s">
        <v>65</v>
      </c>
      <c r="D373" s="89">
        <v>0.16</v>
      </c>
      <c r="E373" s="72"/>
    </row>
    <row r="374" spans="1:5" x14ac:dyDescent="0.25">
      <c r="A374" s="71"/>
      <c r="B374" s="69" t="s">
        <v>324</v>
      </c>
      <c r="C374" s="70" t="s">
        <v>63</v>
      </c>
      <c r="D374" s="89">
        <v>2.23</v>
      </c>
      <c r="E374" s="72"/>
    </row>
    <row r="375" spans="1:5" x14ac:dyDescent="0.25">
      <c r="A375" s="71"/>
      <c r="B375" s="69" t="s">
        <v>903</v>
      </c>
      <c r="C375" s="70" t="s">
        <v>317</v>
      </c>
      <c r="D375" s="89">
        <v>2.62</v>
      </c>
      <c r="E375" s="72"/>
    </row>
    <row r="376" spans="1:5" x14ac:dyDescent="0.25">
      <c r="A376" s="71"/>
      <c r="B376" s="69" t="s">
        <v>619</v>
      </c>
      <c r="C376" s="70" t="s">
        <v>317</v>
      </c>
      <c r="D376" s="89">
        <v>2.23</v>
      </c>
      <c r="E376" s="72"/>
    </row>
    <row r="377" spans="1:5" x14ac:dyDescent="0.25">
      <c r="A377" s="71"/>
      <c r="B377" s="69" t="s">
        <v>620</v>
      </c>
      <c r="C377" s="70" t="s">
        <v>63</v>
      </c>
      <c r="D377" s="89">
        <v>6.09</v>
      </c>
      <c r="E377" s="72"/>
    </row>
    <row r="378" spans="1:5" x14ac:dyDescent="0.25">
      <c r="A378" s="71"/>
      <c r="B378" s="69" t="s">
        <v>325</v>
      </c>
      <c r="C378" s="70" t="s">
        <v>319</v>
      </c>
      <c r="D378" s="89">
        <v>8.11</v>
      </c>
      <c r="E378" s="72"/>
    </row>
    <row r="379" spans="1:5" x14ac:dyDescent="0.25">
      <c r="A379" s="71"/>
      <c r="B379" s="69" t="s">
        <v>326</v>
      </c>
      <c r="C379" s="70" t="s">
        <v>319</v>
      </c>
      <c r="D379" s="89">
        <v>10.14</v>
      </c>
      <c r="E379" s="72"/>
    </row>
    <row r="380" spans="1:5" x14ac:dyDescent="0.25">
      <c r="A380" s="71"/>
      <c r="B380" s="69" t="s">
        <v>328</v>
      </c>
      <c r="C380" s="70" t="s">
        <v>319</v>
      </c>
      <c r="D380" s="89">
        <v>12.68</v>
      </c>
      <c r="E380" s="72"/>
    </row>
    <row r="381" spans="1:5" x14ac:dyDescent="0.25">
      <c r="A381" s="71"/>
      <c r="B381" s="69" t="s">
        <v>329</v>
      </c>
      <c r="C381" s="70" t="s">
        <v>319</v>
      </c>
      <c r="D381" s="89">
        <v>7.61</v>
      </c>
      <c r="E381" s="72"/>
    </row>
    <row r="382" spans="1:5" x14ac:dyDescent="0.25">
      <c r="A382" s="71"/>
      <c r="B382" s="69" t="s">
        <v>330</v>
      </c>
      <c r="C382" s="70" t="s">
        <v>319</v>
      </c>
      <c r="D382" s="89">
        <v>8.11</v>
      </c>
      <c r="E382" s="72"/>
    </row>
    <row r="383" spans="1:5" x14ac:dyDescent="0.25">
      <c r="A383" s="71"/>
      <c r="B383" s="69" t="s">
        <v>327</v>
      </c>
      <c r="C383" s="70" t="s">
        <v>319</v>
      </c>
      <c r="D383" s="89">
        <v>4.0599999999999996</v>
      </c>
      <c r="E383" s="72"/>
    </row>
    <row r="384" spans="1:5" x14ac:dyDescent="0.25">
      <c r="A384" s="71"/>
      <c r="B384" s="69" t="s">
        <v>332</v>
      </c>
      <c r="C384" s="70" t="s">
        <v>60</v>
      </c>
      <c r="D384" s="89">
        <v>25.37</v>
      </c>
      <c r="E384" s="72"/>
    </row>
    <row r="385" spans="1:5" x14ac:dyDescent="0.25">
      <c r="A385" s="71"/>
      <c r="B385" s="69" t="s">
        <v>333</v>
      </c>
      <c r="C385" s="70" t="s">
        <v>60</v>
      </c>
      <c r="D385" s="89">
        <v>25.37</v>
      </c>
      <c r="E385" s="72"/>
    </row>
    <row r="386" spans="1:5" x14ac:dyDescent="0.25">
      <c r="A386" s="71"/>
      <c r="B386" s="69" t="s">
        <v>334</v>
      </c>
      <c r="C386" s="70" t="s">
        <v>60</v>
      </c>
      <c r="D386" s="89">
        <v>7.71</v>
      </c>
      <c r="E386" s="72"/>
    </row>
    <row r="387" spans="1:5" x14ac:dyDescent="0.25">
      <c r="A387" s="71"/>
      <c r="B387" s="69" t="s">
        <v>335</v>
      </c>
      <c r="C387" s="70" t="s">
        <v>60</v>
      </c>
      <c r="D387" s="89">
        <v>55.8</v>
      </c>
      <c r="E387" s="72"/>
    </row>
    <row r="388" spans="1:5" x14ac:dyDescent="0.25">
      <c r="A388" s="71"/>
      <c r="B388" s="69" t="s">
        <v>336</v>
      </c>
      <c r="C388" s="70" t="s">
        <v>60</v>
      </c>
      <c r="D388" s="89">
        <v>121.75</v>
      </c>
      <c r="E388" s="72"/>
    </row>
    <row r="389" spans="1:5" x14ac:dyDescent="0.25">
      <c r="A389" s="71"/>
      <c r="B389" s="69" t="s">
        <v>337</v>
      </c>
      <c r="C389" s="70" t="s">
        <v>60</v>
      </c>
      <c r="D389" s="89">
        <v>50.72</v>
      </c>
      <c r="E389" s="72"/>
    </row>
    <row r="390" spans="1:5" x14ac:dyDescent="0.25">
      <c r="A390" s="71"/>
      <c r="B390" s="69" t="s">
        <v>338</v>
      </c>
      <c r="C390" s="70" t="s">
        <v>60</v>
      </c>
      <c r="D390" s="89">
        <v>78.12</v>
      </c>
      <c r="E390" s="72"/>
    </row>
    <row r="391" spans="1:5" x14ac:dyDescent="0.25">
      <c r="A391" s="71"/>
      <c r="B391" s="69" t="s">
        <v>339</v>
      </c>
      <c r="C391" s="70" t="s">
        <v>60</v>
      </c>
      <c r="D391" s="89">
        <v>55.8</v>
      </c>
      <c r="E391" s="72"/>
    </row>
    <row r="392" spans="1:5" x14ac:dyDescent="0.25">
      <c r="A392" s="71"/>
      <c r="B392" s="69" t="s">
        <v>340</v>
      </c>
      <c r="C392" s="70" t="s">
        <v>60</v>
      </c>
      <c r="D392" s="89">
        <v>55.8</v>
      </c>
      <c r="E392" s="72"/>
    </row>
    <row r="393" spans="1:5" x14ac:dyDescent="0.25">
      <c r="A393" s="71"/>
      <c r="B393" s="69" t="s">
        <v>341</v>
      </c>
      <c r="C393" s="70" t="s">
        <v>60</v>
      </c>
      <c r="D393" s="89">
        <v>55.8</v>
      </c>
      <c r="E393" s="72"/>
    </row>
    <row r="394" spans="1:5" x14ac:dyDescent="0.25">
      <c r="A394" s="71"/>
      <c r="B394" s="69" t="s">
        <v>342</v>
      </c>
      <c r="C394" s="70" t="s">
        <v>60</v>
      </c>
      <c r="D394" s="89">
        <v>101.46</v>
      </c>
      <c r="E394" s="72"/>
    </row>
    <row r="395" spans="1:5" x14ac:dyDescent="0.25">
      <c r="A395" s="71"/>
      <c r="B395" s="69" t="s">
        <v>343</v>
      </c>
      <c r="C395" s="70" t="s">
        <v>60</v>
      </c>
      <c r="D395" s="89">
        <v>25.37</v>
      </c>
      <c r="E395" s="72"/>
    </row>
    <row r="396" spans="1:5" x14ac:dyDescent="0.25">
      <c r="A396" s="71"/>
      <c r="B396" s="69" t="s">
        <v>344</v>
      </c>
      <c r="C396" s="70" t="s">
        <v>60</v>
      </c>
      <c r="D396" s="89">
        <v>12.78</v>
      </c>
      <c r="E396" s="72"/>
    </row>
    <row r="397" spans="1:5" x14ac:dyDescent="0.25">
      <c r="A397" s="71"/>
      <c r="B397" s="69" t="s">
        <v>345</v>
      </c>
      <c r="C397" s="70" t="s">
        <v>60</v>
      </c>
      <c r="D397" s="89">
        <v>75.680000000000007</v>
      </c>
      <c r="E397" s="72"/>
    </row>
    <row r="398" spans="1:5" x14ac:dyDescent="0.25">
      <c r="A398" s="71"/>
      <c r="B398" s="69" t="s">
        <v>346</v>
      </c>
      <c r="C398" s="70" t="s">
        <v>60</v>
      </c>
      <c r="D398" s="89">
        <v>62.9</v>
      </c>
      <c r="E398" s="72"/>
    </row>
    <row r="399" spans="1:5" x14ac:dyDescent="0.25">
      <c r="A399" s="71"/>
      <c r="B399" s="69" t="s">
        <v>347</v>
      </c>
      <c r="C399" s="70" t="s">
        <v>60</v>
      </c>
      <c r="D399" s="89">
        <v>25.37</v>
      </c>
      <c r="E399" s="72"/>
    </row>
    <row r="400" spans="1:5" x14ac:dyDescent="0.25">
      <c r="A400" s="71"/>
      <c r="B400" s="69" t="s">
        <v>348</v>
      </c>
      <c r="C400" s="70" t="s">
        <v>60</v>
      </c>
      <c r="D400" s="89">
        <v>50.72</v>
      </c>
      <c r="E400" s="72"/>
    </row>
    <row r="401" spans="1:5" x14ac:dyDescent="0.25">
      <c r="A401" s="71"/>
      <c r="B401" s="69" t="s">
        <v>349</v>
      </c>
      <c r="C401" s="70" t="s">
        <v>60</v>
      </c>
      <c r="D401" s="89">
        <v>50.72</v>
      </c>
      <c r="E401" s="72"/>
    </row>
    <row r="402" spans="1:5" x14ac:dyDescent="0.25">
      <c r="A402" s="71"/>
      <c r="B402" s="69" t="s">
        <v>350</v>
      </c>
      <c r="C402" s="70" t="s">
        <v>60</v>
      </c>
      <c r="D402" s="89">
        <v>55.8</v>
      </c>
      <c r="E402" s="72"/>
    </row>
    <row r="403" spans="1:5" x14ac:dyDescent="0.25">
      <c r="A403" s="71"/>
      <c r="B403" s="69" t="s">
        <v>351</v>
      </c>
      <c r="C403" s="70" t="s">
        <v>60</v>
      </c>
      <c r="D403" s="89">
        <v>50.72</v>
      </c>
      <c r="E403" s="72"/>
    </row>
    <row r="404" spans="1:5" x14ac:dyDescent="0.25">
      <c r="A404" s="71"/>
      <c r="B404" s="69" t="s">
        <v>352</v>
      </c>
      <c r="C404" s="70" t="s">
        <v>60</v>
      </c>
      <c r="D404" s="89">
        <v>121.75</v>
      </c>
      <c r="E404" s="72"/>
    </row>
    <row r="405" spans="1:5" x14ac:dyDescent="0.25">
      <c r="A405" s="71"/>
      <c r="B405" s="69" t="s">
        <v>353</v>
      </c>
      <c r="C405" s="70" t="s">
        <v>60</v>
      </c>
      <c r="D405" s="89">
        <v>202.9</v>
      </c>
      <c r="E405" s="72"/>
    </row>
    <row r="406" spans="1:5" x14ac:dyDescent="0.25">
      <c r="A406" s="71"/>
      <c r="B406" s="69" t="s">
        <v>354</v>
      </c>
      <c r="C406" s="70" t="s">
        <v>60</v>
      </c>
      <c r="D406" s="89">
        <v>202.9</v>
      </c>
      <c r="E406" s="72"/>
    </row>
    <row r="407" spans="1:5" x14ac:dyDescent="0.25">
      <c r="A407" s="71"/>
      <c r="B407" s="69" t="s">
        <v>355</v>
      </c>
      <c r="C407" s="70" t="s">
        <v>60</v>
      </c>
      <c r="D407" s="89">
        <v>202.9</v>
      </c>
      <c r="E407" s="72"/>
    </row>
    <row r="408" spans="1:5" x14ac:dyDescent="0.25">
      <c r="A408" s="71"/>
      <c r="B408" s="69" t="s">
        <v>356</v>
      </c>
      <c r="C408" s="70" t="s">
        <v>60</v>
      </c>
      <c r="D408" s="89">
        <v>202.9</v>
      </c>
      <c r="E408" s="72"/>
    </row>
    <row r="409" spans="1:5" x14ac:dyDescent="0.25">
      <c r="A409" s="71"/>
      <c r="B409" s="69" t="s">
        <v>357</v>
      </c>
      <c r="C409" s="70" t="s">
        <v>60</v>
      </c>
      <c r="D409" s="89">
        <v>202.9</v>
      </c>
      <c r="E409" s="72"/>
    </row>
    <row r="410" spans="1:5" x14ac:dyDescent="0.25">
      <c r="A410" s="71"/>
      <c r="B410" s="69" t="s">
        <v>358</v>
      </c>
      <c r="C410" s="70" t="s">
        <v>60</v>
      </c>
      <c r="D410" s="89">
        <v>202.9</v>
      </c>
      <c r="E410" s="72"/>
    </row>
    <row r="411" spans="1:5" x14ac:dyDescent="0.25">
      <c r="A411" s="71"/>
      <c r="B411" s="69" t="s">
        <v>359</v>
      </c>
      <c r="C411" s="70" t="s">
        <v>60</v>
      </c>
      <c r="D411" s="89">
        <v>37.94</v>
      </c>
      <c r="E411" s="72"/>
    </row>
    <row r="412" spans="1:5" x14ac:dyDescent="0.25">
      <c r="A412" s="71"/>
      <c r="B412" s="69" t="s">
        <v>360</v>
      </c>
      <c r="C412" s="70" t="s">
        <v>60</v>
      </c>
      <c r="D412" s="89">
        <v>50.72</v>
      </c>
      <c r="E412" s="72"/>
    </row>
    <row r="413" spans="1:5" x14ac:dyDescent="0.25">
      <c r="A413" s="71"/>
      <c r="B413" s="69" t="s">
        <v>361</v>
      </c>
      <c r="C413" s="70" t="s">
        <v>60</v>
      </c>
      <c r="D413" s="89">
        <v>50.72</v>
      </c>
      <c r="E413" s="72"/>
    </row>
    <row r="414" spans="1:5" x14ac:dyDescent="0.25">
      <c r="A414" s="71"/>
      <c r="B414" s="69" t="s">
        <v>362</v>
      </c>
      <c r="C414" s="70" t="s">
        <v>60</v>
      </c>
      <c r="D414" s="89">
        <v>50.72</v>
      </c>
      <c r="E414" s="72"/>
    </row>
    <row r="415" spans="1:5" x14ac:dyDescent="0.25">
      <c r="A415" s="71"/>
      <c r="B415" s="69" t="s">
        <v>363</v>
      </c>
      <c r="C415" s="70" t="s">
        <v>60</v>
      </c>
      <c r="D415" s="89">
        <v>78.12</v>
      </c>
      <c r="E415" s="72"/>
    </row>
    <row r="416" spans="1:5" x14ac:dyDescent="0.25">
      <c r="A416" s="71"/>
      <c r="B416" s="69" t="s">
        <v>364</v>
      </c>
      <c r="C416" s="70" t="s">
        <v>60</v>
      </c>
      <c r="D416" s="89">
        <v>25.37</v>
      </c>
      <c r="E416" s="72"/>
    </row>
    <row r="417" spans="1:5" x14ac:dyDescent="0.25">
      <c r="A417" s="71"/>
      <c r="B417" s="69" t="s">
        <v>365</v>
      </c>
      <c r="C417" s="70" t="s">
        <v>60</v>
      </c>
      <c r="D417" s="89">
        <v>12.78</v>
      </c>
      <c r="E417" s="72"/>
    </row>
    <row r="418" spans="1:5" x14ac:dyDescent="0.25">
      <c r="A418" s="71"/>
      <c r="B418" s="69" t="s">
        <v>366</v>
      </c>
      <c r="C418" s="70" t="s">
        <v>60</v>
      </c>
      <c r="D418" s="89">
        <v>7.71</v>
      </c>
      <c r="E418" s="72"/>
    </row>
    <row r="419" spans="1:5" x14ac:dyDescent="0.25">
      <c r="A419" s="71"/>
      <c r="B419" s="69" t="s">
        <v>367</v>
      </c>
      <c r="C419" s="70" t="s">
        <v>60</v>
      </c>
      <c r="D419" s="89">
        <v>25.37</v>
      </c>
      <c r="E419" s="72"/>
    </row>
    <row r="420" spans="1:5" x14ac:dyDescent="0.25">
      <c r="A420" s="71"/>
      <c r="B420" s="69" t="s">
        <v>368</v>
      </c>
      <c r="C420" s="70" t="s">
        <v>60</v>
      </c>
      <c r="D420" s="89">
        <v>50.72</v>
      </c>
      <c r="E420" s="72"/>
    </row>
    <row r="421" spans="1:5" x14ac:dyDescent="0.25">
      <c r="A421" s="71"/>
      <c r="B421" s="69" t="s">
        <v>369</v>
      </c>
      <c r="C421" s="70" t="s">
        <v>60</v>
      </c>
      <c r="D421" s="89">
        <v>55.8</v>
      </c>
      <c r="E421" s="72"/>
    </row>
    <row r="422" spans="1:5" x14ac:dyDescent="0.25">
      <c r="A422" s="71"/>
      <c r="B422" s="69" t="s">
        <v>370</v>
      </c>
      <c r="C422" s="70" t="s">
        <v>60</v>
      </c>
      <c r="D422" s="89">
        <v>25.37</v>
      </c>
      <c r="E422" s="72"/>
    </row>
    <row r="423" spans="1:5" x14ac:dyDescent="0.25">
      <c r="A423" s="71"/>
      <c r="B423" s="69" t="s">
        <v>371</v>
      </c>
      <c r="C423" s="70" t="s">
        <v>60</v>
      </c>
      <c r="D423" s="89">
        <v>37.94</v>
      </c>
      <c r="E423" s="72"/>
    </row>
    <row r="424" spans="1:5" x14ac:dyDescent="0.25">
      <c r="A424" s="71"/>
      <c r="B424" s="69" t="s">
        <v>372</v>
      </c>
      <c r="C424" s="70" t="s">
        <v>60</v>
      </c>
      <c r="D424" s="89">
        <v>12.78</v>
      </c>
      <c r="E424" s="72"/>
    </row>
    <row r="425" spans="1:5" x14ac:dyDescent="0.25">
      <c r="A425" s="71"/>
      <c r="B425" s="69" t="s">
        <v>373</v>
      </c>
      <c r="C425" s="70" t="s">
        <v>60</v>
      </c>
      <c r="D425" s="89">
        <v>37.94</v>
      </c>
      <c r="E425" s="72"/>
    </row>
    <row r="426" spans="1:5" x14ac:dyDescent="0.25">
      <c r="A426" s="71"/>
      <c r="B426" s="69" t="s">
        <v>374</v>
      </c>
      <c r="C426" s="70" t="s">
        <v>60</v>
      </c>
      <c r="D426" s="89">
        <v>25.37</v>
      </c>
      <c r="E426" s="72"/>
    </row>
    <row r="427" spans="1:5" x14ac:dyDescent="0.25">
      <c r="A427" s="71"/>
      <c r="B427" s="69" t="s">
        <v>375</v>
      </c>
      <c r="C427" s="70" t="s">
        <v>60</v>
      </c>
      <c r="D427" s="89">
        <v>55.8</v>
      </c>
      <c r="E427" s="72"/>
    </row>
    <row r="428" spans="1:5" x14ac:dyDescent="0.25">
      <c r="A428" s="71"/>
      <c r="B428" s="69" t="s">
        <v>376</v>
      </c>
      <c r="C428" s="70" t="s">
        <v>60</v>
      </c>
      <c r="D428" s="89">
        <v>55.8</v>
      </c>
      <c r="E428" s="72"/>
    </row>
    <row r="429" spans="1:5" x14ac:dyDescent="0.25">
      <c r="A429" s="71"/>
      <c r="B429" s="69" t="s">
        <v>377</v>
      </c>
      <c r="C429" s="70" t="s">
        <v>60</v>
      </c>
      <c r="D429" s="89">
        <v>55.8</v>
      </c>
      <c r="E429" s="72"/>
    </row>
    <row r="430" spans="1:5" x14ac:dyDescent="0.25">
      <c r="A430" s="71"/>
      <c r="B430" s="69" t="s">
        <v>378</v>
      </c>
      <c r="C430" s="70" t="s">
        <v>60</v>
      </c>
      <c r="D430" s="89">
        <v>75.680000000000007</v>
      </c>
      <c r="E430" s="72"/>
    </row>
    <row r="431" spans="1:5" x14ac:dyDescent="0.25">
      <c r="A431" s="71"/>
      <c r="B431" s="69" t="s">
        <v>379</v>
      </c>
      <c r="C431" s="70" t="s">
        <v>60</v>
      </c>
      <c r="D431" s="89">
        <v>7.71</v>
      </c>
      <c r="E431" s="72"/>
    </row>
    <row r="432" spans="1:5" x14ac:dyDescent="0.25">
      <c r="A432" s="71"/>
      <c r="B432" s="69" t="s">
        <v>380</v>
      </c>
      <c r="C432" s="70" t="s">
        <v>60</v>
      </c>
      <c r="D432" s="89">
        <v>304.36</v>
      </c>
      <c r="E432" s="72"/>
    </row>
    <row r="433" spans="1:5" x14ac:dyDescent="0.25">
      <c r="A433" s="71"/>
      <c r="B433" s="69" t="s">
        <v>381</v>
      </c>
      <c r="C433" s="70" t="s">
        <v>60</v>
      </c>
      <c r="D433" s="89">
        <v>55.33</v>
      </c>
      <c r="E433" s="72"/>
    </row>
    <row r="434" spans="1:5" x14ac:dyDescent="0.25">
      <c r="A434" s="71"/>
      <c r="B434" s="69" t="s">
        <v>382</v>
      </c>
      <c r="C434" s="70" t="s">
        <v>60</v>
      </c>
      <c r="D434" s="89">
        <v>42.26</v>
      </c>
      <c r="E434" s="72"/>
    </row>
    <row r="435" spans="1:5" x14ac:dyDescent="0.25">
      <c r="A435" s="71"/>
      <c r="B435" s="69" t="s">
        <v>383</v>
      </c>
      <c r="C435" s="70" t="s">
        <v>60</v>
      </c>
      <c r="D435" s="89">
        <v>55.33</v>
      </c>
      <c r="E435" s="72"/>
    </row>
    <row r="436" spans="1:5" x14ac:dyDescent="0.25">
      <c r="A436" s="71"/>
      <c r="B436" s="69" t="s">
        <v>384</v>
      </c>
      <c r="C436" s="70" t="s">
        <v>60</v>
      </c>
      <c r="D436" s="89">
        <v>55.33</v>
      </c>
      <c r="E436" s="72"/>
    </row>
    <row r="437" spans="1:5" x14ac:dyDescent="0.25">
      <c r="A437" s="71"/>
      <c r="B437" s="69" t="s">
        <v>385</v>
      </c>
      <c r="C437" s="70" t="s">
        <v>60</v>
      </c>
      <c r="D437" s="89">
        <v>55.33</v>
      </c>
      <c r="E437" s="72"/>
    </row>
    <row r="438" spans="1:5" x14ac:dyDescent="0.25">
      <c r="A438" s="71"/>
      <c r="B438" s="69" t="s">
        <v>386</v>
      </c>
      <c r="C438" s="70" t="s">
        <v>60</v>
      </c>
      <c r="D438" s="89">
        <v>55.33</v>
      </c>
      <c r="E438" s="72"/>
    </row>
    <row r="439" spans="1:5" x14ac:dyDescent="0.25">
      <c r="A439" s="71"/>
      <c r="B439" s="69" t="s">
        <v>387</v>
      </c>
      <c r="C439" s="70" t="s">
        <v>60</v>
      </c>
      <c r="D439" s="89">
        <v>55.33</v>
      </c>
      <c r="E439" s="72"/>
    </row>
    <row r="440" spans="1:5" x14ac:dyDescent="0.25">
      <c r="A440" s="71"/>
      <c r="B440" s="69" t="s">
        <v>388</v>
      </c>
      <c r="C440" s="70" t="s">
        <v>60</v>
      </c>
      <c r="D440" s="89">
        <v>55.33</v>
      </c>
      <c r="E440" s="72"/>
    </row>
    <row r="441" spans="1:5" x14ac:dyDescent="0.25">
      <c r="A441" s="71"/>
      <c r="B441" s="69" t="s">
        <v>389</v>
      </c>
      <c r="C441" s="70" t="s">
        <v>60</v>
      </c>
      <c r="D441" s="89">
        <v>55.33</v>
      </c>
      <c r="E441" s="72"/>
    </row>
    <row r="442" spans="1:5" x14ac:dyDescent="0.25">
      <c r="A442" s="71"/>
      <c r="B442" s="69" t="s">
        <v>390</v>
      </c>
      <c r="C442" s="70" t="s">
        <v>60</v>
      </c>
      <c r="D442" s="89">
        <v>55.33</v>
      </c>
      <c r="E442" s="72"/>
    </row>
    <row r="443" spans="1:5" x14ac:dyDescent="0.25">
      <c r="A443" s="71"/>
      <c r="B443" s="69" t="s">
        <v>391</v>
      </c>
      <c r="C443" s="70" t="s">
        <v>60</v>
      </c>
      <c r="D443" s="89">
        <v>55.33</v>
      </c>
      <c r="E443" s="72"/>
    </row>
    <row r="444" spans="1:5" x14ac:dyDescent="0.25">
      <c r="A444" s="71"/>
      <c r="B444" s="69" t="s">
        <v>392</v>
      </c>
      <c r="C444" s="70" t="s">
        <v>60</v>
      </c>
      <c r="D444" s="89">
        <v>42.26</v>
      </c>
      <c r="E444" s="72"/>
    </row>
    <row r="445" spans="1:5" x14ac:dyDescent="0.25">
      <c r="A445" s="71"/>
      <c r="B445" s="69" t="s">
        <v>393</v>
      </c>
      <c r="C445" s="70" t="s">
        <v>60</v>
      </c>
      <c r="D445" s="89">
        <v>42.26</v>
      </c>
      <c r="E445" s="72"/>
    </row>
    <row r="446" spans="1:5" x14ac:dyDescent="0.25">
      <c r="A446" s="71"/>
      <c r="B446" s="69" t="s">
        <v>394</v>
      </c>
      <c r="C446" s="70" t="s">
        <v>60</v>
      </c>
      <c r="D446" s="89">
        <v>42.26</v>
      </c>
      <c r="E446" s="72"/>
    </row>
    <row r="447" spans="1:5" x14ac:dyDescent="0.25">
      <c r="A447" s="71"/>
      <c r="B447" s="69" t="s">
        <v>395</v>
      </c>
      <c r="C447" s="70" t="s">
        <v>60</v>
      </c>
      <c r="D447" s="89">
        <v>42.26</v>
      </c>
      <c r="E447" s="72"/>
    </row>
    <row r="448" spans="1:5" x14ac:dyDescent="0.25">
      <c r="A448" s="71"/>
      <c r="B448" s="69" t="s">
        <v>396</v>
      </c>
      <c r="C448" s="70" t="s">
        <v>60</v>
      </c>
      <c r="D448" s="89">
        <v>42.26</v>
      </c>
      <c r="E448" s="72"/>
    </row>
    <row r="449" spans="1:5" x14ac:dyDescent="0.25">
      <c r="A449" s="71"/>
      <c r="B449" s="69" t="s">
        <v>397</v>
      </c>
      <c r="C449" s="70" t="s">
        <v>60</v>
      </c>
      <c r="D449" s="89">
        <v>42.26</v>
      </c>
      <c r="E449" s="72"/>
    </row>
    <row r="450" spans="1:5" x14ac:dyDescent="0.25">
      <c r="A450" s="71"/>
      <c r="B450" s="69" t="s">
        <v>398</v>
      </c>
      <c r="C450" s="70" t="s">
        <v>60</v>
      </c>
      <c r="D450" s="89">
        <v>42.26</v>
      </c>
      <c r="E450" s="72"/>
    </row>
    <row r="451" spans="1:5" x14ac:dyDescent="0.25">
      <c r="A451" s="71"/>
      <c r="B451" s="69" t="s">
        <v>399</v>
      </c>
      <c r="C451" s="70" t="s">
        <v>60</v>
      </c>
      <c r="D451" s="89">
        <v>42.26</v>
      </c>
      <c r="E451" s="72"/>
    </row>
    <row r="452" spans="1:5" x14ac:dyDescent="0.25">
      <c r="A452" s="71"/>
      <c r="B452" s="69" t="s">
        <v>400</v>
      </c>
      <c r="C452" s="70" t="s">
        <v>60</v>
      </c>
      <c r="D452" s="89">
        <v>42.26</v>
      </c>
      <c r="E452" s="72"/>
    </row>
    <row r="453" spans="1:5" x14ac:dyDescent="0.25">
      <c r="A453" s="71"/>
      <c r="B453" s="69" t="s">
        <v>401</v>
      </c>
      <c r="C453" s="70" t="s">
        <v>60</v>
      </c>
      <c r="D453" s="89">
        <v>304.36</v>
      </c>
      <c r="E453" s="72"/>
    </row>
    <row r="454" spans="1:5" x14ac:dyDescent="0.25">
      <c r="A454" s="71"/>
      <c r="B454" s="69" t="s">
        <v>402</v>
      </c>
      <c r="C454" s="70" t="s">
        <v>60</v>
      </c>
      <c r="D454" s="89">
        <v>42.26</v>
      </c>
      <c r="E454" s="72"/>
    </row>
    <row r="455" spans="1:5" x14ac:dyDescent="0.25">
      <c r="A455" s="71"/>
      <c r="B455" s="69" t="s">
        <v>403</v>
      </c>
      <c r="C455" s="70" t="s">
        <v>60</v>
      </c>
      <c r="D455" s="89">
        <v>42.26</v>
      </c>
      <c r="E455" s="72"/>
    </row>
    <row r="456" spans="1:5" x14ac:dyDescent="0.25">
      <c r="A456" s="71"/>
      <c r="B456" s="69" t="s">
        <v>404</v>
      </c>
      <c r="C456" s="70" t="s">
        <v>60</v>
      </c>
      <c r="D456" s="89">
        <v>42.26</v>
      </c>
      <c r="E456" s="72"/>
    </row>
    <row r="457" spans="1:5" x14ac:dyDescent="0.25">
      <c r="A457" s="71"/>
      <c r="B457" s="69" t="s">
        <v>405</v>
      </c>
      <c r="C457" s="70" t="s">
        <v>60</v>
      </c>
      <c r="D457" s="89">
        <v>42.26</v>
      </c>
      <c r="E457" s="72"/>
    </row>
    <row r="458" spans="1:5" x14ac:dyDescent="0.25">
      <c r="A458" s="71"/>
      <c r="B458" s="69" t="s">
        <v>406</v>
      </c>
      <c r="C458" s="70" t="s">
        <v>60</v>
      </c>
      <c r="D458" s="89">
        <v>42.26</v>
      </c>
      <c r="E458" s="72"/>
    </row>
    <row r="459" spans="1:5" x14ac:dyDescent="0.25">
      <c r="A459" s="71"/>
      <c r="B459" s="69" t="s">
        <v>407</v>
      </c>
      <c r="C459" s="70" t="s">
        <v>60</v>
      </c>
      <c r="D459" s="89">
        <v>42.26</v>
      </c>
      <c r="E459" s="72"/>
    </row>
    <row r="460" spans="1:5" x14ac:dyDescent="0.25">
      <c r="A460" s="71"/>
      <c r="B460" s="69" t="s">
        <v>408</v>
      </c>
      <c r="C460" s="70" t="s">
        <v>60</v>
      </c>
      <c r="D460" s="89">
        <v>42.26</v>
      </c>
      <c r="E460" s="72"/>
    </row>
    <row r="461" spans="1:5" x14ac:dyDescent="0.25">
      <c r="A461" s="71"/>
      <c r="B461" s="69" t="s">
        <v>409</v>
      </c>
      <c r="C461" s="70" t="s">
        <v>60</v>
      </c>
      <c r="D461" s="89">
        <v>42.26</v>
      </c>
      <c r="E461" s="72"/>
    </row>
    <row r="462" spans="1:5" x14ac:dyDescent="0.25">
      <c r="A462" s="71"/>
      <c r="B462" s="69" t="s">
        <v>410</v>
      </c>
      <c r="C462" s="70" t="s">
        <v>60</v>
      </c>
      <c r="D462" s="89">
        <v>42.26</v>
      </c>
      <c r="E462" s="72"/>
    </row>
    <row r="463" spans="1:5" x14ac:dyDescent="0.25">
      <c r="A463" s="71"/>
      <c r="B463" s="69" t="s">
        <v>411</v>
      </c>
      <c r="C463" s="70" t="s">
        <v>60</v>
      </c>
      <c r="D463" s="89">
        <v>42.26</v>
      </c>
      <c r="E463" s="72"/>
    </row>
    <row r="464" spans="1:5" x14ac:dyDescent="0.25">
      <c r="A464" s="71"/>
      <c r="B464" s="69" t="s">
        <v>412</v>
      </c>
      <c r="C464" s="70" t="s">
        <v>60</v>
      </c>
      <c r="D464" s="89">
        <v>42.26</v>
      </c>
      <c r="E464" s="72"/>
    </row>
    <row r="465" spans="1:7" x14ac:dyDescent="0.25">
      <c r="A465" s="71"/>
      <c r="B465" s="69" t="s">
        <v>413</v>
      </c>
      <c r="C465" s="70" t="s">
        <v>60</v>
      </c>
      <c r="D465" s="89">
        <v>42.26</v>
      </c>
      <c r="E465" s="72"/>
    </row>
    <row r="466" spans="1:7" x14ac:dyDescent="0.25">
      <c r="A466" s="71"/>
      <c r="B466" s="69" t="s">
        <v>414</v>
      </c>
      <c r="C466" s="70" t="s">
        <v>60</v>
      </c>
      <c r="D466" s="89">
        <v>55.33</v>
      </c>
      <c r="E466" s="72"/>
    </row>
    <row r="467" spans="1:7" ht="13.5" thickBot="1" x14ac:dyDescent="0.3">
      <c r="A467" s="71"/>
      <c r="B467" s="82" t="s">
        <v>415</v>
      </c>
      <c r="C467" s="83" t="s">
        <v>60</v>
      </c>
      <c r="D467" s="91">
        <v>202.9</v>
      </c>
      <c r="E467" s="72"/>
    </row>
    <row r="468" spans="1:7" x14ac:dyDescent="0.25">
      <c r="A468" s="92"/>
      <c r="B468" s="92"/>
      <c r="C468" s="92"/>
      <c r="D468" s="92"/>
      <c r="E468" s="93"/>
    </row>
    <row r="469" spans="1:7" hidden="1" x14ac:dyDescent="0.25"/>
    <row r="470" spans="1:7" hidden="1" x14ac:dyDescent="0.2">
      <c r="B470" s="20"/>
      <c r="C470" s="95"/>
      <c r="D470" s="95"/>
      <c r="E470" s="96"/>
      <c r="F470" s="97"/>
      <c r="G470" s="97"/>
    </row>
    <row r="471" spans="1:7" hidden="1" x14ac:dyDescent="0.2">
      <c r="B471" s="98"/>
      <c r="C471" s="20"/>
      <c r="D471" s="20"/>
      <c r="E471" s="96"/>
      <c r="F471" s="97"/>
      <c r="G471" s="97"/>
    </row>
    <row r="472" spans="1:7" hidden="1" x14ac:dyDescent="0.2">
      <c r="B472" s="99"/>
      <c r="C472" s="20"/>
      <c r="D472" s="99"/>
      <c r="E472" s="96"/>
      <c r="F472" s="97"/>
      <c r="G472" s="97"/>
    </row>
    <row r="473" spans="1:7" hidden="1" x14ac:dyDescent="0.2">
      <c r="B473" s="99"/>
      <c r="C473" s="20"/>
      <c r="D473" s="100"/>
      <c r="E473" s="96"/>
      <c r="F473" s="97"/>
      <c r="G473" s="97"/>
    </row>
    <row r="474" spans="1:7" hidden="1" x14ac:dyDescent="0.2">
      <c r="B474" s="99"/>
      <c r="C474" s="20"/>
      <c r="D474" s="100"/>
      <c r="E474" s="96"/>
      <c r="F474" s="97"/>
      <c r="G474" s="97"/>
    </row>
    <row r="475" spans="1:7" hidden="1" x14ac:dyDescent="0.2">
      <c r="B475" s="99"/>
      <c r="C475" s="20"/>
      <c r="D475" s="100"/>
      <c r="E475" s="96"/>
      <c r="F475" s="97"/>
      <c r="G475" s="97"/>
    </row>
    <row r="476" spans="1:7" hidden="1" x14ac:dyDescent="0.2">
      <c r="B476" s="99"/>
      <c r="C476" s="99"/>
      <c r="D476" s="101"/>
      <c r="E476" s="96"/>
      <c r="F476" s="97"/>
      <c r="G476" s="97"/>
    </row>
    <row r="477" spans="1:7" hidden="1" x14ac:dyDescent="0.2">
      <c r="B477" s="99"/>
      <c r="C477" s="99"/>
      <c r="D477" s="101"/>
      <c r="E477" s="96"/>
      <c r="F477" s="97"/>
      <c r="G477" s="97"/>
    </row>
    <row r="478" spans="1:7" hidden="1" x14ac:dyDescent="0.2">
      <c r="B478" s="98"/>
      <c r="C478" s="20"/>
      <c r="D478" s="102"/>
      <c r="E478" s="96"/>
      <c r="F478" s="97"/>
      <c r="G478" s="97"/>
    </row>
    <row r="479" spans="1:7" hidden="1" x14ac:dyDescent="0.2">
      <c r="B479" s="1"/>
      <c r="C479" s="2"/>
      <c r="D479" s="100"/>
      <c r="E479" s="96"/>
      <c r="F479" s="97"/>
      <c r="G479" s="97"/>
    </row>
    <row r="480" spans="1:7" hidden="1" x14ac:dyDescent="0.2">
      <c r="B480" s="1"/>
      <c r="C480" s="2"/>
      <c r="D480" s="100"/>
      <c r="E480" s="96"/>
      <c r="F480" s="97"/>
      <c r="G480" s="97"/>
    </row>
    <row r="481" spans="2:7" hidden="1" x14ac:dyDescent="0.2">
      <c r="B481" s="98"/>
      <c r="D481" s="98"/>
      <c r="E481" s="96"/>
      <c r="F481" s="97"/>
      <c r="G481" s="97"/>
    </row>
    <row r="482" spans="2:7" hidden="1" x14ac:dyDescent="0.2">
      <c r="B482" s="98"/>
      <c r="D482" s="102"/>
      <c r="E482" s="96"/>
      <c r="F482" s="97"/>
      <c r="G482" s="97"/>
    </row>
    <row r="483" spans="2:7" hidden="1" x14ac:dyDescent="0.2">
      <c r="B483" s="98"/>
      <c r="C483" s="88"/>
      <c r="D483" s="103"/>
      <c r="E483" s="96"/>
      <c r="F483" s="97"/>
      <c r="G483" s="97"/>
    </row>
    <row r="484" spans="2:7" hidden="1" x14ac:dyDescent="0.2">
      <c r="B484" s="98"/>
      <c r="C484" s="88"/>
      <c r="D484" s="103"/>
      <c r="E484" s="96"/>
      <c r="F484" s="97"/>
      <c r="G484" s="97"/>
    </row>
    <row r="485" spans="2:7" hidden="1" x14ac:dyDescent="0.2">
      <c r="B485" s="98"/>
      <c r="C485" s="88"/>
      <c r="D485" s="103"/>
      <c r="E485" s="96"/>
      <c r="F485" s="97"/>
      <c r="G485" s="97"/>
    </row>
    <row r="486" spans="2:7" hidden="1" x14ac:dyDescent="0.2">
      <c r="B486" s="98"/>
      <c r="D486" s="98"/>
      <c r="E486" s="104"/>
      <c r="F486" s="97"/>
      <c r="G486" s="97"/>
    </row>
    <row r="487" spans="2:7" hidden="1" x14ac:dyDescent="0.2">
      <c r="B487" s="98"/>
      <c r="D487" s="98"/>
      <c r="E487" s="96"/>
      <c r="F487" s="97"/>
      <c r="G487" s="97"/>
    </row>
    <row r="488" spans="2:7" hidden="1" x14ac:dyDescent="0.2">
      <c r="B488" s="98"/>
      <c r="C488" s="88"/>
      <c r="D488" s="103"/>
      <c r="E488" s="96"/>
      <c r="F488" s="97"/>
      <c r="G488" s="97"/>
    </row>
    <row r="489" spans="2:7" hidden="1" x14ac:dyDescent="0.2">
      <c r="B489" s="98"/>
      <c r="C489" s="88"/>
      <c r="D489" s="102"/>
      <c r="E489" s="96"/>
      <c r="F489" s="97"/>
      <c r="G489" s="97"/>
    </row>
    <row r="490" spans="2:7" hidden="1" x14ac:dyDescent="0.2">
      <c r="B490" s="98"/>
      <c r="C490" s="88"/>
      <c r="D490" s="103"/>
      <c r="E490" s="96"/>
      <c r="F490" s="97"/>
      <c r="G490" s="97"/>
    </row>
    <row r="491" spans="2:7" hidden="1" x14ac:dyDescent="0.2">
      <c r="B491" s="98"/>
      <c r="C491" s="88"/>
      <c r="D491" s="103"/>
      <c r="E491" s="96"/>
      <c r="F491" s="97"/>
      <c r="G491" s="97"/>
    </row>
    <row r="492" spans="2:7" hidden="1" x14ac:dyDescent="0.2">
      <c r="B492" s="98"/>
      <c r="C492" s="88"/>
      <c r="D492" s="103"/>
      <c r="E492" s="96"/>
      <c r="F492" s="97"/>
      <c r="G492" s="97"/>
    </row>
    <row r="493" spans="2:7" hidden="1" x14ac:dyDescent="0.2">
      <c r="B493" s="98"/>
      <c r="C493" s="88"/>
      <c r="D493" s="103"/>
      <c r="E493" s="96"/>
      <c r="F493" s="97"/>
      <c r="G493" s="97"/>
    </row>
    <row r="494" spans="2:7" hidden="1" x14ac:dyDescent="0.2">
      <c r="B494" s="98"/>
      <c r="C494" s="88"/>
      <c r="D494" s="103"/>
      <c r="E494" s="96"/>
      <c r="F494" s="97"/>
      <c r="G494" s="97"/>
    </row>
    <row r="495" spans="2:7" hidden="1" x14ac:dyDescent="0.2">
      <c r="B495" s="98"/>
      <c r="C495" s="88"/>
      <c r="D495" s="103"/>
      <c r="E495" s="96"/>
      <c r="F495" s="97"/>
      <c r="G495" s="97"/>
    </row>
    <row r="496" spans="2:7" hidden="1" x14ac:dyDescent="0.2">
      <c r="B496" s="98"/>
      <c r="D496" s="102"/>
      <c r="E496" s="96"/>
      <c r="F496" s="97"/>
      <c r="G496" s="97"/>
    </row>
    <row r="497" spans="2:7" hidden="1" x14ac:dyDescent="0.2">
      <c r="B497" s="98"/>
      <c r="D497" s="98"/>
      <c r="E497" s="96"/>
      <c r="F497" s="97"/>
      <c r="G497" s="97"/>
    </row>
    <row r="498" spans="2:7" hidden="1" x14ac:dyDescent="0.2">
      <c r="B498" s="98"/>
      <c r="D498" s="98"/>
      <c r="E498" s="104"/>
      <c r="F498" s="97"/>
      <c r="G498" s="97"/>
    </row>
    <row r="499" spans="2:7" hidden="1" x14ac:dyDescent="0.2">
      <c r="B499" s="98"/>
      <c r="D499" s="98"/>
      <c r="E499" s="96"/>
      <c r="F499" s="97"/>
      <c r="G499" s="97"/>
    </row>
    <row r="500" spans="2:7" hidden="1" x14ac:dyDescent="0.2">
      <c r="B500" s="98"/>
      <c r="D500" s="98"/>
      <c r="E500" s="96"/>
      <c r="F500" s="97"/>
      <c r="G500" s="97"/>
    </row>
    <row r="501" spans="2:7" hidden="1" x14ac:dyDescent="0.2">
      <c r="B501" s="98"/>
      <c r="C501" s="88"/>
      <c r="D501" s="103"/>
      <c r="E501" s="104"/>
      <c r="F501" s="97"/>
      <c r="G501" s="97"/>
    </row>
    <row r="502" spans="2:7" hidden="1" x14ac:dyDescent="0.2">
      <c r="B502" s="98"/>
      <c r="C502" s="88"/>
      <c r="D502" s="103"/>
      <c r="E502" s="104"/>
      <c r="F502" s="97"/>
      <c r="G502" s="97"/>
    </row>
    <row r="503" spans="2:7" hidden="1" x14ac:dyDescent="0.2">
      <c r="B503" s="98"/>
      <c r="C503" s="88"/>
      <c r="D503" s="102"/>
    </row>
    <row r="504" spans="2:7" hidden="1" x14ac:dyDescent="0.2">
      <c r="B504" s="98"/>
      <c r="C504" s="88"/>
      <c r="D504" s="102"/>
      <c r="E504" s="96"/>
      <c r="F504" s="97"/>
      <c r="G504" s="97"/>
    </row>
    <row r="505" spans="2:7" hidden="1" x14ac:dyDescent="0.2">
      <c r="B505" s="98"/>
      <c r="D505" s="102"/>
      <c r="E505" s="96"/>
      <c r="F505" s="97"/>
      <c r="G505" s="97"/>
    </row>
    <row r="506" spans="2:7" hidden="1" x14ac:dyDescent="0.2">
      <c r="B506" s="98"/>
      <c r="C506" s="88"/>
      <c r="D506" s="103"/>
      <c r="E506" s="96"/>
      <c r="F506" s="97"/>
      <c r="G506" s="97"/>
    </row>
    <row r="507" spans="2:7" hidden="1" x14ac:dyDescent="0.2">
      <c r="B507" s="98"/>
      <c r="D507" s="98"/>
      <c r="E507" s="96"/>
      <c r="F507" s="97"/>
      <c r="G507" s="97"/>
    </row>
    <row r="508" spans="2:7" hidden="1" x14ac:dyDescent="0.2">
      <c r="B508" s="98"/>
      <c r="D508" s="98"/>
      <c r="E508" s="96"/>
      <c r="F508" s="97"/>
      <c r="G508" s="97"/>
    </row>
    <row r="509" spans="2:7" hidden="1" x14ac:dyDescent="0.2">
      <c r="B509" s="98"/>
      <c r="D509" s="98"/>
      <c r="E509" s="96"/>
      <c r="F509" s="97"/>
      <c r="G509" s="97"/>
    </row>
    <row r="510" spans="2:7" hidden="1" x14ac:dyDescent="0.2">
      <c r="B510" s="98"/>
      <c r="C510" s="88"/>
      <c r="D510" s="102"/>
      <c r="E510" s="96"/>
      <c r="F510" s="97"/>
      <c r="G510" s="97"/>
    </row>
    <row r="511" spans="2:7" hidden="1" x14ac:dyDescent="0.2">
      <c r="B511" s="98"/>
      <c r="C511" s="88"/>
      <c r="D511" s="103"/>
      <c r="E511" s="96"/>
      <c r="F511" s="97"/>
      <c r="G511" s="97"/>
    </row>
    <row r="512" spans="2:7" hidden="1" x14ac:dyDescent="0.2">
      <c r="B512" s="98"/>
      <c r="C512" s="88"/>
      <c r="D512" s="103"/>
      <c r="E512" s="96"/>
      <c r="F512" s="97"/>
      <c r="G512" s="97"/>
    </row>
    <row r="513" spans="2:4" hidden="1" x14ac:dyDescent="0.2">
      <c r="B513" s="98"/>
      <c r="D513" s="102"/>
    </row>
    <row r="514" spans="2:4" hidden="1" x14ac:dyDescent="0.25">
      <c r="B514" s="98"/>
      <c r="D514" s="98"/>
    </row>
    <row r="515" spans="2:4" hidden="1" x14ac:dyDescent="0.25">
      <c r="B515" s="98"/>
      <c r="D515" s="98"/>
    </row>
    <row r="516" spans="2:4" hidden="1" x14ac:dyDescent="0.25">
      <c r="B516" s="98"/>
      <c r="D516" s="98"/>
    </row>
    <row r="517" spans="2:4" hidden="1" x14ac:dyDescent="0.2">
      <c r="B517" s="98"/>
      <c r="D517" s="102"/>
    </row>
    <row r="518" spans="2:4" hidden="1" x14ac:dyDescent="0.2">
      <c r="B518" s="98"/>
      <c r="C518" s="88"/>
      <c r="D518" s="103"/>
    </row>
    <row r="519" spans="2:4" hidden="1" x14ac:dyDescent="0.2">
      <c r="B519" s="98"/>
      <c r="C519" s="88"/>
      <c r="D519" s="103"/>
    </row>
    <row r="520" spans="2:4" hidden="1" x14ac:dyDescent="0.25">
      <c r="B520" s="98"/>
      <c r="D520" s="98"/>
    </row>
    <row r="521" spans="2:4" hidden="1" x14ac:dyDescent="0.25">
      <c r="B521" s="98"/>
      <c r="D521" s="98"/>
    </row>
    <row r="522" spans="2:4" hidden="1" x14ac:dyDescent="0.2">
      <c r="B522" s="98"/>
      <c r="D522" s="102"/>
    </row>
    <row r="523" spans="2:4" hidden="1" x14ac:dyDescent="0.25">
      <c r="B523" s="98"/>
      <c r="D523" s="98"/>
    </row>
    <row r="524" spans="2:4" hidden="1" x14ac:dyDescent="0.2">
      <c r="B524" s="98"/>
      <c r="C524" s="88"/>
      <c r="D524" s="103"/>
    </row>
    <row r="525" spans="2:4" hidden="1" x14ac:dyDescent="0.25">
      <c r="B525" s="98"/>
      <c r="D525" s="98"/>
    </row>
    <row r="526" spans="2:4" hidden="1" x14ac:dyDescent="0.2">
      <c r="B526" s="98"/>
      <c r="D526" s="102"/>
    </row>
    <row r="527" spans="2:4" hidden="1" x14ac:dyDescent="0.2">
      <c r="B527" s="98"/>
      <c r="C527" s="88"/>
      <c r="D527" s="103"/>
    </row>
    <row r="528" spans="2:4" hidden="1" x14ac:dyDescent="0.2">
      <c r="B528" s="98"/>
      <c r="C528" s="88"/>
      <c r="D528" s="103"/>
    </row>
    <row r="529" spans="2:5" hidden="1" x14ac:dyDescent="0.25">
      <c r="B529" s="98"/>
      <c r="D529" s="98"/>
    </row>
    <row r="530" spans="2:5" hidden="1" x14ac:dyDescent="0.25">
      <c r="B530" s="98"/>
      <c r="D530" s="98"/>
    </row>
    <row r="531" spans="2:5" hidden="1" x14ac:dyDescent="0.2">
      <c r="B531" s="98"/>
      <c r="C531" s="88"/>
      <c r="D531" s="103"/>
      <c r="E531" s="20"/>
    </row>
    <row r="532" spans="2:5" hidden="1" x14ac:dyDescent="0.2">
      <c r="B532" s="98"/>
      <c r="C532" s="88"/>
      <c r="D532" s="103"/>
    </row>
    <row r="533" spans="2:5" hidden="1" x14ac:dyDescent="0.25">
      <c r="B533" s="98"/>
      <c r="D533" s="98"/>
    </row>
    <row r="534" spans="2:5" hidden="1" x14ac:dyDescent="0.25">
      <c r="B534" s="98"/>
      <c r="D534" s="98"/>
    </row>
    <row r="535" spans="2:5" hidden="1" x14ac:dyDescent="0.2">
      <c r="B535" s="98"/>
      <c r="C535" s="88"/>
      <c r="D535" s="103"/>
    </row>
    <row r="536" spans="2:5" hidden="1" x14ac:dyDescent="0.2">
      <c r="B536" s="98"/>
      <c r="D536" s="102"/>
    </row>
    <row r="537" spans="2:5" hidden="1" x14ac:dyDescent="0.25">
      <c r="B537" s="98"/>
      <c r="D537" s="98"/>
    </row>
    <row r="538" spans="2:5" hidden="1" x14ac:dyDescent="0.2">
      <c r="B538" s="98"/>
      <c r="C538" s="88"/>
      <c r="D538" s="103"/>
    </row>
    <row r="539" spans="2:5" hidden="1" x14ac:dyDescent="0.25">
      <c r="B539" s="98"/>
      <c r="D539" s="98"/>
    </row>
    <row r="540" spans="2:5" hidden="1" x14ac:dyDescent="0.25">
      <c r="B540" s="98"/>
      <c r="D540" s="98"/>
    </row>
    <row r="541" spans="2:5" hidden="1" x14ac:dyDescent="0.2">
      <c r="B541" s="98"/>
      <c r="D541" s="102"/>
    </row>
    <row r="542" spans="2:5" hidden="1" x14ac:dyDescent="0.25">
      <c r="B542" s="98"/>
      <c r="D542" s="98"/>
    </row>
    <row r="543" spans="2:5" hidden="1" x14ac:dyDescent="0.2">
      <c r="B543" s="98"/>
      <c r="C543" s="88"/>
      <c r="D543" s="103"/>
    </row>
    <row r="544" spans="2:5" hidden="1" x14ac:dyDescent="0.25">
      <c r="B544" s="98"/>
      <c r="D544" s="98"/>
    </row>
    <row r="545" spans="2:4" hidden="1" x14ac:dyDescent="0.25">
      <c r="B545" s="98"/>
      <c r="D545" s="98"/>
    </row>
    <row r="546" spans="2:4" hidden="1" x14ac:dyDescent="0.25">
      <c r="B546" s="98"/>
      <c r="D546" s="98"/>
    </row>
    <row r="547" spans="2:4" hidden="1" x14ac:dyDescent="0.2">
      <c r="B547" s="98"/>
      <c r="D547" s="102"/>
    </row>
    <row r="548" spans="2:4" hidden="1" x14ac:dyDescent="0.25">
      <c r="B548" s="98"/>
      <c r="D548" s="98"/>
    </row>
    <row r="549" spans="2:4" hidden="1" x14ac:dyDescent="0.25">
      <c r="B549" s="98"/>
      <c r="D549" s="98"/>
    </row>
    <row r="550" spans="2:4" hidden="1" x14ac:dyDescent="0.25">
      <c r="B550" s="98"/>
      <c r="D550" s="98"/>
    </row>
    <row r="551" spans="2:4" hidden="1" x14ac:dyDescent="0.25">
      <c r="B551" s="98"/>
      <c r="D551" s="98"/>
    </row>
    <row r="552" spans="2:4" hidden="1" x14ac:dyDescent="0.25">
      <c r="B552" s="98"/>
      <c r="D552" s="98"/>
    </row>
    <row r="553" spans="2:4" hidden="1" x14ac:dyDescent="0.2">
      <c r="B553" s="98"/>
      <c r="D553" s="102"/>
    </row>
    <row r="554" spans="2:4" hidden="1" x14ac:dyDescent="0.2">
      <c r="B554" s="98"/>
      <c r="C554" s="88"/>
      <c r="D554" s="103"/>
    </row>
    <row r="555" spans="2:4" hidden="1" x14ac:dyDescent="0.2">
      <c r="B555" s="98"/>
      <c r="C555" s="88"/>
      <c r="D555" s="103"/>
    </row>
    <row r="556" spans="2:4" hidden="1" x14ac:dyDescent="0.2">
      <c r="B556" s="98"/>
      <c r="C556" s="88"/>
      <c r="D556" s="103"/>
    </row>
    <row r="557" spans="2:4" hidden="1" x14ac:dyDescent="0.2">
      <c r="B557" s="98"/>
      <c r="D557" s="102"/>
    </row>
    <row r="558" spans="2:4" hidden="1" x14ac:dyDescent="0.2">
      <c r="B558" s="98"/>
      <c r="C558" s="88"/>
      <c r="D558" s="103"/>
    </row>
    <row r="559" spans="2:4" hidden="1" x14ac:dyDescent="0.25">
      <c r="B559" s="98"/>
      <c r="D559" s="98"/>
    </row>
    <row r="560" spans="2:4" hidden="1" x14ac:dyDescent="0.2">
      <c r="B560" s="98"/>
      <c r="C560" s="88"/>
      <c r="D560" s="102"/>
    </row>
    <row r="561" spans="2:4" hidden="1" x14ac:dyDescent="0.2">
      <c r="B561" s="98"/>
      <c r="C561" s="88"/>
      <c r="D561" s="103"/>
    </row>
    <row r="562" spans="2:4" hidden="1" x14ac:dyDescent="0.2">
      <c r="B562" s="98"/>
      <c r="C562" s="88"/>
      <c r="D562" s="103"/>
    </row>
    <row r="563" spans="2:4" hidden="1" x14ac:dyDescent="0.25">
      <c r="B563" s="98"/>
      <c r="D563" s="98"/>
    </row>
    <row r="564" spans="2:4" hidden="1" x14ac:dyDescent="0.25">
      <c r="B564" s="98"/>
      <c r="D564" s="98"/>
    </row>
    <row r="565" spans="2:4" hidden="1" x14ac:dyDescent="0.2">
      <c r="B565" s="98"/>
      <c r="C565" s="88"/>
      <c r="D565" s="103"/>
    </row>
    <row r="566" spans="2:4" hidden="1" x14ac:dyDescent="0.25">
      <c r="B566" s="98"/>
      <c r="D566" s="98"/>
    </row>
    <row r="567" spans="2:4" hidden="1" x14ac:dyDescent="0.2">
      <c r="B567" s="98"/>
      <c r="C567" s="88"/>
      <c r="D567" s="103"/>
    </row>
    <row r="568" spans="2:4" hidden="1" x14ac:dyDescent="0.25">
      <c r="B568" s="98"/>
      <c r="D568" s="98"/>
    </row>
    <row r="569" spans="2:4" hidden="1" x14ac:dyDescent="0.25">
      <c r="D569" s="105"/>
    </row>
    <row r="570" spans="2:4" hidden="1" x14ac:dyDescent="0.25">
      <c r="D570" s="105"/>
    </row>
    <row r="571" spans="2:4" hidden="1" x14ac:dyDescent="0.25"/>
    <row r="572" spans="2:4" hidden="1" x14ac:dyDescent="0.25"/>
    <row r="573" spans="2:4" hidden="1" x14ac:dyDescent="0.25"/>
    <row r="574" spans="2:4" hidden="1" x14ac:dyDescent="0.25"/>
    <row r="575" spans="2:4" hidden="1" x14ac:dyDescent="0.25"/>
    <row r="576" spans="2:4" hidden="1" x14ac:dyDescent="0.25"/>
    <row r="577" spans="4:4" hidden="1" x14ac:dyDescent="0.25"/>
    <row r="578" spans="4:4" hidden="1" x14ac:dyDescent="0.25"/>
    <row r="579" spans="4:4" hidden="1" x14ac:dyDescent="0.25"/>
    <row r="580" spans="4:4" hidden="1" x14ac:dyDescent="0.2">
      <c r="D580" s="106"/>
    </row>
    <row r="581" spans="4:4" hidden="1" x14ac:dyDescent="0.2">
      <c r="D581" s="106"/>
    </row>
    <row r="582" spans="4:4" hidden="1" x14ac:dyDescent="0.2">
      <c r="D582" s="106"/>
    </row>
    <row r="583" spans="4:4" hidden="1" x14ac:dyDescent="0.2">
      <c r="D583" s="106"/>
    </row>
    <row r="584" spans="4:4" hidden="1" x14ac:dyDescent="0.2">
      <c r="D584" s="106"/>
    </row>
    <row r="585" spans="4:4" hidden="1" x14ac:dyDescent="0.2">
      <c r="D585" s="106"/>
    </row>
    <row r="586" spans="4:4" hidden="1" x14ac:dyDescent="0.2">
      <c r="D586" s="106"/>
    </row>
    <row r="587" spans="4:4" hidden="1" x14ac:dyDescent="0.2">
      <c r="D587" s="106"/>
    </row>
    <row r="588" spans="4:4" hidden="1" x14ac:dyDescent="0.2">
      <c r="D588" s="106"/>
    </row>
    <row r="589" spans="4:4" hidden="1" x14ac:dyDescent="0.2">
      <c r="D589" s="106"/>
    </row>
    <row r="590" spans="4:4" hidden="1" x14ac:dyDescent="0.2">
      <c r="D590" s="106"/>
    </row>
    <row r="591" spans="4:4" hidden="1" x14ac:dyDescent="0.2">
      <c r="D591" s="106"/>
    </row>
    <row r="592" spans="4:4" hidden="1" x14ac:dyDescent="0.2">
      <c r="D592" s="106"/>
    </row>
    <row r="593" spans="4:4" hidden="1" x14ac:dyDescent="0.2">
      <c r="D593" s="106"/>
    </row>
    <row r="594" spans="4:4" hidden="1" x14ac:dyDescent="0.2">
      <c r="D594" s="106"/>
    </row>
    <row r="595" spans="4:4" hidden="1" x14ac:dyDescent="0.2">
      <c r="D595" s="106"/>
    </row>
    <row r="596" spans="4:4" hidden="1" x14ac:dyDescent="0.2">
      <c r="D596" s="106"/>
    </row>
    <row r="597" spans="4:4" hidden="1" x14ac:dyDescent="0.2">
      <c r="D597" s="106"/>
    </row>
    <row r="598" spans="4:4" hidden="1" x14ac:dyDescent="0.2">
      <c r="D598" s="106"/>
    </row>
    <row r="599" spans="4:4" hidden="1" x14ac:dyDescent="0.2">
      <c r="D599" s="106"/>
    </row>
    <row r="600" spans="4:4" hidden="1" x14ac:dyDescent="0.2">
      <c r="D600" s="106"/>
    </row>
    <row r="601" spans="4:4" hidden="1" x14ac:dyDescent="0.2">
      <c r="D601" s="106"/>
    </row>
    <row r="602" spans="4:4" hidden="1" x14ac:dyDescent="0.2">
      <c r="D602" s="106"/>
    </row>
    <row r="603" spans="4:4" hidden="1" x14ac:dyDescent="0.2">
      <c r="D603" s="106"/>
    </row>
    <row r="604" spans="4:4" hidden="1" x14ac:dyDescent="0.2">
      <c r="D604" s="106"/>
    </row>
    <row r="605" spans="4:4" hidden="1" x14ac:dyDescent="0.2">
      <c r="D605" s="106"/>
    </row>
    <row r="606" spans="4:4" hidden="1" x14ac:dyDescent="0.2">
      <c r="D606" s="106"/>
    </row>
    <row r="607" spans="4:4" hidden="1" x14ac:dyDescent="0.2">
      <c r="D607" s="106"/>
    </row>
    <row r="608" spans="4:4" hidden="1" x14ac:dyDescent="0.2">
      <c r="D608" s="106"/>
    </row>
    <row r="609" spans="4:4" hidden="1" x14ac:dyDescent="0.2">
      <c r="D609" s="106"/>
    </row>
    <row r="610" spans="4:4" hidden="1" x14ac:dyDescent="0.2">
      <c r="D610" s="106"/>
    </row>
    <row r="611" spans="4:4" hidden="1" x14ac:dyDescent="0.2">
      <c r="D611" s="106"/>
    </row>
    <row r="612" spans="4:4" hidden="1" x14ac:dyDescent="0.25"/>
    <row r="613" spans="4:4" hidden="1" x14ac:dyDescent="0.25"/>
  </sheetData>
  <sheetProtection algorithmName="SHA-512" hashValue="fC9yUO+ixx0cVgD+f+5+YvopVCa5T6QWOAWWSBHRVG3I/i0Iy/XB1iya6XymlNywar84BW9ehbaZH6HKBAbdUA==" saltValue="OaRlkaqRVBBVRHBGr21r9g==" spinCount="100000" sheet="1" objects="1" scenarios="1"/>
  <dataConsolidate/>
  <mergeCells count="17">
    <mergeCell ref="B126:D126"/>
    <mergeCell ref="B53:D53"/>
    <mergeCell ref="B55:D55"/>
    <mergeCell ref="B104:D104"/>
    <mergeCell ref="B106:D106"/>
    <mergeCell ref="B124:D124"/>
    <mergeCell ref="A1:E2"/>
    <mergeCell ref="B4:C4"/>
    <mergeCell ref="B12:C12"/>
    <mergeCell ref="B28:C28"/>
    <mergeCell ref="D14:D21"/>
    <mergeCell ref="B40:C40"/>
    <mergeCell ref="B47:B48"/>
    <mergeCell ref="B49:B50"/>
    <mergeCell ref="C49:C50"/>
    <mergeCell ref="C47:C48"/>
    <mergeCell ref="B43:C43"/>
  </mergeCells>
  <dataValidations count="5">
    <dataValidation type="decimal" showInputMessage="1" showErrorMessage="1" errorTitle="Valor inválido" error="Inserir uma vazão maior ou igual a 10 L/s e menor ou igual a 40 L/s" sqref="C14">
      <formula1>10</formula1>
      <formula2>40</formula2>
    </dataValidation>
    <dataValidation type="custom" showInputMessage="1" showErrorMessage="1" errorTitle="Valor inválido" error="Se a opção 1 for escolhida, o índice de reajuste deve ser igual a 1. Se a opção 2 ou a opção 3 for escolhida, o índice de reajuste deve ser diferente de 1. Não usar índices de reajuste menores que 1" sqref="C39">
      <formula1>AND(C39&gt;=1,OR(AND(D35=1,C39=1),AND(OR(D35=2,D35=3),C39&lt;&gt;1)))</formula1>
    </dataValidation>
    <dataValidation type="decimal" operator="greaterThan" showInputMessage="1" showErrorMessage="1" errorTitle="Valor inválido" error="Inserir um valor maior que zero" sqref="C15:C19">
      <formula1>0</formula1>
    </dataValidation>
    <dataValidation type="date" allowBlank="1" showInputMessage="1" showErrorMessage="1" errorTitle="Valor inválido" error="Inserir uma data válida" sqref="C20:C21">
      <formula1>1</formula1>
      <formula2>73385</formula2>
    </dataValidation>
    <dataValidation type="decimal" operator="greaterThan" allowBlank="1" showInputMessage="1" showErrorMessage="1" errorTitle="Valor inválido" error="Inserir um valor maior que zero" sqref="D58:D101 D109:D120 D121 D129:D467">
      <formula1>0</formula1>
    </dataValidation>
  </dataValidation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2" r:id="rId3" name="Group Box 24">
              <controlPr locked="0" defaultSize="0" autoFill="0" autoPict="0">
                <anchor moveWithCells="1">
                  <from>
                    <xdr:col>2</xdr:col>
                    <xdr:colOff>28575</xdr:colOff>
                    <xdr:row>31</xdr:row>
                    <xdr:rowOff>28575</xdr:rowOff>
                  </from>
                  <to>
                    <xdr:col>2</xdr:col>
                    <xdr:colOff>790575</xdr:colOff>
                    <xdr:row>33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4" name="Option Button 25">
              <controlPr defaultSize="0" autoFill="0" autoLine="0" autoPict="0">
                <anchor moveWithCells="1">
                  <from>
                    <xdr:col>2</xdr:col>
                    <xdr:colOff>257175</xdr:colOff>
                    <xdr:row>31</xdr:row>
                    <xdr:rowOff>66675</xdr:rowOff>
                  </from>
                  <to>
                    <xdr:col>2</xdr:col>
                    <xdr:colOff>504825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Option Button 26">
              <controlPr defaultSize="0" autoFill="0" autoLine="0" autoPict="0">
                <anchor moveWithCells="1">
                  <from>
                    <xdr:col>2</xdr:col>
                    <xdr:colOff>257175</xdr:colOff>
                    <xdr:row>32</xdr:row>
                    <xdr:rowOff>257175</xdr:rowOff>
                  </from>
                  <to>
                    <xdr:col>2</xdr:col>
                    <xdr:colOff>504825</xdr:colOff>
                    <xdr:row>32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Option Button 27">
              <controlPr defaultSize="0" autoFill="0" autoLine="0" autoPict="0">
                <anchor moveWithCells="1">
                  <from>
                    <xdr:col>2</xdr:col>
                    <xdr:colOff>257175</xdr:colOff>
                    <xdr:row>33</xdr:row>
                    <xdr:rowOff>142875</xdr:rowOff>
                  </from>
                  <to>
                    <xdr:col>2</xdr:col>
                    <xdr:colOff>523875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Group Box 29">
              <controlPr locked="0" defaultSize="0" autoFill="0" autoPict="0">
                <anchor moveWithCells="1">
                  <from>
                    <xdr:col>2</xdr:col>
                    <xdr:colOff>28575</xdr:colOff>
                    <xdr:row>46</xdr:row>
                    <xdr:rowOff>28575</xdr:rowOff>
                  </from>
                  <to>
                    <xdr:col>2</xdr:col>
                    <xdr:colOff>790575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Option Button 30">
              <controlPr defaultSize="0" autoFill="0" autoLine="0" autoPict="0">
                <anchor moveWithCells="1">
                  <from>
                    <xdr:col>2</xdr:col>
                    <xdr:colOff>276225</xdr:colOff>
                    <xdr:row>46</xdr:row>
                    <xdr:rowOff>76200</xdr:rowOff>
                  </from>
                  <to>
                    <xdr:col>2</xdr:col>
                    <xdr:colOff>523875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Option Button 31">
              <controlPr defaultSize="0" autoFill="0" autoLine="0" autoPict="0">
                <anchor moveWithCells="1">
                  <from>
                    <xdr:col>2</xdr:col>
                    <xdr:colOff>276225</xdr:colOff>
                    <xdr:row>48</xdr:row>
                    <xdr:rowOff>47625</xdr:rowOff>
                  </from>
                  <to>
                    <xdr:col>2</xdr:col>
                    <xdr:colOff>504825</xdr:colOff>
                    <xdr:row>49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1:AH690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D10" sqref="D10"/>
    </sheetView>
  </sheetViews>
  <sheetFormatPr defaultColWidth="0" defaultRowHeight="12.75" zeroHeight="1" x14ac:dyDescent="0.25"/>
  <cols>
    <col min="1" max="1" width="10.875" style="109" customWidth="1"/>
    <col min="2" max="2" width="50.875" style="109" customWidth="1"/>
    <col min="3" max="3" width="10.875" style="109" customWidth="1"/>
    <col min="4" max="33" width="11.875" style="109" customWidth="1"/>
    <col min="34" max="34" width="10.875" style="109" customWidth="1"/>
    <col min="35" max="16384" width="10.875" style="109" hidden="1"/>
  </cols>
  <sheetData>
    <row r="1" spans="1:34" x14ac:dyDescent="0.25">
      <c r="A1" s="384" t="s">
        <v>721</v>
      </c>
      <c r="B1" s="384"/>
      <c r="C1" s="38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x14ac:dyDescent="0.25">
      <c r="A2" s="386"/>
      <c r="B2" s="386"/>
      <c r="C2" s="386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1"/>
    </row>
    <row r="3" spans="1:34" ht="13.5" thickBot="1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22"/>
    </row>
    <row r="4" spans="1:34" x14ac:dyDescent="0.25">
      <c r="A4" s="112"/>
      <c r="B4" s="113" t="s">
        <v>496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22"/>
    </row>
    <row r="5" spans="1:34" ht="13.5" thickBot="1" x14ac:dyDescent="0.3">
      <c r="A5" s="112"/>
      <c r="B5" s="114">
        <f>'Dados (F)'!C14</f>
        <v>10</v>
      </c>
      <c r="C5" s="26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22"/>
    </row>
    <row r="6" spans="1:34" x14ac:dyDescent="0.25">
      <c r="A6" s="112"/>
      <c r="B6" s="112" t="s">
        <v>497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22"/>
    </row>
    <row r="7" spans="1:34" ht="13.5" thickBot="1" x14ac:dyDescent="0.3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22"/>
    </row>
    <row r="8" spans="1:34" x14ac:dyDescent="0.25">
      <c r="A8" s="112"/>
      <c r="B8" s="395" t="s">
        <v>52</v>
      </c>
      <c r="C8" s="393" t="s">
        <v>53</v>
      </c>
      <c r="D8" s="393" t="s">
        <v>722</v>
      </c>
      <c r="E8" s="393"/>
      <c r="F8" s="393"/>
      <c r="G8" s="393"/>
      <c r="H8" s="393"/>
      <c r="I8" s="393"/>
      <c r="J8" s="393"/>
      <c r="K8" s="393"/>
      <c r="L8" s="393"/>
      <c r="M8" s="393"/>
      <c r="N8" s="393" t="s">
        <v>723</v>
      </c>
      <c r="O8" s="393"/>
      <c r="P8" s="393"/>
      <c r="Q8" s="393"/>
      <c r="R8" s="393"/>
      <c r="S8" s="393"/>
      <c r="T8" s="393"/>
      <c r="U8" s="393"/>
      <c r="V8" s="393"/>
      <c r="W8" s="393"/>
      <c r="X8" s="393" t="s">
        <v>724</v>
      </c>
      <c r="Y8" s="393"/>
      <c r="Z8" s="393"/>
      <c r="AA8" s="393"/>
      <c r="AB8" s="393"/>
      <c r="AC8" s="393"/>
      <c r="AD8" s="393"/>
      <c r="AE8" s="393"/>
      <c r="AF8" s="393"/>
      <c r="AG8" s="394"/>
      <c r="AH8" s="22"/>
    </row>
    <row r="9" spans="1:34" ht="13.5" thickBot="1" x14ac:dyDescent="0.3">
      <c r="A9" s="112"/>
      <c r="B9" s="396"/>
      <c r="C9" s="369"/>
      <c r="D9" s="263" t="s">
        <v>466</v>
      </c>
      <c r="E9" s="263" t="s">
        <v>467</v>
      </c>
      <c r="F9" s="263" t="s">
        <v>468</v>
      </c>
      <c r="G9" s="263" t="s">
        <v>469</v>
      </c>
      <c r="H9" s="263" t="s">
        <v>470</v>
      </c>
      <c r="I9" s="263" t="s">
        <v>471</v>
      </c>
      <c r="J9" s="263" t="s">
        <v>472</v>
      </c>
      <c r="K9" s="263" t="s">
        <v>473</v>
      </c>
      <c r="L9" s="263" t="s">
        <v>474</v>
      </c>
      <c r="M9" s="263" t="s">
        <v>475</v>
      </c>
      <c r="N9" s="263" t="s">
        <v>476</v>
      </c>
      <c r="O9" s="263" t="s">
        <v>477</v>
      </c>
      <c r="P9" s="263" t="s">
        <v>478</v>
      </c>
      <c r="Q9" s="263" t="s">
        <v>479</v>
      </c>
      <c r="R9" s="263" t="s">
        <v>480</v>
      </c>
      <c r="S9" s="263" t="s">
        <v>481</v>
      </c>
      <c r="T9" s="263" t="s">
        <v>482</v>
      </c>
      <c r="U9" s="263" t="s">
        <v>483</v>
      </c>
      <c r="V9" s="263" t="s">
        <v>484</v>
      </c>
      <c r="W9" s="263" t="s">
        <v>485</v>
      </c>
      <c r="X9" s="263" t="s">
        <v>486</v>
      </c>
      <c r="Y9" s="263" t="s">
        <v>487</v>
      </c>
      <c r="Z9" s="263" t="s">
        <v>488</v>
      </c>
      <c r="AA9" s="263" t="s">
        <v>489</v>
      </c>
      <c r="AB9" s="263" t="s">
        <v>490</v>
      </c>
      <c r="AC9" s="263" t="s">
        <v>491</v>
      </c>
      <c r="AD9" s="263" t="s">
        <v>492</v>
      </c>
      <c r="AE9" s="263" t="s">
        <v>493</v>
      </c>
      <c r="AF9" s="263" t="s">
        <v>494</v>
      </c>
      <c r="AG9" s="264" t="s">
        <v>495</v>
      </c>
      <c r="AH9" s="22"/>
    </row>
    <row r="10" spans="1:34" x14ac:dyDescent="0.25">
      <c r="A10" s="112"/>
      <c r="B10" s="117" t="s">
        <v>521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9"/>
      <c r="AH10" s="22"/>
    </row>
    <row r="11" spans="1:34" x14ac:dyDescent="0.25">
      <c r="A11" s="112"/>
      <c r="B11" s="120" t="s">
        <v>498</v>
      </c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3"/>
      <c r="AH11" s="22"/>
    </row>
    <row r="12" spans="1:34" x14ac:dyDescent="0.25">
      <c r="A12" s="112"/>
      <c r="B12" s="124" t="s">
        <v>502</v>
      </c>
      <c r="C12" s="67" t="s">
        <v>57</v>
      </c>
      <c r="D12" s="125">
        <f>0.1133*$B$5^2 + 6.7*$B$5 + 936.67</f>
        <v>1015</v>
      </c>
      <c r="E12" s="125">
        <f>-0.1233*$B$5^2 + 24.5*$B$5 + 985.33</f>
        <v>1218</v>
      </c>
      <c r="F12" s="125">
        <f>0.3517*$B$5^2 - 1.85*$B$5 + 1207.3</f>
        <v>1223.97</v>
      </c>
      <c r="G12" s="125">
        <f>-0.0417*$B$5^2 + 14.45*$B$5 + 874.67</f>
        <v>1015</v>
      </c>
      <c r="H12" s="125">
        <f>-0.0667*$B$5^2 + 22.8*$B$5 + 996.67</f>
        <v>1218</v>
      </c>
      <c r="I12" s="125">
        <f>0.3*$B$5^2 + 3.7*$B$5 + 1157</f>
        <v>1224</v>
      </c>
      <c r="J12" s="125">
        <f>0.1133*$B$5^2 + 6.7*$B$5 + 936.67</f>
        <v>1015</v>
      </c>
      <c r="K12" s="125">
        <f>0.3*$B$5^2 + 3.7*$B$5 + 1157</f>
        <v>1224</v>
      </c>
      <c r="L12" s="125">
        <f>-0.0417*$B$5^2 + 14.45*$B$5 + 874.67</f>
        <v>1015</v>
      </c>
      <c r="M12" s="125">
        <f>0.3*$B$5^2 + 3.8*$B$5 + 1182</f>
        <v>1250</v>
      </c>
      <c r="N12" s="125">
        <f>0.12*$B$5^2 + 3*$B$5 + 1008</f>
        <v>1050</v>
      </c>
      <c r="O12" s="125">
        <f>0.0517*$B$5^2 + 11.15*$B$5 + 956.33</f>
        <v>1073</v>
      </c>
      <c r="P12" s="125">
        <f>0.115*$B$5^2 + 2.25*$B$5 + 1140</f>
        <v>1174</v>
      </c>
      <c r="Q12" s="125">
        <f>0.12*$B$5^2 + 3*$B$5 + 1008</f>
        <v>1050</v>
      </c>
      <c r="R12" s="125">
        <f>-0.0017*$B$5^2 + 12.85*$B$5 + 973.67</f>
        <v>1102</v>
      </c>
      <c r="S12" s="125">
        <f>0.115*$B$5^2 + 2.25*$B$5 + 1140</f>
        <v>1174</v>
      </c>
      <c r="T12" s="125">
        <f>0.12*$B$5^2 + 3*$B$5 + 1008</f>
        <v>1050</v>
      </c>
      <c r="U12" s="125">
        <f>0.2033*$B$5^2 - 0.4*$B$5 + 1157.7</f>
        <v>1174.03</v>
      </c>
      <c r="V12" s="125">
        <f>0.12*$B$5^2 + 3*$B$5 + 1008</f>
        <v>1050</v>
      </c>
      <c r="W12" s="125">
        <f>0.2033*$B$5^2 - 0.4*$B$5 + 1157.7</f>
        <v>1174.03</v>
      </c>
      <c r="X12" s="125">
        <f>0.38*$B$5^2 - 7.5*$B$5 + 1052</f>
        <v>1015</v>
      </c>
      <c r="Y12" s="125">
        <f>-0.0717*$B$5^2 + 18.55*$B$5 + 857.67</f>
        <v>1036</v>
      </c>
      <c r="Z12" s="125">
        <f>0.34*$B$5^2 - 5.8*$B$5 + 1116</f>
        <v>1092</v>
      </c>
      <c r="AA12" s="125">
        <f>0.2833*$B$5^2 - 1.7*$B$5 + 974.67</f>
        <v>986</v>
      </c>
      <c r="AB12" s="125">
        <f>0.0217*$B$5^2 + 12.95*$B$5 + 932.33</f>
        <v>1064</v>
      </c>
      <c r="AC12" s="125">
        <f>0.04*$B$5^2 + 9.2*$B$5 + 996</f>
        <v>1092</v>
      </c>
      <c r="AD12" s="125">
        <f>0.38*$B$5^2 - 7.5*$B$5 + 1052</f>
        <v>1015</v>
      </c>
      <c r="AE12" s="125">
        <f>0.04*$B$5^2 + 9.2*$B$5 + 996</f>
        <v>1092</v>
      </c>
      <c r="AF12" s="125">
        <f>0.04*$B$5^2 + 9.2*$B$5 + 996</f>
        <v>1092</v>
      </c>
      <c r="AG12" s="126">
        <f>0.12*$B$5^2 + 4.4*$B$5 + 1060</f>
        <v>1116</v>
      </c>
      <c r="AH12" s="22"/>
    </row>
    <row r="13" spans="1:34" x14ac:dyDescent="0.25">
      <c r="A13" s="112"/>
      <c r="B13" s="124" t="s">
        <v>503</v>
      </c>
      <c r="C13" s="67" t="s">
        <v>57</v>
      </c>
      <c r="D13" s="125">
        <f>0.0967*$B$5^2 + 10.1*$B$5 + 659.33</f>
        <v>770</v>
      </c>
      <c r="E13" s="125">
        <f>0.0267*$B$5^2 + 28.8*$B$5 + 885.33</f>
        <v>1176</v>
      </c>
      <c r="F13" s="125">
        <f>0.035*$B$5^2 + 1.45*$B$5 + 126</f>
        <v>144</v>
      </c>
      <c r="G13" s="125">
        <f>-0.0283*$B$5^2 + 16.35*$B$5 + 609.33</f>
        <v>770</v>
      </c>
      <c r="H13" s="125">
        <f>0.0933*$B$5^2 + 26.8*$B$5 + 898.67</f>
        <v>1176</v>
      </c>
      <c r="I13" s="125">
        <f>0.035*$B$5^2 + 1.45*$B$5 + 126</f>
        <v>144</v>
      </c>
      <c r="J13" s="125">
        <f>0.0967*$B$5^2 + 10.1*$B$5 + 659.33</f>
        <v>770</v>
      </c>
      <c r="K13" s="125">
        <f>0.035*$B$5^2 + 1.45*$B$5 + 126</f>
        <v>144</v>
      </c>
      <c r="L13" s="125">
        <f>-0.0283*$B$5^2 + 16.35*$B$5 + 609.33</f>
        <v>770</v>
      </c>
      <c r="M13" s="125">
        <f>0.0367*$B$5^2 + 1.5*$B$5 + 137.33</f>
        <v>156</v>
      </c>
      <c r="N13" s="125">
        <f>-0.08*$B$5^2 + 15*$B$5 + 488</f>
        <v>630</v>
      </c>
      <c r="O13" s="125">
        <f>0.0117*$B$5^2 + 14.55*$B$5 + 704.33</f>
        <v>851</v>
      </c>
      <c r="P13" s="125">
        <f>-0.0217*$B$5^2 + 1.95*$B$5 + 138.67</f>
        <v>156</v>
      </c>
      <c r="Q13" s="125">
        <f>-0.08*$B$5^2 + 15*$B$5 + 488</f>
        <v>630</v>
      </c>
      <c r="R13" s="125">
        <f>-0.0367*$B$5^2 + 16.2*$B$5 + 715.67</f>
        <v>874</v>
      </c>
      <c r="S13" s="125">
        <f>-0.0217*$B$5^2 + 1.95*$B$5 + 138.67</f>
        <v>156</v>
      </c>
      <c r="T13" s="125">
        <f>-0.08*$B$5^2 + 15*$B$5 + 488</f>
        <v>630</v>
      </c>
      <c r="U13" s="125">
        <f>0.025*$B$5^2 + 0.55*$B$5 + 148</f>
        <v>156</v>
      </c>
      <c r="V13" s="125">
        <f>-0.08*$B$5^2 + 15*$B$5 + 488</f>
        <v>630</v>
      </c>
      <c r="W13" s="125">
        <f>0.025*$B$5^2 + 0.55*$B$5 + 148</f>
        <v>156</v>
      </c>
      <c r="X13" s="125">
        <f>0.13*$B$5^2 + 4.5*$B$5 + 572</f>
        <v>630</v>
      </c>
      <c r="Y13" s="125">
        <f>0.0117*$B$5^2 + 14.55*$B$5 + 704.33</f>
        <v>851</v>
      </c>
      <c r="Z13" s="125">
        <f>0.01*$B$5^2 + 2.1*$B$5 + 110</f>
        <v>132</v>
      </c>
      <c r="AA13" s="125">
        <f>0.07*$B$5^2 + 8.1*$B$5 + 524</f>
        <v>612</v>
      </c>
      <c r="AB13" s="125">
        <f>0.0883*$B$5^2 + 9.95*$B$5 + 765.67</f>
        <v>874</v>
      </c>
      <c r="AC13" s="125">
        <f>-0.055*$B$5^2 + 5.35*$B$5 + 84</f>
        <v>132</v>
      </c>
      <c r="AD13" s="125">
        <f>0.13*$B$5^2 + 4.5*$B$5 + 572</f>
        <v>630</v>
      </c>
      <c r="AE13" s="125">
        <f>-0.055*$B$5^2 + 5.35*$B$5 + 84</f>
        <v>132</v>
      </c>
      <c r="AF13" s="125">
        <f>-0.055*$B$5^2 + 5.35*$B$5 + 84</f>
        <v>132</v>
      </c>
      <c r="AG13" s="126">
        <f>-0.015*$B$5^2 + 2.95*$B$5 + 116</f>
        <v>144</v>
      </c>
      <c r="AH13" s="22"/>
    </row>
    <row r="14" spans="1:34" x14ac:dyDescent="0.25">
      <c r="A14" s="112"/>
      <c r="B14" s="120" t="s">
        <v>499</v>
      </c>
      <c r="C14" s="121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8"/>
      <c r="AH14" s="22"/>
    </row>
    <row r="15" spans="1:34" x14ac:dyDescent="0.25">
      <c r="A15" s="112"/>
      <c r="B15" s="120" t="s">
        <v>500</v>
      </c>
      <c r="C15" s="12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8"/>
      <c r="AH15" s="22"/>
    </row>
    <row r="16" spans="1:34" ht="25.5" x14ac:dyDescent="0.25">
      <c r="A16" s="112"/>
      <c r="B16" s="262" t="s">
        <v>505</v>
      </c>
      <c r="C16" s="67" t="s">
        <v>57</v>
      </c>
      <c r="D16" s="125">
        <f>0.1133*$B$5^2 + 6.7*$B$5 + 936.67</f>
        <v>1015</v>
      </c>
      <c r="E16" s="125">
        <f>-0.1233*$B$5^2 + 24.5*$B$5 + 985.33</f>
        <v>1218</v>
      </c>
      <c r="F16" s="125">
        <f>0.3517*$B$5^2 - 1.85*$B$5 + 1207.3</f>
        <v>1223.97</v>
      </c>
      <c r="G16" s="125">
        <f>-0.0417*$B$5^2 + 14.45*$B$5 + 874.67</f>
        <v>1015</v>
      </c>
      <c r="H16" s="125">
        <f>-0.0667*$B$5^2 + 22.8*$B$5 + 996.67</f>
        <v>1218</v>
      </c>
      <c r="I16" s="125">
        <f>0.3*$B$5^2 + 3.7*$B$5 + 1157</f>
        <v>1224</v>
      </c>
      <c r="J16" s="125">
        <f>0.1133*$B$5^2 + 6.7*$B$5 + 936.67</f>
        <v>1015</v>
      </c>
      <c r="K16" s="125">
        <f>0.3*$B$5^2 + 3.7*$B$5 + 1157</f>
        <v>1224</v>
      </c>
      <c r="L16" s="125">
        <f>-0.0417*$B$5^2 + 14.45*$B$5 + 874.67</f>
        <v>1015</v>
      </c>
      <c r="M16" s="125">
        <f>0.3*$B$5^2 + 3.8*$B$5 + 1182</f>
        <v>1250</v>
      </c>
      <c r="N16" s="125">
        <f>0.12*$B$5^2 + 3*$B$5 + 1008</f>
        <v>1050</v>
      </c>
      <c r="O16" s="125">
        <f>0.0517*$B$5^2 + 11.15*$B$5 + 956.33</f>
        <v>1073</v>
      </c>
      <c r="P16" s="125">
        <f>0.115*$B$5^2 + 2.25*$B$5 + 1140</f>
        <v>1174</v>
      </c>
      <c r="Q16" s="125">
        <f>0.12*$B$5^2 + 3*$B$5 + 1008</f>
        <v>1050</v>
      </c>
      <c r="R16" s="125">
        <f>-0.0017*$B$5^2 + 12.85*$B$5 + 973.67</f>
        <v>1102</v>
      </c>
      <c r="S16" s="125">
        <f>0.115*$B$5^2 + 2.25*$B$5 + 1140</f>
        <v>1174</v>
      </c>
      <c r="T16" s="125">
        <f>0.12*$B$5^2 + 3*$B$5 + 1008</f>
        <v>1050</v>
      </c>
      <c r="U16" s="125">
        <f>0.2033*$B$5^2 - 0.4*$B$5 + 1157.7</f>
        <v>1174.03</v>
      </c>
      <c r="V16" s="125">
        <f>0.12*$B$5^2 + 3*$B$5 + 1008</f>
        <v>1050</v>
      </c>
      <c r="W16" s="125">
        <f>0.2033*$B$5^2 - 0.4*$B$5 + 1157.7</f>
        <v>1174.03</v>
      </c>
      <c r="X16" s="125">
        <f>0.38*$B$5^2 - 7.5*$B$5 + 1052</f>
        <v>1015</v>
      </c>
      <c r="Y16" s="125">
        <f>-0.0717*$B$5^2 + 18.55*$B$5 + 857.67</f>
        <v>1036</v>
      </c>
      <c r="Z16" s="125">
        <f>0.34*$B$5^2 - 5.8*$B$5 + 1116</f>
        <v>1092</v>
      </c>
      <c r="AA16" s="125">
        <f>0.2833*$B$5^2 - 1.7*$B$5 + 974.67</f>
        <v>986</v>
      </c>
      <c r="AB16" s="125">
        <f>0.0217*$B$5^2 + 12.95*$B$5 + 932.33</f>
        <v>1064</v>
      </c>
      <c r="AC16" s="125">
        <f>0.04*$B$5^2 + 9.2*$B$5 + 996</f>
        <v>1092</v>
      </c>
      <c r="AD16" s="125">
        <f>0.38*$B$5^2 - 7.5*$B$5 + 1052</f>
        <v>1015</v>
      </c>
      <c r="AE16" s="125">
        <f>0.04*$B$5^2 + 9.2*$B$5 + 996</f>
        <v>1092</v>
      </c>
      <c r="AF16" s="125">
        <f>0.04*$B$5^2 + 9.2*$B$5 + 996</f>
        <v>1092</v>
      </c>
      <c r="AG16" s="126">
        <f>0.12*$B$5^2 + 4.4*$B$5 + 1060</f>
        <v>1116</v>
      </c>
      <c r="AH16" s="22"/>
    </row>
    <row r="17" spans="1:34" x14ac:dyDescent="0.25">
      <c r="A17" s="112"/>
      <c r="B17" s="262" t="s">
        <v>58</v>
      </c>
      <c r="C17" s="67" t="s">
        <v>57</v>
      </c>
      <c r="D17" s="125">
        <f>0.1133*$B$5^2 + 6.7*$B$5 + 936.67</f>
        <v>1015</v>
      </c>
      <c r="E17" s="125">
        <f>-0.1233*$B$5^2 + 24.5*$B$5 + 985.33</f>
        <v>1218</v>
      </c>
      <c r="F17" s="125">
        <f>0.3517*$B$5^2 - 1.85*$B$5 + 1207.3</f>
        <v>1223.97</v>
      </c>
      <c r="G17" s="125">
        <f>-0.0417*$B$5^2 + 14.45*$B$5 + 874.67</f>
        <v>1015</v>
      </c>
      <c r="H17" s="125">
        <f>-0.0667*$B$5^2 + 22.8*$B$5 + 996.67</f>
        <v>1218</v>
      </c>
      <c r="I17" s="125">
        <f>0.3*$B$5^2 + 3.7*$B$5 + 1157</f>
        <v>1224</v>
      </c>
      <c r="J17" s="125">
        <f>0.1133*$B$5^2 + 6.7*$B$5 + 936.67</f>
        <v>1015</v>
      </c>
      <c r="K17" s="125">
        <f>0.3*$B$5^2 + 3.7*$B$5 + 1157</f>
        <v>1224</v>
      </c>
      <c r="L17" s="125">
        <f>-0.0417*$B$5^2 + 14.45*$B$5 + 874.67</f>
        <v>1015</v>
      </c>
      <c r="M17" s="125">
        <f>0.3*$B$5^2 + 3.8*$B$5 + 1182</f>
        <v>1250</v>
      </c>
      <c r="N17" s="125">
        <f>0.12*$B$5^2 + 3*$B$5 + 1008</f>
        <v>1050</v>
      </c>
      <c r="O17" s="125">
        <f>0.0517*$B$5^2 + 11.15*$B$5 + 956.33</f>
        <v>1073</v>
      </c>
      <c r="P17" s="125">
        <f>0.115*$B$5^2 + 2.25*$B$5 + 1140</f>
        <v>1174</v>
      </c>
      <c r="Q17" s="125">
        <f>0.12*$B$5^2 + 3*$B$5 + 1008</f>
        <v>1050</v>
      </c>
      <c r="R17" s="125">
        <f>-0.0017*$B$5^2 + 12.85*$B$5 + 973.67</f>
        <v>1102</v>
      </c>
      <c r="S17" s="125">
        <f>0.115*$B$5^2 + 2.25*$B$5 + 1140</f>
        <v>1174</v>
      </c>
      <c r="T17" s="125">
        <f>0.12*$B$5^2 + 3*$B$5 + 1008</f>
        <v>1050</v>
      </c>
      <c r="U17" s="125">
        <f>0.2033*$B$5^2 - 0.4*$B$5 + 1157.7</f>
        <v>1174.03</v>
      </c>
      <c r="V17" s="125">
        <f>0.12*$B$5^2 + 3*$B$5 + 1008</f>
        <v>1050</v>
      </c>
      <c r="W17" s="125">
        <f>0.2033*$B$5^2 - 0.4*$B$5 + 1157.7</f>
        <v>1174.03</v>
      </c>
      <c r="X17" s="125">
        <f>0.38*$B$5^2 - 7.5*$B$5 + 1052</f>
        <v>1015</v>
      </c>
      <c r="Y17" s="125">
        <f>-0.0717*$B$5^2 + 18.55*$B$5 + 857.67</f>
        <v>1036</v>
      </c>
      <c r="Z17" s="125">
        <f>0.34*$B$5^2 - 5.8*$B$5 + 1116</f>
        <v>1092</v>
      </c>
      <c r="AA17" s="125">
        <f>0.2833*$B$5^2 - 1.7*$B$5 + 974.67</f>
        <v>986</v>
      </c>
      <c r="AB17" s="125">
        <f>0.0217*$B$5^2 + 12.95*$B$5 + 932.33</f>
        <v>1064</v>
      </c>
      <c r="AC17" s="125">
        <f>0.04*$B$5^2 + 9.2*$B$5 + 996</f>
        <v>1092</v>
      </c>
      <c r="AD17" s="125">
        <f>0.38*$B$5^2 - 7.5*$B$5 + 1052</f>
        <v>1015</v>
      </c>
      <c r="AE17" s="125">
        <f>0.04*$B$5^2 + 9.2*$B$5 + 996</f>
        <v>1092</v>
      </c>
      <c r="AF17" s="125">
        <f>0.04*$B$5^2 + 9.2*$B$5 + 996</f>
        <v>1092</v>
      </c>
      <c r="AG17" s="126">
        <f>0.12*$B$5^2 + 4.4*$B$5 + 1060</f>
        <v>1116</v>
      </c>
      <c r="AH17" s="22"/>
    </row>
    <row r="18" spans="1:34" ht="38.25" x14ac:dyDescent="0.25">
      <c r="A18" s="112"/>
      <c r="B18" s="262" t="s">
        <v>292</v>
      </c>
      <c r="C18" s="67" t="s">
        <v>57</v>
      </c>
      <c r="D18" s="125">
        <f>1.05*$B$5 + 174.3</f>
        <v>184.8</v>
      </c>
      <c r="E18" s="125">
        <f>-0.014*$B$5^2 + 2.1*$B$5 + 179.9</f>
        <v>199.5</v>
      </c>
      <c r="F18" s="125">
        <f>0.0315*$B$5^2 - 0.105*$B$5 + 247.8</f>
        <v>249.9</v>
      </c>
      <c r="G18" s="125">
        <f>-0.0105*$B$5^2 + 1.575*$B$5 + 170.1</f>
        <v>184.79999999999998</v>
      </c>
      <c r="H18" s="125">
        <f>-0.0105*$B$5^2 + 1.995*$B$5 + 180.6</f>
        <v>199.5</v>
      </c>
      <c r="I18" s="125">
        <f>0.0245*$B$5^2 + 0.525*$B$5 + 242.2</f>
        <v>249.89999999999998</v>
      </c>
      <c r="J18" s="125">
        <f>1.05*$B$5 + 174.3</f>
        <v>184.8</v>
      </c>
      <c r="K18" s="125">
        <f>0.0245*$B$5^2 + 0.525*$B$5 + 242.2</f>
        <v>249.89999999999998</v>
      </c>
      <c r="L18" s="125">
        <f>-0.0105*$B$5^2 + 1.575*$B$5 + 170.1</f>
        <v>184.79999999999998</v>
      </c>
      <c r="M18" s="125">
        <f>0.0245*$B$5^2 + 0.525*$B$5 + 244.3</f>
        <v>252</v>
      </c>
      <c r="N18" s="125">
        <f>0.007*$B$5^2 + 0.42*$B$5 + 184.1</f>
        <v>189</v>
      </c>
      <c r="O18" s="125">
        <f>0.0035*$B$5^2 + 0.945*$B$5 + 179.2</f>
        <v>189</v>
      </c>
      <c r="P18" s="125">
        <f>0.0105*$B$5^2 + 0.315*$B$5 + 239.4</f>
        <v>243.6</v>
      </c>
      <c r="Q18" s="125">
        <f>0.007*$B$5^2 + 0.42*$B$5 + 184.1</f>
        <v>189</v>
      </c>
      <c r="R18" s="125">
        <f>-2*10^-15*$B$5^2 + 1.05*$B$5 + 180.6</f>
        <v>191.0999999999998</v>
      </c>
      <c r="S18" s="125">
        <f>0.0105*$B$5^2 + 0.315*$B$5 + 239.4</f>
        <v>243.6</v>
      </c>
      <c r="T18" s="125">
        <f>0.007*$B$5^2 + 0.42*$B$5 + 184.1</f>
        <v>189</v>
      </c>
      <c r="U18" s="125">
        <f>0.0175*$B$5^2 + 0.105*$B$5 + 240.8</f>
        <v>243.60000000000002</v>
      </c>
      <c r="V18" s="125">
        <f>0.007*$B$5^2 + 0.42*$B$5 + 184.1</f>
        <v>189</v>
      </c>
      <c r="W18" s="125">
        <f>0.0175*$B$5^2 + 0.105*$B$5 + 240.8</f>
        <v>243.60000000000002</v>
      </c>
      <c r="X18" s="125">
        <f>0.021*$B$5^2 + 4*10^-14*$B$5 + 182.7</f>
        <v>184.80000000000038</v>
      </c>
      <c r="Y18" s="125">
        <f>-0.0105*$B$5^2 + 1.785*$B$5 + 168</f>
        <v>184.8</v>
      </c>
      <c r="Z18" s="125">
        <f>0.035*$B$5^2 - 0.63*$B$5 + 238</f>
        <v>235.2</v>
      </c>
      <c r="AA18" s="125">
        <f>0.014*$B$5^2 + 0.42*$B$5 + 177.1</f>
        <v>182.7</v>
      </c>
      <c r="AB18" s="125">
        <f>-0.0035*$B$5^2 + 1.365*$B$5 + 173.6</f>
        <v>186.9</v>
      </c>
      <c r="AC18" s="125">
        <f>0.0035*$B$5^2 + 0.945*$B$5 + 225.4</f>
        <v>235.20000000000002</v>
      </c>
      <c r="AD18" s="125">
        <f>0.021*$B$5^2 + 4*10^-14*$B$5 + 182.7</f>
        <v>184.80000000000038</v>
      </c>
      <c r="AE18" s="125">
        <f>0.0035*$B$5^2 + 0.945*$B$5 + 225.4</f>
        <v>235.20000000000002</v>
      </c>
      <c r="AF18" s="125">
        <f>0.0035*$B$5^2 + 0.945*$B$5 + 225.4</f>
        <v>235.20000000000002</v>
      </c>
      <c r="AG18" s="126">
        <f>0.0105*$B$5^2 + 0.525*$B$5 + 231</f>
        <v>237.3</v>
      </c>
      <c r="AH18" s="22"/>
    </row>
    <row r="19" spans="1:34" ht="25.5" x14ac:dyDescent="0.25">
      <c r="A19" s="112"/>
      <c r="B19" s="262" t="s">
        <v>76</v>
      </c>
      <c r="C19" s="67" t="s">
        <v>57</v>
      </c>
      <c r="D19" s="125">
        <f t="shared" ref="D19:AG19" si="0">8.4</f>
        <v>8.4</v>
      </c>
      <c r="E19" s="125">
        <f t="shared" si="0"/>
        <v>8.4</v>
      </c>
      <c r="F19" s="125">
        <f t="shared" si="0"/>
        <v>8.4</v>
      </c>
      <c r="G19" s="125">
        <f t="shared" si="0"/>
        <v>8.4</v>
      </c>
      <c r="H19" s="125">
        <f t="shared" si="0"/>
        <v>8.4</v>
      </c>
      <c r="I19" s="125">
        <f t="shared" si="0"/>
        <v>8.4</v>
      </c>
      <c r="J19" s="125">
        <f t="shared" si="0"/>
        <v>8.4</v>
      </c>
      <c r="K19" s="125">
        <f t="shared" si="0"/>
        <v>8.4</v>
      </c>
      <c r="L19" s="125">
        <f t="shared" si="0"/>
        <v>8.4</v>
      </c>
      <c r="M19" s="125">
        <f t="shared" si="0"/>
        <v>8.4</v>
      </c>
      <c r="N19" s="125">
        <f t="shared" si="0"/>
        <v>8.4</v>
      </c>
      <c r="O19" s="125">
        <f t="shared" si="0"/>
        <v>8.4</v>
      </c>
      <c r="P19" s="125">
        <f t="shared" si="0"/>
        <v>8.4</v>
      </c>
      <c r="Q19" s="125">
        <f t="shared" si="0"/>
        <v>8.4</v>
      </c>
      <c r="R19" s="125">
        <f t="shared" si="0"/>
        <v>8.4</v>
      </c>
      <c r="S19" s="125">
        <f t="shared" si="0"/>
        <v>8.4</v>
      </c>
      <c r="T19" s="125">
        <f t="shared" si="0"/>
        <v>8.4</v>
      </c>
      <c r="U19" s="125">
        <f t="shared" si="0"/>
        <v>8.4</v>
      </c>
      <c r="V19" s="125">
        <f t="shared" si="0"/>
        <v>8.4</v>
      </c>
      <c r="W19" s="125">
        <f t="shared" si="0"/>
        <v>8.4</v>
      </c>
      <c r="X19" s="125">
        <f t="shared" si="0"/>
        <v>8.4</v>
      </c>
      <c r="Y19" s="125">
        <f t="shared" si="0"/>
        <v>8.4</v>
      </c>
      <c r="Z19" s="125">
        <f t="shared" si="0"/>
        <v>8.4</v>
      </c>
      <c r="AA19" s="125">
        <f t="shared" si="0"/>
        <v>8.4</v>
      </c>
      <c r="AB19" s="125">
        <f t="shared" si="0"/>
        <v>8.4</v>
      </c>
      <c r="AC19" s="125">
        <f t="shared" si="0"/>
        <v>8.4</v>
      </c>
      <c r="AD19" s="125">
        <f t="shared" si="0"/>
        <v>8.4</v>
      </c>
      <c r="AE19" s="125">
        <f t="shared" si="0"/>
        <v>8.4</v>
      </c>
      <c r="AF19" s="125">
        <f t="shared" si="0"/>
        <v>8.4</v>
      </c>
      <c r="AG19" s="126">
        <f t="shared" si="0"/>
        <v>8.4</v>
      </c>
      <c r="AH19" s="22"/>
    </row>
    <row r="20" spans="1:34" x14ac:dyDescent="0.25">
      <c r="A20" s="112"/>
      <c r="B20" s="262" t="s">
        <v>74</v>
      </c>
      <c r="C20" s="67" t="s">
        <v>57</v>
      </c>
      <c r="D20" s="125">
        <f t="shared" ref="D20:AG20" si="1">2.1</f>
        <v>2.1</v>
      </c>
      <c r="E20" s="125">
        <f t="shared" si="1"/>
        <v>2.1</v>
      </c>
      <c r="F20" s="125">
        <f t="shared" si="1"/>
        <v>2.1</v>
      </c>
      <c r="G20" s="125">
        <f t="shared" si="1"/>
        <v>2.1</v>
      </c>
      <c r="H20" s="125">
        <f t="shared" si="1"/>
        <v>2.1</v>
      </c>
      <c r="I20" s="125">
        <f t="shared" si="1"/>
        <v>2.1</v>
      </c>
      <c r="J20" s="125">
        <f t="shared" si="1"/>
        <v>2.1</v>
      </c>
      <c r="K20" s="125">
        <f t="shared" si="1"/>
        <v>2.1</v>
      </c>
      <c r="L20" s="125">
        <f t="shared" si="1"/>
        <v>2.1</v>
      </c>
      <c r="M20" s="125">
        <f t="shared" si="1"/>
        <v>2.1</v>
      </c>
      <c r="N20" s="125">
        <f t="shared" si="1"/>
        <v>2.1</v>
      </c>
      <c r="O20" s="125">
        <f t="shared" si="1"/>
        <v>2.1</v>
      </c>
      <c r="P20" s="125">
        <f t="shared" si="1"/>
        <v>2.1</v>
      </c>
      <c r="Q20" s="125">
        <f t="shared" si="1"/>
        <v>2.1</v>
      </c>
      <c r="R20" s="125">
        <f t="shared" si="1"/>
        <v>2.1</v>
      </c>
      <c r="S20" s="125">
        <f t="shared" si="1"/>
        <v>2.1</v>
      </c>
      <c r="T20" s="125">
        <f t="shared" si="1"/>
        <v>2.1</v>
      </c>
      <c r="U20" s="125">
        <f t="shared" si="1"/>
        <v>2.1</v>
      </c>
      <c r="V20" s="125">
        <f t="shared" si="1"/>
        <v>2.1</v>
      </c>
      <c r="W20" s="125">
        <f t="shared" si="1"/>
        <v>2.1</v>
      </c>
      <c r="X20" s="125">
        <f t="shared" si="1"/>
        <v>2.1</v>
      </c>
      <c r="Y20" s="125">
        <f t="shared" si="1"/>
        <v>2.1</v>
      </c>
      <c r="Z20" s="125">
        <f t="shared" si="1"/>
        <v>2.1</v>
      </c>
      <c r="AA20" s="125">
        <f t="shared" si="1"/>
        <v>2.1</v>
      </c>
      <c r="AB20" s="125">
        <f t="shared" si="1"/>
        <v>2.1</v>
      </c>
      <c r="AC20" s="125">
        <f t="shared" si="1"/>
        <v>2.1</v>
      </c>
      <c r="AD20" s="125">
        <f t="shared" si="1"/>
        <v>2.1</v>
      </c>
      <c r="AE20" s="125">
        <f t="shared" si="1"/>
        <v>2.1</v>
      </c>
      <c r="AF20" s="125">
        <f t="shared" si="1"/>
        <v>2.1</v>
      </c>
      <c r="AG20" s="126">
        <f t="shared" si="1"/>
        <v>2.1</v>
      </c>
      <c r="AH20" s="22"/>
    </row>
    <row r="21" spans="1:34" ht="25.5" x14ac:dyDescent="0.25">
      <c r="A21" s="112"/>
      <c r="B21" s="262" t="s">
        <v>293</v>
      </c>
      <c r="C21" s="67" t="s">
        <v>504</v>
      </c>
      <c r="D21" s="125">
        <f>1</f>
        <v>1</v>
      </c>
      <c r="E21" s="125">
        <f>1</f>
        <v>1</v>
      </c>
      <c r="F21" s="125">
        <f>1</f>
        <v>1</v>
      </c>
      <c r="G21" s="125">
        <f>1</f>
        <v>1</v>
      </c>
      <c r="H21" s="125">
        <f>1</f>
        <v>1</v>
      </c>
      <c r="I21" s="125">
        <f>1</f>
        <v>1</v>
      </c>
      <c r="J21" s="125">
        <f>1</f>
        <v>1</v>
      </c>
      <c r="K21" s="125">
        <f>1</f>
        <v>1</v>
      </c>
      <c r="L21" s="125">
        <f>1</f>
        <v>1</v>
      </c>
      <c r="M21" s="125">
        <f>1</f>
        <v>1</v>
      </c>
      <c r="N21" s="125">
        <f>1</f>
        <v>1</v>
      </c>
      <c r="O21" s="125">
        <f>1</f>
        <v>1</v>
      </c>
      <c r="P21" s="125">
        <f>1</f>
        <v>1</v>
      </c>
      <c r="Q21" s="125">
        <f>1</f>
        <v>1</v>
      </c>
      <c r="R21" s="125">
        <f>1</f>
        <v>1</v>
      </c>
      <c r="S21" s="125">
        <f>1</f>
        <v>1</v>
      </c>
      <c r="T21" s="125">
        <f>1</f>
        <v>1</v>
      </c>
      <c r="U21" s="125">
        <f>1</f>
        <v>1</v>
      </c>
      <c r="V21" s="125">
        <f>1</f>
        <v>1</v>
      </c>
      <c r="W21" s="125">
        <f>1</f>
        <v>1</v>
      </c>
      <c r="X21" s="125">
        <f>1</f>
        <v>1</v>
      </c>
      <c r="Y21" s="125">
        <f>1</f>
        <v>1</v>
      </c>
      <c r="Z21" s="125">
        <f>1</f>
        <v>1</v>
      </c>
      <c r="AA21" s="125">
        <f>1</f>
        <v>1</v>
      </c>
      <c r="AB21" s="125">
        <f>1</f>
        <v>1</v>
      </c>
      <c r="AC21" s="125">
        <f>1</f>
        <v>1</v>
      </c>
      <c r="AD21" s="125">
        <f>1</f>
        <v>1</v>
      </c>
      <c r="AE21" s="125">
        <f>1</f>
        <v>1</v>
      </c>
      <c r="AF21" s="125">
        <f>1</f>
        <v>1</v>
      </c>
      <c r="AG21" s="126">
        <f>1</f>
        <v>1</v>
      </c>
      <c r="AH21" s="22"/>
    </row>
    <row r="22" spans="1:34" ht="25.5" x14ac:dyDescent="0.25">
      <c r="A22" s="112"/>
      <c r="B22" s="262" t="s">
        <v>61</v>
      </c>
      <c r="C22" s="67" t="s">
        <v>57</v>
      </c>
      <c r="D22" s="125">
        <f>10</f>
        <v>10</v>
      </c>
      <c r="E22" s="125">
        <f>10</f>
        <v>10</v>
      </c>
      <c r="F22" s="125">
        <f>10</f>
        <v>10</v>
      </c>
      <c r="G22" s="125">
        <f>10</f>
        <v>10</v>
      </c>
      <c r="H22" s="125">
        <f>10</f>
        <v>10</v>
      </c>
      <c r="I22" s="125">
        <f>10</f>
        <v>10</v>
      </c>
      <c r="J22" s="125">
        <f>10</f>
        <v>10</v>
      </c>
      <c r="K22" s="125">
        <f>10</f>
        <v>10</v>
      </c>
      <c r="L22" s="125">
        <f>10</f>
        <v>10</v>
      </c>
      <c r="M22" s="125">
        <f>10</f>
        <v>10</v>
      </c>
      <c r="N22" s="125">
        <f>10</f>
        <v>10</v>
      </c>
      <c r="O22" s="125">
        <f>10</f>
        <v>10</v>
      </c>
      <c r="P22" s="125">
        <f>10</f>
        <v>10</v>
      </c>
      <c r="Q22" s="125">
        <f>10</f>
        <v>10</v>
      </c>
      <c r="R22" s="125">
        <f>10</f>
        <v>10</v>
      </c>
      <c r="S22" s="125">
        <f>10</f>
        <v>10</v>
      </c>
      <c r="T22" s="125">
        <f>10</f>
        <v>10</v>
      </c>
      <c r="U22" s="125">
        <f>10</f>
        <v>10</v>
      </c>
      <c r="V22" s="125">
        <f>10</f>
        <v>10</v>
      </c>
      <c r="W22" s="125">
        <f>10</f>
        <v>10</v>
      </c>
      <c r="X22" s="125">
        <f>10</f>
        <v>10</v>
      </c>
      <c r="Y22" s="125">
        <f>10</f>
        <v>10</v>
      </c>
      <c r="Z22" s="125">
        <f>10</f>
        <v>10</v>
      </c>
      <c r="AA22" s="125">
        <f>10</f>
        <v>10</v>
      </c>
      <c r="AB22" s="125">
        <f>10</f>
        <v>10</v>
      </c>
      <c r="AC22" s="125">
        <f>10</f>
        <v>10</v>
      </c>
      <c r="AD22" s="125">
        <f>10</f>
        <v>10</v>
      </c>
      <c r="AE22" s="125">
        <f>10</f>
        <v>10</v>
      </c>
      <c r="AF22" s="125">
        <f>10</f>
        <v>10</v>
      </c>
      <c r="AG22" s="126">
        <f>10</f>
        <v>10</v>
      </c>
      <c r="AH22" s="22"/>
    </row>
    <row r="23" spans="1:34" ht="25.5" x14ac:dyDescent="0.25">
      <c r="A23" s="112"/>
      <c r="B23" s="262" t="s">
        <v>506</v>
      </c>
      <c r="C23" s="67" t="s">
        <v>60</v>
      </c>
      <c r="D23" s="125">
        <f>1</f>
        <v>1</v>
      </c>
      <c r="E23" s="125">
        <f>1</f>
        <v>1</v>
      </c>
      <c r="F23" s="125">
        <f>1</f>
        <v>1</v>
      </c>
      <c r="G23" s="125">
        <f>1</f>
        <v>1</v>
      </c>
      <c r="H23" s="125">
        <f>1</f>
        <v>1</v>
      </c>
      <c r="I23" s="125">
        <f>1</f>
        <v>1</v>
      </c>
      <c r="J23" s="125">
        <f>1</f>
        <v>1</v>
      </c>
      <c r="K23" s="125">
        <f>1</f>
        <v>1</v>
      </c>
      <c r="L23" s="125">
        <f>1</f>
        <v>1</v>
      </c>
      <c r="M23" s="125">
        <f>1</f>
        <v>1</v>
      </c>
      <c r="N23" s="125">
        <f>1</f>
        <v>1</v>
      </c>
      <c r="O23" s="125">
        <f>1</f>
        <v>1</v>
      </c>
      <c r="P23" s="125">
        <f>1</f>
        <v>1</v>
      </c>
      <c r="Q23" s="125">
        <f>1</f>
        <v>1</v>
      </c>
      <c r="R23" s="125">
        <f>1</f>
        <v>1</v>
      </c>
      <c r="S23" s="125">
        <f>1</f>
        <v>1</v>
      </c>
      <c r="T23" s="125">
        <f>1</f>
        <v>1</v>
      </c>
      <c r="U23" s="125">
        <f>1</f>
        <v>1</v>
      </c>
      <c r="V23" s="125">
        <f>1</f>
        <v>1</v>
      </c>
      <c r="W23" s="125">
        <f>1</f>
        <v>1</v>
      </c>
      <c r="X23" s="125">
        <f>1</f>
        <v>1</v>
      </c>
      <c r="Y23" s="125">
        <f>1</f>
        <v>1</v>
      </c>
      <c r="Z23" s="125">
        <f>1</f>
        <v>1</v>
      </c>
      <c r="AA23" s="125">
        <f>1</f>
        <v>1</v>
      </c>
      <c r="AB23" s="125">
        <f>1</f>
        <v>1</v>
      </c>
      <c r="AC23" s="125">
        <f>1</f>
        <v>1</v>
      </c>
      <c r="AD23" s="125">
        <f>1</f>
        <v>1</v>
      </c>
      <c r="AE23" s="125">
        <f>1</f>
        <v>1</v>
      </c>
      <c r="AF23" s="125">
        <f>1</f>
        <v>1</v>
      </c>
      <c r="AG23" s="126">
        <f>1</f>
        <v>1</v>
      </c>
      <c r="AH23" s="22"/>
    </row>
    <row r="24" spans="1:34" ht="25.5" x14ac:dyDescent="0.25">
      <c r="A24" s="112"/>
      <c r="B24" s="262" t="s">
        <v>62</v>
      </c>
      <c r="C24" s="67" t="s">
        <v>57</v>
      </c>
      <c r="D24" s="125">
        <f>0.1133*$B$5^2 + 6.7*$B$5 + 936.67</f>
        <v>1015</v>
      </c>
      <c r="E24" s="125">
        <f>-0.1233*$B$5^2 + 24.5*$B$5 + 985.33</f>
        <v>1218</v>
      </c>
      <c r="F24" s="125">
        <f>0.3517*$B$5^2 - 1.85*$B$5 + 1207.3</f>
        <v>1223.97</v>
      </c>
      <c r="G24" s="125">
        <f>-0.0417*$B$5^2 + 14.45*$B$5 + 874.67</f>
        <v>1015</v>
      </c>
      <c r="H24" s="125">
        <f>-0.0667*$B$5^2 + 22.8*$B$5 + 996.67</f>
        <v>1218</v>
      </c>
      <c r="I24" s="125">
        <f>0.3*$B$5^2 + 3.7*$B$5 + 1157</f>
        <v>1224</v>
      </c>
      <c r="J24" s="125">
        <f>0.1133*$B$5^2 + 6.7*$B$5 + 936.67</f>
        <v>1015</v>
      </c>
      <c r="K24" s="125">
        <f>0.3*$B$5^2 + 3.7*$B$5 + 1157</f>
        <v>1224</v>
      </c>
      <c r="L24" s="125">
        <f>-0.0417*$B$5^2 + 14.45*$B$5 + 874.67</f>
        <v>1015</v>
      </c>
      <c r="M24" s="125">
        <f>0.3*$B$5^2 + 3.8*$B$5 + 1182</f>
        <v>1250</v>
      </c>
      <c r="N24" s="125">
        <f>0.12*$B$5^2 + 3*$B$5 + 1008</f>
        <v>1050</v>
      </c>
      <c r="O24" s="125">
        <f>0.0517*$B$5^2 + 11.15*$B$5 + 956.33</f>
        <v>1073</v>
      </c>
      <c r="P24" s="125">
        <f>0.115*$B$5^2 + 2.25*$B$5 + 1140</f>
        <v>1174</v>
      </c>
      <c r="Q24" s="125">
        <f>0.12*$B$5^2 + 3*$B$5 + 1008</f>
        <v>1050</v>
      </c>
      <c r="R24" s="125">
        <f>-0.0017*$B$5^2 + 12.85*$B$5 + 973.67</f>
        <v>1102</v>
      </c>
      <c r="S24" s="125">
        <f>0.115*$B$5^2 + 2.25*$B$5 + 1140</f>
        <v>1174</v>
      </c>
      <c r="T24" s="125">
        <f>0.12*$B$5^2 + 3*$B$5 + 1008</f>
        <v>1050</v>
      </c>
      <c r="U24" s="125">
        <f>0.2033*$B$5^2 - 0.4*$B$5 + 1157.7</f>
        <v>1174.03</v>
      </c>
      <c r="V24" s="125">
        <f>0.12*$B$5^2 + 3*$B$5 + 1008</f>
        <v>1050</v>
      </c>
      <c r="W24" s="125">
        <f>0.2033*$B$5^2 - 0.4*$B$5 + 1157.7</f>
        <v>1174.03</v>
      </c>
      <c r="X24" s="125">
        <f>0.38*$B$5^2 - 7.5*$B$5 + 1052</f>
        <v>1015</v>
      </c>
      <c r="Y24" s="125">
        <f>-0.0717*$B$5^2 + 18.55*$B$5 + 857.67</f>
        <v>1036</v>
      </c>
      <c r="Z24" s="125">
        <f>0.34*$B$5^2 - 5.8*$B$5 + 1116</f>
        <v>1092</v>
      </c>
      <c r="AA24" s="125">
        <f>0.2833*$B$5^2 - 1.7*$B$5 + 974.67</f>
        <v>986</v>
      </c>
      <c r="AB24" s="125">
        <f>0.0217*$B$5^2 + 12.95*$B$5 + 932.33</f>
        <v>1064</v>
      </c>
      <c r="AC24" s="125">
        <f>0.04*$B$5^2 + 9.2*$B$5 + 996</f>
        <v>1092</v>
      </c>
      <c r="AD24" s="125">
        <f>0.38*$B$5^2 - 7.5*$B$5 + 1052</f>
        <v>1015</v>
      </c>
      <c r="AE24" s="125">
        <f>0.04*$B$5^2 + 9.2*$B$5 + 996</f>
        <v>1092</v>
      </c>
      <c r="AF24" s="125">
        <f>0.04*$B$5^2 + 9.2*$B$5 + 996</f>
        <v>1092</v>
      </c>
      <c r="AG24" s="126">
        <f>0.12*$B$5^2 + 4.4*$B$5 + 1060</f>
        <v>1116</v>
      </c>
      <c r="AH24" s="22"/>
    </row>
    <row r="25" spans="1:34" x14ac:dyDescent="0.25">
      <c r="A25" s="112"/>
      <c r="B25" s="120" t="s">
        <v>501</v>
      </c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3"/>
      <c r="AH25" s="22"/>
    </row>
    <row r="26" spans="1:34" ht="25.5" x14ac:dyDescent="0.25">
      <c r="A26" s="112"/>
      <c r="B26" s="262" t="s">
        <v>505</v>
      </c>
      <c r="C26" s="67" t="s">
        <v>57</v>
      </c>
      <c r="D26" s="125">
        <f>0.0967*$B$5^2 + 10.1*$B$5 + 659.33</f>
        <v>770</v>
      </c>
      <c r="E26" s="125">
        <f>0.0267*$B$5^2 + 28.8*$B$5 + 885.33</f>
        <v>1176</v>
      </c>
      <c r="F26" s="125">
        <f>0.035*$B$5^2 + 1.45*$B$5 + 126</f>
        <v>144</v>
      </c>
      <c r="G26" s="125">
        <f>-0.0283*$B$5^2 + 16.35*$B$5 + 609.33</f>
        <v>770</v>
      </c>
      <c r="H26" s="125">
        <f>0.0933*$B$5^2 + 26.8*$B$5 + 898.67</f>
        <v>1176</v>
      </c>
      <c r="I26" s="125">
        <f>0.035*$B$5^2 + 1.45*$B$5 + 126</f>
        <v>144</v>
      </c>
      <c r="J26" s="125">
        <f>0.0967*$B$5^2 + 10.1*$B$5 + 659.33</f>
        <v>770</v>
      </c>
      <c r="K26" s="125">
        <f>0.035*$B$5^2 + 1.45*$B$5 + 126</f>
        <v>144</v>
      </c>
      <c r="L26" s="125">
        <f>-0.0283*$B$5^2 + 16.35*$B$5 + 609.33</f>
        <v>770</v>
      </c>
      <c r="M26" s="125">
        <f>0.0367*$B$5^2 + 1.5*$B$5 + 137.33</f>
        <v>156</v>
      </c>
      <c r="N26" s="125">
        <f>-0.08*$B$5^2 + 15*$B$5 + 488</f>
        <v>630</v>
      </c>
      <c r="O26" s="125">
        <f>0.0117*$B$5^2 + 14.55*$B$5 + 704.33</f>
        <v>851</v>
      </c>
      <c r="P26" s="125">
        <f>-0.0217*$B$5^2 + 1.95*$B$5 + 138.67</f>
        <v>156</v>
      </c>
      <c r="Q26" s="125">
        <f>-0.08*$B$5^2 + 15*$B$5 + 488</f>
        <v>630</v>
      </c>
      <c r="R26" s="125">
        <f>-0.0367*$B$5^2 + 16.2*$B$5 + 715.67</f>
        <v>874</v>
      </c>
      <c r="S26" s="125">
        <f>-0.0217*$B$5^2 + 1.95*$B$5 + 138.67</f>
        <v>156</v>
      </c>
      <c r="T26" s="125">
        <f>-0.08*$B$5^2 + 15*$B$5 + 488</f>
        <v>630</v>
      </c>
      <c r="U26" s="125">
        <f>0.025*$B$5^2 + 0.55*$B$5 + 148</f>
        <v>156</v>
      </c>
      <c r="V26" s="125">
        <f>-0.08*$B$5^2 + 15*$B$5 + 488</f>
        <v>630</v>
      </c>
      <c r="W26" s="125">
        <f>0.025*$B$5^2 + 0.55*$B$5 + 148</f>
        <v>156</v>
      </c>
      <c r="X26" s="125">
        <f>0.13*$B$5^2 + 4.5*$B$5 + 572</f>
        <v>630</v>
      </c>
      <c r="Y26" s="125">
        <f>0.0117*$B$5^2 + 14.55*$B$5 + 704.33</f>
        <v>851</v>
      </c>
      <c r="Z26" s="125">
        <f>0.01*$B$5^2 + 2.1*$B$5 + 110</f>
        <v>132</v>
      </c>
      <c r="AA26" s="125">
        <f>0.07*$B$5^2 + 8.1*$B$5 + 524</f>
        <v>612</v>
      </c>
      <c r="AB26" s="125">
        <f>0.0883*$B$5^2 + 9.95*$B$5 + 765.67</f>
        <v>874</v>
      </c>
      <c r="AC26" s="125">
        <f>-0.055*$B$5^2 + 5.35*$B$5 + 84</f>
        <v>132</v>
      </c>
      <c r="AD26" s="125">
        <f>0.13*$B$5^2 + 4.5*$B$5 + 572</f>
        <v>630</v>
      </c>
      <c r="AE26" s="125">
        <f>-0.055*$B$5^2 + 5.35*$B$5 + 84</f>
        <v>132</v>
      </c>
      <c r="AF26" s="125">
        <f>-0.055*$B$5^2 + 5.35*$B$5 + 84</f>
        <v>132</v>
      </c>
      <c r="AG26" s="126">
        <f>-0.015*$B$5^2 + 2.95*$B$5 + 116</f>
        <v>144</v>
      </c>
      <c r="AH26" s="22"/>
    </row>
    <row r="27" spans="1:34" x14ac:dyDescent="0.25">
      <c r="A27" s="112"/>
      <c r="B27" s="262" t="s">
        <v>58</v>
      </c>
      <c r="C27" s="67" t="s">
        <v>57</v>
      </c>
      <c r="D27" s="125">
        <f>0.0967*$B$5^2 + 10.1*$B$5 + 659.33</f>
        <v>770</v>
      </c>
      <c r="E27" s="125">
        <f>0.0267*$B$5^2 + 28.8*$B$5 + 885.33</f>
        <v>1176</v>
      </c>
      <c r="F27" s="125">
        <f>0.035*$B$5^2 + 1.45*$B$5 + 126</f>
        <v>144</v>
      </c>
      <c r="G27" s="125">
        <f>-0.0283*$B$5^2 + 16.35*$B$5 + 609.33</f>
        <v>770</v>
      </c>
      <c r="H27" s="125">
        <f>0.0933*$B$5^2 + 26.8*$B$5 + 898.67</f>
        <v>1176</v>
      </c>
      <c r="I27" s="125">
        <f>0.035*$B$5^2 + 1.45*$B$5 + 126</f>
        <v>144</v>
      </c>
      <c r="J27" s="125">
        <f>0.0967*$B$5^2 + 10.1*$B$5 + 659.33</f>
        <v>770</v>
      </c>
      <c r="K27" s="125">
        <f>0.035*$B$5^2 + 1.45*$B$5 + 126</f>
        <v>144</v>
      </c>
      <c r="L27" s="125">
        <f>-0.0283*$B$5^2 + 16.35*$B$5 + 609.33</f>
        <v>770</v>
      </c>
      <c r="M27" s="125">
        <f>0.0367*$B$5^2 + 1.5*$B$5 + 137.33</f>
        <v>156</v>
      </c>
      <c r="N27" s="125">
        <f>-0.08*$B$5^2 + 15*$B$5 + 488</f>
        <v>630</v>
      </c>
      <c r="O27" s="125">
        <f>0.0117*$B$5^2 + 14.55*$B$5 + 704.33</f>
        <v>851</v>
      </c>
      <c r="P27" s="125">
        <f>-0.0217*$B$5^2 + 1.95*$B$5 + 138.67</f>
        <v>156</v>
      </c>
      <c r="Q27" s="125">
        <f>-0.08*$B$5^2 + 15*$B$5 + 488</f>
        <v>630</v>
      </c>
      <c r="R27" s="125">
        <f>-0.0367*$B$5^2 + 16.2*$B$5 + 715.67</f>
        <v>874</v>
      </c>
      <c r="S27" s="125">
        <f>-0.0217*$B$5^2 + 1.95*$B$5 + 138.67</f>
        <v>156</v>
      </c>
      <c r="T27" s="125">
        <f>-0.08*$B$5^2 + 15*$B$5 + 488</f>
        <v>630</v>
      </c>
      <c r="U27" s="125">
        <f>0.025*$B$5^2 + 0.55*$B$5 + 148</f>
        <v>156</v>
      </c>
      <c r="V27" s="125">
        <f>-0.08*$B$5^2 + 15*$B$5 + 488</f>
        <v>630</v>
      </c>
      <c r="W27" s="125">
        <f>0.025*$B$5^2 + 0.55*$B$5 + 148</f>
        <v>156</v>
      </c>
      <c r="X27" s="125">
        <f>0.13*$B$5^2 + 4.5*$B$5 + 572</f>
        <v>630</v>
      </c>
      <c r="Y27" s="125">
        <f>0.0117*$B$5^2 + 14.55*$B$5 + 704.33</f>
        <v>851</v>
      </c>
      <c r="Z27" s="125">
        <f>0.01*$B$5^2 + 2.1*$B$5 + 110</f>
        <v>132</v>
      </c>
      <c r="AA27" s="125">
        <f>0.07*$B$5^2 + 8.1*$B$5 + 524</f>
        <v>612</v>
      </c>
      <c r="AB27" s="125">
        <f>0.0883*$B$5^2 + 9.95*$B$5 + 765.67</f>
        <v>874</v>
      </c>
      <c r="AC27" s="125">
        <f>-0.055*$B$5^2 + 5.35*$B$5 + 84</f>
        <v>132</v>
      </c>
      <c r="AD27" s="125">
        <f>0.13*$B$5^2 + 4.5*$B$5 + 572</f>
        <v>630</v>
      </c>
      <c r="AE27" s="125">
        <f>-0.055*$B$5^2 + 5.35*$B$5 + 84</f>
        <v>132</v>
      </c>
      <c r="AF27" s="125">
        <f>-0.055*$B$5^2 + 5.35*$B$5 + 84</f>
        <v>132</v>
      </c>
      <c r="AG27" s="126">
        <f>-0.015*$B$5^2 + 2.95*$B$5 + 116</f>
        <v>144</v>
      </c>
      <c r="AH27" s="22"/>
    </row>
    <row r="28" spans="1:34" ht="38.25" x14ac:dyDescent="0.25">
      <c r="A28" s="112"/>
      <c r="B28" s="262" t="s">
        <v>292</v>
      </c>
      <c r="C28" s="67" t="s">
        <v>57</v>
      </c>
      <c r="D28" s="125">
        <f>-2*10^-15*$B$5^2 + 1.47*$B$5 + 151.2</f>
        <v>165.89999999999978</v>
      </c>
      <c r="E28" s="125">
        <f>-0.007*$B$5^2 + 2.73*$B$5 + 179.2</f>
        <v>205.79999999999998</v>
      </c>
      <c r="F28" s="125">
        <f>0.0035*$B$5^2 + 0.315*$B$5 + 46.9</f>
        <v>50.4</v>
      </c>
      <c r="G28" s="125">
        <f>-0.0105*$B$5^2 + 1.995*$B$5 + 147</f>
        <v>165.9</v>
      </c>
      <c r="H28" s="125">
        <f>-0.0035*$B$5^2 + 2.625*$B$5 + 179.9</f>
        <v>205.8</v>
      </c>
      <c r="I28" s="125">
        <f>0.0035*$B$5^2 + 0.315*$B$5 + 46.9</f>
        <v>50.4</v>
      </c>
      <c r="J28" s="125">
        <f>-2*10^-15*$B$5^2 + 1.47*$B$5 + 151.2</f>
        <v>165.89999999999978</v>
      </c>
      <c r="K28" s="125">
        <f>0.0035*$B$5^2 + 0.315*$B$5 + 46.9</f>
        <v>50.4</v>
      </c>
      <c r="L28" s="125">
        <f>-0.0105*$B$5^2 + 1.995*$B$5 + 147</f>
        <v>165.9</v>
      </c>
      <c r="M28" s="125">
        <f>0.0035*$B$5^2 + 0.315*$B$5 + 49</f>
        <v>52.5</v>
      </c>
      <c r="N28" s="125">
        <f>-0.014*$B$5^2 + 1.89*$B$5 + 131.6</f>
        <v>149.1</v>
      </c>
      <c r="O28" s="125">
        <f>-0.0035*$B$5^2 + 1.575*$B$5 + 158.9</f>
        <v>174.3</v>
      </c>
      <c r="P28" s="125">
        <f>-0.0035*$B$5^2 + 0.315*$B$5 + 49.7</f>
        <v>52.5</v>
      </c>
      <c r="Q28" s="125">
        <f>-0.014*$B$5^2 + 1.89*$B$5 + 131.6</f>
        <v>149.1</v>
      </c>
      <c r="R28" s="125">
        <f>-0.007*$B$5^2 + 1.68*$B$5 + 160.3</f>
        <v>176.4</v>
      </c>
      <c r="S28" s="125">
        <f>-0.0035*$B$5^2 + 0.315*$B$5 + 49.7</f>
        <v>52.5</v>
      </c>
      <c r="T28" s="125">
        <f>-0.014*$B$5^2 + 1.89*$B$5 + 131.6</f>
        <v>149.1</v>
      </c>
      <c r="U28" s="125">
        <f>0.0035*$B$5^2 + 0.105*$B$5 + 51.1</f>
        <v>52.5</v>
      </c>
      <c r="V28" s="125">
        <f>-0.014*$B$5^2 + 1.89*$B$5 + 131.6</f>
        <v>149.1</v>
      </c>
      <c r="W28" s="125">
        <f>0.0035*$B$5^2 + 0.105*$B$5 + 51.1</f>
        <v>52.5</v>
      </c>
      <c r="X28" s="125">
        <f>0.007*$B$5^2 + 0.84*$B$5 + 140</f>
        <v>149.1</v>
      </c>
      <c r="Y28" s="125">
        <f>-0.0035*$B$5^2 + 1.575*$B$5 + 158.9</f>
        <v>174.3</v>
      </c>
      <c r="Z28" s="125">
        <f>0.42*$B$5 + 44.1</f>
        <v>48.300000000000004</v>
      </c>
      <c r="AA28" s="125">
        <f>1.26*$B$5 + 134.4</f>
        <v>147</v>
      </c>
      <c r="AB28" s="125">
        <f>0.0035*$B$5^2 + 1.155*$B$5 + 164.5</f>
        <v>176.4</v>
      </c>
      <c r="AC28" s="125">
        <f>-0.0105*$B$5^2 + 0.945*$B$5 + 39.9</f>
        <v>48.3</v>
      </c>
      <c r="AD28" s="125">
        <f>0.007*$B$5^2 + 0.84*$B$5 + 140</f>
        <v>149.1</v>
      </c>
      <c r="AE28" s="125">
        <f>-0.0105*$B$5^2 + 0.945*$B$5 + 39.9</f>
        <v>48.3</v>
      </c>
      <c r="AF28" s="125">
        <f>-0.0105*$B$5^2 + 0.945*$B$5 + 39.9</f>
        <v>48.3</v>
      </c>
      <c r="AG28" s="126">
        <f>-0.0035*$B$5^2 + 0.525*$B$5 + 45.5</f>
        <v>50.4</v>
      </c>
      <c r="AH28" s="22"/>
    </row>
    <row r="29" spans="1:34" ht="25.5" x14ac:dyDescent="0.25">
      <c r="A29" s="112"/>
      <c r="B29" s="262" t="s">
        <v>61</v>
      </c>
      <c r="C29" s="67" t="s">
        <v>57</v>
      </c>
      <c r="D29" s="125">
        <f>10</f>
        <v>10</v>
      </c>
      <c r="E29" s="125">
        <f>10</f>
        <v>10</v>
      </c>
      <c r="F29" s="125">
        <f>10</f>
        <v>10</v>
      </c>
      <c r="G29" s="125">
        <f>10</f>
        <v>10</v>
      </c>
      <c r="H29" s="125">
        <f>10</f>
        <v>10</v>
      </c>
      <c r="I29" s="125">
        <f>10</f>
        <v>10</v>
      </c>
      <c r="J29" s="125">
        <f>10</f>
        <v>10</v>
      </c>
      <c r="K29" s="125">
        <f>10</f>
        <v>10</v>
      </c>
      <c r="L29" s="125">
        <f>10</f>
        <v>10</v>
      </c>
      <c r="M29" s="125">
        <f>10</f>
        <v>10</v>
      </c>
      <c r="N29" s="125">
        <f>10</f>
        <v>10</v>
      </c>
      <c r="O29" s="125">
        <f>10</f>
        <v>10</v>
      </c>
      <c r="P29" s="125">
        <f>10</f>
        <v>10</v>
      </c>
      <c r="Q29" s="125">
        <f>10</f>
        <v>10</v>
      </c>
      <c r="R29" s="125">
        <f>10</f>
        <v>10</v>
      </c>
      <c r="S29" s="125">
        <f>10</f>
        <v>10</v>
      </c>
      <c r="T29" s="125">
        <f>10</f>
        <v>10</v>
      </c>
      <c r="U29" s="125">
        <f>10</f>
        <v>10</v>
      </c>
      <c r="V29" s="125">
        <f>10</f>
        <v>10</v>
      </c>
      <c r="W29" s="125">
        <f>10</f>
        <v>10</v>
      </c>
      <c r="X29" s="125">
        <f>10</f>
        <v>10</v>
      </c>
      <c r="Y29" s="125">
        <f>10</f>
        <v>10</v>
      </c>
      <c r="Z29" s="125">
        <f>10</f>
        <v>10</v>
      </c>
      <c r="AA29" s="125">
        <f>10</f>
        <v>10</v>
      </c>
      <c r="AB29" s="125">
        <f>10</f>
        <v>10</v>
      </c>
      <c r="AC29" s="125">
        <f>10</f>
        <v>10</v>
      </c>
      <c r="AD29" s="125">
        <f>10</f>
        <v>10</v>
      </c>
      <c r="AE29" s="125">
        <f>10</f>
        <v>10</v>
      </c>
      <c r="AF29" s="125">
        <f>10</f>
        <v>10</v>
      </c>
      <c r="AG29" s="126">
        <f>10</f>
        <v>10</v>
      </c>
      <c r="AH29" s="22"/>
    </row>
    <row r="30" spans="1:34" ht="25.5" x14ac:dyDescent="0.25">
      <c r="A30" s="112"/>
      <c r="B30" s="262" t="s">
        <v>506</v>
      </c>
      <c r="C30" s="67" t="s">
        <v>60</v>
      </c>
      <c r="D30" s="125">
        <f>1</f>
        <v>1</v>
      </c>
      <c r="E30" s="125">
        <f>1</f>
        <v>1</v>
      </c>
      <c r="F30" s="125">
        <f>1</f>
        <v>1</v>
      </c>
      <c r="G30" s="125">
        <f>1</f>
        <v>1</v>
      </c>
      <c r="H30" s="125">
        <f>1</f>
        <v>1</v>
      </c>
      <c r="I30" s="125">
        <f>1</f>
        <v>1</v>
      </c>
      <c r="J30" s="125">
        <f>1</f>
        <v>1</v>
      </c>
      <c r="K30" s="125">
        <f>1</f>
        <v>1</v>
      </c>
      <c r="L30" s="125">
        <f>1</f>
        <v>1</v>
      </c>
      <c r="M30" s="125">
        <f>1</f>
        <v>1</v>
      </c>
      <c r="N30" s="125">
        <f>1</f>
        <v>1</v>
      </c>
      <c r="O30" s="125">
        <f>1</f>
        <v>1</v>
      </c>
      <c r="P30" s="125">
        <f>1</f>
        <v>1</v>
      </c>
      <c r="Q30" s="125">
        <f>1</f>
        <v>1</v>
      </c>
      <c r="R30" s="125">
        <f>1</f>
        <v>1</v>
      </c>
      <c r="S30" s="125">
        <f>1</f>
        <v>1</v>
      </c>
      <c r="T30" s="125">
        <f>1</f>
        <v>1</v>
      </c>
      <c r="U30" s="125">
        <f>1</f>
        <v>1</v>
      </c>
      <c r="V30" s="125">
        <f>1</f>
        <v>1</v>
      </c>
      <c r="W30" s="125">
        <f>1</f>
        <v>1</v>
      </c>
      <c r="X30" s="125">
        <f>1</f>
        <v>1</v>
      </c>
      <c r="Y30" s="125">
        <f>1</f>
        <v>1</v>
      </c>
      <c r="Z30" s="125">
        <f>1</f>
        <v>1</v>
      </c>
      <c r="AA30" s="125">
        <f>1</f>
        <v>1</v>
      </c>
      <c r="AB30" s="125">
        <f>1</f>
        <v>1</v>
      </c>
      <c r="AC30" s="125">
        <f>1</f>
        <v>1</v>
      </c>
      <c r="AD30" s="125">
        <f>1</f>
        <v>1</v>
      </c>
      <c r="AE30" s="125">
        <f>1</f>
        <v>1</v>
      </c>
      <c r="AF30" s="125">
        <f>1</f>
        <v>1</v>
      </c>
      <c r="AG30" s="126">
        <f>1</f>
        <v>1</v>
      </c>
      <c r="AH30" s="22"/>
    </row>
    <row r="31" spans="1:34" ht="25.5" x14ac:dyDescent="0.25">
      <c r="A31" s="112"/>
      <c r="B31" s="262" t="s">
        <v>62</v>
      </c>
      <c r="C31" s="67" t="s">
        <v>57</v>
      </c>
      <c r="D31" s="125">
        <f>0.0967*$B$5^2 + 10.1*$B$5 + 659.33</f>
        <v>770</v>
      </c>
      <c r="E31" s="125">
        <f>0.0267*$B$5^2 + 28.8*$B$5 + 885.33</f>
        <v>1176</v>
      </c>
      <c r="F31" s="125">
        <f>0.035*$B$5^2 + 1.45*$B$5 + 126</f>
        <v>144</v>
      </c>
      <c r="G31" s="125">
        <f>-0.0283*$B$5^2 + 16.35*$B$5 + 609.33</f>
        <v>770</v>
      </c>
      <c r="H31" s="125">
        <f>0.0933*$B$5^2 + 26.8*$B$5 + 898.67</f>
        <v>1176</v>
      </c>
      <c r="I31" s="125">
        <f>0.035*$B$5^2 + 1.45*$B$5 + 126</f>
        <v>144</v>
      </c>
      <c r="J31" s="125">
        <f>0.0967*$B$5^2 + 10.1*$B$5 + 659.33</f>
        <v>770</v>
      </c>
      <c r="K31" s="125">
        <f>0.035*$B$5^2 + 1.45*$B$5 + 126</f>
        <v>144</v>
      </c>
      <c r="L31" s="125">
        <f>-0.0283*$B$5^2 + 16.35*$B$5 + 609.33</f>
        <v>770</v>
      </c>
      <c r="M31" s="125">
        <f>0.0367*$B$5^2 + 1.5*$B$5 + 137.33</f>
        <v>156</v>
      </c>
      <c r="N31" s="125">
        <f>-0.08*$B$5^2 + 15*$B$5 + 488</f>
        <v>630</v>
      </c>
      <c r="O31" s="125">
        <f>0.0117*$B$5^2 + 14.55*$B$5 + 704.33</f>
        <v>851</v>
      </c>
      <c r="P31" s="125">
        <f>-0.0217*$B$5^2 + 1.95*$B$5 + 138.67</f>
        <v>156</v>
      </c>
      <c r="Q31" s="125">
        <f>-0.08*$B$5^2 + 15*$B$5 + 488</f>
        <v>630</v>
      </c>
      <c r="R31" s="125">
        <f>-0.0367*$B$5^2 + 16.2*$B$5 + 715.67</f>
        <v>874</v>
      </c>
      <c r="S31" s="125">
        <f>-0.0217*$B$5^2 + 1.95*$B$5 + 138.67</f>
        <v>156</v>
      </c>
      <c r="T31" s="125">
        <f>-0.08*$B$5^2 + 15*$B$5 + 488</f>
        <v>630</v>
      </c>
      <c r="U31" s="125">
        <f>0.025*$B$5^2 + 0.55*$B$5 + 148</f>
        <v>156</v>
      </c>
      <c r="V31" s="125">
        <f>-0.08*$B$5^2 + 15*$B$5 + 488</f>
        <v>630</v>
      </c>
      <c r="W31" s="125">
        <f>0.025*$B$5^2 + 0.55*$B$5 + 148</f>
        <v>156</v>
      </c>
      <c r="X31" s="125">
        <f>0.13*$B$5^2 + 4.5*$B$5 + 572</f>
        <v>630</v>
      </c>
      <c r="Y31" s="125">
        <f>0.0117*$B$5^2 + 14.55*$B$5 + 704.33</f>
        <v>851</v>
      </c>
      <c r="Z31" s="125">
        <f>0.01*$B$5^2 + 2.1*$B$5 + 110</f>
        <v>132</v>
      </c>
      <c r="AA31" s="125">
        <f>0.07*$B$5^2 + 8.1*$B$5 + 524</f>
        <v>612</v>
      </c>
      <c r="AB31" s="125">
        <f>0.0883*$B$5^2 + 9.95*$B$5 + 765.67</f>
        <v>874</v>
      </c>
      <c r="AC31" s="125">
        <f>-0.055*$B$5^2 + 5.35*$B$5 + 84</f>
        <v>132</v>
      </c>
      <c r="AD31" s="125">
        <f>0.13*$B$5^2 + 4.5*$B$5 + 572</f>
        <v>630</v>
      </c>
      <c r="AE31" s="125">
        <f>-0.055*$B$5^2 + 5.35*$B$5 + 84</f>
        <v>132</v>
      </c>
      <c r="AF31" s="125">
        <f>-0.055*$B$5^2 + 5.35*$B$5 + 84</f>
        <v>132</v>
      </c>
      <c r="AG31" s="126">
        <f>-0.015*$B$5^2 + 2.95*$B$5 + 116</f>
        <v>144</v>
      </c>
      <c r="AH31" s="22"/>
    </row>
    <row r="32" spans="1:34" x14ac:dyDescent="0.25">
      <c r="A32" s="112"/>
      <c r="B32" s="120" t="s">
        <v>507</v>
      </c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  <c r="AH32" s="22"/>
    </row>
    <row r="33" spans="1:34" x14ac:dyDescent="0.25">
      <c r="A33" s="112"/>
      <c r="B33" s="120" t="s">
        <v>508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3"/>
      <c r="AH33" s="22"/>
    </row>
    <row r="34" spans="1:34" ht="25.5" x14ac:dyDescent="0.25">
      <c r="A34" s="112"/>
      <c r="B34" s="262" t="s">
        <v>294</v>
      </c>
      <c r="C34" s="67" t="s">
        <v>65</v>
      </c>
      <c r="D34" s="125">
        <f>0.0009*$B$5^2 - 0.0322*$B$5 + 3.8403</f>
        <v>3.6082999999999998</v>
      </c>
      <c r="E34" s="125">
        <f>0.0009*$B$5^2 - 0.0349*$B$5 + 3.9208</f>
        <v>3.6617999999999999</v>
      </c>
      <c r="F34" s="125">
        <f>-0.001*$B$5^2 + 0.0824*$B$5 + 2.3123</f>
        <v>3.0363000000000002</v>
      </c>
      <c r="G34" s="125">
        <f>0.0009*$B$5^2 - 0.0322*$B$5 + 3.8403</f>
        <v>3.6082999999999998</v>
      </c>
      <c r="H34" s="125">
        <f>0.0009*$B$5^2 - 0.0349*$B$5 + 3.9208</f>
        <v>3.6617999999999999</v>
      </c>
      <c r="I34" s="125">
        <f>-0.001*$B$5^2 + 0.0824*$B$5 + 2.3123</f>
        <v>3.0363000000000002</v>
      </c>
      <c r="J34" s="125">
        <f>0.0009*$B$5^2 - 0.0322*$B$5 + 3.8403</f>
        <v>3.6082999999999998</v>
      </c>
      <c r="K34" s="125">
        <f>-0.001*$B$5^2 + 0.0824*$B$5 + 2.3123</f>
        <v>3.0363000000000002</v>
      </c>
      <c r="L34" s="125">
        <f>0.0009*$B$5^2 - 0.0322*$B$5 + 3.8403</f>
        <v>3.6082999999999998</v>
      </c>
      <c r="M34" s="125">
        <f>-0.001*$B$5^2 + 0.0824*$B$5 + 2.3123</f>
        <v>3.0363000000000002</v>
      </c>
      <c r="N34" s="125">
        <f>0.0021*$B$5^2 - 0.0654*$B$5 + 2.2105</f>
        <v>1.7665000000000002</v>
      </c>
      <c r="O34" s="125">
        <f>0.0021*$B$5^2 - 0.0663*$B$5 + 2.2225</f>
        <v>1.7695000000000001</v>
      </c>
      <c r="P34" s="125">
        <f>0.0001*$B$5^2 - 0.0063*$B$5 + 1.8165</f>
        <v>1.7635000000000001</v>
      </c>
      <c r="Q34" s="125">
        <f>0.0021*$B$5^2 - 0.0654*$B$5 + 2.2105</f>
        <v>1.7665000000000002</v>
      </c>
      <c r="R34" s="125">
        <f>0.0021*$B$5^2 - 0.0663*$B$5 + 2.2225</f>
        <v>1.7695000000000001</v>
      </c>
      <c r="S34" s="125">
        <f>0.0001*$B$5^2 - 0.0063*$B$5 + 1.8165</f>
        <v>1.7635000000000001</v>
      </c>
      <c r="T34" s="125">
        <f>0.0021*$B$5^2 - 0.0654*$B$5 + 2.2105</f>
        <v>1.7665000000000002</v>
      </c>
      <c r="U34" s="125">
        <f>0.0021*$B$5^2 - 0.0654*$B$5 + 2.2105</f>
        <v>1.7665000000000002</v>
      </c>
      <c r="V34" s="125">
        <f>0.0021*$B$5^2 - 0.0654*$B$5 + 2.2105</f>
        <v>1.7665000000000002</v>
      </c>
      <c r="W34" s="125">
        <f>0.0021*$B$5^2 - 0.0654*$B$5 + 2.2105</f>
        <v>1.7665000000000002</v>
      </c>
      <c r="X34" s="125">
        <f t="shared" ref="X34:AG34" si="2">0.0006*$B$5^2 - 0.0124*$B$5 + 2.6689</f>
        <v>2.6048999999999998</v>
      </c>
      <c r="Y34" s="125">
        <f t="shared" si="2"/>
        <v>2.6048999999999998</v>
      </c>
      <c r="Z34" s="125">
        <f t="shared" si="2"/>
        <v>2.6048999999999998</v>
      </c>
      <c r="AA34" s="125">
        <f t="shared" si="2"/>
        <v>2.6048999999999998</v>
      </c>
      <c r="AB34" s="125">
        <f t="shared" si="2"/>
        <v>2.6048999999999998</v>
      </c>
      <c r="AC34" s="125">
        <f t="shared" si="2"/>
        <v>2.6048999999999998</v>
      </c>
      <c r="AD34" s="125">
        <f t="shared" si="2"/>
        <v>2.6048999999999998</v>
      </c>
      <c r="AE34" s="125">
        <f t="shared" si="2"/>
        <v>2.6048999999999998</v>
      </c>
      <c r="AF34" s="125">
        <f t="shared" si="2"/>
        <v>2.6048999999999998</v>
      </c>
      <c r="AG34" s="126">
        <f t="shared" si="2"/>
        <v>2.6048999999999998</v>
      </c>
      <c r="AH34" s="22"/>
    </row>
    <row r="35" spans="1:34" x14ac:dyDescent="0.25">
      <c r="A35" s="112"/>
      <c r="B35" s="262" t="s">
        <v>290</v>
      </c>
      <c r="C35" s="67" t="s">
        <v>63</v>
      </c>
      <c r="D35" s="125">
        <f>0.0004*$B$5^2 - 0.0129*$B$5 + 1.5361</f>
        <v>1.4471000000000001</v>
      </c>
      <c r="E35" s="125">
        <f>0.0004*$B$5^2 - 0.014*$B$5 + 1.5683</f>
        <v>1.4682999999999999</v>
      </c>
      <c r="F35" s="125">
        <f>-0.0004*$B$5^2 + 0.033*$B$5 + 0.9249</f>
        <v>1.2149000000000001</v>
      </c>
      <c r="G35" s="125">
        <f>0.0004*$B$5^2 - 0.0129*$B$5 + 1.5361</f>
        <v>1.4471000000000001</v>
      </c>
      <c r="H35" s="125">
        <f>0.0004*$B$5^2 - 0.014*$B$5 + 1.5683</f>
        <v>1.4682999999999999</v>
      </c>
      <c r="I35" s="125">
        <f>-0.0004*$B$5^2 + 0.033*$B$5 + 0.9249</f>
        <v>1.2149000000000001</v>
      </c>
      <c r="J35" s="125">
        <f>0.0004*$B$5^2 - 0.0129*$B$5 + 1.5361</f>
        <v>1.4471000000000001</v>
      </c>
      <c r="K35" s="125">
        <f>-0.0004*$B$5^2 + 0.033*$B$5 + 0.9249</f>
        <v>1.2149000000000001</v>
      </c>
      <c r="L35" s="125">
        <f>0.0004*$B$5^2 - 0.0129*$B$5 + 1.5361</f>
        <v>1.4471000000000001</v>
      </c>
      <c r="M35" s="125">
        <f>-0.0004*$B$5^2 + 0.033*$B$5 + 0.9249</f>
        <v>1.2149000000000001</v>
      </c>
      <c r="N35" s="125">
        <f>0.0008*$B$5^2 - 0.0262*$B$5 + 0.8842</f>
        <v>0.70219999999999994</v>
      </c>
      <c r="O35" s="125">
        <f>0.0008*$B$5^2 - 0.0265*$B$5 + 0.889</f>
        <v>0.70399999999999996</v>
      </c>
      <c r="P35" s="125">
        <f>4*10^-5*$B$5^2 - 0.0025*$B$5 + 0.7266</f>
        <v>0.7056</v>
      </c>
      <c r="Q35" s="125">
        <f>0.0008*$B$5^2 - 0.0262*$B$5 + 0.8842</f>
        <v>0.70219999999999994</v>
      </c>
      <c r="R35" s="125">
        <f>0.0008*$B$5^2 - 0.0265*$B$5 + 0.889</f>
        <v>0.70399999999999996</v>
      </c>
      <c r="S35" s="125">
        <f>4*10^-5*$B$5^2 - 0.0025*$B$5 + 0.7266</f>
        <v>0.7056</v>
      </c>
      <c r="T35" s="125">
        <f>0.0008*$B$5^2 - 0.0262*$B$5 + 0.8842</f>
        <v>0.70219999999999994</v>
      </c>
      <c r="U35" s="125">
        <f>0.0008*$B$5^2 - 0.0262*$B$5 + 0.8842</f>
        <v>0.70219999999999994</v>
      </c>
      <c r="V35" s="125">
        <f>0.0008*$B$5^2 - 0.0262*$B$5 + 0.8842</f>
        <v>0.70219999999999994</v>
      </c>
      <c r="W35" s="125">
        <f>0.0008*$B$5^2 - 0.0262*$B$5 + 0.8842</f>
        <v>0.70219999999999994</v>
      </c>
      <c r="X35" s="125">
        <f t="shared" ref="X35:AG35" si="3">0.0002*$B$5^2 - 0.005*$B$5 + 1.0676</f>
        <v>1.0376000000000001</v>
      </c>
      <c r="Y35" s="125">
        <f t="shared" si="3"/>
        <v>1.0376000000000001</v>
      </c>
      <c r="Z35" s="125">
        <f t="shared" si="3"/>
        <v>1.0376000000000001</v>
      </c>
      <c r="AA35" s="125">
        <f t="shared" si="3"/>
        <v>1.0376000000000001</v>
      </c>
      <c r="AB35" s="125">
        <f t="shared" si="3"/>
        <v>1.0376000000000001</v>
      </c>
      <c r="AC35" s="125">
        <f t="shared" si="3"/>
        <v>1.0376000000000001</v>
      </c>
      <c r="AD35" s="125">
        <f t="shared" si="3"/>
        <v>1.0376000000000001</v>
      </c>
      <c r="AE35" s="125">
        <f t="shared" si="3"/>
        <v>1.0376000000000001</v>
      </c>
      <c r="AF35" s="125">
        <f t="shared" si="3"/>
        <v>1.0376000000000001</v>
      </c>
      <c r="AG35" s="126">
        <f t="shared" si="3"/>
        <v>1.0376000000000001</v>
      </c>
      <c r="AH35" s="22"/>
    </row>
    <row r="36" spans="1:34" ht="25.5" x14ac:dyDescent="0.25">
      <c r="A36" s="112"/>
      <c r="B36" s="262" t="s">
        <v>295</v>
      </c>
      <c r="C36" s="67" t="s">
        <v>57</v>
      </c>
      <c r="D36" s="125">
        <f>0.0089*$B$5^2 - 0.234*$B$5 + 43.259</f>
        <v>41.808999999999997</v>
      </c>
      <c r="E36" s="125">
        <f>0.0082*$B$5^2 - 0.2545*$B$5 + 43.942</f>
        <v>42.216999999999999</v>
      </c>
      <c r="F36" s="125">
        <f>-0.0177*$B$5^2 + 1.362*$B$5 + 21.979</f>
        <v>33.829000000000001</v>
      </c>
      <c r="G36" s="125">
        <f>0.0089*$B$5^2 - 0.234*$B$5 + 43.259</f>
        <v>41.808999999999997</v>
      </c>
      <c r="H36" s="125">
        <f>0.0082*$B$5^2 - 0.2545*$B$5 + 43.942</f>
        <v>42.216999999999999</v>
      </c>
      <c r="I36" s="125">
        <f>-0.0177*$B$5^2 + 1.362*$B$5 + 21.979</f>
        <v>33.829000000000001</v>
      </c>
      <c r="J36" s="125">
        <f>0.0089*$B$5^2 - 0.234*$B$5 + 43.259</f>
        <v>41.808999999999997</v>
      </c>
      <c r="K36" s="125">
        <f>-0.0177*$B$5^2 + 1.362*$B$5 + 21.979</f>
        <v>33.829000000000001</v>
      </c>
      <c r="L36" s="125">
        <f>0.0089*$B$5^2 - 0.234*$B$5 + 43.259</f>
        <v>41.808999999999997</v>
      </c>
      <c r="M36" s="125">
        <f>-0.0177*$B$5^2 + 1.362*$B$5 + 21.979</f>
        <v>33.829000000000001</v>
      </c>
      <c r="N36" s="125">
        <f>0.0234*$B$5^2 - 0.7295*$B$5 + 25.008</f>
        <v>20.052999999999997</v>
      </c>
      <c r="O36" s="125">
        <f>0.0236*$B$5^2 - 0.7415*$B$5 + 25.168</f>
        <v>20.113</v>
      </c>
      <c r="P36" s="125">
        <f>0.0009*$B$5^2 - 0.054*$B$5 + 20.505</f>
        <v>20.055</v>
      </c>
      <c r="Q36" s="125">
        <f>0.0234*$B$5^2 - 0.7295*$B$5 + 25.008</f>
        <v>20.052999999999997</v>
      </c>
      <c r="R36" s="125">
        <f>0.0236*$B$5^2 - 0.7415*$B$5 + 25.168</f>
        <v>20.113</v>
      </c>
      <c r="S36" s="125">
        <f>0.0009*$B$5^2 - 0.054*$B$5 + 20.505</f>
        <v>20.055</v>
      </c>
      <c r="T36" s="125">
        <f>0.0234*$B$5^2 - 0.7295*$B$5 + 25.008</f>
        <v>20.052999999999997</v>
      </c>
      <c r="U36" s="125">
        <f>0.0234*$B$5^2 - 0.7295*$B$5 + 25.008</f>
        <v>20.052999999999997</v>
      </c>
      <c r="V36" s="125">
        <f>0.0234*$B$5^2 - 0.7295*$B$5 + 25.008</f>
        <v>20.052999999999997</v>
      </c>
      <c r="W36" s="125">
        <f>0.0234*$B$5^2 - 0.7295*$B$5 + 25.008</f>
        <v>20.052999999999997</v>
      </c>
      <c r="X36" s="125">
        <f t="shared" ref="X36:AG36" si="4">0.0095*$B$5^2 - 0.2406*$B$5 + 31.775</f>
        <v>30.318999999999999</v>
      </c>
      <c r="Y36" s="125">
        <f t="shared" si="4"/>
        <v>30.318999999999999</v>
      </c>
      <c r="Z36" s="125">
        <f t="shared" si="4"/>
        <v>30.318999999999999</v>
      </c>
      <c r="AA36" s="125">
        <f t="shared" si="4"/>
        <v>30.318999999999999</v>
      </c>
      <c r="AB36" s="125">
        <f t="shared" si="4"/>
        <v>30.318999999999999</v>
      </c>
      <c r="AC36" s="125">
        <f t="shared" si="4"/>
        <v>30.318999999999999</v>
      </c>
      <c r="AD36" s="125">
        <f t="shared" si="4"/>
        <v>30.318999999999999</v>
      </c>
      <c r="AE36" s="125">
        <f t="shared" si="4"/>
        <v>30.318999999999999</v>
      </c>
      <c r="AF36" s="125">
        <f t="shared" si="4"/>
        <v>30.318999999999999</v>
      </c>
      <c r="AG36" s="126">
        <f t="shared" si="4"/>
        <v>30.318999999999999</v>
      </c>
      <c r="AH36" s="22"/>
    </row>
    <row r="37" spans="1:34" x14ac:dyDescent="0.25">
      <c r="A37" s="112"/>
      <c r="B37" s="120" t="s">
        <v>509</v>
      </c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3"/>
      <c r="AH37" s="22"/>
    </row>
    <row r="38" spans="1:34" ht="25.5" x14ac:dyDescent="0.25">
      <c r="A38" s="112"/>
      <c r="B38" s="262" t="s">
        <v>294</v>
      </c>
      <c r="C38" s="67" t="s">
        <v>65</v>
      </c>
      <c r="D38" s="125">
        <f>0.993</f>
        <v>0.99299999999999999</v>
      </c>
      <c r="E38" s="125">
        <f>-0.0005*$B$5^2 + 0.0212*$B$5 + 6.7518</f>
        <v>6.9138000000000002</v>
      </c>
      <c r="F38" s="125">
        <v>0</v>
      </c>
      <c r="G38" s="125">
        <f>0.993</f>
        <v>0.99299999999999999</v>
      </c>
      <c r="H38" s="125">
        <f>-0.0005*$B$5^2 + 0.0212*$B$5 + 6.7518</f>
        <v>6.9138000000000002</v>
      </c>
      <c r="I38" s="125">
        <v>0</v>
      </c>
      <c r="J38" s="125">
        <f>0.993</f>
        <v>0.99299999999999999</v>
      </c>
      <c r="K38" s="125">
        <v>0</v>
      </c>
      <c r="L38" s="125">
        <f>0.993</f>
        <v>0.99299999999999999</v>
      </c>
      <c r="M38" s="125">
        <v>0</v>
      </c>
      <c r="N38" s="125">
        <f>-0.0003*$B$5^2 + 0.0231*$B$5 + 0.789</f>
        <v>0.99</v>
      </c>
      <c r="O38" s="125">
        <f>-0.0012*$B$5^2 + 0.1073*$B$5 + 5.0294</f>
        <v>5.9824000000000002</v>
      </c>
      <c r="P38" s="125">
        <v>0</v>
      </c>
      <c r="Q38" s="125">
        <f>-0.0003*$B$5^2 + 0.0231*$B$5 + 0.789</f>
        <v>0.99</v>
      </c>
      <c r="R38" s="125">
        <f>-0.0012*$B$5^2 + 0.1073*$B$5 + 5.0294</f>
        <v>5.9824000000000002</v>
      </c>
      <c r="S38" s="125">
        <v>0</v>
      </c>
      <c r="T38" s="125">
        <f>-0.0003*$B$5^2 + 0.0231*$B$5 + 0.789</f>
        <v>0.99</v>
      </c>
      <c r="U38" s="125">
        <f>-0.0003*$B$5^2 + 0.0231*$B$5 + 0.789</f>
        <v>0.99</v>
      </c>
      <c r="V38" s="125">
        <f>-0.0003*$B$5^2 + 0.0231*$B$5 + 0.789</f>
        <v>0.99</v>
      </c>
      <c r="W38" s="125">
        <f>-0.0003*$B$5^2 + 0.0231*$B$5 + 0.789</f>
        <v>0.99</v>
      </c>
      <c r="X38" s="125">
        <f>0.0002*$B$5^2 - 0.0056*$B$5 + 1.068</f>
        <v>1.032</v>
      </c>
      <c r="Y38" s="125">
        <f>-0.0006*$B$5^2 + 0.0859*$B$5 + 5.2118</f>
        <v>6.0107999999999997</v>
      </c>
      <c r="Z38" s="125">
        <v>0</v>
      </c>
      <c r="AA38" s="125">
        <f>0.0002*$B$5^2 - 0.0056*$B$5 + 1.068</f>
        <v>1.032</v>
      </c>
      <c r="AB38" s="125">
        <f>-0.0006*$B$5^2 + 0.0859*$B$5 + 5.2118</f>
        <v>6.0107999999999997</v>
      </c>
      <c r="AC38" s="125">
        <v>0</v>
      </c>
      <c r="AD38" s="125">
        <f>0.0002*$B$5^2 - 0.0056*$B$5 + 1.068</f>
        <v>1.032</v>
      </c>
      <c r="AE38" s="125">
        <f>0.0002*$B$5^2 - 0.0056*$B$5 + 1.068</f>
        <v>1.032</v>
      </c>
      <c r="AF38" s="125">
        <f>0.0002*$B$5^2 - 0.0056*$B$5 + 1.068</f>
        <v>1.032</v>
      </c>
      <c r="AG38" s="126">
        <f>0.0002*$B$5^2 - 0.0056*$B$5 + 1.068</f>
        <v>1.032</v>
      </c>
      <c r="AH38" s="22"/>
    </row>
    <row r="39" spans="1:34" x14ac:dyDescent="0.25">
      <c r="A39" s="112"/>
      <c r="B39" s="262" t="s">
        <v>290</v>
      </c>
      <c r="C39" s="67" t="s">
        <v>63</v>
      </c>
      <c r="D39" s="125">
        <f>0.3972</f>
        <v>0.3972</v>
      </c>
      <c r="E39" s="125">
        <f>-0.0002*$B$5^2 + 0.0085*$B$5 + 2.7007</f>
        <v>2.7656999999999998</v>
      </c>
      <c r="F39" s="125">
        <v>0</v>
      </c>
      <c r="G39" s="125">
        <f>0.3972</f>
        <v>0.3972</v>
      </c>
      <c r="H39" s="125">
        <f>-0.0002*$B$5^2 + 0.0085*$B$5 + 2.7007</f>
        <v>2.7656999999999998</v>
      </c>
      <c r="I39" s="125">
        <v>0</v>
      </c>
      <c r="J39" s="125">
        <f>0.3972</f>
        <v>0.3972</v>
      </c>
      <c r="K39" s="125">
        <v>0</v>
      </c>
      <c r="L39" s="125">
        <f>0.3972</f>
        <v>0.3972</v>
      </c>
      <c r="M39" s="125">
        <v>0</v>
      </c>
      <c r="N39" s="125">
        <f>-0.0001*$B$5^2 + 0.0092*$B$5 + 0.3156</f>
        <v>0.39760000000000001</v>
      </c>
      <c r="O39" s="125">
        <f>-0.0005*$B$5^2 + 0.0429*$B$5 + 2.0118</f>
        <v>2.3908</v>
      </c>
      <c r="P39" s="125">
        <v>0</v>
      </c>
      <c r="Q39" s="125">
        <f>-0.0001*$B$5^2 + 0.0092*$B$5 + 0.3156</f>
        <v>0.39760000000000001</v>
      </c>
      <c r="R39" s="125">
        <f>-0.0005*$B$5^2 + 0.0429*$B$5 + 2.0118</f>
        <v>2.3908</v>
      </c>
      <c r="S39" s="125">
        <v>0</v>
      </c>
      <c r="T39" s="125">
        <f>-0.0001*$B$5^2 + 0.0092*$B$5 + 0.3156</f>
        <v>0.39760000000000001</v>
      </c>
      <c r="U39" s="125">
        <f>-0.0001*$B$5^2 + 0.0092*$B$5 + 0.3156</f>
        <v>0.39760000000000001</v>
      </c>
      <c r="V39" s="125">
        <f>-0.0001*$B$5^2 + 0.0092*$B$5 + 0.3156</f>
        <v>0.39760000000000001</v>
      </c>
      <c r="W39" s="125">
        <f>-0.0001*$B$5^2 + 0.0092*$B$5 + 0.3156</f>
        <v>0.39760000000000001</v>
      </c>
      <c r="X39" s="125">
        <f>7*10^-5*$B$5^2 - 0.0022*$B$5 + 0.4272</f>
        <v>0.41220000000000001</v>
      </c>
      <c r="Y39" s="125">
        <f>-0.0002*$B$5^2 + 0.0344*$B$5 + 2.0847</f>
        <v>2.4087000000000001</v>
      </c>
      <c r="Z39" s="125">
        <v>0</v>
      </c>
      <c r="AA39" s="125">
        <f>7*10^-5*$B$5^2 - 0.0022*$B$5 + 0.4272</f>
        <v>0.41220000000000001</v>
      </c>
      <c r="AB39" s="125">
        <f>-0.0002*$B$5^2 + 0.0344*$B$5 + 2.0847</f>
        <v>2.4087000000000001</v>
      </c>
      <c r="AC39" s="125">
        <v>0</v>
      </c>
      <c r="AD39" s="125">
        <f>7*10^-5*$B$5^2 - 0.0022*$B$5 + 0.4272</f>
        <v>0.41220000000000001</v>
      </c>
      <c r="AE39" s="125">
        <f>7*10^-5*$B$5^2 - 0.0022*$B$5 + 0.4272</f>
        <v>0.41220000000000001</v>
      </c>
      <c r="AF39" s="125">
        <f>7*10^-5*$B$5^2 - 0.0022*$B$5 + 0.4272</f>
        <v>0.41220000000000001</v>
      </c>
      <c r="AG39" s="126">
        <f>7*10^-5*$B$5^2 - 0.0022*$B$5 + 0.4272</f>
        <v>0.41220000000000001</v>
      </c>
      <c r="AH39" s="22"/>
    </row>
    <row r="40" spans="1:34" ht="25.5" x14ac:dyDescent="0.25">
      <c r="A40" s="112"/>
      <c r="B40" s="262" t="s">
        <v>295</v>
      </c>
      <c r="C40" s="67" t="s">
        <v>57</v>
      </c>
      <c r="D40" s="125">
        <f>10.34</f>
        <v>10.34</v>
      </c>
      <c r="E40" s="125">
        <f>-0.0089*$B$5^2 + 0.3355*$B$5 + 81.666</f>
        <v>84.131</v>
      </c>
      <c r="F40" s="125">
        <v>0</v>
      </c>
      <c r="G40" s="125">
        <f>10.34</f>
        <v>10.34</v>
      </c>
      <c r="H40" s="125">
        <f>-0.0089*$B$5^2 + 0.3355*$B$5 + 81.666</f>
        <v>84.131</v>
      </c>
      <c r="I40" s="125">
        <v>0</v>
      </c>
      <c r="J40" s="125">
        <f>10.34</f>
        <v>10.34</v>
      </c>
      <c r="K40" s="125">
        <v>0</v>
      </c>
      <c r="L40" s="125">
        <f>10.34</f>
        <v>10.34</v>
      </c>
      <c r="M40" s="125">
        <v>0</v>
      </c>
      <c r="N40" s="125">
        <f>-0.0041*$B$5^2 + 0.3235*$B$5 + 7.5167</f>
        <v>10.341699999999999</v>
      </c>
      <c r="O40" s="125">
        <f>-0.018*$B$5^2 + 1.4836*$B$5 + 58.7</f>
        <v>71.736000000000004</v>
      </c>
      <c r="P40" s="125">
        <v>0</v>
      </c>
      <c r="Q40" s="125">
        <f>-0.0041*$B$5^2 + 0.3235*$B$5 + 7.5167</f>
        <v>10.341699999999999</v>
      </c>
      <c r="R40" s="125">
        <f>-0.018*$B$5^2 + 1.4836*$B$5 + 58.7</f>
        <v>71.736000000000004</v>
      </c>
      <c r="S40" s="125">
        <v>0</v>
      </c>
      <c r="T40" s="125">
        <f>-0.0041*$B$5^2 + 0.3235*$B$5 + 7.5167</f>
        <v>10.341699999999999</v>
      </c>
      <c r="U40" s="125">
        <f>-0.0041*$B$5^2 + 0.3235*$B$5 + 7.5167</f>
        <v>10.341699999999999</v>
      </c>
      <c r="V40" s="125">
        <f>-0.0041*$B$5^2 + 0.3235*$B$5 + 7.5167</f>
        <v>10.341699999999999</v>
      </c>
      <c r="W40" s="125">
        <f>-0.0041*$B$5^2 + 0.3235*$B$5 + 7.5167</f>
        <v>10.341699999999999</v>
      </c>
      <c r="X40" s="125">
        <f>0.0025*$B$5^2 - 0.075*$B$5 + 11.34</f>
        <v>10.84</v>
      </c>
      <c r="Y40" s="125">
        <f>-0.0129*$B$5^2 + 1.2928*$B$5 + 60.503</f>
        <v>72.140999999999991</v>
      </c>
      <c r="Z40" s="125">
        <v>0</v>
      </c>
      <c r="AA40" s="125">
        <f>0.0025*$B$5^2 - 0.075*$B$5 + 11.34</f>
        <v>10.84</v>
      </c>
      <c r="AB40" s="125">
        <f>-0.0129*$B$5^2 + 1.2928*$B$5 + 60.503</f>
        <v>72.140999999999991</v>
      </c>
      <c r="AC40" s="125">
        <v>0</v>
      </c>
      <c r="AD40" s="125">
        <f>0.0025*$B$5^2 - 0.075*$B$5 + 11.34</f>
        <v>10.84</v>
      </c>
      <c r="AE40" s="125">
        <f>0.0025*$B$5^2 - 0.075*$B$5 + 11.34</f>
        <v>10.84</v>
      </c>
      <c r="AF40" s="125">
        <f>0.0025*$B$5^2 - 0.075*$B$5 + 11.34</f>
        <v>10.84</v>
      </c>
      <c r="AG40" s="126">
        <f>0.0025*$B$5^2 - 0.075*$B$5 + 11.34</f>
        <v>10.84</v>
      </c>
      <c r="AH40" s="22"/>
    </row>
    <row r="41" spans="1:34" x14ac:dyDescent="0.25">
      <c r="A41" s="112"/>
      <c r="B41" s="120" t="s">
        <v>510</v>
      </c>
      <c r="C41" s="121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8"/>
      <c r="AH41" s="22"/>
    </row>
    <row r="42" spans="1:34" x14ac:dyDescent="0.25">
      <c r="A42" s="112"/>
      <c r="B42" s="120" t="s">
        <v>511</v>
      </c>
      <c r="C42" s="121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8"/>
      <c r="AH42" s="22"/>
    </row>
    <row r="43" spans="1:34" ht="25.5" x14ac:dyDescent="0.25">
      <c r="A43" s="112"/>
      <c r="B43" s="262" t="s">
        <v>294</v>
      </c>
      <c r="C43" s="67" t="s">
        <v>65</v>
      </c>
      <c r="D43" s="125">
        <f>0.0057*$B$5^2 - 0.1611*$B$5 + 37.234</f>
        <v>36.193000000000005</v>
      </c>
      <c r="E43" s="125">
        <f>-0.002*$B$5^2 + 0.3688*$B$5 + 32.932</f>
        <v>36.42</v>
      </c>
      <c r="F43" s="125">
        <f>0.0059*$B$5^2 + 0.0102*$B$5 + 42.643</f>
        <v>43.335000000000001</v>
      </c>
      <c r="G43" s="125">
        <f>0.0053*$B$5^2 - 0.1411*$B$5 + 37.167</f>
        <v>36.286000000000001</v>
      </c>
      <c r="H43" s="125">
        <f>-0.0023*$B$5^2 + 0.3888*$B$5 + 32.866</f>
        <v>36.524000000000001</v>
      </c>
      <c r="I43" s="125">
        <f>0.0049*$B$5^2 + 0.0702*$B$5 + 42.543</f>
        <v>43.734999999999999</v>
      </c>
      <c r="J43" s="125">
        <f>0.0057*$B$5^2 - 0.1611*$B$5 + 37.234</f>
        <v>36.193000000000005</v>
      </c>
      <c r="K43" s="125">
        <f>0.0059*$B$5^2 + 0.0102*$B$5 + 42.843</f>
        <v>43.535000000000004</v>
      </c>
      <c r="L43" s="125">
        <f>0.0053*$B$5^2 - 0.1411*$B$5 + 37.167</f>
        <v>36.286000000000001</v>
      </c>
      <c r="M43" s="125">
        <f>0.0044*$B$5^2 + 0.0952*$B$5 + 42.543</f>
        <v>43.935000000000002</v>
      </c>
      <c r="N43" s="125">
        <f>0.0129*$B$5^2 - 0.6153*$B$5 + 43.035</f>
        <v>38.171999999999997</v>
      </c>
      <c r="O43" s="125">
        <f>0.0007*$B$5^2 + 0.1727*$B$5 + 33.051</f>
        <v>34.847999999999999</v>
      </c>
      <c r="P43" s="125">
        <f>0.0034*$B$5^2 + 0.0013*$B$5 + 41.869</f>
        <v>42.222000000000001</v>
      </c>
      <c r="Q43" s="125">
        <f>0.0129*$B$5^2 - 0.6153*$B$5 + 43.035</f>
        <v>38.171999999999997</v>
      </c>
      <c r="R43" s="125">
        <f>0.0013*$B$5^2 + 0.1327*$B$5 + 33.684</f>
        <v>35.140999999999998</v>
      </c>
      <c r="S43" s="125">
        <f>0.0034*$B$5^2 + 0.0013*$B$5 + 41.869</f>
        <v>42.222000000000001</v>
      </c>
      <c r="T43" s="125">
        <f>0.0129*$B$5^2 - 0.6153*$B$5 + 43.035</f>
        <v>38.171999999999997</v>
      </c>
      <c r="U43" s="125">
        <f>0.0131*$B$5^2 - 0.6203*$B$5 + 43.169</f>
        <v>38.275999999999996</v>
      </c>
      <c r="V43" s="125">
        <f>0.0129*$B$5^2 - 0.6153*$B$5 + 43.035</f>
        <v>38.171999999999997</v>
      </c>
      <c r="W43" s="125">
        <f>0.0131*$B$5^2 - 0.6203*$B$5 + 43.169</f>
        <v>38.275999999999996</v>
      </c>
      <c r="X43" s="125">
        <f>0.0012*$B$5^2 + 0.1235*$B$5 + 31.404</f>
        <v>32.759</v>
      </c>
      <c r="Y43" s="125">
        <f>-0.0017*$B$5^2 + 0.3041*$B$5 + 30.863</f>
        <v>33.734000000000002</v>
      </c>
      <c r="Z43" s="125">
        <f>0.0038*$B$5^2 - 0.0098*$B$5 + 39.839</f>
        <v>40.120999999999995</v>
      </c>
      <c r="AA43" s="125">
        <f>0.0016*$B$5^2 + 0.1035*$B$5 + 31.671</f>
        <v>32.866</v>
      </c>
      <c r="AB43" s="125">
        <f>-0.0007*$B$5^2 + 0.2441*$B$5 + 31.663</f>
        <v>34.033999999999999</v>
      </c>
      <c r="AC43" s="125">
        <f>0.0037*$B$5^2 + 0.0052*$B$5 + 39.905</f>
        <v>40.326999999999998</v>
      </c>
      <c r="AD43" s="125">
        <f>0.0012*$B$5^2 + 0.1235*$B$5 + 31.404</f>
        <v>32.759</v>
      </c>
      <c r="AE43" s="125">
        <f>0.0012*$B$5^2 + 0.1235*$B$5 + 31.604</f>
        <v>32.958999999999996</v>
      </c>
      <c r="AF43" s="125">
        <f>0.0016*$B$5^2 + 0.1035*$B$5 + 31.671</f>
        <v>32.866</v>
      </c>
      <c r="AG43" s="126">
        <f>0.0011*$B$5^2 + 0.1385*$B$5 + 31.671</f>
        <v>33.165999999999997</v>
      </c>
      <c r="AH43" s="22"/>
    </row>
    <row r="44" spans="1:34" x14ac:dyDescent="0.25">
      <c r="A44" s="112"/>
      <c r="B44" s="262" t="s">
        <v>290</v>
      </c>
      <c r="C44" s="67" t="s">
        <v>63</v>
      </c>
      <c r="D44" s="125">
        <f>0.0023*$B$5^2 - 0.0645*$B$5 + 14.894</f>
        <v>14.478999999999999</v>
      </c>
      <c r="E44" s="125">
        <f>-0.0008*$B$5^2 + 0.1475*$B$5 + 13.173</f>
        <v>14.568</v>
      </c>
      <c r="F44" s="125">
        <f>0.0024*$B$5^2 + 0.0041*$B$5 + 17.057</f>
        <v>17.337999999999997</v>
      </c>
      <c r="G44" s="125">
        <f>0.0021*$B$5^2 - 0.0565*$B$5 + 14.867</f>
        <v>14.512</v>
      </c>
      <c r="H44" s="125">
        <f>-0.0009*$B$5^2 + 0.1555*$B$5 + 13.146</f>
        <v>14.611000000000001</v>
      </c>
      <c r="I44" s="125">
        <f>0.002*$B$5^2 + 0.0281*$B$5 + 17.017</f>
        <v>17.498000000000001</v>
      </c>
      <c r="J44" s="125">
        <f>0.0023*$B$5^2 - 0.0645*$B$5 + 14.894</f>
        <v>14.478999999999999</v>
      </c>
      <c r="K44" s="125">
        <f>0.0024*$B$5^2 + 0.0041*$B$5 + 17.137</f>
        <v>17.417999999999999</v>
      </c>
      <c r="L44" s="125">
        <f>0.0021*$B$5^2 - 0.0565*$B$5 + 14.867</f>
        <v>14.512</v>
      </c>
      <c r="M44" s="125">
        <f>0.0018*$B$5^2 + 0.0381*$B$5 + 17.017</f>
        <v>17.577999999999999</v>
      </c>
      <c r="N44" s="125">
        <f>0.0052*$B$5^2 - 0.2461*$B$5 + 17.214</f>
        <v>15.272999999999998</v>
      </c>
      <c r="O44" s="125">
        <f>0.0003*$B$5^2 + 0.0691*$B$5 + 13.22</f>
        <v>13.941000000000001</v>
      </c>
      <c r="P44" s="125">
        <f>0.0014*$B$5^2 + 0.0005*$B$5 + 16.748</f>
        <v>16.893000000000001</v>
      </c>
      <c r="Q44" s="125">
        <f>0.0052*$B$5^2 - 0.2461*$B$5 + 17.214</f>
        <v>15.272999999999998</v>
      </c>
      <c r="R44" s="125">
        <f>0.0005*$B$5^2 + 0.0531*$B$5 + 13.474</f>
        <v>14.055</v>
      </c>
      <c r="S44" s="125">
        <f>0.0014*$B$5^2 + 0.0005*$B$5 + 16.748</f>
        <v>16.893000000000001</v>
      </c>
      <c r="T44" s="125">
        <f>0.0052*$B$5^2 - 0.2461*$B$5 + 17.214</f>
        <v>15.272999999999998</v>
      </c>
      <c r="U44" s="125">
        <f>0.0052*$B$5^2 - 0.2481*$B$5 + 17.267</f>
        <v>15.305999999999999</v>
      </c>
      <c r="V44" s="125">
        <f>0.0052*$B$5^2 - 0.2461*$B$5 + 17.214</f>
        <v>15.272999999999998</v>
      </c>
      <c r="W44" s="125">
        <f>0.0052*$B$5^2 - 0.2481*$B$5 + 17.267</f>
        <v>15.305999999999999</v>
      </c>
      <c r="X44" s="125">
        <f>0.0005*$B$5^2 + 0.0494*$B$5 + 12.562</f>
        <v>13.106</v>
      </c>
      <c r="Y44" s="125">
        <f>-0.0007*$B$5^2 + 0.1216*$B$5 + 12.345</f>
        <v>13.491</v>
      </c>
      <c r="Z44" s="125">
        <f>0.0015*$B$5^2 - 0.0039*$B$5 + 15.935</f>
        <v>16.045999999999999</v>
      </c>
      <c r="AA44" s="125">
        <f>0.0006*$B$5^2 + 0.0414*$B$5 + 12.668</f>
        <v>13.141999999999999</v>
      </c>
      <c r="AB44" s="125">
        <f>-0.0003*$B$5^2 + 0.0976*$B$5 + 12.665</f>
        <v>13.610999999999999</v>
      </c>
      <c r="AC44" s="125">
        <f>0.0015*$B$5^2 + 0.0021*$B$5 + 15.962</f>
        <v>16.132999999999999</v>
      </c>
      <c r="AD44" s="125">
        <f>0.0005*$B$5^2 + 0.0494*$B$5 + 12.562</f>
        <v>13.106</v>
      </c>
      <c r="AE44" s="125">
        <f>0.0005*$B$5^2 + 0.0494*$B$5 + 12.642</f>
        <v>13.186</v>
      </c>
      <c r="AF44" s="125">
        <f>0.0006*$B$5^2 + 0.0414*$B$5 + 12.668</f>
        <v>13.141999999999999</v>
      </c>
      <c r="AG44" s="126">
        <f>0.0004*$B$5^2 + 0.0554*$B$5 + 12.668</f>
        <v>13.261999999999999</v>
      </c>
      <c r="AH44" s="22"/>
    </row>
    <row r="45" spans="1:34" ht="25.5" x14ac:dyDescent="0.25">
      <c r="A45" s="112"/>
      <c r="B45" s="262" t="s">
        <v>295</v>
      </c>
      <c r="C45" s="67" t="s">
        <v>57</v>
      </c>
      <c r="D45" s="125">
        <f>-0.0046*$B$5^2 + 0.6354*$B$5 + 62.284</f>
        <v>68.177999999999997</v>
      </c>
      <c r="E45" s="125">
        <f>-0.0038*$B$5^2 + 0.7309*$B$5 + 66.516</f>
        <v>73.445000000000007</v>
      </c>
      <c r="F45" s="125">
        <f>0.0119*$B$5^2 + 0.019*$B$5 + 85.897</f>
        <v>87.277000000000001</v>
      </c>
      <c r="G45" s="125">
        <f>-0.0053*$B$5^2 + 0.6754*$B$5 + 62.151</f>
        <v>68.375</v>
      </c>
      <c r="H45" s="125">
        <f>-0.0044*$B$5^2 + 0.7709*$B$5 + 66.382</f>
        <v>73.65100000000001</v>
      </c>
      <c r="I45" s="125">
        <f>0.0099*$B$5^2 + 0.139*$B$5 + 85.697</f>
        <v>88.076999999999998</v>
      </c>
      <c r="J45" s="125">
        <f>-0.0046*$B$5^2 + 0.6354*$B$5 + 62.284</f>
        <v>68.177999999999997</v>
      </c>
      <c r="K45" s="125">
        <f>0.0119*$B$5^2 + 0.019*$B$5 + 86.297</f>
        <v>87.676999999999992</v>
      </c>
      <c r="L45" s="125">
        <f>-0.0053*$B$5^2 + 0.6754*$B$5 + 62.151</f>
        <v>68.375</v>
      </c>
      <c r="M45" s="125">
        <f>0.0089*$B$5^2 + 0.189*$B$5 + 85.697</f>
        <v>88.477000000000004</v>
      </c>
      <c r="N45" s="125">
        <f>0.002*$B$5^2 + 0.2015*$B$5 + 67.505</f>
        <v>69.72</v>
      </c>
      <c r="O45" s="125">
        <f>0.0013*$B$5^2 + 0.3447*$B$5 + 66.683</f>
        <v>70.260000000000005</v>
      </c>
      <c r="P45" s="125">
        <f>0.0068*$B$5^2 + 0.0023*$B$5 + 84.321</f>
        <v>85.024000000000001</v>
      </c>
      <c r="Q45" s="125">
        <f>0.002*$B$5^2 + 0.2015*$B$5 + 67.505</f>
        <v>69.72</v>
      </c>
      <c r="R45" s="125">
        <f>0.0027*$B$5^2 + 0.2647*$B$5 + 67.949</f>
        <v>70.866</v>
      </c>
      <c r="S45" s="125">
        <f>0.0068*$B$5^2 + 0.0023*$B$5 + 84.321</f>
        <v>85.024000000000001</v>
      </c>
      <c r="T45" s="125">
        <f>0.002*$B$5^2 + 0.2015*$B$5 + 67.505</f>
        <v>69.72</v>
      </c>
      <c r="U45" s="125">
        <f>0.0024*$B$5^2 + 0.1915*$B$5 + 67.771</f>
        <v>69.926000000000002</v>
      </c>
      <c r="V45" s="125">
        <f>0.002*$B$5^2 + 0.2015*$B$5 + 67.505</f>
        <v>69.72</v>
      </c>
      <c r="W45" s="125">
        <f>0.0024*$B$5^2 + 0.1915*$B$5 + 67.771</f>
        <v>69.926000000000002</v>
      </c>
      <c r="X45" s="125">
        <f>0.0027*$B$5^2 + 0.2461*$B$5 + 65.041</f>
        <v>67.771999999999991</v>
      </c>
      <c r="Y45" s="125">
        <f>-0.0035*$B$5^2 + 0.613*$B$5 + 62.855</f>
        <v>68.634999999999991</v>
      </c>
      <c r="Z45" s="125">
        <f>0.0065*$B$5^2 + 0.0643*$B$5 + 81.243</f>
        <v>82.536000000000001</v>
      </c>
      <c r="AA45" s="125">
        <f>0.0033*$B$5^2 + 0.2061*$B$5 + 65.575</f>
        <v>67.966000000000008</v>
      </c>
      <c r="AB45" s="125">
        <f>-0.0015*$B$5^2 + 0.493*$B$5 + 64.455</f>
        <v>69.234999999999999</v>
      </c>
      <c r="AC45" s="125">
        <f>0.0061*$B$5^2 + 0.0943*$B$5 + 81.376</f>
        <v>82.929000000000002</v>
      </c>
      <c r="AD45" s="125">
        <f>0.0027*$B$5^2 + 0.2461*$B$5 + 65.041</f>
        <v>67.771999999999991</v>
      </c>
      <c r="AE45" s="125">
        <f>0.0027*$B$5^2 + 0.2461*$B$5 + 65.441</f>
        <v>68.171999999999997</v>
      </c>
      <c r="AF45" s="125">
        <f>0.0033*$B$5^2 + 0.2061*$B$5 + 65.575</f>
        <v>67.966000000000008</v>
      </c>
      <c r="AG45" s="126">
        <f>0.0023*$B$5^2 + 0.2761*$B$5 + 65.575</f>
        <v>68.566000000000003</v>
      </c>
      <c r="AH45" s="22"/>
    </row>
    <row r="46" spans="1:34" x14ac:dyDescent="0.25">
      <c r="A46" s="112"/>
      <c r="B46" s="120" t="s">
        <v>512</v>
      </c>
      <c r="C46" s="121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8"/>
      <c r="AH46" s="22"/>
    </row>
    <row r="47" spans="1:34" ht="25.5" x14ac:dyDescent="0.25">
      <c r="A47" s="112"/>
      <c r="B47" s="262" t="s">
        <v>294</v>
      </c>
      <c r="C47" s="67" t="s">
        <v>65</v>
      </c>
      <c r="D47" s="125">
        <f>0.0043*$B$5^2 + 0.1144*$B$5 + 29.656</f>
        <v>31.23</v>
      </c>
      <c r="E47" s="125">
        <f>-0.0019*$B$5^2 + 0.5358*$B$5 + 27.126</f>
        <v>32.294000000000004</v>
      </c>
      <c r="F47" s="125">
        <f>-0.0011*$B$5^2 + 0.1469*$B$5 + 5.2163</f>
        <v>6.5753000000000004</v>
      </c>
      <c r="G47" s="125">
        <f>0.004*$B$5^2 + 0.1344*$B$5 + 29.59</f>
        <v>31.334</v>
      </c>
      <c r="H47" s="125">
        <f>-0.0025*$B$5^2 + 0.5678*$B$5 + 26.899</f>
        <v>32.326999999999998</v>
      </c>
      <c r="I47" s="125">
        <f>-0.0014*$B$5^2 + 0.1669*$B$5 + 5.2496</f>
        <v>6.7786</v>
      </c>
      <c r="J47" s="125">
        <f>0.0043*$B$5^2 + 0.1144*$B$5 + 29.656</f>
        <v>31.23</v>
      </c>
      <c r="K47" s="125">
        <f>-0.0011*$B$5^2 + 0.1469*$B$5 + 5.4163</f>
        <v>6.7752999999999997</v>
      </c>
      <c r="L47" s="125">
        <f>0.004*$B$5^2 + 0.1344*$B$5 + 29.59</f>
        <v>31.334</v>
      </c>
      <c r="M47" s="125">
        <f>-0.0019*$B$5^2 + 0.1919*$B$5 + 5.2496</f>
        <v>6.9786000000000001</v>
      </c>
      <c r="N47" s="125">
        <f>-0.0004*$B$5^2 + 0.3021*$B$5 + 24.478</f>
        <v>27.459000000000003</v>
      </c>
      <c r="O47" s="125">
        <f>-0.0031*$B$5^2 + 0.428*$B$5 + 22.371</f>
        <v>26.340999999999998</v>
      </c>
      <c r="P47" s="125">
        <f>-0.0017*$B$5^2 + 0.1271*$B$5 + 5.9993</f>
        <v>7.1002999999999998</v>
      </c>
      <c r="Q47" s="125">
        <f>-0.0004*$B$5^2 + 0.3021*$B$5 + 24.478</f>
        <v>27.459000000000003</v>
      </c>
      <c r="R47" s="125">
        <f>-0.0025*$B$5^2 + 0.388*$B$5 + 23.004</f>
        <v>26.634</v>
      </c>
      <c r="S47" s="125">
        <f>-0.0017*$B$5^2 + 0.1271*$B$5 + 5.9993</f>
        <v>7.1002999999999998</v>
      </c>
      <c r="T47" s="125">
        <f>-0.0004*$B$5^2 + 0.3021*$B$5 + 24.478</f>
        <v>27.459000000000003</v>
      </c>
      <c r="U47" s="125">
        <f>-0.0002*$B$5^2 + 0.2971*$B$5 + 24.611</f>
        <v>27.562000000000001</v>
      </c>
      <c r="V47" s="125">
        <f>-0.0004*$B$5^2 + 0.3021*$B$5 + 24.478</f>
        <v>27.459000000000003</v>
      </c>
      <c r="W47" s="125">
        <f>-0.0002*$B$5^2 + 0.2971*$B$5 + 24.611</f>
        <v>27.562000000000001</v>
      </c>
      <c r="X47" s="125">
        <f>0.0033*$B$5^2 + 0.0998*$B$5 + 25.807</f>
        <v>27.134999999999998</v>
      </c>
      <c r="Y47" s="125">
        <f>-0.0035*$B$5^2 + 0.4398*$B$5 + 22.245</f>
        <v>26.293000000000003</v>
      </c>
      <c r="Z47" s="125">
        <f>-0.0006*$B$5^2 + 0.0988*$B$5 + 5.554</f>
        <v>6.4820000000000002</v>
      </c>
      <c r="AA47" s="125">
        <f>0.0036*$B$5^2 + 0.0798*$B$5 + 26.073</f>
        <v>27.231000000000002</v>
      </c>
      <c r="AB47" s="125">
        <f>-0.0025*$B$5^2 + 0.3798*$B$5 + 23.045</f>
        <v>26.593000000000004</v>
      </c>
      <c r="AC47" s="125">
        <f>-0.0008*$B$5^2 + 0.1138*$B$5 + 5.4207</f>
        <v>6.4786999999999999</v>
      </c>
      <c r="AD47" s="125">
        <f>0.0033*$B$5^2 + 0.0998*$B$5 + 25.807</f>
        <v>27.134999999999998</v>
      </c>
      <c r="AE47" s="125">
        <f>0.0033*$B$5^2 + 0.0998*$B$5 + 26.007</f>
        <v>27.335000000000001</v>
      </c>
      <c r="AF47" s="125">
        <f>0.0036*$B$5^2 + 0.0798*$B$5 + 26.073</f>
        <v>27.231000000000002</v>
      </c>
      <c r="AG47" s="126">
        <f>0.0031*$B$5^2 + 0.1148*$B$5 + 25.873</f>
        <v>27.331</v>
      </c>
      <c r="AH47" s="22"/>
    </row>
    <row r="48" spans="1:34" x14ac:dyDescent="0.25">
      <c r="A48" s="112"/>
      <c r="B48" s="262" t="s">
        <v>290</v>
      </c>
      <c r="C48" s="67" t="s">
        <v>63</v>
      </c>
      <c r="D48" s="125">
        <f>0.0017*$B$5^2 + 0.0457*$B$5 + 11.862</f>
        <v>12.489000000000001</v>
      </c>
      <c r="E48" s="125">
        <f>-0.0008*$B$5^2 + 0.2143*$B$5 + 10.85</f>
        <v>12.913</v>
      </c>
      <c r="F48" s="125">
        <f>-0.0004*$B$5^2 + 0.0587*$B$5 + 2.0865</f>
        <v>2.6334999999999997</v>
      </c>
      <c r="G48" s="125">
        <f>0.0016*$B$5^2 + 0.0537*$B$5 + 11.836</f>
        <v>12.532999999999999</v>
      </c>
      <c r="H48" s="125">
        <f>-0.001*$B$5^2 + 0.2271*$B$5 + 10.76</f>
        <v>12.930999999999999</v>
      </c>
      <c r="I48" s="125">
        <f>-0.0006*$B$5^2 + 0.0667*$B$5 + 2.0998</f>
        <v>2.7068000000000003</v>
      </c>
      <c r="J48" s="125">
        <f>0.0017*$B$5^2 + 0.0457*$B$5 + 11.862</f>
        <v>12.489000000000001</v>
      </c>
      <c r="K48" s="125">
        <f>-0.0004*$B$5^2 + 0.0587*$B$5 + 2.1665</f>
        <v>2.7134999999999998</v>
      </c>
      <c r="L48" s="125">
        <f>0.0016*$B$5^2 + 0.0537*$B$5 + 11.836</f>
        <v>12.532999999999999</v>
      </c>
      <c r="M48" s="125">
        <f>-0.0008*$B$5^2 + 0.0767*$B$5 + 2.0998</f>
        <v>2.7868000000000004</v>
      </c>
      <c r="N48" s="125">
        <f>-0.0001*$B$5^2 + 0.1208*$B$5 + 9.7912</f>
        <v>10.9892</v>
      </c>
      <c r="O48" s="125">
        <f>-0.0013*$B$5^2 + 0.1712*$B$5 + 8.9483</f>
        <v>10.5303</v>
      </c>
      <c r="P48" s="125">
        <f>-0.0007*$B$5^2 + 0.0508*$B$5 + 2.3997</f>
        <v>2.8377000000000003</v>
      </c>
      <c r="Q48" s="125">
        <f>-0.0001*$B$5^2 + 0.1208*$B$5 + 9.7912</f>
        <v>10.9892</v>
      </c>
      <c r="R48" s="125">
        <f>-0.001*$B$5^2 + 0.1552*$B$5 + 9.2016</f>
        <v>10.653599999999999</v>
      </c>
      <c r="S48" s="125">
        <f>-0.0007*$B$5^2 + 0.0508*$B$5 + 2.3997</f>
        <v>2.8377000000000003</v>
      </c>
      <c r="T48" s="125">
        <f>-0.0001*$B$5^2 + 0.1208*$B$5 + 9.7912</f>
        <v>10.9892</v>
      </c>
      <c r="U48" s="125">
        <f>-8*10^-5*$B$5^2 + 0.1188*$B$5 + 9.8445</f>
        <v>11.0245</v>
      </c>
      <c r="V48" s="125">
        <f>-0.0001*$B$5^2 + 0.1208*$B$5 + 9.7912</f>
        <v>10.9892</v>
      </c>
      <c r="W48" s="125">
        <f>-8*10^-5*$B$5^2 + 0.1188*$B$5 + 9.8445</f>
        <v>11.0245</v>
      </c>
      <c r="X48" s="125">
        <f>0.0013*$B$5^2 + 0.0399*$B$5 + 10.323</f>
        <v>10.852</v>
      </c>
      <c r="Y48" s="125">
        <f>-0.0014*$B$5^2 + 0.1759*$B$5 + 8.8981</f>
        <v>10.517099999999999</v>
      </c>
      <c r="Z48" s="125">
        <f>-0.0002*$B$5^2 + 0.0395*$B$5 + 2.2216</f>
        <v>2.5966</v>
      </c>
      <c r="AA48" s="125">
        <f>0.0014*$B$5^2 + 0.0319*$B$5 + 10.429</f>
        <v>10.888</v>
      </c>
      <c r="AB48" s="125">
        <f>-0.001*$B$5^2 + 0.1519*$B$5 + 9.2181</f>
        <v>10.6371</v>
      </c>
      <c r="AC48" s="125">
        <f>-0.0003*$B$5^2 + 0.0455*$B$5 + 2.1683</f>
        <v>2.5932999999999997</v>
      </c>
      <c r="AD48" s="125">
        <f>0.0013*$B$5^2 + 0.0399*$B$5 + 10.323</f>
        <v>10.852</v>
      </c>
      <c r="AE48" s="125">
        <f>0.0013*$B$5^2 + 0.0399*$B$5 + 10.403</f>
        <v>10.932</v>
      </c>
      <c r="AF48" s="125">
        <f>0.0014*$B$5^2 + 0.0319*$B$5 + 10.429</f>
        <v>10.888</v>
      </c>
      <c r="AG48" s="126">
        <f>0.0012*$B$5^2 + 0.0459*$B$5 + 10.349</f>
        <v>10.928000000000001</v>
      </c>
      <c r="AH48" s="22"/>
    </row>
    <row r="49" spans="1:34" ht="25.5" x14ac:dyDescent="0.25">
      <c r="A49" s="112"/>
      <c r="B49" s="262" t="s">
        <v>295</v>
      </c>
      <c r="C49" s="67" t="s">
        <v>57</v>
      </c>
      <c r="D49" s="125">
        <f>-0.0007*$B$5^2 + 0.7616*$B$5 + 57.44</f>
        <v>64.986000000000004</v>
      </c>
      <c r="E49" s="125">
        <f>-0.0061*$B$5^2 + 1.2067*$B$5 + 53.639</f>
        <v>65.096000000000004</v>
      </c>
      <c r="F49" s="125">
        <f>-0.0022*$B$5^2 + 0.2937*$B$5 + 10.833</f>
        <v>13.55</v>
      </c>
      <c r="G49" s="125">
        <f>-0.0014*$B$5^2 + 0.8016*$B$5 + 57.306</f>
        <v>65.182000000000002</v>
      </c>
      <c r="H49" s="125">
        <f>-0.0071*$B$5^2 + 1.2707*$B$5 + 53.185</f>
        <v>65.182000000000002</v>
      </c>
      <c r="I49" s="125">
        <f>-0.0028*$B$5^2 + 0.3337*$B$5 + 10.899</f>
        <v>13.956</v>
      </c>
      <c r="J49" s="125">
        <f>-0.0007*$B$5^2 + 0.7616*$B$5 + 57.44</f>
        <v>64.986000000000004</v>
      </c>
      <c r="K49" s="125">
        <f>-0.0022*$B$5^2 + 0.2937*$B$5 + 11.233</f>
        <v>13.950000000000001</v>
      </c>
      <c r="L49" s="125">
        <f>-0.0014*$B$5^2 + 0.8016*$B$5 + 57.306</f>
        <v>65.182000000000002</v>
      </c>
      <c r="M49" s="125">
        <f>-0.0038*$B$5^2 + 0.3837*$B$5 + 10.899</f>
        <v>14.355999999999998</v>
      </c>
      <c r="N49" s="125">
        <f>-0.003*$B$5^2 + 0.7148*$B$5 + 50.387</f>
        <v>57.234999999999999</v>
      </c>
      <c r="O49" s="125">
        <f>-0.0029*$B$5^2 + 0.685*$B$5 + 47.311</f>
        <v>53.871000000000002</v>
      </c>
      <c r="P49" s="125">
        <f>-0.0033*$B$5^2 + 0.2541*$B$5 + 12.397</f>
        <v>14.608000000000001</v>
      </c>
      <c r="Q49" s="125">
        <f>-0.003*$B$5^2 + 0.7148*$B$5 + 50.387</f>
        <v>57.234999999999999</v>
      </c>
      <c r="R49" s="125">
        <f>-0.0015*$B$5^2 + 0.605*$B$5 + 48.578</f>
        <v>54.478000000000002</v>
      </c>
      <c r="S49" s="125">
        <f>-0.0033*$B$5^2 + 0.2541*$B$5 + 12.397</f>
        <v>14.608000000000001</v>
      </c>
      <c r="T49" s="125">
        <f>-0.003*$B$5^2 + 0.7148*$B$5 + 50.387</f>
        <v>57.234999999999999</v>
      </c>
      <c r="U49" s="125">
        <f>-0.0026*$B$5^2 + 0.7048*$B$5 + 50.653</f>
        <v>57.441000000000003</v>
      </c>
      <c r="V49" s="125">
        <f>-0.003*$B$5^2 + 0.7148*$B$5 + 50.387</f>
        <v>57.234999999999999</v>
      </c>
      <c r="W49" s="125">
        <f>-0.0026*$B$5^2 + 0.7048*$B$5 + 50.653</f>
        <v>57.441000000000003</v>
      </c>
      <c r="X49" s="125">
        <f>0.0063*$B$5^2 + 0.2598*$B$5 + 54.046</f>
        <v>57.274000000000001</v>
      </c>
      <c r="Y49" s="125">
        <f>-0.0036*$B$5^2 + 0.7094*$B$5 + 47.055</f>
        <v>53.789000000000001</v>
      </c>
      <c r="Z49" s="125">
        <f>-0.0006*$B$5^2 + 0.1673*$B$5 + 12.251</f>
        <v>13.863999999999999</v>
      </c>
      <c r="AA49" s="125">
        <f>0.0069*$B$5^2 + 0.2198*$B$5 + 54.579</f>
        <v>57.466999999999999</v>
      </c>
      <c r="AB49" s="125">
        <f>-0.0016*$B$5^2 + 0.5894*$B$5 + 48.655</f>
        <v>54.389000000000003</v>
      </c>
      <c r="AC49" s="125">
        <f>-0.0009*$B$5^2 + 0.1973*$B$5 + 11.984</f>
        <v>13.867000000000001</v>
      </c>
      <c r="AD49" s="125">
        <f>0.0063*$B$5^2 + 0.2598*$B$5 + 54.046</f>
        <v>57.274000000000001</v>
      </c>
      <c r="AE49" s="125">
        <f>0.0063*$B$5^2 + 0.2598*$B$5 + 54.446</f>
        <v>57.673999999999999</v>
      </c>
      <c r="AF49" s="125">
        <f>0.0069*$B$5^2 + 0.2198*$B$5 + 54.579</f>
        <v>57.466999999999999</v>
      </c>
      <c r="AG49" s="126">
        <f>0.0059*$B$5^2 + 0.2898*$B$5 + 54.179</f>
        <v>57.667000000000002</v>
      </c>
      <c r="AH49" s="22"/>
    </row>
    <row r="50" spans="1:34" x14ac:dyDescent="0.25">
      <c r="A50" s="112"/>
      <c r="B50" s="120" t="s">
        <v>513</v>
      </c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3"/>
      <c r="AH50" s="22"/>
    </row>
    <row r="51" spans="1:34" ht="51" x14ac:dyDescent="0.25">
      <c r="A51" s="112"/>
      <c r="B51" s="27" t="s">
        <v>441</v>
      </c>
      <c r="C51" s="67" t="s">
        <v>65</v>
      </c>
      <c r="D51" s="125">
        <f t="shared" ref="D51:M51" si="5">-4*10^-16*$B$5^2 + 0.3675*$B$5 + 38.987</f>
        <v>42.661999999999964</v>
      </c>
      <c r="E51" s="125">
        <f t="shared" si="5"/>
        <v>42.661999999999964</v>
      </c>
      <c r="F51" s="125">
        <f t="shared" si="5"/>
        <v>42.661999999999964</v>
      </c>
      <c r="G51" s="125">
        <f t="shared" si="5"/>
        <v>42.661999999999964</v>
      </c>
      <c r="H51" s="125">
        <f t="shared" si="5"/>
        <v>42.661999999999964</v>
      </c>
      <c r="I51" s="125">
        <f t="shared" si="5"/>
        <v>42.661999999999964</v>
      </c>
      <c r="J51" s="125">
        <f t="shared" si="5"/>
        <v>42.661999999999964</v>
      </c>
      <c r="K51" s="125">
        <f t="shared" si="5"/>
        <v>42.661999999999964</v>
      </c>
      <c r="L51" s="125">
        <f t="shared" si="5"/>
        <v>42.661999999999964</v>
      </c>
      <c r="M51" s="125">
        <f t="shared" si="5"/>
        <v>42.661999999999964</v>
      </c>
      <c r="N51" s="125">
        <f t="shared" ref="N51:W51" si="6" xml:space="preserve"> 0.0009*$B$5^2 - 0.0262*$B$5 + 53.337</f>
        <v>53.165000000000006</v>
      </c>
      <c r="O51" s="125">
        <f t="shared" si="6"/>
        <v>53.165000000000006</v>
      </c>
      <c r="P51" s="125">
        <f t="shared" si="6"/>
        <v>53.165000000000006</v>
      </c>
      <c r="Q51" s="125">
        <f t="shared" si="6"/>
        <v>53.165000000000006</v>
      </c>
      <c r="R51" s="125">
        <f t="shared" si="6"/>
        <v>53.165000000000006</v>
      </c>
      <c r="S51" s="125">
        <f t="shared" si="6"/>
        <v>53.165000000000006</v>
      </c>
      <c r="T51" s="125">
        <f t="shared" si="6"/>
        <v>53.165000000000006</v>
      </c>
      <c r="U51" s="125">
        <f t="shared" si="6"/>
        <v>53.165000000000006</v>
      </c>
      <c r="V51" s="125">
        <f t="shared" si="6"/>
        <v>53.165000000000006</v>
      </c>
      <c r="W51" s="125">
        <f t="shared" si="6"/>
        <v>53.165000000000006</v>
      </c>
      <c r="X51" s="125">
        <f t="shared" ref="X51:AG51" si="7" xml:space="preserve"> 0.021*$B$5^2 - 0.63*$B$5 + 47.3</f>
        <v>43.099999999999994</v>
      </c>
      <c r="Y51" s="125">
        <f t="shared" si="7"/>
        <v>43.099999999999994</v>
      </c>
      <c r="Z51" s="125">
        <f t="shared" si="7"/>
        <v>43.099999999999994</v>
      </c>
      <c r="AA51" s="125">
        <f t="shared" si="7"/>
        <v>43.099999999999994</v>
      </c>
      <c r="AB51" s="125">
        <f t="shared" si="7"/>
        <v>43.099999999999994</v>
      </c>
      <c r="AC51" s="125">
        <f t="shared" si="7"/>
        <v>43.099999999999994</v>
      </c>
      <c r="AD51" s="125">
        <f t="shared" si="7"/>
        <v>43.099999999999994</v>
      </c>
      <c r="AE51" s="125">
        <f t="shared" si="7"/>
        <v>43.099999999999994</v>
      </c>
      <c r="AF51" s="125">
        <f t="shared" si="7"/>
        <v>43.099999999999994</v>
      </c>
      <c r="AG51" s="126">
        <f t="shared" si="7"/>
        <v>43.099999999999994</v>
      </c>
      <c r="AH51" s="22"/>
    </row>
    <row r="52" spans="1:34" ht="25.5" x14ac:dyDescent="0.25">
      <c r="A52" s="112"/>
      <c r="B52" s="262" t="s">
        <v>294</v>
      </c>
      <c r="C52" s="67" t="s">
        <v>65</v>
      </c>
      <c r="D52" s="125">
        <f xml:space="preserve"> 71.29</f>
        <v>71.290000000000006</v>
      </c>
      <c r="E52" s="125">
        <f t="shared" ref="E52:M52" si="8" xml:space="preserve"> 71.29</f>
        <v>71.290000000000006</v>
      </c>
      <c r="F52" s="125">
        <f t="shared" si="8"/>
        <v>71.290000000000006</v>
      </c>
      <c r="G52" s="125">
        <f t="shared" si="8"/>
        <v>71.290000000000006</v>
      </c>
      <c r="H52" s="125">
        <f t="shared" si="8"/>
        <v>71.290000000000006</v>
      </c>
      <c r="I52" s="125">
        <f t="shared" si="8"/>
        <v>71.290000000000006</v>
      </c>
      <c r="J52" s="125">
        <f t="shared" si="8"/>
        <v>71.290000000000006</v>
      </c>
      <c r="K52" s="125">
        <f t="shared" si="8"/>
        <v>71.290000000000006</v>
      </c>
      <c r="L52" s="125">
        <f t="shared" si="8"/>
        <v>71.290000000000006</v>
      </c>
      <c r="M52" s="125">
        <f t="shared" si="8"/>
        <v>71.290000000000006</v>
      </c>
      <c r="N52" s="125">
        <f t="shared" ref="N52:W52" si="9" xml:space="preserve"> -0.0002*$B$5^2 + 0.0063*$B$5 + 71.376</f>
        <v>71.419000000000011</v>
      </c>
      <c r="O52" s="125">
        <f t="shared" si="9"/>
        <v>71.419000000000011</v>
      </c>
      <c r="P52" s="125">
        <f t="shared" si="9"/>
        <v>71.419000000000011</v>
      </c>
      <c r="Q52" s="125">
        <f t="shared" si="9"/>
        <v>71.419000000000011</v>
      </c>
      <c r="R52" s="125">
        <f t="shared" si="9"/>
        <v>71.419000000000011</v>
      </c>
      <c r="S52" s="125">
        <f t="shared" si="9"/>
        <v>71.419000000000011</v>
      </c>
      <c r="T52" s="125">
        <f t="shared" si="9"/>
        <v>71.419000000000011</v>
      </c>
      <c r="U52" s="125">
        <f t="shared" si="9"/>
        <v>71.419000000000011</v>
      </c>
      <c r="V52" s="125">
        <f t="shared" si="9"/>
        <v>71.419000000000011</v>
      </c>
      <c r="W52" s="125">
        <f t="shared" si="9"/>
        <v>71.419000000000011</v>
      </c>
      <c r="X52" s="125">
        <f xml:space="preserve"> 71.36</f>
        <v>71.36</v>
      </c>
      <c r="Y52" s="125">
        <f t="shared" ref="Y52:AG52" si="10" xml:space="preserve"> 71.36</f>
        <v>71.36</v>
      </c>
      <c r="Z52" s="125">
        <f t="shared" si="10"/>
        <v>71.36</v>
      </c>
      <c r="AA52" s="125">
        <f t="shared" si="10"/>
        <v>71.36</v>
      </c>
      <c r="AB52" s="125">
        <f t="shared" si="10"/>
        <v>71.36</v>
      </c>
      <c r="AC52" s="125">
        <f t="shared" si="10"/>
        <v>71.36</v>
      </c>
      <c r="AD52" s="125">
        <f t="shared" si="10"/>
        <v>71.36</v>
      </c>
      <c r="AE52" s="125">
        <f t="shared" si="10"/>
        <v>71.36</v>
      </c>
      <c r="AF52" s="125">
        <f t="shared" si="10"/>
        <v>71.36</v>
      </c>
      <c r="AG52" s="126">
        <f t="shared" si="10"/>
        <v>71.36</v>
      </c>
      <c r="AH52" s="22"/>
    </row>
    <row r="53" spans="1:34" x14ac:dyDescent="0.25">
      <c r="A53" s="112"/>
      <c r="B53" s="262" t="s">
        <v>290</v>
      </c>
      <c r="C53" s="67" t="s">
        <v>63</v>
      </c>
      <c r="D53" s="125">
        <f xml:space="preserve"> 28.52</f>
        <v>28.52</v>
      </c>
      <c r="E53" s="125">
        <f t="shared" ref="E53:M53" si="11" xml:space="preserve"> 28.52</f>
        <v>28.52</v>
      </c>
      <c r="F53" s="125">
        <f t="shared" si="11"/>
        <v>28.52</v>
      </c>
      <c r="G53" s="125">
        <f t="shared" si="11"/>
        <v>28.52</v>
      </c>
      <c r="H53" s="125">
        <f t="shared" si="11"/>
        <v>28.52</v>
      </c>
      <c r="I53" s="125">
        <f t="shared" si="11"/>
        <v>28.52</v>
      </c>
      <c r="J53" s="125">
        <f t="shared" si="11"/>
        <v>28.52</v>
      </c>
      <c r="K53" s="125">
        <f t="shared" si="11"/>
        <v>28.52</v>
      </c>
      <c r="L53" s="125">
        <f t="shared" si="11"/>
        <v>28.52</v>
      </c>
      <c r="M53" s="125">
        <f t="shared" si="11"/>
        <v>28.52</v>
      </c>
      <c r="N53" s="125">
        <f t="shared" ref="N53:W53" si="12" xml:space="preserve"> -8*10^-5*$B$5^2 + 0.0025*$B$5 + 28.55</f>
        <v>28.567</v>
      </c>
      <c r="O53" s="125">
        <f t="shared" si="12"/>
        <v>28.567</v>
      </c>
      <c r="P53" s="125">
        <f t="shared" si="12"/>
        <v>28.567</v>
      </c>
      <c r="Q53" s="125">
        <f t="shared" si="12"/>
        <v>28.567</v>
      </c>
      <c r="R53" s="125">
        <f t="shared" si="12"/>
        <v>28.567</v>
      </c>
      <c r="S53" s="125">
        <f t="shared" si="12"/>
        <v>28.567</v>
      </c>
      <c r="T53" s="125">
        <f t="shared" si="12"/>
        <v>28.567</v>
      </c>
      <c r="U53" s="125">
        <f t="shared" si="12"/>
        <v>28.567</v>
      </c>
      <c r="V53" s="125">
        <f t="shared" si="12"/>
        <v>28.567</v>
      </c>
      <c r="W53" s="125">
        <f t="shared" si="12"/>
        <v>28.567</v>
      </c>
      <c r="X53" s="125">
        <f xml:space="preserve"> 28.54</f>
        <v>28.54</v>
      </c>
      <c r="Y53" s="125">
        <f t="shared" ref="Y53:AG53" si="13" xml:space="preserve"> 28.54</f>
        <v>28.54</v>
      </c>
      <c r="Z53" s="125">
        <f t="shared" si="13"/>
        <v>28.54</v>
      </c>
      <c r="AA53" s="125">
        <f t="shared" si="13"/>
        <v>28.54</v>
      </c>
      <c r="AB53" s="125">
        <f t="shared" si="13"/>
        <v>28.54</v>
      </c>
      <c r="AC53" s="125">
        <f t="shared" si="13"/>
        <v>28.54</v>
      </c>
      <c r="AD53" s="125">
        <f t="shared" si="13"/>
        <v>28.54</v>
      </c>
      <c r="AE53" s="125">
        <f t="shared" si="13"/>
        <v>28.54</v>
      </c>
      <c r="AF53" s="125">
        <f t="shared" si="13"/>
        <v>28.54</v>
      </c>
      <c r="AG53" s="126">
        <f t="shared" si="13"/>
        <v>28.54</v>
      </c>
      <c r="AH53" s="22"/>
    </row>
    <row r="54" spans="1:34" ht="25.5" x14ac:dyDescent="0.25">
      <c r="A54" s="112"/>
      <c r="B54" s="262" t="s">
        <v>295</v>
      </c>
      <c r="C54" s="67" t="s">
        <v>57</v>
      </c>
      <c r="D54" s="125">
        <f xml:space="preserve"> 37.97</f>
        <v>37.97</v>
      </c>
      <c r="E54" s="125">
        <f t="shared" ref="E54:M54" si="14" xml:space="preserve"> 37.97</f>
        <v>37.97</v>
      </c>
      <c r="F54" s="125">
        <f t="shared" si="14"/>
        <v>37.97</v>
      </c>
      <c r="G54" s="125">
        <f t="shared" si="14"/>
        <v>37.97</v>
      </c>
      <c r="H54" s="125">
        <f t="shared" si="14"/>
        <v>37.97</v>
      </c>
      <c r="I54" s="125">
        <f t="shared" si="14"/>
        <v>37.97</v>
      </c>
      <c r="J54" s="125">
        <f t="shared" si="14"/>
        <v>37.97</v>
      </c>
      <c r="K54" s="125">
        <f t="shared" si="14"/>
        <v>37.97</v>
      </c>
      <c r="L54" s="125">
        <f t="shared" si="14"/>
        <v>37.97</v>
      </c>
      <c r="M54" s="125">
        <f t="shared" si="14"/>
        <v>37.97</v>
      </c>
      <c r="N54" s="125">
        <f t="shared" ref="N54:W54" si="15" xml:space="preserve"> -0.0008*$B$5^2 + 0.025*$B$5 + 38.303</f>
        <v>38.472999999999999</v>
      </c>
      <c r="O54" s="125">
        <f t="shared" si="15"/>
        <v>38.472999999999999</v>
      </c>
      <c r="P54" s="125">
        <f t="shared" si="15"/>
        <v>38.472999999999999</v>
      </c>
      <c r="Q54" s="125">
        <f t="shared" si="15"/>
        <v>38.472999999999999</v>
      </c>
      <c r="R54" s="125">
        <f t="shared" si="15"/>
        <v>38.472999999999999</v>
      </c>
      <c r="S54" s="125">
        <f t="shared" si="15"/>
        <v>38.472999999999999</v>
      </c>
      <c r="T54" s="125">
        <f t="shared" si="15"/>
        <v>38.472999999999999</v>
      </c>
      <c r="U54" s="125">
        <f t="shared" si="15"/>
        <v>38.472999999999999</v>
      </c>
      <c r="V54" s="125">
        <f t="shared" si="15"/>
        <v>38.472999999999999</v>
      </c>
      <c r="W54" s="125">
        <f t="shared" si="15"/>
        <v>38.472999999999999</v>
      </c>
      <c r="X54" s="125">
        <f xml:space="preserve"> 38.22</f>
        <v>38.22</v>
      </c>
      <c r="Y54" s="125">
        <f t="shared" ref="Y54:AG54" si="16" xml:space="preserve"> 38.22</f>
        <v>38.22</v>
      </c>
      <c r="Z54" s="125">
        <f t="shared" si="16"/>
        <v>38.22</v>
      </c>
      <c r="AA54" s="125">
        <f t="shared" si="16"/>
        <v>38.22</v>
      </c>
      <c r="AB54" s="125">
        <f t="shared" si="16"/>
        <v>38.22</v>
      </c>
      <c r="AC54" s="125">
        <f t="shared" si="16"/>
        <v>38.22</v>
      </c>
      <c r="AD54" s="125">
        <f t="shared" si="16"/>
        <v>38.22</v>
      </c>
      <c r="AE54" s="125">
        <f t="shared" si="16"/>
        <v>38.22</v>
      </c>
      <c r="AF54" s="125">
        <f t="shared" si="16"/>
        <v>38.22</v>
      </c>
      <c r="AG54" s="126">
        <f t="shared" si="16"/>
        <v>38.22</v>
      </c>
      <c r="AH54" s="22"/>
    </row>
    <row r="55" spans="1:34" ht="38.25" x14ac:dyDescent="0.25">
      <c r="A55" s="112"/>
      <c r="B55" s="27" t="s">
        <v>297</v>
      </c>
      <c r="C55" s="67" t="s">
        <v>57</v>
      </c>
      <c r="D55" s="125">
        <f t="shared" ref="D55:M55" si="17" xml:space="preserve"> -4*10^-15*$B$5^2 + 0.39*$B$5 + 430.19</f>
        <v>434.08999999999958</v>
      </c>
      <c r="E55" s="125">
        <f t="shared" si="17"/>
        <v>434.08999999999958</v>
      </c>
      <c r="F55" s="125">
        <f t="shared" si="17"/>
        <v>434.08999999999958</v>
      </c>
      <c r="G55" s="125">
        <f t="shared" si="17"/>
        <v>434.08999999999958</v>
      </c>
      <c r="H55" s="125">
        <f t="shared" si="17"/>
        <v>434.08999999999958</v>
      </c>
      <c r="I55" s="125">
        <f t="shared" si="17"/>
        <v>434.08999999999958</v>
      </c>
      <c r="J55" s="125">
        <f t="shared" si="17"/>
        <v>434.08999999999958</v>
      </c>
      <c r="K55" s="125">
        <f t="shared" si="17"/>
        <v>434.08999999999958</v>
      </c>
      <c r="L55" s="125">
        <f t="shared" si="17"/>
        <v>434.08999999999958</v>
      </c>
      <c r="M55" s="125">
        <f t="shared" si="17"/>
        <v>434.08999999999958</v>
      </c>
      <c r="N55" s="125">
        <f t="shared" ref="N55:W55" si="18" xml:space="preserve"> 0.0113*$B$5^2 - 0.34*$B$5 + 441.26</f>
        <v>438.99</v>
      </c>
      <c r="O55" s="125">
        <f t="shared" si="18"/>
        <v>438.99</v>
      </c>
      <c r="P55" s="125">
        <f t="shared" si="18"/>
        <v>438.99</v>
      </c>
      <c r="Q55" s="125">
        <f t="shared" si="18"/>
        <v>438.99</v>
      </c>
      <c r="R55" s="125">
        <f t="shared" si="18"/>
        <v>438.99</v>
      </c>
      <c r="S55" s="125">
        <f t="shared" si="18"/>
        <v>438.99</v>
      </c>
      <c r="T55" s="125">
        <f t="shared" si="18"/>
        <v>438.99</v>
      </c>
      <c r="U55" s="125">
        <f t="shared" si="18"/>
        <v>438.99</v>
      </c>
      <c r="V55" s="125">
        <f t="shared" si="18"/>
        <v>438.99</v>
      </c>
      <c r="W55" s="125">
        <f t="shared" si="18"/>
        <v>438.99</v>
      </c>
      <c r="X55" s="125">
        <f t="shared" ref="X55:AG55" si="19" xml:space="preserve"> 0.021*$B$5^2 - 0.63*$B$5 + 435.89</f>
        <v>431.69</v>
      </c>
      <c r="Y55" s="125">
        <f t="shared" si="19"/>
        <v>431.69</v>
      </c>
      <c r="Z55" s="125">
        <f t="shared" si="19"/>
        <v>431.69</v>
      </c>
      <c r="AA55" s="125">
        <f t="shared" si="19"/>
        <v>431.69</v>
      </c>
      <c r="AB55" s="125">
        <f t="shared" si="19"/>
        <v>431.69</v>
      </c>
      <c r="AC55" s="125">
        <f t="shared" si="19"/>
        <v>431.69</v>
      </c>
      <c r="AD55" s="125">
        <f t="shared" si="19"/>
        <v>431.69</v>
      </c>
      <c r="AE55" s="125">
        <f t="shared" si="19"/>
        <v>431.69</v>
      </c>
      <c r="AF55" s="125">
        <f t="shared" si="19"/>
        <v>431.69</v>
      </c>
      <c r="AG55" s="126">
        <f t="shared" si="19"/>
        <v>431.69</v>
      </c>
      <c r="AH55" s="22"/>
    </row>
    <row r="56" spans="1:34" ht="38.25" x14ac:dyDescent="0.25">
      <c r="A56" s="112"/>
      <c r="B56" s="27" t="s">
        <v>66</v>
      </c>
      <c r="C56" s="67" t="s">
        <v>57</v>
      </c>
      <c r="D56" s="125">
        <f t="shared" ref="D56:M57" si="20">151.22</f>
        <v>151.22</v>
      </c>
      <c r="E56" s="125">
        <f t="shared" si="20"/>
        <v>151.22</v>
      </c>
      <c r="F56" s="125">
        <f t="shared" si="20"/>
        <v>151.22</v>
      </c>
      <c r="G56" s="125">
        <f t="shared" si="20"/>
        <v>151.22</v>
      </c>
      <c r="H56" s="125">
        <f t="shared" si="20"/>
        <v>151.22</v>
      </c>
      <c r="I56" s="125">
        <f t="shared" si="20"/>
        <v>151.22</v>
      </c>
      <c r="J56" s="125">
        <f t="shared" si="20"/>
        <v>151.22</v>
      </c>
      <c r="K56" s="125">
        <f t="shared" si="20"/>
        <v>151.22</v>
      </c>
      <c r="L56" s="125">
        <f t="shared" si="20"/>
        <v>151.22</v>
      </c>
      <c r="M56" s="125">
        <f t="shared" si="20"/>
        <v>151.22</v>
      </c>
      <c r="N56" s="125">
        <f t="shared" ref="N56:W57" si="21">151.22</f>
        <v>151.22</v>
      </c>
      <c r="O56" s="125">
        <f t="shared" si="21"/>
        <v>151.22</v>
      </c>
      <c r="P56" s="125">
        <f t="shared" si="21"/>
        <v>151.22</v>
      </c>
      <c r="Q56" s="125">
        <f t="shared" si="21"/>
        <v>151.22</v>
      </c>
      <c r="R56" s="125">
        <f t="shared" si="21"/>
        <v>151.22</v>
      </c>
      <c r="S56" s="125">
        <f t="shared" si="21"/>
        <v>151.22</v>
      </c>
      <c r="T56" s="125">
        <f t="shared" si="21"/>
        <v>151.22</v>
      </c>
      <c r="U56" s="125">
        <f t="shared" si="21"/>
        <v>151.22</v>
      </c>
      <c r="V56" s="125">
        <f t="shared" si="21"/>
        <v>151.22</v>
      </c>
      <c r="W56" s="125">
        <f t="shared" si="21"/>
        <v>151.22</v>
      </c>
      <c r="X56" s="125">
        <f t="shared" ref="X56:AG57" si="22">151.22</f>
        <v>151.22</v>
      </c>
      <c r="Y56" s="125">
        <f t="shared" si="22"/>
        <v>151.22</v>
      </c>
      <c r="Z56" s="125">
        <f t="shared" si="22"/>
        <v>151.22</v>
      </c>
      <c r="AA56" s="125">
        <f t="shared" si="22"/>
        <v>151.22</v>
      </c>
      <c r="AB56" s="125">
        <f t="shared" si="22"/>
        <v>151.22</v>
      </c>
      <c r="AC56" s="125">
        <f t="shared" si="22"/>
        <v>151.22</v>
      </c>
      <c r="AD56" s="125">
        <f t="shared" si="22"/>
        <v>151.22</v>
      </c>
      <c r="AE56" s="125">
        <f t="shared" si="22"/>
        <v>151.22</v>
      </c>
      <c r="AF56" s="125">
        <f t="shared" si="22"/>
        <v>151.22</v>
      </c>
      <c r="AG56" s="126">
        <f t="shared" si="22"/>
        <v>151.22</v>
      </c>
      <c r="AH56" s="22"/>
    </row>
    <row r="57" spans="1:34" ht="25.5" x14ac:dyDescent="0.25">
      <c r="A57" s="112"/>
      <c r="B57" s="27" t="s">
        <v>67</v>
      </c>
      <c r="C57" s="67" t="s">
        <v>57</v>
      </c>
      <c r="D57" s="125">
        <f t="shared" si="20"/>
        <v>151.22</v>
      </c>
      <c r="E57" s="125">
        <f t="shared" si="20"/>
        <v>151.22</v>
      </c>
      <c r="F57" s="125">
        <f t="shared" si="20"/>
        <v>151.22</v>
      </c>
      <c r="G57" s="125">
        <f t="shared" si="20"/>
        <v>151.22</v>
      </c>
      <c r="H57" s="125">
        <f t="shared" si="20"/>
        <v>151.22</v>
      </c>
      <c r="I57" s="125">
        <f t="shared" si="20"/>
        <v>151.22</v>
      </c>
      <c r="J57" s="125">
        <f t="shared" si="20"/>
        <v>151.22</v>
      </c>
      <c r="K57" s="125">
        <f t="shared" si="20"/>
        <v>151.22</v>
      </c>
      <c r="L57" s="125">
        <f t="shared" si="20"/>
        <v>151.22</v>
      </c>
      <c r="M57" s="125">
        <f t="shared" si="20"/>
        <v>151.22</v>
      </c>
      <c r="N57" s="125">
        <f t="shared" si="21"/>
        <v>151.22</v>
      </c>
      <c r="O57" s="125">
        <f t="shared" si="21"/>
        <v>151.22</v>
      </c>
      <c r="P57" s="125">
        <f t="shared" si="21"/>
        <v>151.22</v>
      </c>
      <c r="Q57" s="125">
        <f t="shared" si="21"/>
        <v>151.22</v>
      </c>
      <c r="R57" s="125">
        <f t="shared" si="21"/>
        <v>151.22</v>
      </c>
      <c r="S57" s="125">
        <f t="shared" si="21"/>
        <v>151.22</v>
      </c>
      <c r="T57" s="125">
        <f t="shared" si="21"/>
        <v>151.22</v>
      </c>
      <c r="U57" s="125">
        <f t="shared" si="21"/>
        <v>151.22</v>
      </c>
      <c r="V57" s="125">
        <f t="shared" si="21"/>
        <v>151.22</v>
      </c>
      <c r="W57" s="125">
        <f t="shared" si="21"/>
        <v>151.22</v>
      </c>
      <c r="X57" s="125">
        <f t="shared" si="22"/>
        <v>151.22</v>
      </c>
      <c r="Y57" s="125">
        <f t="shared" si="22"/>
        <v>151.22</v>
      </c>
      <c r="Z57" s="125">
        <f t="shared" si="22"/>
        <v>151.22</v>
      </c>
      <c r="AA57" s="125">
        <f t="shared" si="22"/>
        <v>151.22</v>
      </c>
      <c r="AB57" s="125">
        <f t="shared" si="22"/>
        <v>151.22</v>
      </c>
      <c r="AC57" s="125">
        <f t="shared" si="22"/>
        <v>151.22</v>
      </c>
      <c r="AD57" s="125">
        <f t="shared" si="22"/>
        <v>151.22</v>
      </c>
      <c r="AE57" s="125">
        <f t="shared" si="22"/>
        <v>151.22</v>
      </c>
      <c r="AF57" s="125">
        <f t="shared" si="22"/>
        <v>151.22</v>
      </c>
      <c r="AG57" s="126">
        <f t="shared" si="22"/>
        <v>151.22</v>
      </c>
      <c r="AH57" s="22"/>
    </row>
    <row r="58" spans="1:34" x14ac:dyDescent="0.25">
      <c r="A58" s="112"/>
      <c r="B58" s="27" t="s">
        <v>68</v>
      </c>
      <c r="C58" s="67" t="s">
        <v>64</v>
      </c>
      <c r="D58" s="125">
        <f t="shared" ref="D58:AG58" si="23">206.2</f>
        <v>206.2</v>
      </c>
      <c r="E58" s="125">
        <f t="shared" si="23"/>
        <v>206.2</v>
      </c>
      <c r="F58" s="125">
        <f t="shared" si="23"/>
        <v>206.2</v>
      </c>
      <c r="G58" s="125">
        <f t="shared" si="23"/>
        <v>206.2</v>
      </c>
      <c r="H58" s="125">
        <f t="shared" si="23"/>
        <v>206.2</v>
      </c>
      <c r="I58" s="125">
        <f t="shared" si="23"/>
        <v>206.2</v>
      </c>
      <c r="J58" s="125">
        <f t="shared" si="23"/>
        <v>206.2</v>
      </c>
      <c r="K58" s="125">
        <f t="shared" si="23"/>
        <v>206.2</v>
      </c>
      <c r="L58" s="125">
        <f t="shared" si="23"/>
        <v>206.2</v>
      </c>
      <c r="M58" s="125">
        <f t="shared" si="23"/>
        <v>206.2</v>
      </c>
      <c r="N58" s="125">
        <f t="shared" si="23"/>
        <v>206.2</v>
      </c>
      <c r="O58" s="125">
        <f t="shared" si="23"/>
        <v>206.2</v>
      </c>
      <c r="P58" s="125">
        <f t="shared" si="23"/>
        <v>206.2</v>
      </c>
      <c r="Q58" s="125">
        <f t="shared" si="23"/>
        <v>206.2</v>
      </c>
      <c r="R58" s="125">
        <f t="shared" si="23"/>
        <v>206.2</v>
      </c>
      <c r="S58" s="125">
        <f t="shared" si="23"/>
        <v>206.2</v>
      </c>
      <c r="T58" s="125">
        <f t="shared" si="23"/>
        <v>206.2</v>
      </c>
      <c r="U58" s="125">
        <f t="shared" si="23"/>
        <v>206.2</v>
      </c>
      <c r="V58" s="125">
        <f t="shared" si="23"/>
        <v>206.2</v>
      </c>
      <c r="W58" s="125">
        <f t="shared" si="23"/>
        <v>206.2</v>
      </c>
      <c r="X58" s="125">
        <f t="shared" si="23"/>
        <v>206.2</v>
      </c>
      <c r="Y58" s="125">
        <f t="shared" si="23"/>
        <v>206.2</v>
      </c>
      <c r="Z58" s="125">
        <f t="shared" si="23"/>
        <v>206.2</v>
      </c>
      <c r="AA58" s="125">
        <f t="shared" si="23"/>
        <v>206.2</v>
      </c>
      <c r="AB58" s="125">
        <f t="shared" si="23"/>
        <v>206.2</v>
      </c>
      <c r="AC58" s="125">
        <f t="shared" si="23"/>
        <v>206.2</v>
      </c>
      <c r="AD58" s="125">
        <f t="shared" si="23"/>
        <v>206.2</v>
      </c>
      <c r="AE58" s="125">
        <f t="shared" si="23"/>
        <v>206.2</v>
      </c>
      <c r="AF58" s="125">
        <f t="shared" si="23"/>
        <v>206.2</v>
      </c>
      <c r="AG58" s="126">
        <f t="shared" si="23"/>
        <v>206.2</v>
      </c>
      <c r="AH58" s="22"/>
    </row>
    <row r="59" spans="1:34" ht="25.5" x14ac:dyDescent="0.25">
      <c r="A59" s="112"/>
      <c r="B59" s="69" t="s">
        <v>902</v>
      </c>
      <c r="C59" s="70" t="s">
        <v>57</v>
      </c>
      <c r="D59" s="125">
        <f t="shared" ref="D59:AG59" si="24">31.32</f>
        <v>31.32</v>
      </c>
      <c r="E59" s="125">
        <f t="shared" si="24"/>
        <v>31.32</v>
      </c>
      <c r="F59" s="125">
        <f t="shared" si="24"/>
        <v>31.32</v>
      </c>
      <c r="G59" s="125">
        <f t="shared" si="24"/>
        <v>31.32</v>
      </c>
      <c r="H59" s="125">
        <f t="shared" si="24"/>
        <v>31.32</v>
      </c>
      <c r="I59" s="125">
        <f t="shared" si="24"/>
        <v>31.32</v>
      </c>
      <c r="J59" s="125">
        <f t="shared" si="24"/>
        <v>31.32</v>
      </c>
      <c r="K59" s="125">
        <f t="shared" si="24"/>
        <v>31.32</v>
      </c>
      <c r="L59" s="125">
        <f t="shared" si="24"/>
        <v>31.32</v>
      </c>
      <c r="M59" s="125">
        <f t="shared" si="24"/>
        <v>31.32</v>
      </c>
      <c r="N59" s="125">
        <f t="shared" si="24"/>
        <v>31.32</v>
      </c>
      <c r="O59" s="125">
        <f t="shared" si="24"/>
        <v>31.32</v>
      </c>
      <c r="P59" s="125">
        <f t="shared" si="24"/>
        <v>31.32</v>
      </c>
      <c r="Q59" s="125">
        <f t="shared" si="24"/>
        <v>31.32</v>
      </c>
      <c r="R59" s="125">
        <f t="shared" si="24"/>
        <v>31.32</v>
      </c>
      <c r="S59" s="125">
        <f t="shared" si="24"/>
        <v>31.32</v>
      </c>
      <c r="T59" s="125">
        <f t="shared" si="24"/>
        <v>31.32</v>
      </c>
      <c r="U59" s="125">
        <f t="shared" si="24"/>
        <v>31.32</v>
      </c>
      <c r="V59" s="125">
        <f t="shared" si="24"/>
        <v>31.32</v>
      </c>
      <c r="W59" s="125">
        <f t="shared" si="24"/>
        <v>31.32</v>
      </c>
      <c r="X59" s="125">
        <f t="shared" si="24"/>
        <v>31.32</v>
      </c>
      <c r="Y59" s="125">
        <f t="shared" si="24"/>
        <v>31.32</v>
      </c>
      <c r="Z59" s="125">
        <f t="shared" si="24"/>
        <v>31.32</v>
      </c>
      <c r="AA59" s="125">
        <f t="shared" si="24"/>
        <v>31.32</v>
      </c>
      <c r="AB59" s="125">
        <f t="shared" si="24"/>
        <v>31.32</v>
      </c>
      <c r="AC59" s="125">
        <f t="shared" si="24"/>
        <v>31.32</v>
      </c>
      <c r="AD59" s="125">
        <f t="shared" si="24"/>
        <v>31.32</v>
      </c>
      <c r="AE59" s="125">
        <f t="shared" si="24"/>
        <v>31.32</v>
      </c>
      <c r="AF59" s="125">
        <f t="shared" si="24"/>
        <v>31.32</v>
      </c>
      <c r="AG59" s="126">
        <f t="shared" si="24"/>
        <v>31.32</v>
      </c>
      <c r="AH59" s="22"/>
    </row>
    <row r="60" spans="1:34" ht="25.5" x14ac:dyDescent="0.25">
      <c r="A60" s="112"/>
      <c r="B60" s="27" t="s">
        <v>77</v>
      </c>
      <c r="C60" s="67" t="s">
        <v>57</v>
      </c>
      <c r="D60" s="125">
        <f t="shared" ref="D60:AG60" si="25">18.9</f>
        <v>18.899999999999999</v>
      </c>
      <c r="E60" s="125">
        <f t="shared" si="25"/>
        <v>18.899999999999999</v>
      </c>
      <c r="F60" s="125">
        <f t="shared" si="25"/>
        <v>18.899999999999999</v>
      </c>
      <c r="G60" s="125">
        <f t="shared" si="25"/>
        <v>18.899999999999999</v>
      </c>
      <c r="H60" s="125">
        <f t="shared" si="25"/>
        <v>18.899999999999999</v>
      </c>
      <c r="I60" s="125">
        <f t="shared" si="25"/>
        <v>18.899999999999999</v>
      </c>
      <c r="J60" s="125">
        <f t="shared" si="25"/>
        <v>18.899999999999999</v>
      </c>
      <c r="K60" s="125">
        <f t="shared" si="25"/>
        <v>18.899999999999999</v>
      </c>
      <c r="L60" s="125">
        <f t="shared" si="25"/>
        <v>18.899999999999999</v>
      </c>
      <c r="M60" s="125">
        <f t="shared" si="25"/>
        <v>18.899999999999999</v>
      </c>
      <c r="N60" s="125">
        <f t="shared" si="25"/>
        <v>18.899999999999999</v>
      </c>
      <c r="O60" s="125">
        <f t="shared" si="25"/>
        <v>18.899999999999999</v>
      </c>
      <c r="P60" s="125">
        <f t="shared" si="25"/>
        <v>18.899999999999999</v>
      </c>
      <c r="Q60" s="125">
        <f t="shared" si="25"/>
        <v>18.899999999999999</v>
      </c>
      <c r="R60" s="125">
        <f t="shared" si="25"/>
        <v>18.899999999999999</v>
      </c>
      <c r="S60" s="125">
        <f t="shared" si="25"/>
        <v>18.899999999999999</v>
      </c>
      <c r="T60" s="125">
        <f t="shared" si="25"/>
        <v>18.899999999999999</v>
      </c>
      <c r="U60" s="125">
        <f t="shared" si="25"/>
        <v>18.899999999999999</v>
      </c>
      <c r="V60" s="125">
        <f t="shared" si="25"/>
        <v>18.899999999999999</v>
      </c>
      <c r="W60" s="125">
        <f t="shared" si="25"/>
        <v>18.899999999999999</v>
      </c>
      <c r="X60" s="125">
        <f t="shared" si="25"/>
        <v>18.899999999999999</v>
      </c>
      <c r="Y60" s="125">
        <f t="shared" si="25"/>
        <v>18.899999999999999</v>
      </c>
      <c r="Z60" s="125">
        <f t="shared" si="25"/>
        <v>18.899999999999999</v>
      </c>
      <c r="AA60" s="125">
        <f t="shared" si="25"/>
        <v>18.899999999999999</v>
      </c>
      <c r="AB60" s="125">
        <f t="shared" si="25"/>
        <v>18.899999999999999</v>
      </c>
      <c r="AC60" s="125">
        <f t="shared" si="25"/>
        <v>18.899999999999999</v>
      </c>
      <c r="AD60" s="125">
        <f t="shared" si="25"/>
        <v>18.899999999999999</v>
      </c>
      <c r="AE60" s="125">
        <f t="shared" si="25"/>
        <v>18.899999999999999</v>
      </c>
      <c r="AF60" s="125">
        <f t="shared" si="25"/>
        <v>18.899999999999999</v>
      </c>
      <c r="AG60" s="126">
        <f t="shared" si="25"/>
        <v>18.899999999999999</v>
      </c>
      <c r="AH60" s="22"/>
    </row>
    <row r="61" spans="1:34" ht="25.5" x14ac:dyDescent="0.25">
      <c r="A61" s="112"/>
      <c r="B61" s="27" t="s">
        <v>69</v>
      </c>
      <c r="C61" s="67" t="s">
        <v>57</v>
      </c>
      <c r="D61" s="125">
        <f t="shared" ref="D61:AG61" si="26">7.35</f>
        <v>7.35</v>
      </c>
      <c r="E61" s="125">
        <f t="shared" si="26"/>
        <v>7.35</v>
      </c>
      <c r="F61" s="125">
        <f t="shared" si="26"/>
        <v>7.35</v>
      </c>
      <c r="G61" s="125">
        <f t="shared" si="26"/>
        <v>7.35</v>
      </c>
      <c r="H61" s="125">
        <f t="shared" si="26"/>
        <v>7.35</v>
      </c>
      <c r="I61" s="125">
        <f t="shared" si="26"/>
        <v>7.35</v>
      </c>
      <c r="J61" s="125">
        <f t="shared" si="26"/>
        <v>7.35</v>
      </c>
      <c r="K61" s="125">
        <f t="shared" si="26"/>
        <v>7.35</v>
      </c>
      <c r="L61" s="125">
        <f t="shared" si="26"/>
        <v>7.35</v>
      </c>
      <c r="M61" s="125">
        <f t="shared" si="26"/>
        <v>7.35</v>
      </c>
      <c r="N61" s="125">
        <f t="shared" si="26"/>
        <v>7.35</v>
      </c>
      <c r="O61" s="125">
        <f t="shared" si="26"/>
        <v>7.35</v>
      </c>
      <c r="P61" s="125">
        <f t="shared" si="26"/>
        <v>7.35</v>
      </c>
      <c r="Q61" s="125">
        <f t="shared" si="26"/>
        <v>7.35</v>
      </c>
      <c r="R61" s="125">
        <f t="shared" si="26"/>
        <v>7.35</v>
      </c>
      <c r="S61" s="125">
        <f t="shared" si="26"/>
        <v>7.35</v>
      </c>
      <c r="T61" s="125">
        <f t="shared" si="26"/>
        <v>7.35</v>
      </c>
      <c r="U61" s="125">
        <f t="shared" si="26"/>
        <v>7.35</v>
      </c>
      <c r="V61" s="125">
        <f t="shared" si="26"/>
        <v>7.35</v>
      </c>
      <c r="W61" s="125">
        <f t="shared" si="26"/>
        <v>7.35</v>
      </c>
      <c r="X61" s="125">
        <f t="shared" si="26"/>
        <v>7.35</v>
      </c>
      <c r="Y61" s="125">
        <f t="shared" si="26"/>
        <v>7.35</v>
      </c>
      <c r="Z61" s="125">
        <f t="shared" si="26"/>
        <v>7.35</v>
      </c>
      <c r="AA61" s="125">
        <f t="shared" si="26"/>
        <v>7.35</v>
      </c>
      <c r="AB61" s="125">
        <f t="shared" si="26"/>
        <v>7.35</v>
      </c>
      <c r="AC61" s="125">
        <f t="shared" si="26"/>
        <v>7.35</v>
      </c>
      <c r="AD61" s="125">
        <f t="shared" si="26"/>
        <v>7.35</v>
      </c>
      <c r="AE61" s="125">
        <f t="shared" si="26"/>
        <v>7.35</v>
      </c>
      <c r="AF61" s="125">
        <f t="shared" si="26"/>
        <v>7.35</v>
      </c>
      <c r="AG61" s="126">
        <f t="shared" si="26"/>
        <v>7.35</v>
      </c>
      <c r="AH61" s="22"/>
    </row>
    <row r="62" spans="1:34" ht="38.25" x14ac:dyDescent="0.25">
      <c r="A62" s="112"/>
      <c r="B62" s="27" t="s">
        <v>302</v>
      </c>
      <c r="C62" s="67" t="s">
        <v>57</v>
      </c>
      <c r="D62" s="125">
        <f>218</f>
        <v>218</v>
      </c>
      <c r="E62" s="125">
        <f>218</f>
        <v>218</v>
      </c>
      <c r="F62" s="125">
        <f>218</f>
        <v>218</v>
      </c>
      <c r="G62" s="125">
        <f>218</f>
        <v>218</v>
      </c>
      <c r="H62" s="125">
        <f>218</f>
        <v>218</v>
      </c>
      <c r="I62" s="125">
        <f>218</f>
        <v>218</v>
      </c>
      <c r="J62" s="125">
        <f>218</f>
        <v>218</v>
      </c>
      <c r="K62" s="125">
        <f>218</f>
        <v>218</v>
      </c>
      <c r="L62" s="125">
        <f>218</f>
        <v>218</v>
      </c>
      <c r="M62" s="125">
        <f>218</f>
        <v>218</v>
      </c>
      <c r="N62" s="125">
        <f t="shared" ref="N62:W62" si="27">0.005*$B$5^2 - 0.15*$B$5 + 216</f>
        <v>215</v>
      </c>
      <c r="O62" s="125">
        <f t="shared" si="27"/>
        <v>215</v>
      </c>
      <c r="P62" s="125">
        <f t="shared" si="27"/>
        <v>215</v>
      </c>
      <c r="Q62" s="125">
        <f t="shared" si="27"/>
        <v>215</v>
      </c>
      <c r="R62" s="125">
        <f t="shared" si="27"/>
        <v>215</v>
      </c>
      <c r="S62" s="125">
        <f t="shared" si="27"/>
        <v>215</v>
      </c>
      <c r="T62" s="125">
        <f t="shared" si="27"/>
        <v>215</v>
      </c>
      <c r="U62" s="125">
        <f t="shared" si="27"/>
        <v>215</v>
      </c>
      <c r="V62" s="125">
        <f t="shared" si="27"/>
        <v>215</v>
      </c>
      <c r="W62" s="125">
        <f t="shared" si="27"/>
        <v>215</v>
      </c>
      <c r="X62" s="125">
        <f t="shared" ref="X62:AG62" si="28">216.5</f>
        <v>216.5</v>
      </c>
      <c r="Y62" s="125">
        <f t="shared" si="28"/>
        <v>216.5</v>
      </c>
      <c r="Z62" s="125">
        <f t="shared" si="28"/>
        <v>216.5</v>
      </c>
      <c r="AA62" s="125">
        <f t="shared" si="28"/>
        <v>216.5</v>
      </c>
      <c r="AB62" s="125">
        <f t="shared" si="28"/>
        <v>216.5</v>
      </c>
      <c r="AC62" s="125">
        <f t="shared" si="28"/>
        <v>216.5</v>
      </c>
      <c r="AD62" s="125">
        <f t="shared" si="28"/>
        <v>216.5</v>
      </c>
      <c r="AE62" s="125">
        <f t="shared" si="28"/>
        <v>216.5</v>
      </c>
      <c r="AF62" s="125">
        <f t="shared" si="28"/>
        <v>216.5</v>
      </c>
      <c r="AG62" s="126">
        <f t="shared" si="28"/>
        <v>216.5</v>
      </c>
      <c r="AH62" s="22"/>
    </row>
    <row r="63" spans="1:34" ht="38.25" x14ac:dyDescent="0.25">
      <c r="A63" s="112"/>
      <c r="B63" s="27" t="s">
        <v>298</v>
      </c>
      <c r="C63" s="67" t="s">
        <v>57</v>
      </c>
      <c r="D63" s="125">
        <f>227</f>
        <v>227</v>
      </c>
      <c r="E63" s="125">
        <f>227</f>
        <v>227</v>
      </c>
      <c r="F63" s="125">
        <f>227</f>
        <v>227</v>
      </c>
      <c r="G63" s="125">
        <f>227</f>
        <v>227</v>
      </c>
      <c r="H63" s="125">
        <f>227</f>
        <v>227</v>
      </c>
      <c r="I63" s="125">
        <f>227</f>
        <v>227</v>
      </c>
      <c r="J63" s="125">
        <f>227</f>
        <v>227</v>
      </c>
      <c r="K63" s="125">
        <f>227</f>
        <v>227</v>
      </c>
      <c r="L63" s="125">
        <f>227</f>
        <v>227</v>
      </c>
      <c r="M63" s="125">
        <f>227</f>
        <v>227</v>
      </c>
      <c r="N63" s="125">
        <f>227</f>
        <v>227</v>
      </c>
      <c r="O63" s="125">
        <f>227</f>
        <v>227</v>
      </c>
      <c r="P63" s="125">
        <f>227</f>
        <v>227</v>
      </c>
      <c r="Q63" s="125">
        <f>227</f>
        <v>227</v>
      </c>
      <c r="R63" s="125">
        <f>227</f>
        <v>227</v>
      </c>
      <c r="S63" s="125">
        <f>227</f>
        <v>227</v>
      </c>
      <c r="T63" s="125">
        <f>227</f>
        <v>227</v>
      </c>
      <c r="U63" s="125">
        <f>227</f>
        <v>227</v>
      </c>
      <c r="V63" s="125">
        <f>227</f>
        <v>227</v>
      </c>
      <c r="W63" s="125">
        <f>227</f>
        <v>227</v>
      </c>
      <c r="X63" s="125">
        <f>227</f>
        <v>227</v>
      </c>
      <c r="Y63" s="125">
        <f>227</f>
        <v>227</v>
      </c>
      <c r="Z63" s="125">
        <f>227</f>
        <v>227</v>
      </c>
      <c r="AA63" s="125">
        <f>227</f>
        <v>227</v>
      </c>
      <c r="AB63" s="125">
        <f>227</f>
        <v>227</v>
      </c>
      <c r="AC63" s="125">
        <f>227</f>
        <v>227</v>
      </c>
      <c r="AD63" s="125">
        <f>227</f>
        <v>227</v>
      </c>
      <c r="AE63" s="125">
        <f>227</f>
        <v>227</v>
      </c>
      <c r="AF63" s="125">
        <f>227</f>
        <v>227</v>
      </c>
      <c r="AG63" s="126">
        <f>227</f>
        <v>227</v>
      </c>
      <c r="AH63" s="22"/>
    </row>
    <row r="64" spans="1:34" ht="38.25" x14ac:dyDescent="0.25">
      <c r="A64" s="112"/>
      <c r="B64" s="27" t="s">
        <v>299</v>
      </c>
      <c r="C64" s="67" t="s">
        <v>57</v>
      </c>
      <c r="D64" s="125">
        <f t="shared" ref="D64:AG64" si="29">315.84</f>
        <v>315.83999999999997</v>
      </c>
      <c r="E64" s="125">
        <f t="shared" si="29"/>
        <v>315.83999999999997</v>
      </c>
      <c r="F64" s="125">
        <f t="shared" si="29"/>
        <v>315.83999999999997</v>
      </c>
      <c r="G64" s="125">
        <f t="shared" si="29"/>
        <v>315.83999999999997</v>
      </c>
      <c r="H64" s="125">
        <f t="shared" si="29"/>
        <v>315.83999999999997</v>
      </c>
      <c r="I64" s="125">
        <f t="shared" si="29"/>
        <v>315.83999999999997</v>
      </c>
      <c r="J64" s="125">
        <f t="shared" si="29"/>
        <v>315.83999999999997</v>
      </c>
      <c r="K64" s="125">
        <f t="shared" si="29"/>
        <v>315.83999999999997</v>
      </c>
      <c r="L64" s="125">
        <f t="shared" si="29"/>
        <v>315.83999999999997</v>
      </c>
      <c r="M64" s="125">
        <f t="shared" si="29"/>
        <v>315.83999999999997</v>
      </c>
      <c r="N64" s="125">
        <f t="shared" si="29"/>
        <v>315.83999999999997</v>
      </c>
      <c r="O64" s="125">
        <f t="shared" si="29"/>
        <v>315.83999999999997</v>
      </c>
      <c r="P64" s="125">
        <f t="shared" si="29"/>
        <v>315.83999999999997</v>
      </c>
      <c r="Q64" s="125">
        <f t="shared" si="29"/>
        <v>315.83999999999997</v>
      </c>
      <c r="R64" s="125">
        <f t="shared" si="29"/>
        <v>315.83999999999997</v>
      </c>
      <c r="S64" s="125">
        <f t="shared" si="29"/>
        <v>315.83999999999997</v>
      </c>
      <c r="T64" s="125">
        <f t="shared" si="29"/>
        <v>315.83999999999997</v>
      </c>
      <c r="U64" s="125">
        <f t="shared" si="29"/>
        <v>315.83999999999997</v>
      </c>
      <c r="V64" s="125">
        <f t="shared" si="29"/>
        <v>315.83999999999997</v>
      </c>
      <c r="W64" s="125">
        <f t="shared" si="29"/>
        <v>315.83999999999997</v>
      </c>
      <c r="X64" s="125">
        <f t="shared" si="29"/>
        <v>315.83999999999997</v>
      </c>
      <c r="Y64" s="125">
        <f t="shared" si="29"/>
        <v>315.83999999999997</v>
      </c>
      <c r="Z64" s="125">
        <f t="shared" si="29"/>
        <v>315.83999999999997</v>
      </c>
      <c r="AA64" s="125">
        <f t="shared" si="29"/>
        <v>315.83999999999997</v>
      </c>
      <c r="AB64" s="125">
        <f t="shared" si="29"/>
        <v>315.83999999999997</v>
      </c>
      <c r="AC64" s="125">
        <f t="shared" si="29"/>
        <v>315.83999999999997</v>
      </c>
      <c r="AD64" s="125">
        <f t="shared" si="29"/>
        <v>315.83999999999997</v>
      </c>
      <c r="AE64" s="125">
        <f t="shared" si="29"/>
        <v>315.83999999999997</v>
      </c>
      <c r="AF64" s="125">
        <f t="shared" si="29"/>
        <v>315.83999999999997</v>
      </c>
      <c r="AG64" s="126">
        <f t="shared" si="29"/>
        <v>315.83999999999997</v>
      </c>
      <c r="AH64" s="22"/>
    </row>
    <row r="65" spans="1:34" ht="51" x14ac:dyDescent="0.25">
      <c r="A65" s="112"/>
      <c r="B65" s="27" t="s">
        <v>301</v>
      </c>
      <c r="C65" s="67" t="s">
        <v>57</v>
      </c>
      <c r="D65" s="125">
        <f t="shared" ref="D65:AG65" si="30">229.32</f>
        <v>229.32</v>
      </c>
      <c r="E65" s="125">
        <f t="shared" si="30"/>
        <v>229.32</v>
      </c>
      <c r="F65" s="125">
        <f t="shared" si="30"/>
        <v>229.32</v>
      </c>
      <c r="G65" s="125">
        <f t="shared" si="30"/>
        <v>229.32</v>
      </c>
      <c r="H65" s="125">
        <f t="shared" si="30"/>
        <v>229.32</v>
      </c>
      <c r="I65" s="125">
        <f t="shared" si="30"/>
        <v>229.32</v>
      </c>
      <c r="J65" s="125">
        <f t="shared" si="30"/>
        <v>229.32</v>
      </c>
      <c r="K65" s="125">
        <f t="shared" si="30"/>
        <v>229.32</v>
      </c>
      <c r="L65" s="125">
        <f t="shared" si="30"/>
        <v>229.32</v>
      </c>
      <c r="M65" s="125">
        <f t="shared" si="30"/>
        <v>229.32</v>
      </c>
      <c r="N65" s="125">
        <f t="shared" si="30"/>
        <v>229.32</v>
      </c>
      <c r="O65" s="125">
        <f t="shared" si="30"/>
        <v>229.32</v>
      </c>
      <c r="P65" s="125">
        <f t="shared" si="30"/>
        <v>229.32</v>
      </c>
      <c r="Q65" s="125">
        <f t="shared" si="30"/>
        <v>229.32</v>
      </c>
      <c r="R65" s="125">
        <f t="shared" si="30"/>
        <v>229.32</v>
      </c>
      <c r="S65" s="125">
        <f t="shared" si="30"/>
        <v>229.32</v>
      </c>
      <c r="T65" s="125">
        <f t="shared" si="30"/>
        <v>229.32</v>
      </c>
      <c r="U65" s="125">
        <f t="shared" si="30"/>
        <v>229.32</v>
      </c>
      <c r="V65" s="125">
        <f t="shared" si="30"/>
        <v>229.32</v>
      </c>
      <c r="W65" s="125">
        <f t="shared" si="30"/>
        <v>229.32</v>
      </c>
      <c r="X65" s="125">
        <f t="shared" si="30"/>
        <v>229.32</v>
      </c>
      <c r="Y65" s="125">
        <f t="shared" si="30"/>
        <v>229.32</v>
      </c>
      <c r="Z65" s="125">
        <f t="shared" si="30"/>
        <v>229.32</v>
      </c>
      <c r="AA65" s="125">
        <f t="shared" si="30"/>
        <v>229.32</v>
      </c>
      <c r="AB65" s="125">
        <f t="shared" si="30"/>
        <v>229.32</v>
      </c>
      <c r="AC65" s="125">
        <f t="shared" si="30"/>
        <v>229.32</v>
      </c>
      <c r="AD65" s="125">
        <f t="shared" si="30"/>
        <v>229.32</v>
      </c>
      <c r="AE65" s="125">
        <f t="shared" si="30"/>
        <v>229.32</v>
      </c>
      <c r="AF65" s="125">
        <f t="shared" si="30"/>
        <v>229.32</v>
      </c>
      <c r="AG65" s="126">
        <f t="shared" si="30"/>
        <v>229.32</v>
      </c>
      <c r="AH65" s="22"/>
    </row>
    <row r="66" spans="1:34" ht="38.25" x14ac:dyDescent="0.25">
      <c r="A66" s="112"/>
      <c r="B66" s="27" t="s">
        <v>300</v>
      </c>
      <c r="C66" s="67" t="s">
        <v>57</v>
      </c>
      <c r="D66" s="125">
        <f t="shared" ref="D66:M66" si="31">4*10^-15*$B$5^2 + 0.39*$B$5 + 506.84</f>
        <v>510.74000000000035</v>
      </c>
      <c r="E66" s="125">
        <f t="shared" si="31"/>
        <v>510.74000000000035</v>
      </c>
      <c r="F66" s="125">
        <f t="shared" si="31"/>
        <v>510.74000000000035</v>
      </c>
      <c r="G66" s="125">
        <f t="shared" si="31"/>
        <v>510.74000000000035</v>
      </c>
      <c r="H66" s="125">
        <f t="shared" si="31"/>
        <v>510.74000000000035</v>
      </c>
      <c r="I66" s="125">
        <f t="shared" si="31"/>
        <v>510.74000000000035</v>
      </c>
      <c r="J66" s="125">
        <f t="shared" si="31"/>
        <v>510.74000000000035</v>
      </c>
      <c r="K66" s="125">
        <f t="shared" si="31"/>
        <v>510.74000000000035</v>
      </c>
      <c r="L66" s="125">
        <f t="shared" si="31"/>
        <v>510.74000000000035</v>
      </c>
      <c r="M66" s="125">
        <f t="shared" si="31"/>
        <v>510.74000000000035</v>
      </c>
      <c r="N66" s="125">
        <f t="shared" ref="N66:W66" si="32">0.0113*$B$5^2 - 0.34*$B$5 + 517.91</f>
        <v>515.64</v>
      </c>
      <c r="O66" s="125">
        <f t="shared" si="32"/>
        <v>515.64</v>
      </c>
      <c r="P66" s="125">
        <f t="shared" si="32"/>
        <v>515.64</v>
      </c>
      <c r="Q66" s="125">
        <f t="shared" si="32"/>
        <v>515.64</v>
      </c>
      <c r="R66" s="125">
        <f t="shared" si="32"/>
        <v>515.64</v>
      </c>
      <c r="S66" s="125">
        <f t="shared" si="32"/>
        <v>515.64</v>
      </c>
      <c r="T66" s="125">
        <f t="shared" si="32"/>
        <v>515.64</v>
      </c>
      <c r="U66" s="125">
        <f t="shared" si="32"/>
        <v>515.64</v>
      </c>
      <c r="V66" s="125">
        <f t="shared" si="32"/>
        <v>515.64</v>
      </c>
      <c r="W66" s="125">
        <f t="shared" si="32"/>
        <v>515.64</v>
      </c>
      <c r="X66" s="125">
        <f t="shared" ref="X66:AG66" si="33">0.021*$B$5^2 - 0.63*$B$5 + 512.54</f>
        <v>508.34</v>
      </c>
      <c r="Y66" s="125">
        <f t="shared" si="33"/>
        <v>508.34</v>
      </c>
      <c r="Z66" s="125">
        <f t="shared" si="33"/>
        <v>508.34</v>
      </c>
      <c r="AA66" s="125">
        <f t="shared" si="33"/>
        <v>508.34</v>
      </c>
      <c r="AB66" s="125">
        <f t="shared" si="33"/>
        <v>508.34</v>
      </c>
      <c r="AC66" s="125">
        <f t="shared" si="33"/>
        <v>508.34</v>
      </c>
      <c r="AD66" s="125">
        <f t="shared" si="33"/>
        <v>508.34</v>
      </c>
      <c r="AE66" s="125">
        <f t="shared" si="33"/>
        <v>508.34</v>
      </c>
      <c r="AF66" s="125">
        <f t="shared" si="33"/>
        <v>508.34</v>
      </c>
      <c r="AG66" s="126">
        <f t="shared" si="33"/>
        <v>508.34</v>
      </c>
      <c r="AH66" s="22"/>
    </row>
    <row r="67" spans="1:34" ht="25.5" x14ac:dyDescent="0.25">
      <c r="A67" s="112"/>
      <c r="B67" s="27" t="s">
        <v>303</v>
      </c>
      <c r="C67" s="67" t="s">
        <v>57</v>
      </c>
      <c r="D67" s="125">
        <f>218</f>
        <v>218</v>
      </c>
      <c r="E67" s="125">
        <f>218</f>
        <v>218</v>
      </c>
      <c r="F67" s="125">
        <f>218</f>
        <v>218</v>
      </c>
      <c r="G67" s="125">
        <f>218</f>
        <v>218</v>
      </c>
      <c r="H67" s="125">
        <f>218</f>
        <v>218</v>
      </c>
      <c r="I67" s="125">
        <f>218</f>
        <v>218</v>
      </c>
      <c r="J67" s="125">
        <f>218</f>
        <v>218</v>
      </c>
      <c r="K67" s="125">
        <f>218</f>
        <v>218</v>
      </c>
      <c r="L67" s="125">
        <f>218</f>
        <v>218</v>
      </c>
      <c r="M67" s="125">
        <f>218</f>
        <v>218</v>
      </c>
      <c r="N67" s="125">
        <f t="shared" ref="N67:W67" si="34">0.005*$B$5^2 - 0.15*$B$5 + 216</f>
        <v>215</v>
      </c>
      <c r="O67" s="125">
        <f t="shared" si="34"/>
        <v>215</v>
      </c>
      <c r="P67" s="125">
        <f t="shared" si="34"/>
        <v>215</v>
      </c>
      <c r="Q67" s="125">
        <f t="shared" si="34"/>
        <v>215</v>
      </c>
      <c r="R67" s="125">
        <f t="shared" si="34"/>
        <v>215</v>
      </c>
      <c r="S67" s="125">
        <f t="shared" si="34"/>
        <v>215</v>
      </c>
      <c r="T67" s="125">
        <f t="shared" si="34"/>
        <v>215</v>
      </c>
      <c r="U67" s="125">
        <f t="shared" si="34"/>
        <v>215</v>
      </c>
      <c r="V67" s="125">
        <f t="shared" si="34"/>
        <v>215</v>
      </c>
      <c r="W67" s="125">
        <f t="shared" si="34"/>
        <v>215</v>
      </c>
      <c r="X67" s="125">
        <f t="shared" ref="X67:AG67" si="35">216.5</f>
        <v>216.5</v>
      </c>
      <c r="Y67" s="125">
        <f t="shared" si="35"/>
        <v>216.5</v>
      </c>
      <c r="Z67" s="125">
        <f t="shared" si="35"/>
        <v>216.5</v>
      </c>
      <c r="AA67" s="125">
        <f t="shared" si="35"/>
        <v>216.5</v>
      </c>
      <c r="AB67" s="125">
        <f t="shared" si="35"/>
        <v>216.5</v>
      </c>
      <c r="AC67" s="125">
        <f t="shared" si="35"/>
        <v>216.5</v>
      </c>
      <c r="AD67" s="125">
        <f t="shared" si="35"/>
        <v>216.5</v>
      </c>
      <c r="AE67" s="125">
        <f t="shared" si="35"/>
        <v>216.5</v>
      </c>
      <c r="AF67" s="125">
        <f t="shared" si="35"/>
        <v>216.5</v>
      </c>
      <c r="AG67" s="126">
        <f t="shared" si="35"/>
        <v>216.5</v>
      </c>
      <c r="AH67" s="22"/>
    </row>
    <row r="68" spans="1:34" ht="38.25" x14ac:dyDescent="0.25">
      <c r="A68" s="112"/>
      <c r="B68" s="27" t="s">
        <v>304</v>
      </c>
      <c r="C68" s="67" t="s">
        <v>57</v>
      </c>
      <c r="D68" s="125">
        <f t="shared" ref="D68:AG68" si="36">229.32</f>
        <v>229.32</v>
      </c>
      <c r="E68" s="125">
        <f t="shared" si="36"/>
        <v>229.32</v>
      </c>
      <c r="F68" s="125">
        <f t="shared" si="36"/>
        <v>229.32</v>
      </c>
      <c r="G68" s="125">
        <f t="shared" si="36"/>
        <v>229.32</v>
      </c>
      <c r="H68" s="125">
        <f t="shared" si="36"/>
        <v>229.32</v>
      </c>
      <c r="I68" s="125">
        <f t="shared" si="36"/>
        <v>229.32</v>
      </c>
      <c r="J68" s="125">
        <f t="shared" si="36"/>
        <v>229.32</v>
      </c>
      <c r="K68" s="125">
        <f t="shared" si="36"/>
        <v>229.32</v>
      </c>
      <c r="L68" s="125">
        <f t="shared" si="36"/>
        <v>229.32</v>
      </c>
      <c r="M68" s="125">
        <f t="shared" si="36"/>
        <v>229.32</v>
      </c>
      <c r="N68" s="125">
        <f t="shared" si="36"/>
        <v>229.32</v>
      </c>
      <c r="O68" s="125">
        <f t="shared" si="36"/>
        <v>229.32</v>
      </c>
      <c r="P68" s="125">
        <f t="shared" si="36"/>
        <v>229.32</v>
      </c>
      <c r="Q68" s="125">
        <f t="shared" si="36"/>
        <v>229.32</v>
      </c>
      <c r="R68" s="125">
        <f t="shared" si="36"/>
        <v>229.32</v>
      </c>
      <c r="S68" s="125">
        <f t="shared" si="36"/>
        <v>229.32</v>
      </c>
      <c r="T68" s="125">
        <f t="shared" si="36"/>
        <v>229.32</v>
      </c>
      <c r="U68" s="125">
        <f t="shared" si="36"/>
        <v>229.32</v>
      </c>
      <c r="V68" s="125">
        <f t="shared" si="36"/>
        <v>229.32</v>
      </c>
      <c r="W68" s="125">
        <f t="shared" si="36"/>
        <v>229.32</v>
      </c>
      <c r="X68" s="125">
        <f t="shared" si="36"/>
        <v>229.32</v>
      </c>
      <c r="Y68" s="125">
        <f t="shared" si="36"/>
        <v>229.32</v>
      </c>
      <c r="Z68" s="125">
        <f t="shared" si="36"/>
        <v>229.32</v>
      </c>
      <c r="AA68" s="125">
        <f t="shared" si="36"/>
        <v>229.32</v>
      </c>
      <c r="AB68" s="125">
        <f t="shared" si="36"/>
        <v>229.32</v>
      </c>
      <c r="AC68" s="125">
        <f t="shared" si="36"/>
        <v>229.32</v>
      </c>
      <c r="AD68" s="125">
        <f t="shared" si="36"/>
        <v>229.32</v>
      </c>
      <c r="AE68" s="125">
        <f t="shared" si="36"/>
        <v>229.32</v>
      </c>
      <c r="AF68" s="125">
        <f t="shared" si="36"/>
        <v>229.32</v>
      </c>
      <c r="AG68" s="126">
        <f t="shared" si="36"/>
        <v>229.32</v>
      </c>
      <c r="AH68" s="22"/>
    </row>
    <row r="69" spans="1:34" x14ac:dyDescent="0.25">
      <c r="A69" s="112"/>
      <c r="B69" s="27" t="s">
        <v>309</v>
      </c>
      <c r="C69" s="67" t="s">
        <v>57</v>
      </c>
      <c r="D69" s="125">
        <f>227</f>
        <v>227</v>
      </c>
      <c r="E69" s="125">
        <f>227</f>
        <v>227</v>
      </c>
      <c r="F69" s="125">
        <f>227</f>
        <v>227</v>
      </c>
      <c r="G69" s="125">
        <f>227</f>
        <v>227</v>
      </c>
      <c r="H69" s="125">
        <f>227</f>
        <v>227</v>
      </c>
      <c r="I69" s="125">
        <f>227</f>
        <v>227</v>
      </c>
      <c r="J69" s="125">
        <f>227</f>
        <v>227</v>
      </c>
      <c r="K69" s="125">
        <f>227</f>
        <v>227</v>
      </c>
      <c r="L69" s="125">
        <f>227</f>
        <v>227</v>
      </c>
      <c r="M69" s="125">
        <f>227</f>
        <v>227</v>
      </c>
      <c r="N69" s="125">
        <f>227</f>
        <v>227</v>
      </c>
      <c r="O69" s="125">
        <f>227</f>
        <v>227</v>
      </c>
      <c r="P69" s="125">
        <f>227</f>
        <v>227</v>
      </c>
      <c r="Q69" s="125">
        <f>227</f>
        <v>227</v>
      </c>
      <c r="R69" s="125">
        <f>227</f>
        <v>227</v>
      </c>
      <c r="S69" s="125">
        <f>227</f>
        <v>227</v>
      </c>
      <c r="T69" s="125">
        <f>227</f>
        <v>227</v>
      </c>
      <c r="U69" s="125">
        <f>227</f>
        <v>227</v>
      </c>
      <c r="V69" s="125">
        <f>227</f>
        <v>227</v>
      </c>
      <c r="W69" s="125">
        <f>227</f>
        <v>227</v>
      </c>
      <c r="X69" s="125">
        <f>227</f>
        <v>227</v>
      </c>
      <c r="Y69" s="125">
        <f>227</f>
        <v>227</v>
      </c>
      <c r="Z69" s="125">
        <f>227</f>
        <v>227</v>
      </c>
      <c r="AA69" s="125">
        <f>227</f>
        <v>227</v>
      </c>
      <c r="AB69" s="125">
        <f>227</f>
        <v>227</v>
      </c>
      <c r="AC69" s="125">
        <f>227</f>
        <v>227</v>
      </c>
      <c r="AD69" s="125">
        <f>227</f>
        <v>227</v>
      </c>
      <c r="AE69" s="125">
        <f>227</f>
        <v>227</v>
      </c>
      <c r="AF69" s="125">
        <f>227</f>
        <v>227</v>
      </c>
      <c r="AG69" s="126">
        <f>227</f>
        <v>227</v>
      </c>
      <c r="AH69" s="22"/>
    </row>
    <row r="70" spans="1:34" ht="25.5" x14ac:dyDescent="0.25">
      <c r="A70" s="112"/>
      <c r="B70" s="27" t="s">
        <v>71</v>
      </c>
      <c r="C70" s="67" t="s">
        <v>57</v>
      </c>
      <c r="D70" s="125">
        <f t="shared" ref="D70:AG70" si="37">315.84</f>
        <v>315.83999999999997</v>
      </c>
      <c r="E70" s="125">
        <f t="shared" si="37"/>
        <v>315.83999999999997</v>
      </c>
      <c r="F70" s="125">
        <f t="shared" si="37"/>
        <v>315.83999999999997</v>
      </c>
      <c r="G70" s="125">
        <f t="shared" si="37"/>
        <v>315.83999999999997</v>
      </c>
      <c r="H70" s="125">
        <f t="shared" si="37"/>
        <v>315.83999999999997</v>
      </c>
      <c r="I70" s="125">
        <f t="shared" si="37"/>
        <v>315.83999999999997</v>
      </c>
      <c r="J70" s="125">
        <f t="shared" si="37"/>
        <v>315.83999999999997</v>
      </c>
      <c r="K70" s="125">
        <f t="shared" si="37"/>
        <v>315.83999999999997</v>
      </c>
      <c r="L70" s="125">
        <f t="shared" si="37"/>
        <v>315.83999999999997</v>
      </c>
      <c r="M70" s="125">
        <f t="shared" si="37"/>
        <v>315.83999999999997</v>
      </c>
      <c r="N70" s="125">
        <f t="shared" si="37"/>
        <v>315.83999999999997</v>
      </c>
      <c r="O70" s="125">
        <f t="shared" si="37"/>
        <v>315.83999999999997</v>
      </c>
      <c r="P70" s="125">
        <f t="shared" si="37"/>
        <v>315.83999999999997</v>
      </c>
      <c r="Q70" s="125">
        <f t="shared" si="37"/>
        <v>315.83999999999997</v>
      </c>
      <c r="R70" s="125">
        <f t="shared" si="37"/>
        <v>315.83999999999997</v>
      </c>
      <c r="S70" s="125">
        <f t="shared" si="37"/>
        <v>315.83999999999997</v>
      </c>
      <c r="T70" s="125">
        <f t="shared" si="37"/>
        <v>315.83999999999997</v>
      </c>
      <c r="U70" s="125">
        <f t="shared" si="37"/>
        <v>315.83999999999997</v>
      </c>
      <c r="V70" s="125">
        <f t="shared" si="37"/>
        <v>315.83999999999997</v>
      </c>
      <c r="W70" s="125">
        <f t="shared" si="37"/>
        <v>315.83999999999997</v>
      </c>
      <c r="X70" s="125">
        <f t="shared" si="37"/>
        <v>315.83999999999997</v>
      </c>
      <c r="Y70" s="125">
        <f t="shared" si="37"/>
        <v>315.83999999999997</v>
      </c>
      <c r="Z70" s="125">
        <f t="shared" si="37"/>
        <v>315.83999999999997</v>
      </c>
      <c r="AA70" s="125">
        <f t="shared" si="37"/>
        <v>315.83999999999997</v>
      </c>
      <c r="AB70" s="125">
        <f t="shared" si="37"/>
        <v>315.83999999999997</v>
      </c>
      <c r="AC70" s="125">
        <f t="shared" si="37"/>
        <v>315.83999999999997</v>
      </c>
      <c r="AD70" s="125">
        <f t="shared" si="37"/>
        <v>315.83999999999997</v>
      </c>
      <c r="AE70" s="125">
        <f t="shared" si="37"/>
        <v>315.83999999999997</v>
      </c>
      <c r="AF70" s="125">
        <f t="shared" si="37"/>
        <v>315.83999999999997</v>
      </c>
      <c r="AG70" s="126">
        <f t="shared" si="37"/>
        <v>315.83999999999997</v>
      </c>
      <c r="AH70" s="22"/>
    </row>
    <row r="71" spans="1:34" ht="25.5" x14ac:dyDescent="0.25">
      <c r="A71" s="112"/>
      <c r="B71" s="27" t="s">
        <v>70</v>
      </c>
      <c r="C71" s="67" t="s">
        <v>57</v>
      </c>
      <c r="D71" s="125">
        <f t="shared" ref="D71:M71" si="38">4*10^-15*$B$5^2 + 0.39*$B$5 + 506.84</f>
        <v>510.74000000000035</v>
      </c>
      <c r="E71" s="125">
        <f t="shared" si="38"/>
        <v>510.74000000000035</v>
      </c>
      <c r="F71" s="125">
        <f t="shared" si="38"/>
        <v>510.74000000000035</v>
      </c>
      <c r="G71" s="125">
        <f t="shared" si="38"/>
        <v>510.74000000000035</v>
      </c>
      <c r="H71" s="125">
        <f t="shared" si="38"/>
        <v>510.74000000000035</v>
      </c>
      <c r="I71" s="125">
        <f t="shared" si="38"/>
        <v>510.74000000000035</v>
      </c>
      <c r="J71" s="125">
        <f t="shared" si="38"/>
        <v>510.74000000000035</v>
      </c>
      <c r="K71" s="125">
        <f t="shared" si="38"/>
        <v>510.74000000000035</v>
      </c>
      <c r="L71" s="125">
        <f t="shared" si="38"/>
        <v>510.74000000000035</v>
      </c>
      <c r="M71" s="125">
        <f t="shared" si="38"/>
        <v>510.74000000000035</v>
      </c>
      <c r="N71" s="125">
        <f t="shared" ref="N71:W71" si="39">0.0113*$B$5^2 - 0.34*$B$5 + 517.91</f>
        <v>515.64</v>
      </c>
      <c r="O71" s="125">
        <f t="shared" si="39"/>
        <v>515.64</v>
      </c>
      <c r="P71" s="125">
        <f t="shared" si="39"/>
        <v>515.64</v>
      </c>
      <c r="Q71" s="125">
        <f t="shared" si="39"/>
        <v>515.64</v>
      </c>
      <c r="R71" s="125">
        <f t="shared" si="39"/>
        <v>515.64</v>
      </c>
      <c r="S71" s="125">
        <f t="shared" si="39"/>
        <v>515.64</v>
      </c>
      <c r="T71" s="125">
        <f t="shared" si="39"/>
        <v>515.64</v>
      </c>
      <c r="U71" s="125">
        <f t="shared" si="39"/>
        <v>515.64</v>
      </c>
      <c r="V71" s="125">
        <f t="shared" si="39"/>
        <v>515.64</v>
      </c>
      <c r="W71" s="125">
        <f t="shared" si="39"/>
        <v>515.64</v>
      </c>
      <c r="X71" s="125">
        <f t="shared" ref="X71:AG71" si="40">0.021*$B$5^2 - 0.63*$B$5 + 512.54</f>
        <v>508.34</v>
      </c>
      <c r="Y71" s="125">
        <f t="shared" si="40"/>
        <v>508.34</v>
      </c>
      <c r="Z71" s="125">
        <f t="shared" si="40"/>
        <v>508.34</v>
      </c>
      <c r="AA71" s="125">
        <f t="shared" si="40"/>
        <v>508.34</v>
      </c>
      <c r="AB71" s="125">
        <f t="shared" si="40"/>
        <v>508.34</v>
      </c>
      <c r="AC71" s="125">
        <f t="shared" si="40"/>
        <v>508.34</v>
      </c>
      <c r="AD71" s="125">
        <f t="shared" si="40"/>
        <v>508.34</v>
      </c>
      <c r="AE71" s="125">
        <f t="shared" si="40"/>
        <v>508.34</v>
      </c>
      <c r="AF71" s="125">
        <f t="shared" si="40"/>
        <v>508.34</v>
      </c>
      <c r="AG71" s="126">
        <f t="shared" si="40"/>
        <v>508.34</v>
      </c>
      <c r="AH71" s="22"/>
    </row>
    <row r="72" spans="1:34" x14ac:dyDescent="0.25">
      <c r="A72" s="112"/>
      <c r="B72" s="27" t="s">
        <v>443</v>
      </c>
      <c r="C72" s="67" t="s">
        <v>59</v>
      </c>
      <c r="D72" s="125">
        <f>1</f>
        <v>1</v>
      </c>
      <c r="E72" s="125">
        <f>1</f>
        <v>1</v>
      </c>
      <c r="F72" s="125">
        <f>1</f>
        <v>1</v>
      </c>
      <c r="G72" s="125">
        <f>1</f>
        <v>1</v>
      </c>
      <c r="H72" s="125">
        <f>1</f>
        <v>1</v>
      </c>
      <c r="I72" s="125">
        <f>1</f>
        <v>1</v>
      </c>
      <c r="J72" s="125">
        <f>1</f>
        <v>1</v>
      </c>
      <c r="K72" s="125">
        <f>1</f>
        <v>1</v>
      </c>
      <c r="L72" s="125">
        <f>1</f>
        <v>1</v>
      </c>
      <c r="M72" s="125">
        <f>1</f>
        <v>1</v>
      </c>
      <c r="N72" s="125">
        <f>1</f>
        <v>1</v>
      </c>
      <c r="O72" s="125">
        <f>1</f>
        <v>1</v>
      </c>
      <c r="P72" s="125">
        <f>1</f>
        <v>1</v>
      </c>
      <c r="Q72" s="125">
        <f>1</f>
        <v>1</v>
      </c>
      <c r="R72" s="125">
        <f>1</f>
        <v>1</v>
      </c>
      <c r="S72" s="125">
        <f>1</f>
        <v>1</v>
      </c>
      <c r="T72" s="125">
        <f>1</f>
        <v>1</v>
      </c>
      <c r="U72" s="125">
        <f>1</f>
        <v>1</v>
      </c>
      <c r="V72" s="125">
        <f>1</f>
        <v>1</v>
      </c>
      <c r="W72" s="125">
        <f>1</f>
        <v>1</v>
      </c>
      <c r="X72" s="125">
        <f>1</f>
        <v>1</v>
      </c>
      <c r="Y72" s="125">
        <f>1</f>
        <v>1</v>
      </c>
      <c r="Z72" s="125">
        <f>1</f>
        <v>1</v>
      </c>
      <c r="AA72" s="125">
        <f>1</f>
        <v>1</v>
      </c>
      <c r="AB72" s="125">
        <f>1</f>
        <v>1</v>
      </c>
      <c r="AC72" s="125">
        <f>1</f>
        <v>1</v>
      </c>
      <c r="AD72" s="125">
        <f>1</f>
        <v>1</v>
      </c>
      <c r="AE72" s="125">
        <f>1</f>
        <v>1</v>
      </c>
      <c r="AF72" s="125">
        <f>1</f>
        <v>1</v>
      </c>
      <c r="AG72" s="126">
        <f>1</f>
        <v>1</v>
      </c>
      <c r="AH72" s="22"/>
    </row>
    <row r="73" spans="1:34" x14ac:dyDescent="0.25">
      <c r="A73" s="112"/>
      <c r="B73" s="27" t="s">
        <v>444</v>
      </c>
      <c r="C73" s="67" t="s">
        <v>59</v>
      </c>
      <c r="D73" s="125">
        <f>1</f>
        <v>1</v>
      </c>
      <c r="E73" s="125">
        <f>1</f>
        <v>1</v>
      </c>
      <c r="F73" s="125">
        <f>1</f>
        <v>1</v>
      </c>
      <c r="G73" s="125">
        <f>1</f>
        <v>1</v>
      </c>
      <c r="H73" s="125">
        <f>1</f>
        <v>1</v>
      </c>
      <c r="I73" s="125">
        <f>1</f>
        <v>1</v>
      </c>
      <c r="J73" s="125">
        <f>1</f>
        <v>1</v>
      </c>
      <c r="K73" s="125">
        <f>1</f>
        <v>1</v>
      </c>
      <c r="L73" s="125">
        <f>1</f>
        <v>1</v>
      </c>
      <c r="M73" s="125">
        <f>1</f>
        <v>1</v>
      </c>
      <c r="N73" s="125">
        <f>1</f>
        <v>1</v>
      </c>
      <c r="O73" s="125">
        <f>1</f>
        <v>1</v>
      </c>
      <c r="P73" s="125">
        <f>1</f>
        <v>1</v>
      </c>
      <c r="Q73" s="125">
        <f>1</f>
        <v>1</v>
      </c>
      <c r="R73" s="125">
        <f>1</f>
        <v>1</v>
      </c>
      <c r="S73" s="125">
        <f>1</f>
        <v>1</v>
      </c>
      <c r="T73" s="125">
        <f>1</f>
        <v>1</v>
      </c>
      <c r="U73" s="125">
        <f>1</f>
        <v>1</v>
      </c>
      <c r="V73" s="125">
        <f>1</f>
        <v>1</v>
      </c>
      <c r="W73" s="125">
        <f>1</f>
        <v>1</v>
      </c>
      <c r="X73" s="125">
        <f>1</f>
        <v>1</v>
      </c>
      <c r="Y73" s="125">
        <f>1</f>
        <v>1</v>
      </c>
      <c r="Z73" s="125">
        <f>1</f>
        <v>1</v>
      </c>
      <c r="AA73" s="125">
        <f>1</f>
        <v>1</v>
      </c>
      <c r="AB73" s="125">
        <f>1</f>
        <v>1</v>
      </c>
      <c r="AC73" s="125">
        <f>1</f>
        <v>1</v>
      </c>
      <c r="AD73" s="125">
        <f>1</f>
        <v>1</v>
      </c>
      <c r="AE73" s="125">
        <f>1</f>
        <v>1</v>
      </c>
      <c r="AF73" s="125">
        <f>1</f>
        <v>1</v>
      </c>
      <c r="AG73" s="126">
        <f>1</f>
        <v>1</v>
      </c>
      <c r="AH73" s="22"/>
    </row>
    <row r="74" spans="1:34" x14ac:dyDescent="0.25">
      <c r="A74" s="21"/>
      <c r="B74" s="120" t="s">
        <v>515</v>
      </c>
      <c r="C74" s="12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3"/>
      <c r="AH74" s="22"/>
    </row>
    <row r="75" spans="1:34" ht="25.5" x14ac:dyDescent="0.25">
      <c r="A75" s="21"/>
      <c r="B75" s="262" t="s">
        <v>294</v>
      </c>
      <c r="C75" s="67" t="s">
        <v>65</v>
      </c>
      <c r="D75" s="266">
        <f>0.0006*$B$5^2 + 0.0109*$B$5 + 0.9096</f>
        <v>1.0786</v>
      </c>
      <c r="E75" s="266">
        <f>0.0006*$B$5^2 + 0.0109*$B$5 + 0.9096</f>
        <v>1.0786</v>
      </c>
      <c r="F75" s="266">
        <f>0.0006*$B$5^2 + 0.0109*$B$5 + 0.9096</f>
        <v>1.0786</v>
      </c>
      <c r="G75" s="125">
        <f>0.0019*$B$5^2 - 0.0393*$B$5 + 4.3358</f>
        <v>4.1327999999999996</v>
      </c>
      <c r="H75" s="125">
        <f>0.0019*$B$5^2 - 0.0393*$B$5 + 4.3358</f>
        <v>4.1327999999999996</v>
      </c>
      <c r="I75" s="125">
        <f>0.0019*$B$5^2 - 0.0393*$B$5 + 4.3358</f>
        <v>4.1327999999999996</v>
      </c>
      <c r="J75" s="266">
        <f>0.0006*$B$5^2 + 0.0109*$B$5 + 0.9096</f>
        <v>1.0786</v>
      </c>
      <c r="K75" s="266">
        <f>0.0006*$B$5^2 + 0.0109*$B$5 + 0.9096</f>
        <v>1.0786</v>
      </c>
      <c r="L75" s="125">
        <f>0.0019*$B$5^2 - 0.0393*$B$5 + 4.3358</f>
        <v>4.1327999999999996</v>
      </c>
      <c r="M75" s="125">
        <f>0.0019*$B$5^2 - 0.0393*$B$5 + 4.3358</f>
        <v>4.1327999999999996</v>
      </c>
      <c r="N75" s="125">
        <f>4*10^-5*$B$5^2 + 0.0099*$B$5 + 0.3229</f>
        <v>0.42590000000000006</v>
      </c>
      <c r="O75" s="125">
        <f>4*10^-5*$B$5^2 + 0.0099*$B$5 + 0.3229</f>
        <v>0.42590000000000006</v>
      </c>
      <c r="P75" s="125">
        <f>4*10^-5*$B$5^2 + 0.0099*$B$5 + 0.3229</f>
        <v>0.42590000000000006</v>
      </c>
      <c r="Q75" s="125">
        <f>-0.0005*$B$5^2 + 0.0669*$B$5 + 2.5833</f>
        <v>3.2023000000000001</v>
      </c>
      <c r="R75" s="125">
        <f>-0.0005*$B$5^2 + 0.0669*$B$5 + 2.5833</f>
        <v>3.2023000000000001</v>
      </c>
      <c r="S75" s="125">
        <f>-0.0005*$B$5^2 + 0.0669*$B$5 + 2.5833</f>
        <v>3.2023000000000001</v>
      </c>
      <c r="T75" s="125">
        <f>4*10^-5*$B$5^2 + 0.0099*$B$5 + 0.3229</f>
        <v>0.42590000000000006</v>
      </c>
      <c r="U75" s="125">
        <f>4*10^-5*$B$5^2 + 0.0099*$B$5 + 0.3229</f>
        <v>0.42590000000000006</v>
      </c>
      <c r="V75" s="125">
        <f>-0.0005*$B$5^2 + 0.0669*$B$5 + 2.5833</f>
        <v>3.2023000000000001</v>
      </c>
      <c r="W75" s="125">
        <f>-0.0005*$B$5^2 + 0.0669*$B$5 + 2.5833</f>
        <v>3.2023000000000001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25">
        <v>0</v>
      </c>
      <c r="AD75" s="125">
        <v>0</v>
      </c>
      <c r="AE75" s="125">
        <v>0</v>
      </c>
      <c r="AF75" s="125">
        <v>0</v>
      </c>
      <c r="AG75" s="126">
        <v>0</v>
      </c>
      <c r="AH75" s="22"/>
    </row>
    <row r="76" spans="1:34" x14ac:dyDescent="0.25">
      <c r="A76" s="21"/>
      <c r="B76" s="262" t="s">
        <v>290</v>
      </c>
      <c r="C76" s="67" t="s">
        <v>63</v>
      </c>
      <c r="D76" s="266">
        <f>0.0002*$B$5^2 + 0.0044*$B$5 + 0.3638</f>
        <v>0.42780000000000001</v>
      </c>
      <c r="E76" s="266">
        <f>0.0002*$B$5^2 + 0.0044*$B$5 + 0.3638</f>
        <v>0.42780000000000001</v>
      </c>
      <c r="F76" s="266">
        <f>0.0002*$B$5^2 + 0.0044*$B$5 + 0.3638</f>
        <v>0.42780000000000001</v>
      </c>
      <c r="G76" s="125">
        <f>0.0008*$B$5^2 - 0.0157*$B$5 + 1.7343</f>
        <v>1.6573</v>
      </c>
      <c r="H76" s="125">
        <f>0.0008*$B$5^2 - 0.0157*$B$5 + 1.7343</f>
        <v>1.6573</v>
      </c>
      <c r="I76" s="125">
        <f>0.0008*$B$5^2 - 0.0157*$B$5 + 1.7343</f>
        <v>1.6573</v>
      </c>
      <c r="J76" s="266">
        <f>0.0002*$B$5^2 + 0.0044*$B$5 + 0.3638</f>
        <v>0.42780000000000001</v>
      </c>
      <c r="K76" s="266">
        <f>0.0002*$B$5^2 + 0.0044*$B$5 + 0.3638</f>
        <v>0.42780000000000001</v>
      </c>
      <c r="L76" s="125">
        <f>0.0008*$B$5^2 - 0.0157*$B$5 + 1.7343</f>
        <v>1.6573</v>
      </c>
      <c r="M76" s="125">
        <f>0.0008*$B$5^2 - 0.0157*$B$5 + 1.7343</f>
        <v>1.6573</v>
      </c>
      <c r="N76" s="125">
        <f>2*10^-5*$B$5^2 + 0.004*$B$5 + 0.1292</f>
        <v>0.17120000000000002</v>
      </c>
      <c r="O76" s="125">
        <f>2*10^-5*$B$5^2 + 0.004*$B$5 + 0.1292</f>
        <v>0.17120000000000002</v>
      </c>
      <c r="P76" s="125">
        <f>2*10^-5*$B$5^2 + 0.004*$B$5 + 0.1292</f>
        <v>0.17120000000000002</v>
      </c>
      <c r="Q76" s="125">
        <f>-0.0002*$B$5^2 + 0.0268*$B$5 + 1.0333</f>
        <v>1.2813000000000001</v>
      </c>
      <c r="R76" s="125">
        <f>-0.0002*$B$5^2 + 0.0268*$B$5 + 1.0333</f>
        <v>1.2813000000000001</v>
      </c>
      <c r="S76" s="125">
        <f>-0.0002*$B$5^2 + 0.0268*$B$5 + 1.0333</f>
        <v>1.2813000000000001</v>
      </c>
      <c r="T76" s="125">
        <f>2*10^-5*$B$5^2 + 0.004*$B$5 + 0.1292</f>
        <v>0.17120000000000002</v>
      </c>
      <c r="U76" s="125">
        <f>2*10^-5*$B$5^2 + 0.004*$B$5 + 0.1292</f>
        <v>0.17120000000000002</v>
      </c>
      <c r="V76" s="125">
        <f>-0.0002*$B$5^2 + 0.0268*$B$5 + 1.0333</f>
        <v>1.2813000000000001</v>
      </c>
      <c r="W76" s="125">
        <f>-0.0002*$B$5^2 + 0.0268*$B$5 + 1.0333</f>
        <v>1.2813000000000001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25">
        <v>0</v>
      </c>
      <c r="AD76" s="125">
        <v>0</v>
      </c>
      <c r="AE76" s="125">
        <v>0</v>
      </c>
      <c r="AF76" s="125">
        <v>0</v>
      </c>
      <c r="AG76" s="126">
        <v>0</v>
      </c>
      <c r="AH76" s="22"/>
    </row>
    <row r="77" spans="1:34" ht="25.5" x14ac:dyDescent="0.25">
      <c r="A77" s="21"/>
      <c r="B77" s="262" t="s">
        <v>295</v>
      </c>
      <c r="C77" s="67" t="s">
        <v>57</v>
      </c>
      <c r="D77" s="266">
        <f>0.0015*$B$5^2 + 0.0208*$B$5 + 4.9571</f>
        <v>5.3150999999999993</v>
      </c>
      <c r="E77" s="266">
        <f>0.0015*$B$5^2 + 0.0208*$B$5 + 4.9571</f>
        <v>5.3150999999999993</v>
      </c>
      <c r="F77" s="266">
        <f>0.0015*$B$5^2 + 0.0208*$B$5 + 4.9571</f>
        <v>5.3150999999999993</v>
      </c>
      <c r="G77" s="125">
        <f>0.0015*$B$5^2 + 0.216*$B$5 + 29.042</f>
        <v>31.352</v>
      </c>
      <c r="H77" s="125">
        <f>0.0015*$B$5^2 + 0.216*$B$5 + 29.042</f>
        <v>31.352</v>
      </c>
      <c r="I77" s="125">
        <f>0.0015*$B$5^2 + 0.216*$B$5 + 29.042</f>
        <v>31.352</v>
      </c>
      <c r="J77" s="266">
        <f>0.0015*$B$5^2 + 0.0208*$B$5 + 4.9571</f>
        <v>5.3150999999999993</v>
      </c>
      <c r="K77" s="266">
        <f>0.0015*$B$5^2 + 0.0208*$B$5 + 4.9571</f>
        <v>5.3150999999999993</v>
      </c>
      <c r="L77" s="125">
        <f>0.0015*$B$5^2 + 0.216*$B$5 + 29.042</f>
        <v>31.352</v>
      </c>
      <c r="M77" s="125">
        <f>0.0015*$B$5^2 + 0.216*$B$5 + 29.042</f>
        <v>31.352</v>
      </c>
      <c r="N77" s="125">
        <f>-4*10^-5*$B$5^2 + 0.0273*$B$5 + 1.8373</f>
        <v>2.1063000000000001</v>
      </c>
      <c r="O77" s="125">
        <f>-4*10^-5*$B$5^2 + 0.0273*$B$5 + 1.8373</f>
        <v>2.1063000000000001</v>
      </c>
      <c r="P77" s="125">
        <f>-4*10^-5*$B$5^2 + 0.0273*$B$5 + 1.8373</f>
        <v>2.1063000000000001</v>
      </c>
      <c r="Q77" s="125">
        <f>-0.0075*$B$5^2 + 0.7416*$B$5 + 28.57</f>
        <v>35.236000000000004</v>
      </c>
      <c r="R77" s="125">
        <f>-0.0075*$B$5^2 + 0.7416*$B$5 + 28.57</f>
        <v>35.236000000000004</v>
      </c>
      <c r="S77" s="125">
        <f>-0.0075*$B$5^2 + 0.7416*$B$5 + 28.57</f>
        <v>35.236000000000004</v>
      </c>
      <c r="T77" s="125">
        <f>-4*10^-5*$B$5^2 + 0.0273*$B$5 + 1.8373</f>
        <v>2.1063000000000001</v>
      </c>
      <c r="U77" s="125">
        <f>-4*10^-5*$B$5^2 + 0.0273*$B$5 + 1.8373</f>
        <v>2.1063000000000001</v>
      </c>
      <c r="V77" s="125">
        <f>-0.0075*$B$5^2 + 0.7416*$B$5 + 28.57</f>
        <v>35.236000000000004</v>
      </c>
      <c r="W77" s="125">
        <f>-0.0075*$B$5^2 + 0.7416*$B$5 + 28.57</f>
        <v>35.236000000000004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25">
        <v>0</v>
      </c>
      <c r="AD77" s="125">
        <v>0</v>
      </c>
      <c r="AE77" s="125">
        <v>0</v>
      </c>
      <c r="AF77" s="125">
        <v>0</v>
      </c>
      <c r="AG77" s="126">
        <v>0</v>
      </c>
      <c r="AH77" s="22"/>
    </row>
    <row r="78" spans="1:34" x14ac:dyDescent="0.25">
      <c r="A78" s="21"/>
      <c r="B78" s="27" t="s">
        <v>305</v>
      </c>
      <c r="C78" s="67" t="s">
        <v>63</v>
      </c>
      <c r="D78" s="266">
        <f>0.0049*$B$5^2 + 0.7013*$B$5 + 24.897</f>
        <v>32.4</v>
      </c>
      <c r="E78" s="266">
        <f>0.0049*$B$5^2 + 0.7013*$B$5 + 24.897</f>
        <v>32.4</v>
      </c>
      <c r="F78" s="266">
        <f>0.0049*$B$5^2 + 0.7013*$B$5 + 24.897</f>
        <v>32.4</v>
      </c>
      <c r="G78" s="125">
        <f>IF($B$5 &gt; 15,0.3452*$B$5 + 20.466,0)</f>
        <v>0</v>
      </c>
      <c r="H78" s="125">
        <f>IF($B$5 &gt; 15,0.3452*$B$5 + 20.466,0)</f>
        <v>0</v>
      </c>
      <c r="I78" s="125">
        <f>IF($B$5 &gt; 15,0.3452*$B$5 + 20.466,0)</f>
        <v>0</v>
      </c>
      <c r="J78" s="266">
        <f>0.0049*$B$5^2 + 0.7013*$B$5 + 24.897</f>
        <v>32.4</v>
      </c>
      <c r="K78" s="266">
        <f>0.0049*$B$5^2 + 0.7013*$B$5 + 24.897</f>
        <v>32.4</v>
      </c>
      <c r="L78" s="125">
        <f>IF($B$5 &gt; 15,0.3452*$B$5 + 20.466,0)</f>
        <v>0</v>
      </c>
      <c r="M78" s="125">
        <f>IF($B$5 &gt; 15,0.3452*$B$5 + 20.466,0)</f>
        <v>0</v>
      </c>
      <c r="N78" s="125">
        <f>-0.0125*$B$5^2 + 1.2249*$B$5 + 21.407</f>
        <v>32.405999999999999</v>
      </c>
      <c r="O78" s="125">
        <f>-0.0125*$B$5^2 + 1.2249*$B$5 + 21.407</f>
        <v>32.405999999999999</v>
      </c>
      <c r="P78" s="125">
        <f>-0.0125*$B$5^2 + 1.2249*$B$5 + 21.407</f>
        <v>32.405999999999999</v>
      </c>
      <c r="Q78" s="125">
        <f>IF($B$5 &gt; 15,0.3452*$B$5 + 20.466,0)</f>
        <v>0</v>
      </c>
      <c r="R78" s="125">
        <f>IF($B$5 &gt; 15,0.3452*$B$5 + 20.466,0)</f>
        <v>0</v>
      </c>
      <c r="S78" s="125">
        <f>IF($B$5 &gt; 15,0.3452*$B$5 + 20.466,0)</f>
        <v>0</v>
      </c>
      <c r="T78" s="125">
        <f>-0.0125*$B$5^2 + 1.2249*$B$5 + 21.407</f>
        <v>32.405999999999999</v>
      </c>
      <c r="U78" s="125">
        <f>-0.0125*$B$5^2 + 1.2249*$B$5 + 21.407</f>
        <v>32.405999999999999</v>
      </c>
      <c r="V78" s="125">
        <f>IF($B$5 &gt; 15,0.3452*$B$5 + 20.466,0)</f>
        <v>0</v>
      </c>
      <c r="W78" s="125">
        <f>IF($B$5 &gt; 15,0.3452*$B$5 + 20.466,0)</f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25">
        <v>0</v>
      </c>
      <c r="AD78" s="125">
        <v>0</v>
      </c>
      <c r="AE78" s="125">
        <v>0</v>
      </c>
      <c r="AF78" s="125">
        <v>0</v>
      </c>
      <c r="AG78" s="126">
        <v>0</v>
      </c>
      <c r="AH78" s="22"/>
    </row>
    <row r="79" spans="1:34" x14ac:dyDescent="0.25">
      <c r="A79" s="21"/>
      <c r="B79" s="27" t="s">
        <v>465</v>
      </c>
      <c r="C79" s="67" t="s">
        <v>63</v>
      </c>
      <c r="D79" s="266">
        <f>-0.6997*$B$5^2 + 48.391*$B$5 - 59.381</f>
        <v>354.55899999999997</v>
      </c>
      <c r="E79" s="266">
        <f>-0.6997*$B$5^2 + 48.391*$B$5 - 59.381</f>
        <v>354.55899999999997</v>
      </c>
      <c r="F79" s="266">
        <f>-0.6997*$B$5^2 + 48.391*$B$5 - 59.381</f>
        <v>354.55899999999997</v>
      </c>
      <c r="G79" s="125">
        <f>IF($B$5 &gt; 15,2.9293*$B$5 + 185.66,0)</f>
        <v>0</v>
      </c>
      <c r="H79" s="125">
        <f>IF($B$5 &gt; 15,2.9293*$B$5 + 185.66,0)</f>
        <v>0</v>
      </c>
      <c r="I79" s="125">
        <f>IF($B$5 &gt; 15,2.9293*$B$5 + 185.66,0)</f>
        <v>0</v>
      </c>
      <c r="J79" s="266">
        <f>-0.6997*$B$5^2 + 48.391*$B$5 - 59.381</f>
        <v>354.55899999999997</v>
      </c>
      <c r="K79" s="266">
        <f>-0.6997*$B$5^2 + 48.391*$B$5 - 59.381</f>
        <v>354.55899999999997</v>
      </c>
      <c r="L79" s="125">
        <f>IF($B$5 &gt; 15,2.9293*$B$5 + 185.66,0)</f>
        <v>0</v>
      </c>
      <c r="M79" s="125">
        <f>IF($B$5 &gt; 15,2.9293*$B$5 + 185.66,0)</f>
        <v>0</v>
      </c>
      <c r="N79" s="125">
        <f>-1.0985*$B$5^2 + 75.284*$B$5 - 152.34</f>
        <v>490.65</v>
      </c>
      <c r="O79" s="125">
        <f>-1.0985*$B$5^2 + 75.284*$B$5 - 152.34</f>
        <v>490.65</v>
      </c>
      <c r="P79" s="125">
        <f>-1.0985*$B$5^2 + 75.284*$B$5 - 152.34</f>
        <v>490.65</v>
      </c>
      <c r="Q79" s="125">
        <f>IF($B$5 &gt; 15,4.4201*$B$5 + 277.21,0)</f>
        <v>0</v>
      </c>
      <c r="R79" s="125">
        <f>IF($B$5 &gt; 15,4.4201*$B$5 + 277.21,0)</f>
        <v>0</v>
      </c>
      <c r="S79" s="125">
        <f>IF($B$5 &gt; 15,4.4201*$B$5 + 277.21,0)</f>
        <v>0</v>
      </c>
      <c r="T79" s="125">
        <f>-1.0985*$B$5^2 + 75.284*$B$5 - 152.34</f>
        <v>490.65</v>
      </c>
      <c r="U79" s="125">
        <f>-1.0985*$B$5^2 + 75.284*$B$5 - 152.34</f>
        <v>490.65</v>
      </c>
      <c r="V79" s="125">
        <f>IF($B$5 &gt; 15,4.4201*$B$5 + 277.21,0)</f>
        <v>0</v>
      </c>
      <c r="W79" s="125">
        <f>IF($B$5 &gt; 15,4.4201*$B$5 + 277.21,0)</f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25">
        <v>0</v>
      </c>
      <c r="AD79" s="125">
        <v>0</v>
      </c>
      <c r="AE79" s="125">
        <v>0</v>
      </c>
      <c r="AF79" s="125">
        <v>0</v>
      </c>
      <c r="AG79" s="126">
        <v>0</v>
      </c>
      <c r="AH79" s="22"/>
    </row>
    <row r="80" spans="1:34" x14ac:dyDescent="0.25">
      <c r="A80" s="21"/>
      <c r="B80" s="27" t="s">
        <v>522</v>
      </c>
      <c r="C80" s="67" t="s">
        <v>63</v>
      </c>
      <c r="D80" s="266">
        <f>-0.2779*$B$5^2 + 19.637*$B$5 - 13.794</f>
        <v>154.786</v>
      </c>
      <c r="E80" s="266">
        <f>-0.2779*$B$5^2 + 19.637*$B$5 - 13.794</f>
        <v>154.786</v>
      </c>
      <c r="F80" s="266">
        <f>-0.2779*$B$5^2 + 19.637*$B$5 - 13.794</f>
        <v>154.786</v>
      </c>
      <c r="G80" s="125">
        <f>IF($B$5 &gt; 15,1.3098*$B$5 + 82.449,0)</f>
        <v>0</v>
      </c>
      <c r="H80" s="125">
        <f>IF($B$5 &gt; 15,1.3098*$B$5 + 82.449,0)</f>
        <v>0</v>
      </c>
      <c r="I80" s="125">
        <f>IF($B$5 &gt; 15,1.3098*$B$5 + 82.449,0)</f>
        <v>0</v>
      </c>
      <c r="J80" s="266">
        <f>-0.2779*$B$5^2 + 19.637*$B$5 - 13.794</f>
        <v>154.786</v>
      </c>
      <c r="K80" s="266">
        <f>-0.2779*$B$5^2 + 19.637*$B$5 - 13.794</f>
        <v>154.786</v>
      </c>
      <c r="L80" s="125">
        <f>IF($B$5 &gt; 15,1.3098*$B$5 + 82.449,0)</f>
        <v>0</v>
      </c>
      <c r="M80" s="125">
        <f>IF($B$5 &gt; 15,1.3098*$B$5 + 82.449,0)</f>
        <v>0</v>
      </c>
      <c r="N80" s="125">
        <f>-0.4444*$B$5^2 + 30.604*$B$5 - 52.374</f>
        <v>209.22599999999997</v>
      </c>
      <c r="O80" s="125">
        <f>-0.4444*$B$5^2 + 30.604*$B$5 - 52.374</f>
        <v>209.22599999999997</v>
      </c>
      <c r="P80" s="125">
        <f>-0.4444*$B$5^2 + 30.604*$B$5 - 52.374</f>
        <v>209.22599999999997</v>
      </c>
      <c r="Q80" s="125">
        <f>IF($B$5 &gt; 15,1.9061*$B$5 + 119.07,0)</f>
        <v>0</v>
      </c>
      <c r="R80" s="125">
        <f>IF($B$5 &gt; 15,1.9061*$B$5 + 119.07,0)</f>
        <v>0</v>
      </c>
      <c r="S80" s="125">
        <f>IF($B$5 &gt; 15,1.9061*$B$5 + 119.07,0)</f>
        <v>0</v>
      </c>
      <c r="T80" s="125">
        <f>-0.4444*$B$5^2 + 30.604*$B$5 - 52.374</f>
        <v>209.22599999999997</v>
      </c>
      <c r="U80" s="125">
        <f>-0.4444*$B$5^2 + 30.604*$B$5 - 52.374</f>
        <v>209.22599999999997</v>
      </c>
      <c r="V80" s="125">
        <f>IF($B$5 &gt; 15,1.9061*$B$5 + 119.07,0)</f>
        <v>0</v>
      </c>
      <c r="W80" s="125">
        <f>IF($B$5 &gt; 15,1.9061*$B$5 + 119.07,0)</f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25">
        <v>0</v>
      </c>
      <c r="AD80" s="125">
        <v>0</v>
      </c>
      <c r="AE80" s="125">
        <v>0</v>
      </c>
      <c r="AF80" s="125">
        <v>0</v>
      </c>
      <c r="AG80" s="126">
        <v>0</v>
      </c>
      <c r="AH80" s="22"/>
    </row>
    <row r="81" spans="1:34" ht="25.5" x14ac:dyDescent="0.25">
      <c r="A81" s="21"/>
      <c r="B81" s="27" t="s">
        <v>516</v>
      </c>
      <c r="C81" s="67" t="s">
        <v>57</v>
      </c>
      <c r="D81" s="266">
        <f t="shared" ref="D81:F82" si="41">-0.0366*$B$5^2 + 2.5753*$B$5 - 2.1171</f>
        <v>19.975899999999999</v>
      </c>
      <c r="E81" s="266">
        <f t="shared" si="41"/>
        <v>19.975899999999999</v>
      </c>
      <c r="F81" s="266">
        <f t="shared" si="41"/>
        <v>19.975899999999999</v>
      </c>
      <c r="G81" s="125">
        <f t="shared" ref="G81:I82" si="42">IF($B$5 &gt; 15,0.1682*$B$5 + 10.6,0)</f>
        <v>0</v>
      </c>
      <c r="H81" s="125">
        <f t="shared" si="42"/>
        <v>0</v>
      </c>
      <c r="I81" s="125">
        <f t="shared" si="42"/>
        <v>0</v>
      </c>
      <c r="J81" s="266">
        <f>-0.0366*$B$5^2 + 2.5753*$B$5 - 2.1171</f>
        <v>19.975899999999999</v>
      </c>
      <c r="K81" s="266">
        <f>-0.0366*$B$5^2 + 2.5753*$B$5 - 2.1171</f>
        <v>19.975899999999999</v>
      </c>
      <c r="L81" s="125">
        <f>IF($B$5 &gt; 15,0.1682*$B$5 + 10.6,0)</f>
        <v>0</v>
      </c>
      <c r="M81" s="125">
        <f>IF($B$5 &gt; 15,0.1682*$B$5 + 10.6,0)</f>
        <v>0</v>
      </c>
      <c r="N81" s="125">
        <f t="shared" ref="N81:P82" si="43">-0.0583*$B$5^2 + 4.0119*$B$5 - 7.1511</f>
        <v>27.137900000000002</v>
      </c>
      <c r="O81" s="125">
        <f t="shared" si="43"/>
        <v>27.137900000000002</v>
      </c>
      <c r="P81" s="125">
        <f t="shared" si="43"/>
        <v>27.137900000000002</v>
      </c>
      <c r="Q81" s="125">
        <f t="shared" ref="Q81:S82" si="44">IF($B$5 &gt; 15,0.2466*$B$5 + 15.419,0)</f>
        <v>0</v>
      </c>
      <c r="R81" s="125">
        <f t="shared" si="44"/>
        <v>0</v>
      </c>
      <c r="S81" s="125">
        <f t="shared" si="44"/>
        <v>0</v>
      </c>
      <c r="T81" s="125">
        <f>-0.0583*$B$5^2 + 4.0119*$B$5 - 7.1511</f>
        <v>27.137900000000002</v>
      </c>
      <c r="U81" s="125">
        <f>-0.0583*$B$5^2 + 4.0119*$B$5 - 7.1511</f>
        <v>27.137900000000002</v>
      </c>
      <c r="V81" s="125">
        <f>IF($B$5 &gt; 15,0.2466*$B$5 + 15.419,0)</f>
        <v>0</v>
      </c>
      <c r="W81" s="125">
        <f>IF($B$5 &gt; 15,0.2466*$B$5 + 15.419,0)</f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25">
        <v>0</v>
      </c>
      <c r="AD81" s="125">
        <v>0</v>
      </c>
      <c r="AE81" s="125">
        <v>0</v>
      </c>
      <c r="AF81" s="125">
        <v>0</v>
      </c>
      <c r="AG81" s="126">
        <v>0</v>
      </c>
      <c r="AH81" s="22"/>
    </row>
    <row r="82" spans="1:34" ht="25.5" x14ac:dyDescent="0.25">
      <c r="A82" s="21"/>
      <c r="B82" s="27" t="s">
        <v>517</v>
      </c>
      <c r="C82" s="67" t="s">
        <v>57</v>
      </c>
      <c r="D82" s="266">
        <f t="shared" si="41"/>
        <v>19.975899999999999</v>
      </c>
      <c r="E82" s="266">
        <f t="shared" si="41"/>
        <v>19.975899999999999</v>
      </c>
      <c r="F82" s="266">
        <f t="shared" si="41"/>
        <v>19.975899999999999</v>
      </c>
      <c r="G82" s="125">
        <f t="shared" si="42"/>
        <v>0</v>
      </c>
      <c r="H82" s="125">
        <f t="shared" si="42"/>
        <v>0</v>
      </c>
      <c r="I82" s="125">
        <f t="shared" si="42"/>
        <v>0</v>
      </c>
      <c r="J82" s="266">
        <f>-0.0366*$B$5^2 + 2.5753*$B$5 - 2.1171</f>
        <v>19.975899999999999</v>
      </c>
      <c r="K82" s="266">
        <f>-0.0366*$B$5^2 + 2.5753*$B$5 - 2.1171</f>
        <v>19.975899999999999</v>
      </c>
      <c r="L82" s="125">
        <f>IF($B$5 &gt; 15,0.1682*$B$5 + 10.6,0)</f>
        <v>0</v>
      </c>
      <c r="M82" s="125">
        <f>IF($B$5 &gt; 15,0.1682*$B$5 + 10.6,0)</f>
        <v>0</v>
      </c>
      <c r="N82" s="125">
        <f t="shared" si="43"/>
        <v>27.137900000000002</v>
      </c>
      <c r="O82" s="125">
        <f t="shared" si="43"/>
        <v>27.137900000000002</v>
      </c>
      <c r="P82" s="125">
        <f t="shared" si="43"/>
        <v>27.137900000000002</v>
      </c>
      <c r="Q82" s="125">
        <f t="shared" si="44"/>
        <v>0</v>
      </c>
      <c r="R82" s="125">
        <f t="shared" si="44"/>
        <v>0</v>
      </c>
      <c r="S82" s="125">
        <f t="shared" si="44"/>
        <v>0</v>
      </c>
      <c r="T82" s="125">
        <f>-0.0583*$B$5^2 + 4.0119*$B$5 - 7.1511</f>
        <v>27.137900000000002</v>
      </c>
      <c r="U82" s="125">
        <f>-0.0583*$B$5^2 + 4.0119*$B$5 - 7.1511</f>
        <v>27.137900000000002</v>
      </c>
      <c r="V82" s="125">
        <f>IF($B$5 &gt; 15,0.2466*$B$5 + 15.419,0)</f>
        <v>0</v>
      </c>
      <c r="W82" s="125">
        <f>IF($B$5 &gt; 15,0.2466*$B$5 + 15.419,0)</f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25">
        <v>0</v>
      </c>
      <c r="AD82" s="125">
        <v>0</v>
      </c>
      <c r="AE82" s="125">
        <v>0</v>
      </c>
      <c r="AF82" s="125">
        <v>0</v>
      </c>
      <c r="AG82" s="126">
        <v>0</v>
      </c>
      <c r="AH82" s="22"/>
    </row>
    <row r="83" spans="1:34" x14ac:dyDescent="0.25">
      <c r="A83" s="21"/>
      <c r="B83" s="120" t="s">
        <v>518</v>
      </c>
      <c r="C83" s="121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3"/>
      <c r="AH83" s="22"/>
    </row>
    <row r="84" spans="1:34" ht="25.5" x14ac:dyDescent="0.25">
      <c r="A84" s="21"/>
      <c r="B84" s="262" t="s">
        <v>294</v>
      </c>
      <c r="C84" s="67" t="s">
        <v>65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v>0</v>
      </c>
      <c r="M84" s="125">
        <v>0</v>
      </c>
      <c r="N84" s="125">
        <f>-0.0045*$B$5^2 + 0.8923*$B$5 - 0.9073</f>
        <v>7.5657000000000005</v>
      </c>
      <c r="O84" s="125">
        <f>-0.0045*$B$5^2 + 0.8923*$B$5 - 0.9073</f>
        <v>7.5657000000000005</v>
      </c>
      <c r="P84" s="125">
        <f>-0.0045*$B$5^2 + 0.8923*$B$5 - 0.9073</f>
        <v>7.5657000000000005</v>
      </c>
      <c r="Q84" s="125">
        <f>-0.0307*$B$5^2 + 3.0807*$B$5 - 5.969</f>
        <v>21.768000000000001</v>
      </c>
      <c r="R84" s="125">
        <f>-0.0307*$B$5^2 + 3.0807*$B$5 - 5.969</f>
        <v>21.768000000000001</v>
      </c>
      <c r="S84" s="125">
        <f>-0.0307*$B$5^2 + 3.0807*$B$5 - 5.969</f>
        <v>21.768000000000001</v>
      </c>
      <c r="T84" s="125">
        <f>-0.0045*$B$5^2 + 0.8923*$B$5 - 0.9073</f>
        <v>7.5657000000000005</v>
      </c>
      <c r="U84" s="125">
        <f>-0.0045*$B$5^2 + 0.8923*$B$5 - 0.9073</f>
        <v>7.5657000000000005</v>
      </c>
      <c r="V84" s="125">
        <f>-0.0307*$B$5^2 + 3.0807*$B$5 - 5.969</f>
        <v>21.768000000000001</v>
      </c>
      <c r="W84" s="125">
        <f>-0.0307*$B$5^2 + 3.0807*$B$5 - 5.969</f>
        <v>21.768000000000001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25">
        <v>0</v>
      </c>
      <c r="AD84" s="125">
        <v>0</v>
      </c>
      <c r="AE84" s="125">
        <v>0</v>
      </c>
      <c r="AF84" s="125">
        <v>0</v>
      </c>
      <c r="AG84" s="126">
        <v>0</v>
      </c>
      <c r="AH84" s="22"/>
    </row>
    <row r="85" spans="1:34" x14ac:dyDescent="0.25">
      <c r="A85" s="21"/>
      <c r="B85" s="262" t="s">
        <v>290</v>
      </c>
      <c r="C85" s="67" t="s">
        <v>63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f>-0.0018*$B$5^2 + 0.3569*$B$5 - 0.3629</f>
        <v>3.0260999999999996</v>
      </c>
      <c r="O85" s="125">
        <f>-0.0018*$B$5^2 + 0.3569*$B$5 - 0.3629</f>
        <v>3.0260999999999996</v>
      </c>
      <c r="P85" s="125">
        <f>-0.0018*$B$5^2 + 0.3569*$B$5 - 0.3629</f>
        <v>3.0260999999999996</v>
      </c>
      <c r="Q85" s="125">
        <f>-0.0123*$B$5^2 + 1.2323*$B$5 - 2.3876</f>
        <v>8.7054000000000009</v>
      </c>
      <c r="R85" s="125">
        <f>-0.0123*$B$5^2 + 1.2323*$B$5 - 2.3876</f>
        <v>8.7054000000000009</v>
      </c>
      <c r="S85" s="125">
        <f>-0.0123*$B$5^2 + 1.2323*$B$5 - 2.3876</f>
        <v>8.7054000000000009</v>
      </c>
      <c r="T85" s="125">
        <f>-0.0018*$B$5^2 + 0.3569*$B$5 - 0.3629</f>
        <v>3.0260999999999996</v>
      </c>
      <c r="U85" s="125">
        <f>-0.0018*$B$5^2 + 0.3569*$B$5 - 0.3629</f>
        <v>3.0260999999999996</v>
      </c>
      <c r="V85" s="125">
        <f>-0.0123*$B$5^2 + 1.2323*$B$5 - 2.3876</f>
        <v>8.7054000000000009</v>
      </c>
      <c r="W85" s="125">
        <f>-0.0123*$B$5^2 + 1.2323*$B$5 - 2.3876</f>
        <v>8.7054000000000009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25">
        <v>0</v>
      </c>
      <c r="AD85" s="125">
        <v>0</v>
      </c>
      <c r="AE85" s="125">
        <v>0</v>
      </c>
      <c r="AF85" s="125">
        <v>0</v>
      </c>
      <c r="AG85" s="126">
        <v>0</v>
      </c>
      <c r="AH85" s="22"/>
    </row>
    <row r="86" spans="1:34" ht="25.5" x14ac:dyDescent="0.25">
      <c r="A86" s="21"/>
      <c r="B86" s="262" t="s">
        <v>295</v>
      </c>
      <c r="C86" s="67" t="s">
        <v>57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5">
        <f>-0.0239*$B$5^2 + 1.816*$B$5 - 4.7733</f>
        <v>10.996700000000001</v>
      </c>
      <c r="O86" s="125">
        <f>-0.0239*$B$5^2 + 1.816*$B$5 - 4.7733</f>
        <v>10.996700000000001</v>
      </c>
      <c r="P86" s="125">
        <f>-0.0239*$B$5^2 + 1.816*$B$5 - 4.7733</f>
        <v>10.996700000000001</v>
      </c>
      <c r="Q86" s="125">
        <f>-0.191*$B$5^2 + 16.158*$B$5 - 34.348</f>
        <v>108.13200000000002</v>
      </c>
      <c r="R86" s="125">
        <f>-0.191*$B$5^2 + 16.158*$B$5 - 34.348</f>
        <v>108.13200000000002</v>
      </c>
      <c r="S86" s="125">
        <f>-0.191*$B$5^2 + 16.158*$B$5 - 34.348</f>
        <v>108.13200000000002</v>
      </c>
      <c r="T86" s="125">
        <f>-0.0239*$B$5^2 + 1.816*$B$5 - 4.7733</f>
        <v>10.996700000000001</v>
      </c>
      <c r="U86" s="125">
        <f>-0.0239*$B$5^2 + 1.816*$B$5 - 4.7733</f>
        <v>10.996700000000001</v>
      </c>
      <c r="V86" s="125">
        <f>-0.191*$B$5^2 + 16.158*$B$5 - 34.348</f>
        <v>108.13200000000002</v>
      </c>
      <c r="W86" s="125">
        <f>-0.191*$B$5^2 + 16.158*$B$5 - 34.348</f>
        <v>108.13200000000002</v>
      </c>
      <c r="X86" s="125">
        <v>0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  <c r="AD86" s="125">
        <v>0</v>
      </c>
      <c r="AE86" s="125">
        <v>0</v>
      </c>
      <c r="AF86" s="125">
        <v>0</v>
      </c>
      <c r="AG86" s="126">
        <v>0</v>
      </c>
      <c r="AH86" s="22"/>
    </row>
    <row r="87" spans="1:34" x14ac:dyDescent="0.25">
      <c r="A87" s="21"/>
      <c r="B87" s="27" t="s">
        <v>305</v>
      </c>
      <c r="C87" s="67" t="s">
        <v>63</v>
      </c>
      <c r="D87" s="125">
        <v>0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f>-0.1771*$B$5^2 + 55.761*$B$5 - 35.424</f>
        <v>504.476</v>
      </c>
      <c r="O87" s="125">
        <f>-0.1771*$B$5^2 + 55.761*$B$5 - 35.424</f>
        <v>504.476</v>
      </c>
      <c r="P87" s="125">
        <f>-0.1771*$B$5^2 + 55.761*$B$5 - 35.424</f>
        <v>504.476</v>
      </c>
      <c r="Q87" s="125">
        <f>-0.0886*$B$5^2 + 27.881*$B$5 - 17.712</f>
        <v>252.238</v>
      </c>
      <c r="R87" s="125">
        <f>-0.0886*$B$5^2 + 27.881*$B$5 - 17.712</f>
        <v>252.238</v>
      </c>
      <c r="S87" s="125">
        <f>-0.0886*$B$5^2 + 27.881*$B$5 - 17.712</f>
        <v>252.238</v>
      </c>
      <c r="T87" s="125">
        <f>-0.1771*$B$5^2 + 55.761*$B$5 - 35.424</f>
        <v>504.476</v>
      </c>
      <c r="U87" s="125">
        <f>-0.1771*$B$5^2 + 55.761*$B$5 - 35.424</f>
        <v>504.476</v>
      </c>
      <c r="V87" s="125">
        <f>-0.0886*$B$5^2 + 27.881*$B$5 - 17.712</f>
        <v>252.238</v>
      </c>
      <c r="W87" s="125">
        <f>-0.0886*$B$5^2 + 27.881*$B$5 - 17.712</f>
        <v>252.238</v>
      </c>
      <c r="X87" s="125">
        <v>0</v>
      </c>
      <c r="Y87" s="125">
        <v>0</v>
      </c>
      <c r="Z87" s="125">
        <v>0</v>
      </c>
      <c r="AA87" s="125">
        <v>0</v>
      </c>
      <c r="AB87" s="125">
        <v>0</v>
      </c>
      <c r="AC87" s="125">
        <v>0</v>
      </c>
      <c r="AD87" s="125">
        <v>0</v>
      </c>
      <c r="AE87" s="125">
        <v>0</v>
      </c>
      <c r="AF87" s="125">
        <v>0</v>
      </c>
      <c r="AG87" s="126">
        <v>0</v>
      </c>
      <c r="AH87" s="22"/>
    </row>
    <row r="88" spans="1:34" x14ac:dyDescent="0.25">
      <c r="A88" s="21"/>
      <c r="B88" s="27" t="s">
        <v>465</v>
      </c>
      <c r="C88" s="67" t="s">
        <v>63</v>
      </c>
      <c r="D88" s="125">
        <v>0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f>-2.7075*$B$5^2 + 277.36*$B$5 - 482.21</f>
        <v>2020.6400000000003</v>
      </c>
      <c r="O88" s="125">
        <f>-2.7075*$B$5^2 + 277.36*$B$5 - 482.21</f>
        <v>2020.6400000000003</v>
      </c>
      <c r="P88" s="125">
        <f>-2.7075*$B$5^2 + 277.36*$B$5 - 482.21</f>
        <v>2020.6400000000003</v>
      </c>
      <c r="Q88" s="125">
        <f>-0.2771*$B$5^2 + 41.587*$B$5 - 55.429</f>
        <v>332.73099999999999</v>
      </c>
      <c r="R88" s="125">
        <f>-0.2771*$B$5^2 + 41.587*$B$5 - 55.429</f>
        <v>332.73099999999999</v>
      </c>
      <c r="S88" s="125">
        <f>-0.2771*$B$5^2 + 41.587*$B$5 - 55.429</f>
        <v>332.73099999999999</v>
      </c>
      <c r="T88" s="125">
        <f>-2.7075*$B$5^2 + 277.36*$B$5 - 482.21</f>
        <v>2020.6400000000003</v>
      </c>
      <c r="U88" s="125">
        <f>-2.7075*$B$5^2 + 277.36*$B$5 - 482.21</f>
        <v>2020.6400000000003</v>
      </c>
      <c r="V88" s="125">
        <f>-0.2771*$B$5^2 + 41.587*$B$5 - 55.429</f>
        <v>332.73099999999999</v>
      </c>
      <c r="W88" s="125">
        <f>-0.2771*$B$5^2 + 41.587*$B$5 - 55.429</f>
        <v>332.73099999999999</v>
      </c>
      <c r="X88" s="125">
        <v>0</v>
      </c>
      <c r="Y88" s="125">
        <v>0</v>
      </c>
      <c r="Z88" s="125">
        <v>0</v>
      </c>
      <c r="AA88" s="125">
        <v>0</v>
      </c>
      <c r="AB88" s="125">
        <v>0</v>
      </c>
      <c r="AC88" s="125">
        <v>0</v>
      </c>
      <c r="AD88" s="125">
        <v>0</v>
      </c>
      <c r="AE88" s="125">
        <v>0</v>
      </c>
      <c r="AF88" s="125">
        <v>0</v>
      </c>
      <c r="AG88" s="126">
        <v>0</v>
      </c>
      <c r="AH88" s="22"/>
    </row>
    <row r="89" spans="1:34" x14ac:dyDescent="0.25">
      <c r="A89" s="21"/>
      <c r="B89" s="27" t="s">
        <v>522</v>
      </c>
      <c r="C89" s="67" t="s">
        <v>63</v>
      </c>
      <c r="D89" s="125">
        <v>0</v>
      </c>
      <c r="E89" s="125">
        <v>0</v>
      </c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f>-1.1538*$B$5^2 + 133.25*$B$5 - 207.05</f>
        <v>1010.0699999999999</v>
      </c>
      <c r="O89" s="125">
        <f>-1.1538*$B$5^2 + 133.25*$B$5 - 207.05</f>
        <v>1010.0699999999999</v>
      </c>
      <c r="P89" s="125">
        <f>-1.1538*$B$5^2 + 133.25*$B$5 - 207.05</f>
        <v>1010.0699999999999</v>
      </c>
      <c r="Q89" s="125">
        <f>-0.1463*$B$5^2 + 27.787*$B$5 - 29.256</f>
        <v>233.98400000000001</v>
      </c>
      <c r="R89" s="125">
        <f>-0.1463*$B$5^2 + 27.787*$B$5 - 29.256</f>
        <v>233.98400000000001</v>
      </c>
      <c r="S89" s="125">
        <f>-0.1463*$B$5^2 + 27.787*$B$5 - 29.256</f>
        <v>233.98400000000001</v>
      </c>
      <c r="T89" s="125">
        <f>-1.1538*$B$5^2 + 133.25*$B$5 - 207.05</f>
        <v>1010.0699999999999</v>
      </c>
      <c r="U89" s="125">
        <f>-1.1538*$B$5^2 + 133.25*$B$5 - 207.05</f>
        <v>1010.0699999999999</v>
      </c>
      <c r="V89" s="125">
        <f>-0.1463*$B$5^2 + 27.787*$B$5 - 29.256</f>
        <v>233.98400000000001</v>
      </c>
      <c r="W89" s="125">
        <f>-0.1463*$B$5^2 + 27.787*$B$5 - 29.256</f>
        <v>233.98400000000001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25">
        <v>0</v>
      </c>
      <c r="AD89" s="125">
        <v>0</v>
      </c>
      <c r="AE89" s="125">
        <v>0</v>
      </c>
      <c r="AF89" s="125">
        <v>0</v>
      </c>
      <c r="AG89" s="126">
        <v>0</v>
      </c>
      <c r="AH89" s="22"/>
    </row>
    <row r="90" spans="1:34" ht="25.5" x14ac:dyDescent="0.25">
      <c r="A90" s="21"/>
      <c r="B90" s="27" t="s">
        <v>516</v>
      </c>
      <c r="C90" s="67" t="s">
        <v>57</v>
      </c>
      <c r="D90" s="125">
        <v>0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f t="shared" ref="N90:P91" si="45">-0.1497*$B$5^2 + 16.856*$B$5 - 26.814</f>
        <v>126.77600000000001</v>
      </c>
      <c r="O90" s="125">
        <f t="shared" si="45"/>
        <v>126.77600000000001</v>
      </c>
      <c r="P90" s="125">
        <f t="shared" si="45"/>
        <v>126.77600000000001</v>
      </c>
      <c r="Q90" s="125">
        <f t="shared" ref="Q90:S91" si="46">-0.0182*$B$5^2 + 3.3178*$B$5 - 3.6346</f>
        <v>27.723399999999998</v>
      </c>
      <c r="R90" s="125">
        <f t="shared" si="46"/>
        <v>27.723399999999998</v>
      </c>
      <c r="S90" s="125">
        <f t="shared" si="46"/>
        <v>27.723399999999998</v>
      </c>
      <c r="T90" s="125">
        <f>-0.1497*$B$5^2 + 16.856*$B$5 - 26.814</f>
        <v>126.77600000000001</v>
      </c>
      <c r="U90" s="125">
        <f>-0.1497*$B$5^2 + 16.856*$B$5 - 26.814</f>
        <v>126.77600000000001</v>
      </c>
      <c r="V90" s="125">
        <f>-0.0182*$B$5^2 + 3.3178*$B$5 - 3.6346</f>
        <v>27.723399999999998</v>
      </c>
      <c r="W90" s="125">
        <f>-0.0182*$B$5^2 + 3.3178*$B$5 - 3.6346</f>
        <v>27.723399999999998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25">
        <v>0</v>
      </c>
      <c r="AD90" s="125">
        <v>0</v>
      </c>
      <c r="AE90" s="125">
        <v>0</v>
      </c>
      <c r="AF90" s="125">
        <v>0</v>
      </c>
      <c r="AG90" s="126">
        <v>0</v>
      </c>
      <c r="AH90" s="22"/>
    </row>
    <row r="91" spans="1:34" ht="25.5" x14ac:dyDescent="0.25">
      <c r="A91" s="21"/>
      <c r="B91" s="27" t="s">
        <v>517</v>
      </c>
      <c r="C91" s="67" t="s">
        <v>57</v>
      </c>
      <c r="D91" s="125">
        <v>0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f t="shared" si="45"/>
        <v>126.77600000000001</v>
      </c>
      <c r="O91" s="125">
        <f t="shared" si="45"/>
        <v>126.77600000000001</v>
      </c>
      <c r="P91" s="125">
        <f t="shared" si="45"/>
        <v>126.77600000000001</v>
      </c>
      <c r="Q91" s="125">
        <f t="shared" si="46"/>
        <v>27.723399999999998</v>
      </c>
      <c r="R91" s="125">
        <f t="shared" si="46"/>
        <v>27.723399999999998</v>
      </c>
      <c r="S91" s="125">
        <f t="shared" si="46"/>
        <v>27.723399999999998</v>
      </c>
      <c r="T91" s="125">
        <f>-0.1497*$B$5^2 + 16.856*$B$5 - 26.814</f>
        <v>126.77600000000001</v>
      </c>
      <c r="U91" s="125">
        <f>-0.1497*$B$5^2 + 16.856*$B$5 - 26.814</f>
        <v>126.77600000000001</v>
      </c>
      <c r="V91" s="125">
        <f>-0.0182*$B$5^2 + 3.3178*$B$5 - 3.6346</f>
        <v>27.723399999999998</v>
      </c>
      <c r="W91" s="125">
        <f>-0.0182*$B$5^2 + 3.3178*$B$5 - 3.6346</f>
        <v>27.723399999999998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  <c r="AD91" s="125">
        <v>0</v>
      </c>
      <c r="AE91" s="125">
        <v>0</v>
      </c>
      <c r="AF91" s="125">
        <v>0</v>
      </c>
      <c r="AG91" s="126">
        <v>0</v>
      </c>
      <c r="AH91" s="22"/>
    </row>
    <row r="92" spans="1:34" x14ac:dyDescent="0.25">
      <c r="A92" s="21"/>
      <c r="B92" s="27" t="s">
        <v>523</v>
      </c>
      <c r="C92" s="67" t="s">
        <v>65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f t="shared" ref="N92:W92" si="47">-0.0003*$B$5^2 + 0.0847*$B$5 - 0.0538</f>
        <v>0.76319999999999999</v>
      </c>
      <c r="O92" s="125">
        <f t="shared" si="47"/>
        <v>0.76319999999999999</v>
      </c>
      <c r="P92" s="125">
        <f t="shared" si="47"/>
        <v>0.76319999999999999</v>
      </c>
      <c r="Q92" s="125">
        <f t="shared" si="47"/>
        <v>0.76319999999999999</v>
      </c>
      <c r="R92" s="125">
        <f t="shared" si="47"/>
        <v>0.76319999999999999</v>
      </c>
      <c r="S92" s="125">
        <f t="shared" si="47"/>
        <v>0.76319999999999999</v>
      </c>
      <c r="T92" s="125">
        <f t="shared" si="47"/>
        <v>0.76319999999999999</v>
      </c>
      <c r="U92" s="125">
        <f t="shared" si="47"/>
        <v>0.76319999999999999</v>
      </c>
      <c r="V92" s="125">
        <f t="shared" si="47"/>
        <v>0.76319999999999999</v>
      </c>
      <c r="W92" s="125">
        <f t="shared" si="47"/>
        <v>0.76319999999999999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25">
        <v>0</v>
      </c>
      <c r="AD92" s="125">
        <v>0</v>
      </c>
      <c r="AE92" s="125">
        <v>0</v>
      </c>
      <c r="AF92" s="125">
        <v>0</v>
      </c>
      <c r="AG92" s="126">
        <v>0</v>
      </c>
      <c r="AH92" s="22"/>
    </row>
    <row r="93" spans="1:34" x14ac:dyDescent="0.25">
      <c r="A93" s="21"/>
      <c r="B93" s="27" t="s">
        <v>524</v>
      </c>
      <c r="C93" s="67" t="s">
        <v>65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f t="shared" ref="N93:W96" si="48">-0.0001*$B$5^2 + 0.0423*$B$5 - 0.0269</f>
        <v>0.3861</v>
      </c>
      <c r="O93" s="125">
        <f t="shared" si="48"/>
        <v>0.3861</v>
      </c>
      <c r="P93" s="125">
        <f t="shared" si="48"/>
        <v>0.3861</v>
      </c>
      <c r="Q93" s="125">
        <f t="shared" si="48"/>
        <v>0.3861</v>
      </c>
      <c r="R93" s="125">
        <f t="shared" si="48"/>
        <v>0.3861</v>
      </c>
      <c r="S93" s="125">
        <f t="shared" si="48"/>
        <v>0.3861</v>
      </c>
      <c r="T93" s="125">
        <f t="shared" si="48"/>
        <v>0.3861</v>
      </c>
      <c r="U93" s="125">
        <f t="shared" si="48"/>
        <v>0.3861</v>
      </c>
      <c r="V93" s="125">
        <f t="shared" si="48"/>
        <v>0.3861</v>
      </c>
      <c r="W93" s="125">
        <f t="shared" si="48"/>
        <v>0.3861</v>
      </c>
      <c r="X93" s="125">
        <v>0</v>
      </c>
      <c r="Y93" s="125">
        <v>0</v>
      </c>
      <c r="Z93" s="125">
        <v>0</v>
      </c>
      <c r="AA93" s="125">
        <v>0</v>
      </c>
      <c r="AB93" s="125">
        <v>0</v>
      </c>
      <c r="AC93" s="125">
        <v>0</v>
      </c>
      <c r="AD93" s="125">
        <v>0</v>
      </c>
      <c r="AE93" s="125">
        <v>0</v>
      </c>
      <c r="AF93" s="125">
        <v>0</v>
      </c>
      <c r="AG93" s="126">
        <v>0</v>
      </c>
      <c r="AH93" s="22"/>
    </row>
    <row r="94" spans="1:34" x14ac:dyDescent="0.25">
      <c r="A94" s="21"/>
      <c r="B94" s="27" t="s">
        <v>525</v>
      </c>
      <c r="C94" s="67" t="s">
        <v>65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25">
        <v>0</v>
      </c>
      <c r="N94" s="125">
        <f t="shared" si="48"/>
        <v>0.3861</v>
      </c>
      <c r="O94" s="125">
        <f t="shared" si="48"/>
        <v>0.3861</v>
      </c>
      <c r="P94" s="125">
        <f t="shared" si="48"/>
        <v>0.3861</v>
      </c>
      <c r="Q94" s="125">
        <f t="shared" si="48"/>
        <v>0.3861</v>
      </c>
      <c r="R94" s="125">
        <f t="shared" si="48"/>
        <v>0.3861</v>
      </c>
      <c r="S94" s="125">
        <f t="shared" si="48"/>
        <v>0.3861</v>
      </c>
      <c r="T94" s="125">
        <f t="shared" si="48"/>
        <v>0.3861</v>
      </c>
      <c r="U94" s="125">
        <f t="shared" si="48"/>
        <v>0.3861</v>
      </c>
      <c r="V94" s="125">
        <f t="shared" si="48"/>
        <v>0.3861</v>
      </c>
      <c r="W94" s="125">
        <f t="shared" si="48"/>
        <v>0.3861</v>
      </c>
      <c r="X94" s="125">
        <v>0</v>
      </c>
      <c r="Y94" s="125">
        <v>0</v>
      </c>
      <c r="Z94" s="125">
        <v>0</v>
      </c>
      <c r="AA94" s="125">
        <v>0</v>
      </c>
      <c r="AB94" s="125">
        <v>0</v>
      </c>
      <c r="AC94" s="125">
        <v>0</v>
      </c>
      <c r="AD94" s="125">
        <v>0</v>
      </c>
      <c r="AE94" s="125">
        <v>0</v>
      </c>
      <c r="AF94" s="125">
        <v>0</v>
      </c>
      <c r="AG94" s="126">
        <v>0</v>
      </c>
      <c r="AH94" s="22"/>
    </row>
    <row r="95" spans="1:34" x14ac:dyDescent="0.25">
      <c r="A95" s="21"/>
      <c r="B95" s="27" t="s">
        <v>526</v>
      </c>
      <c r="C95" s="67" t="s">
        <v>65</v>
      </c>
      <c r="D95" s="125">
        <v>0</v>
      </c>
      <c r="E95" s="125">
        <v>0</v>
      </c>
      <c r="F95" s="125">
        <v>0</v>
      </c>
      <c r="G95" s="125">
        <v>0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f t="shared" si="48"/>
        <v>0.3861</v>
      </c>
      <c r="O95" s="125">
        <f t="shared" si="48"/>
        <v>0.3861</v>
      </c>
      <c r="P95" s="125">
        <f t="shared" si="48"/>
        <v>0.3861</v>
      </c>
      <c r="Q95" s="125">
        <f t="shared" si="48"/>
        <v>0.3861</v>
      </c>
      <c r="R95" s="125">
        <f t="shared" si="48"/>
        <v>0.3861</v>
      </c>
      <c r="S95" s="125">
        <f t="shared" si="48"/>
        <v>0.3861</v>
      </c>
      <c r="T95" s="125">
        <f t="shared" si="48"/>
        <v>0.3861</v>
      </c>
      <c r="U95" s="125">
        <f t="shared" si="48"/>
        <v>0.3861</v>
      </c>
      <c r="V95" s="125">
        <f t="shared" si="48"/>
        <v>0.3861</v>
      </c>
      <c r="W95" s="125">
        <f t="shared" si="48"/>
        <v>0.3861</v>
      </c>
      <c r="X95" s="125">
        <v>0</v>
      </c>
      <c r="Y95" s="125">
        <v>0</v>
      </c>
      <c r="Z95" s="125">
        <v>0</v>
      </c>
      <c r="AA95" s="125">
        <v>0</v>
      </c>
      <c r="AB95" s="125">
        <v>0</v>
      </c>
      <c r="AC95" s="125">
        <v>0</v>
      </c>
      <c r="AD95" s="125">
        <v>0</v>
      </c>
      <c r="AE95" s="125">
        <v>0</v>
      </c>
      <c r="AF95" s="125">
        <v>0</v>
      </c>
      <c r="AG95" s="126">
        <v>0</v>
      </c>
      <c r="AH95" s="22"/>
    </row>
    <row r="96" spans="1:34" x14ac:dyDescent="0.25">
      <c r="A96" s="21"/>
      <c r="B96" s="27" t="s">
        <v>527</v>
      </c>
      <c r="C96" s="67" t="s">
        <v>65</v>
      </c>
      <c r="D96" s="125">
        <v>0</v>
      </c>
      <c r="E96" s="125">
        <v>0</v>
      </c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f t="shared" si="48"/>
        <v>0.3861</v>
      </c>
      <c r="O96" s="125">
        <f t="shared" si="48"/>
        <v>0.3861</v>
      </c>
      <c r="P96" s="125">
        <f t="shared" si="48"/>
        <v>0.3861</v>
      </c>
      <c r="Q96" s="125">
        <f t="shared" si="48"/>
        <v>0.3861</v>
      </c>
      <c r="R96" s="125">
        <f t="shared" si="48"/>
        <v>0.3861</v>
      </c>
      <c r="S96" s="125">
        <f t="shared" si="48"/>
        <v>0.3861</v>
      </c>
      <c r="T96" s="125">
        <f t="shared" si="48"/>
        <v>0.3861</v>
      </c>
      <c r="U96" s="125">
        <f t="shared" si="48"/>
        <v>0.3861</v>
      </c>
      <c r="V96" s="125">
        <f t="shared" si="48"/>
        <v>0.3861</v>
      </c>
      <c r="W96" s="125">
        <f t="shared" si="48"/>
        <v>0.3861</v>
      </c>
      <c r="X96" s="125">
        <v>0</v>
      </c>
      <c r="Y96" s="125">
        <v>0</v>
      </c>
      <c r="Z96" s="125">
        <v>0</v>
      </c>
      <c r="AA96" s="125">
        <v>0</v>
      </c>
      <c r="AB96" s="125">
        <v>0</v>
      </c>
      <c r="AC96" s="125">
        <v>0</v>
      </c>
      <c r="AD96" s="125">
        <v>0</v>
      </c>
      <c r="AE96" s="125">
        <v>0</v>
      </c>
      <c r="AF96" s="125">
        <v>0</v>
      </c>
      <c r="AG96" s="126">
        <v>0</v>
      </c>
      <c r="AH96" s="22"/>
    </row>
    <row r="97" spans="1:34" x14ac:dyDescent="0.25">
      <c r="A97" s="21"/>
      <c r="B97" s="27" t="s">
        <v>528</v>
      </c>
      <c r="C97" s="67" t="s">
        <v>65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f t="shared" ref="N97:W98" si="49">-0.0002*$B$5^2 + 0.0706*$B$5 - 0.0448</f>
        <v>0.64119999999999999</v>
      </c>
      <c r="O97" s="125">
        <f t="shared" si="49"/>
        <v>0.64119999999999999</v>
      </c>
      <c r="P97" s="125">
        <f t="shared" si="49"/>
        <v>0.64119999999999999</v>
      </c>
      <c r="Q97" s="125">
        <f t="shared" si="49"/>
        <v>0.64119999999999999</v>
      </c>
      <c r="R97" s="125">
        <f t="shared" si="49"/>
        <v>0.64119999999999999</v>
      </c>
      <c r="S97" s="125">
        <f t="shared" si="49"/>
        <v>0.64119999999999999</v>
      </c>
      <c r="T97" s="125">
        <f t="shared" si="49"/>
        <v>0.64119999999999999</v>
      </c>
      <c r="U97" s="125">
        <f t="shared" si="49"/>
        <v>0.64119999999999999</v>
      </c>
      <c r="V97" s="125">
        <f t="shared" si="49"/>
        <v>0.64119999999999999</v>
      </c>
      <c r="W97" s="125">
        <f t="shared" si="49"/>
        <v>0.64119999999999999</v>
      </c>
      <c r="X97" s="125">
        <v>0</v>
      </c>
      <c r="Y97" s="125">
        <v>0</v>
      </c>
      <c r="Z97" s="125">
        <v>0</v>
      </c>
      <c r="AA97" s="125">
        <v>0</v>
      </c>
      <c r="AB97" s="125">
        <v>0</v>
      </c>
      <c r="AC97" s="125">
        <v>0</v>
      </c>
      <c r="AD97" s="125">
        <v>0</v>
      </c>
      <c r="AE97" s="125">
        <v>0</v>
      </c>
      <c r="AF97" s="125">
        <v>0</v>
      </c>
      <c r="AG97" s="126">
        <v>0</v>
      </c>
      <c r="AH97" s="22"/>
    </row>
    <row r="98" spans="1:34" x14ac:dyDescent="0.25">
      <c r="A98" s="21"/>
      <c r="B98" s="27" t="s">
        <v>529</v>
      </c>
      <c r="C98" s="67" t="s">
        <v>65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f t="shared" si="49"/>
        <v>0.64119999999999999</v>
      </c>
      <c r="O98" s="125">
        <f t="shared" si="49"/>
        <v>0.64119999999999999</v>
      </c>
      <c r="P98" s="125">
        <f t="shared" si="49"/>
        <v>0.64119999999999999</v>
      </c>
      <c r="Q98" s="125">
        <f t="shared" si="49"/>
        <v>0.64119999999999999</v>
      </c>
      <c r="R98" s="125">
        <f t="shared" si="49"/>
        <v>0.64119999999999999</v>
      </c>
      <c r="S98" s="125">
        <f t="shared" si="49"/>
        <v>0.64119999999999999</v>
      </c>
      <c r="T98" s="125">
        <f t="shared" si="49"/>
        <v>0.64119999999999999</v>
      </c>
      <c r="U98" s="125">
        <f t="shared" si="49"/>
        <v>0.64119999999999999</v>
      </c>
      <c r="V98" s="125">
        <f t="shared" si="49"/>
        <v>0.64119999999999999</v>
      </c>
      <c r="W98" s="125">
        <f t="shared" si="49"/>
        <v>0.64119999999999999</v>
      </c>
      <c r="X98" s="125">
        <v>0</v>
      </c>
      <c r="Y98" s="125">
        <v>0</v>
      </c>
      <c r="Z98" s="125">
        <v>0</v>
      </c>
      <c r="AA98" s="125">
        <v>0</v>
      </c>
      <c r="AB98" s="125">
        <v>0</v>
      </c>
      <c r="AC98" s="125">
        <v>0</v>
      </c>
      <c r="AD98" s="125">
        <v>0</v>
      </c>
      <c r="AE98" s="125">
        <v>0</v>
      </c>
      <c r="AF98" s="125">
        <v>0</v>
      </c>
      <c r="AG98" s="126">
        <v>0</v>
      </c>
      <c r="AH98" s="22"/>
    </row>
    <row r="99" spans="1:34" x14ac:dyDescent="0.25">
      <c r="A99" s="21"/>
      <c r="B99" s="27" t="s">
        <v>534</v>
      </c>
      <c r="C99" s="67" t="s">
        <v>65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f t="shared" ref="N99:W99" si="50">-0.0034*$B$5^2 + 1.0725*$B$5 - 0.6814</f>
        <v>9.7035999999999998</v>
      </c>
      <c r="O99" s="125">
        <f t="shared" si="50"/>
        <v>9.7035999999999998</v>
      </c>
      <c r="P99" s="125">
        <f t="shared" si="50"/>
        <v>9.7035999999999998</v>
      </c>
      <c r="Q99" s="125">
        <f t="shared" si="50"/>
        <v>9.7035999999999998</v>
      </c>
      <c r="R99" s="125">
        <f t="shared" si="50"/>
        <v>9.7035999999999998</v>
      </c>
      <c r="S99" s="125">
        <f t="shared" si="50"/>
        <v>9.7035999999999998</v>
      </c>
      <c r="T99" s="125">
        <f t="shared" si="50"/>
        <v>9.7035999999999998</v>
      </c>
      <c r="U99" s="125">
        <f t="shared" si="50"/>
        <v>9.7035999999999998</v>
      </c>
      <c r="V99" s="125">
        <f t="shared" si="50"/>
        <v>9.7035999999999998</v>
      </c>
      <c r="W99" s="125">
        <f t="shared" si="50"/>
        <v>9.7035999999999998</v>
      </c>
      <c r="X99" s="125">
        <v>0</v>
      </c>
      <c r="Y99" s="125">
        <v>0</v>
      </c>
      <c r="Z99" s="125">
        <v>0</v>
      </c>
      <c r="AA99" s="125">
        <v>0</v>
      </c>
      <c r="AB99" s="125">
        <v>0</v>
      </c>
      <c r="AC99" s="125">
        <v>0</v>
      </c>
      <c r="AD99" s="125">
        <v>0</v>
      </c>
      <c r="AE99" s="125">
        <v>0</v>
      </c>
      <c r="AF99" s="125">
        <v>0</v>
      </c>
      <c r="AG99" s="126">
        <v>0</v>
      </c>
      <c r="AH99" s="22"/>
    </row>
    <row r="100" spans="1:34" x14ac:dyDescent="0.25">
      <c r="A100" s="21"/>
      <c r="B100" s="120" t="s">
        <v>519</v>
      </c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3"/>
      <c r="AH100" s="22"/>
    </row>
    <row r="101" spans="1:34" ht="25.5" x14ac:dyDescent="0.25">
      <c r="A101" s="21"/>
      <c r="B101" s="262" t="s">
        <v>294</v>
      </c>
      <c r="C101" s="67" t="s">
        <v>65</v>
      </c>
      <c r="D101" s="266">
        <f>0.0076*$B$5^2 + 1.9979*$B$5 + 1.5105</f>
        <v>22.249500000000001</v>
      </c>
      <c r="E101" s="266">
        <f>0.0076*$B$5^2 + 1.9979*$B$5 + 1.5105</f>
        <v>22.249500000000001</v>
      </c>
      <c r="F101" s="266">
        <f>0.0076*$B$5^2 + 1.9979*$B$5 + 1.5105</f>
        <v>22.249500000000001</v>
      </c>
      <c r="G101" s="125">
        <f>-0.0212*$B$5^2 + 4.3846*$B$5 - 4.2326</f>
        <v>37.493400000000001</v>
      </c>
      <c r="H101" s="125">
        <f>-0.0212*$B$5^2 + 4.3846*$B$5 - 4.2326</f>
        <v>37.493400000000001</v>
      </c>
      <c r="I101" s="125">
        <f>-0.0212*$B$5^2 + 4.3846*$B$5 - 4.2326</f>
        <v>37.493400000000001</v>
      </c>
      <c r="J101" s="266">
        <f>0.0076*$B$5^2 + 1.9979*$B$5 + 1.5105</f>
        <v>22.249500000000001</v>
      </c>
      <c r="K101" s="266">
        <f>0.0076*$B$5^2 + 1.9979*$B$5 + 1.5105</f>
        <v>22.249500000000001</v>
      </c>
      <c r="L101" s="125">
        <f>-0.0212*$B$5^2 + 4.3846*$B$5 - 4.2326</f>
        <v>37.493400000000001</v>
      </c>
      <c r="M101" s="125">
        <f>-0.0212*$B$5^2 + 4.3846*$B$5 - 4.2326</f>
        <v>37.493400000000001</v>
      </c>
      <c r="N101" s="125">
        <v>0</v>
      </c>
      <c r="O101" s="125">
        <v>0</v>
      </c>
      <c r="P101" s="125">
        <v>0</v>
      </c>
      <c r="Q101" s="125">
        <v>0</v>
      </c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5">
        <v>0</v>
      </c>
      <c r="Y101" s="125">
        <v>0</v>
      </c>
      <c r="Z101" s="125">
        <v>0</v>
      </c>
      <c r="AA101" s="125">
        <v>0</v>
      </c>
      <c r="AB101" s="125">
        <v>0</v>
      </c>
      <c r="AC101" s="125">
        <v>0</v>
      </c>
      <c r="AD101" s="125">
        <v>0</v>
      </c>
      <c r="AE101" s="125">
        <v>0</v>
      </c>
      <c r="AF101" s="125">
        <v>0</v>
      </c>
      <c r="AG101" s="126">
        <v>0</v>
      </c>
      <c r="AH101" s="22"/>
    </row>
    <row r="102" spans="1:34" x14ac:dyDescent="0.25">
      <c r="A102" s="21"/>
      <c r="B102" s="262" t="s">
        <v>290</v>
      </c>
      <c r="C102" s="67" t="s">
        <v>63</v>
      </c>
      <c r="D102" s="266">
        <f>0.003*$B$5^2 + 0.7991*$B$5 + 0.6042</f>
        <v>8.8952000000000009</v>
      </c>
      <c r="E102" s="266">
        <f>0.003*$B$5^2 + 0.7991*$B$5 + 0.6042</f>
        <v>8.8952000000000009</v>
      </c>
      <c r="F102" s="266">
        <f>0.003*$B$5^2 + 0.7991*$B$5 + 0.6042</f>
        <v>8.8952000000000009</v>
      </c>
      <c r="G102" s="125">
        <f>-0.0085*$B$5^2 + 1.7538*$B$5 - 1.693</f>
        <v>14.994999999999999</v>
      </c>
      <c r="H102" s="125">
        <f>-0.0085*$B$5^2 + 1.7538*$B$5 - 1.693</f>
        <v>14.994999999999999</v>
      </c>
      <c r="I102" s="125">
        <f>-0.0085*$B$5^2 + 1.7538*$B$5 - 1.693</f>
        <v>14.994999999999999</v>
      </c>
      <c r="J102" s="266">
        <f>0.003*$B$5^2 + 0.7991*$B$5 + 0.6042</f>
        <v>8.8952000000000009</v>
      </c>
      <c r="K102" s="266">
        <f>0.003*$B$5^2 + 0.7991*$B$5 + 0.6042</f>
        <v>8.8952000000000009</v>
      </c>
      <c r="L102" s="125">
        <f>-0.0085*$B$5^2 + 1.7538*$B$5 - 1.693</f>
        <v>14.994999999999999</v>
      </c>
      <c r="M102" s="125">
        <f>-0.0085*$B$5^2 + 1.7538*$B$5 - 1.693</f>
        <v>14.994999999999999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25">
        <v>0</v>
      </c>
      <c r="AA102" s="125">
        <v>0</v>
      </c>
      <c r="AB102" s="125">
        <v>0</v>
      </c>
      <c r="AC102" s="125">
        <v>0</v>
      </c>
      <c r="AD102" s="125">
        <v>0</v>
      </c>
      <c r="AE102" s="125">
        <v>0</v>
      </c>
      <c r="AF102" s="125">
        <v>0</v>
      </c>
      <c r="AG102" s="126">
        <v>0</v>
      </c>
      <c r="AH102" s="22"/>
    </row>
    <row r="103" spans="1:34" ht="25.5" x14ac:dyDescent="0.25">
      <c r="A103" s="21"/>
      <c r="B103" s="262" t="s">
        <v>295</v>
      </c>
      <c r="C103" s="67" t="s">
        <v>57</v>
      </c>
      <c r="D103" s="266">
        <f>-0.0426*$B$5^2 + 3.9472*$B$5 - 8.528</f>
        <v>26.684000000000005</v>
      </c>
      <c r="E103" s="266">
        <f>-0.0426*$B$5^2 + 3.9472*$B$5 - 8.528</f>
        <v>26.684000000000005</v>
      </c>
      <c r="F103" s="266">
        <f>-0.0426*$B$5^2 + 3.9472*$B$5 - 8.528</f>
        <v>26.684000000000005</v>
      </c>
      <c r="G103" s="125">
        <f>-0.2069*$B$5^2 + 16.683*$B$5 - 41.378</f>
        <v>104.76199999999999</v>
      </c>
      <c r="H103" s="125">
        <f>-0.2069*$B$5^2 + 16.683*$B$5 - 41.378</f>
        <v>104.76199999999999</v>
      </c>
      <c r="I103" s="125">
        <f>-0.2069*$B$5^2 + 16.683*$B$5 - 41.378</f>
        <v>104.76199999999999</v>
      </c>
      <c r="J103" s="266">
        <f>-0.0426*$B$5^2 + 3.9472*$B$5 - 8.528</f>
        <v>26.684000000000005</v>
      </c>
      <c r="K103" s="266">
        <f>-0.0426*$B$5^2 + 3.9472*$B$5 - 8.528</f>
        <v>26.684000000000005</v>
      </c>
      <c r="L103" s="125">
        <f>-0.2069*$B$5^2 + 16.683*$B$5 - 41.378</f>
        <v>104.76199999999999</v>
      </c>
      <c r="M103" s="125">
        <f>-0.2069*$B$5^2 + 16.683*$B$5 - 41.378</f>
        <v>104.76199999999999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25">
        <v>0</v>
      </c>
      <c r="AA103" s="125">
        <v>0</v>
      </c>
      <c r="AB103" s="125">
        <v>0</v>
      </c>
      <c r="AC103" s="125">
        <v>0</v>
      </c>
      <c r="AD103" s="125">
        <v>0</v>
      </c>
      <c r="AE103" s="125">
        <v>0</v>
      </c>
      <c r="AF103" s="125">
        <v>0</v>
      </c>
      <c r="AG103" s="126">
        <v>0</v>
      </c>
      <c r="AH103" s="22"/>
    </row>
    <row r="104" spans="1:34" x14ac:dyDescent="0.25">
      <c r="A104" s="21"/>
      <c r="B104" s="27" t="s">
        <v>305</v>
      </c>
      <c r="C104" s="67" t="s">
        <v>63</v>
      </c>
      <c r="D104" s="266">
        <f>0.0488*$B$5^2 + 69.528*$B$5 + 9.7624</f>
        <v>709.92240000000004</v>
      </c>
      <c r="E104" s="266">
        <f>0.0488*$B$5^2 + 69.528*$B$5 + 9.7624</f>
        <v>709.92240000000004</v>
      </c>
      <c r="F104" s="266">
        <f>0.0488*$B$5^2 + 69.528*$B$5 + 9.7624</f>
        <v>709.92240000000004</v>
      </c>
      <c r="G104" s="125">
        <f>0.0244*$B$5^2 + 34.764*$B$5 + 4.8812</f>
        <v>354.96120000000002</v>
      </c>
      <c r="H104" s="125">
        <f>0.0244*$B$5^2 + 34.764*$B$5 + 4.8812</f>
        <v>354.96120000000002</v>
      </c>
      <c r="I104" s="125">
        <f>0.0244*$B$5^2 + 34.764*$B$5 + 4.8812</f>
        <v>354.96120000000002</v>
      </c>
      <c r="J104" s="266">
        <f>0.0488*$B$5^2 + 69.528*$B$5 + 9.7624</f>
        <v>709.92240000000004</v>
      </c>
      <c r="K104" s="266">
        <f>0.0488*$B$5^2 + 69.528*$B$5 + 9.7624</f>
        <v>709.92240000000004</v>
      </c>
      <c r="L104" s="125">
        <f>0.0244*$B$5^2 + 34.764*$B$5 + 4.8812</f>
        <v>354.96120000000002</v>
      </c>
      <c r="M104" s="125">
        <f>0.0244*$B$5^2 + 34.764*$B$5 + 4.8812</f>
        <v>354.96120000000002</v>
      </c>
      <c r="N104" s="125">
        <v>0</v>
      </c>
      <c r="O104" s="125">
        <v>0</v>
      </c>
      <c r="P104" s="125">
        <v>0</v>
      </c>
      <c r="Q104" s="125">
        <v>0</v>
      </c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5">
        <v>0</v>
      </c>
      <c r="Y104" s="125">
        <v>0</v>
      </c>
      <c r="Z104" s="125">
        <v>0</v>
      </c>
      <c r="AA104" s="125">
        <v>0</v>
      </c>
      <c r="AB104" s="125">
        <v>0</v>
      </c>
      <c r="AC104" s="125">
        <v>0</v>
      </c>
      <c r="AD104" s="125">
        <v>0</v>
      </c>
      <c r="AE104" s="125">
        <v>0</v>
      </c>
      <c r="AF104" s="125">
        <v>0</v>
      </c>
      <c r="AG104" s="126">
        <v>0</v>
      </c>
      <c r="AH104" s="22"/>
    </row>
    <row r="105" spans="1:34" x14ac:dyDescent="0.25">
      <c r="A105" s="21"/>
      <c r="B105" s="27" t="s">
        <v>465</v>
      </c>
      <c r="C105" s="67" t="s">
        <v>63</v>
      </c>
      <c r="D105" s="266">
        <f>-2.8845*$B$5^2 + 252.74*$B$5 - 576.9</f>
        <v>1662.0500000000002</v>
      </c>
      <c r="E105" s="266">
        <f>-2.8845*$B$5^2 + 252.74*$B$5 - 576.9</f>
        <v>1662.0500000000002</v>
      </c>
      <c r="F105" s="266">
        <f>-2.8845*$B$5^2 + 252.74*$B$5 - 576.9</f>
        <v>1662.0500000000002</v>
      </c>
      <c r="G105" s="125">
        <f>-0.2678*$B$5^2 + 38.734*$B$5 - 53.561</f>
        <v>306.99900000000008</v>
      </c>
      <c r="H105" s="125">
        <f>-0.2678*$B$5^2 + 38.734*$B$5 - 53.561</f>
        <v>306.99900000000008</v>
      </c>
      <c r="I105" s="125">
        <f>-0.2678*$B$5^2 + 38.734*$B$5 - 53.561</f>
        <v>306.99900000000008</v>
      </c>
      <c r="J105" s="266">
        <f>-2.8845*$B$5^2 + 252.74*$B$5 - 576.9</f>
        <v>1662.0500000000002</v>
      </c>
      <c r="K105" s="266">
        <f>-2.8845*$B$5^2 + 252.74*$B$5 - 576.9</f>
        <v>1662.0500000000002</v>
      </c>
      <c r="L105" s="125">
        <f>-0.2678*$B$5^2 + 38.734*$B$5 - 53.561</f>
        <v>306.99900000000008</v>
      </c>
      <c r="M105" s="125">
        <f>-0.2678*$B$5^2 + 38.734*$B$5 - 53.561</f>
        <v>306.99900000000008</v>
      </c>
      <c r="N105" s="125">
        <v>0</v>
      </c>
      <c r="O105" s="125">
        <v>0</v>
      </c>
      <c r="P105" s="125">
        <v>0</v>
      </c>
      <c r="Q105" s="125">
        <v>0</v>
      </c>
      <c r="R105" s="125">
        <v>0</v>
      </c>
      <c r="S105" s="125">
        <v>0</v>
      </c>
      <c r="T105" s="125">
        <v>0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25">
        <v>0</v>
      </c>
      <c r="AA105" s="125">
        <v>0</v>
      </c>
      <c r="AB105" s="125">
        <v>0</v>
      </c>
      <c r="AC105" s="125">
        <v>0</v>
      </c>
      <c r="AD105" s="125">
        <v>0</v>
      </c>
      <c r="AE105" s="125">
        <v>0</v>
      </c>
      <c r="AF105" s="125">
        <v>0</v>
      </c>
      <c r="AG105" s="126">
        <v>0</v>
      </c>
      <c r="AH105" s="22"/>
    </row>
    <row r="106" spans="1:34" x14ac:dyDescent="0.25">
      <c r="A106" s="21"/>
      <c r="B106" s="27" t="s">
        <v>522</v>
      </c>
      <c r="C106" s="67" t="s">
        <v>63</v>
      </c>
      <c r="D106" s="266">
        <f>-1.1343*$B$5^2 + 128.91*$B$5 - 226.86</f>
        <v>948.80999999999983</v>
      </c>
      <c r="E106" s="266">
        <f>-1.1343*$B$5^2 + 128.91*$B$5 - 226.86</f>
        <v>948.80999999999983</v>
      </c>
      <c r="F106" s="266">
        <f>-1.1343*$B$5^2 + 128.91*$B$5 - 226.86</f>
        <v>948.80999999999983</v>
      </c>
      <c r="G106" s="125">
        <f>-0.0974*$B$5^2 + 29.399*$B$5 - 19.472</f>
        <v>264.77800000000002</v>
      </c>
      <c r="H106" s="125">
        <f>-0.0974*$B$5^2 + 29.399*$B$5 - 19.472</f>
        <v>264.77800000000002</v>
      </c>
      <c r="I106" s="125">
        <f>-0.0974*$B$5^2 + 29.399*$B$5 - 19.472</f>
        <v>264.77800000000002</v>
      </c>
      <c r="J106" s="266">
        <f>-1.1343*$B$5^2 + 128.91*$B$5 - 226.86</f>
        <v>948.80999999999983</v>
      </c>
      <c r="K106" s="266">
        <f>-1.1343*$B$5^2 + 128.91*$B$5 - 226.86</f>
        <v>948.80999999999983</v>
      </c>
      <c r="L106" s="125">
        <f>-0.0974*$B$5^2 + 29.399*$B$5 - 19.472</f>
        <v>264.77800000000002</v>
      </c>
      <c r="M106" s="125">
        <f>-0.0974*$B$5^2 + 29.399*$B$5 - 19.472</f>
        <v>264.77800000000002</v>
      </c>
      <c r="N106" s="125">
        <v>0</v>
      </c>
      <c r="O106" s="125">
        <v>0</v>
      </c>
      <c r="P106" s="125">
        <v>0</v>
      </c>
      <c r="Q106" s="125">
        <v>0</v>
      </c>
      <c r="R106" s="125">
        <v>0</v>
      </c>
      <c r="S106" s="125">
        <v>0</v>
      </c>
      <c r="T106" s="125">
        <v>0</v>
      </c>
      <c r="U106" s="125">
        <v>0</v>
      </c>
      <c r="V106" s="125">
        <v>0</v>
      </c>
      <c r="W106" s="125">
        <v>0</v>
      </c>
      <c r="X106" s="125">
        <v>0</v>
      </c>
      <c r="Y106" s="125">
        <v>0</v>
      </c>
      <c r="Z106" s="125">
        <v>0</v>
      </c>
      <c r="AA106" s="125">
        <v>0</v>
      </c>
      <c r="AB106" s="125">
        <v>0</v>
      </c>
      <c r="AC106" s="125">
        <v>0</v>
      </c>
      <c r="AD106" s="125">
        <v>0</v>
      </c>
      <c r="AE106" s="125">
        <v>0</v>
      </c>
      <c r="AF106" s="125">
        <v>0</v>
      </c>
      <c r="AG106" s="126">
        <v>0</v>
      </c>
      <c r="AH106" s="22"/>
    </row>
    <row r="107" spans="1:34" ht="25.5" x14ac:dyDescent="0.25">
      <c r="A107" s="21"/>
      <c r="B107" s="27" t="s">
        <v>516</v>
      </c>
      <c r="C107" s="67" t="s">
        <v>57</v>
      </c>
      <c r="D107" s="266">
        <f t="shared" ref="D107:F108" si="51">-0.1498*$B$5^2 + 16.118*$B$5 - 29.968</f>
        <v>116.23199999999999</v>
      </c>
      <c r="E107" s="266">
        <f t="shared" si="51"/>
        <v>116.23199999999999</v>
      </c>
      <c r="F107" s="266">
        <f t="shared" si="51"/>
        <v>116.23199999999999</v>
      </c>
      <c r="G107" s="125">
        <f t="shared" ref="G107:I108" si="52">-0.0131*$B$5^2 + 3.4463*$B$5 - 2.6213</f>
        <v>30.531699999999997</v>
      </c>
      <c r="H107" s="125">
        <f t="shared" si="52"/>
        <v>30.531699999999997</v>
      </c>
      <c r="I107" s="125">
        <f t="shared" si="52"/>
        <v>30.531699999999997</v>
      </c>
      <c r="J107" s="266">
        <f>-0.1498*$B$5^2 + 16.118*$B$5 - 29.968</f>
        <v>116.23199999999999</v>
      </c>
      <c r="K107" s="266">
        <f>-0.1498*$B$5^2 + 16.118*$B$5 - 29.968</f>
        <v>116.23199999999999</v>
      </c>
      <c r="L107" s="125">
        <f>-0.0131*$B$5^2 + 3.4463*$B$5 - 2.6213</f>
        <v>30.531699999999997</v>
      </c>
      <c r="M107" s="125">
        <f>-0.0131*$B$5^2 + 3.4463*$B$5 - 2.6213</f>
        <v>30.531699999999997</v>
      </c>
      <c r="N107" s="125">
        <v>0</v>
      </c>
      <c r="O107" s="125">
        <v>0</v>
      </c>
      <c r="P107" s="125">
        <v>0</v>
      </c>
      <c r="Q107" s="125">
        <v>0</v>
      </c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0</v>
      </c>
      <c r="X107" s="125">
        <v>0</v>
      </c>
      <c r="Y107" s="125">
        <v>0</v>
      </c>
      <c r="Z107" s="125">
        <v>0</v>
      </c>
      <c r="AA107" s="125">
        <v>0</v>
      </c>
      <c r="AB107" s="125">
        <v>0</v>
      </c>
      <c r="AC107" s="125">
        <v>0</v>
      </c>
      <c r="AD107" s="125">
        <v>0</v>
      </c>
      <c r="AE107" s="125">
        <v>0</v>
      </c>
      <c r="AF107" s="125">
        <v>0</v>
      </c>
      <c r="AG107" s="126">
        <v>0</v>
      </c>
      <c r="AH107" s="22"/>
    </row>
    <row r="108" spans="1:34" ht="25.5" x14ac:dyDescent="0.25">
      <c r="A108" s="21"/>
      <c r="B108" s="27" t="s">
        <v>517</v>
      </c>
      <c r="C108" s="67" t="s">
        <v>57</v>
      </c>
      <c r="D108" s="266">
        <f t="shared" si="51"/>
        <v>116.23199999999999</v>
      </c>
      <c r="E108" s="266">
        <f t="shared" si="51"/>
        <v>116.23199999999999</v>
      </c>
      <c r="F108" s="266">
        <f t="shared" si="51"/>
        <v>116.23199999999999</v>
      </c>
      <c r="G108" s="125">
        <f t="shared" si="52"/>
        <v>30.531699999999997</v>
      </c>
      <c r="H108" s="125">
        <f t="shared" si="52"/>
        <v>30.531699999999997</v>
      </c>
      <c r="I108" s="125">
        <f t="shared" si="52"/>
        <v>30.531699999999997</v>
      </c>
      <c r="J108" s="266">
        <f>-0.1498*$B$5^2 + 16.118*$B$5 - 29.968</f>
        <v>116.23199999999999</v>
      </c>
      <c r="K108" s="266">
        <f>-0.1498*$B$5^2 + 16.118*$B$5 - 29.968</f>
        <v>116.23199999999999</v>
      </c>
      <c r="L108" s="125">
        <f>-0.0131*$B$5^2 + 3.4463*$B$5 - 2.6213</f>
        <v>30.531699999999997</v>
      </c>
      <c r="M108" s="125">
        <f>-0.0131*$B$5^2 + 3.4463*$B$5 - 2.6213</f>
        <v>30.531699999999997</v>
      </c>
      <c r="N108" s="125">
        <v>0</v>
      </c>
      <c r="O108" s="125">
        <v>0</v>
      </c>
      <c r="P108" s="125">
        <v>0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25">
        <v>0</v>
      </c>
      <c r="AD108" s="125">
        <v>0</v>
      </c>
      <c r="AE108" s="125">
        <v>0</v>
      </c>
      <c r="AF108" s="125">
        <v>0</v>
      </c>
      <c r="AG108" s="126">
        <v>0</v>
      </c>
      <c r="AH108" s="22"/>
    </row>
    <row r="109" spans="1:34" x14ac:dyDescent="0.25">
      <c r="A109" s="21"/>
      <c r="B109" s="27" t="s">
        <v>530</v>
      </c>
      <c r="C109" s="67" t="s">
        <v>65</v>
      </c>
      <c r="D109" s="266">
        <f t="shared" ref="D109:M110" si="53">5*10^-5*$B$5^2 + 0.0704*$B$5 + 0.0099</f>
        <v>0.71890000000000009</v>
      </c>
      <c r="E109" s="266">
        <f t="shared" si="53"/>
        <v>0.71890000000000009</v>
      </c>
      <c r="F109" s="266">
        <f t="shared" si="53"/>
        <v>0.71890000000000009</v>
      </c>
      <c r="G109" s="266">
        <f t="shared" si="53"/>
        <v>0.71890000000000009</v>
      </c>
      <c r="H109" s="266">
        <f t="shared" si="53"/>
        <v>0.71890000000000009</v>
      </c>
      <c r="I109" s="266">
        <f t="shared" si="53"/>
        <v>0.71890000000000009</v>
      </c>
      <c r="J109" s="266">
        <f t="shared" si="53"/>
        <v>0.71890000000000009</v>
      </c>
      <c r="K109" s="266">
        <f t="shared" si="53"/>
        <v>0.71890000000000009</v>
      </c>
      <c r="L109" s="266">
        <f t="shared" si="53"/>
        <v>0.71890000000000009</v>
      </c>
      <c r="M109" s="266">
        <f t="shared" si="53"/>
        <v>0.71890000000000009</v>
      </c>
      <c r="N109" s="125">
        <v>0</v>
      </c>
      <c r="O109" s="125">
        <v>0</v>
      </c>
      <c r="P109" s="125">
        <v>0</v>
      </c>
      <c r="Q109" s="125">
        <v>0</v>
      </c>
      <c r="R109" s="125">
        <v>0</v>
      </c>
      <c r="S109" s="125">
        <v>0</v>
      </c>
      <c r="T109" s="125">
        <v>0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25">
        <v>0</v>
      </c>
      <c r="AD109" s="125">
        <v>0</v>
      </c>
      <c r="AE109" s="125">
        <v>0</v>
      </c>
      <c r="AF109" s="125">
        <v>0</v>
      </c>
      <c r="AG109" s="126">
        <v>0</v>
      </c>
      <c r="AH109" s="22"/>
    </row>
    <row r="110" spans="1:34" x14ac:dyDescent="0.25">
      <c r="A110" s="21"/>
      <c r="B110" s="27" t="s">
        <v>524</v>
      </c>
      <c r="C110" s="67" t="s">
        <v>65</v>
      </c>
      <c r="D110" s="266">
        <f t="shared" si="53"/>
        <v>0.71890000000000009</v>
      </c>
      <c r="E110" s="266">
        <f t="shared" si="53"/>
        <v>0.71890000000000009</v>
      </c>
      <c r="F110" s="266">
        <f t="shared" si="53"/>
        <v>0.71890000000000009</v>
      </c>
      <c r="G110" s="266">
        <f t="shared" si="53"/>
        <v>0.71890000000000009</v>
      </c>
      <c r="H110" s="266">
        <f t="shared" si="53"/>
        <v>0.71890000000000009</v>
      </c>
      <c r="I110" s="266">
        <f t="shared" si="53"/>
        <v>0.71890000000000009</v>
      </c>
      <c r="J110" s="266">
        <f t="shared" si="53"/>
        <v>0.71890000000000009</v>
      </c>
      <c r="K110" s="266">
        <f t="shared" si="53"/>
        <v>0.71890000000000009</v>
      </c>
      <c r="L110" s="266">
        <f t="shared" si="53"/>
        <v>0.71890000000000009</v>
      </c>
      <c r="M110" s="266">
        <f t="shared" si="53"/>
        <v>0.71890000000000009</v>
      </c>
      <c r="N110" s="125">
        <v>0</v>
      </c>
      <c r="O110" s="125">
        <v>0</v>
      </c>
      <c r="P110" s="125">
        <v>0</v>
      </c>
      <c r="Q110" s="125">
        <v>0</v>
      </c>
      <c r="R110" s="125">
        <v>0</v>
      </c>
      <c r="S110" s="125">
        <v>0</v>
      </c>
      <c r="T110" s="125">
        <v>0</v>
      </c>
      <c r="U110" s="125">
        <v>0</v>
      </c>
      <c r="V110" s="125">
        <v>0</v>
      </c>
      <c r="W110" s="125">
        <v>0</v>
      </c>
      <c r="X110" s="125">
        <v>0</v>
      </c>
      <c r="Y110" s="125">
        <v>0</v>
      </c>
      <c r="Z110" s="125">
        <v>0</v>
      </c>
      <c r="AA110" s="125">
        <v>0</v>
      </c>
      <c r="AB110" s="125">
        <v>0</v>
      </c>
      <c r="AC110" s="125">
        <v>0</v>
      </c>
      <c r="AD110" s="125">
        <v>0</v>
      </c>
      <c r="AE110" s="125">
        <v>0</v>
      </c>
      <c r="AF110" s="125">
        <v>0</v>
      </c>
      <c r="AG110" s="126">
        <v>0</v>
      </c>
      <c r="AH110" s="22"/>
    </row>
    <row r="111" spans="1:34" x14ac:dyDescent="0.25">
      <c r="A111" s="21"/>
      <c r="B111" s="27" t="s">
        <v>525</v>
      </c>
      <c r="C111" s="67" t="s">
        <v>65</v>
      </c>
      <c r="D111" s="266">
        <f t="shared" ref="D111:M111" si="54">1*10^-4*$B$5^2 + 0.1408*$B$5 + 0.0198</f>
        <v>1.4378000000000002</v>
      </c>
      <c r="E111" s="266">
        <f t="shared" si="54"/>
        <v>1.4378000000000002</v>
      </c>
      <c r="F111" s="266">
        <f t="shared" si="54"/>
        <v>1.4378000000000002</v>
      </c>
      <c r="G111" s="266">
        <f t="shared" si="54"/>
        <v>1.4378000000000002</v>
      </c>
      <c r="H111" s="266">
        <f t="shared" si="54"/>
        <v>1.4378000000000002</v>
      </c>
      <c r="I111" s="266">
        <f t="shared" si="54"/>
        <v>1.4378000000000002</v>
      </c>
      <c r="J111" s="266">
        <f t="shared" si="54"/>
        <v>1.4378000000000002</v>
      </c>
      <c r="K111" s="266">
        <f t="shared" si="54"/>
        <v>1.4378000000000002</v>
      </c>
      <c r="L111" s="266">
        <f t="shared" si="54"/>
        <v>1.4378000000000002</v>
      </c>
      <c r="M111" s="266">
        <f t="shared" si="54"/>
        <v>1.4378000000000002</v>
      </c>
      <c r="N111" s="125">
        <v>0</v>
      </c>
      <c r="O111" s="125">
        <v>0</v>
      </c>
      <c r="P111" s="125">
        <v>0</v>
      </c>
      <c r="Q111" s="125">
        <v>0</v>
      </c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5">
        <v>0</v>
      </c>
      <c r="Y111" s="125">
        <v>0</v>
      </c>
      <c r="Z111" s="125">
        <v>0</v>
      </c>
      <c r="AA111" s="125">
        <v>0</v>
      </c>
      <c r="AB111" s="125">
        <v>0</v>
      </c>
      <c r="AC111" s="125">
        <v>0</v>
      </c>
      <c r="AD111" s="125">
        <v>0</v>
      </c>
      <c r="AE111" s="125">
        <v>0</v>
      </c>
      <c r="AF111" s="125">
        <v>0</v>
      </c>
      <c r="AG111" s="126">
        <v>0</v>
      </c>
      <c r="AH111" s="22"/>
    </row>
    <row r="112" spans="1:34" x14ac:dyDescent="0.25">
      <c r="A112" s="21"/>
      <c r="B112" s="27" t="s">
        <v>531</v>
      </c>
      <c r="C112" s="67" t="s">
        <v>65</v>
      </c>
      <c r="D112" s="266">
        <f t="shared" ref="D112:M112" si="55">0.0001*$B$5^2 + 0.2112*$B$5 + 0.0296</f>
        <v>2.1515999999999997</v>
      </c>
      <c r="E112" s="266">
        <f t="shared" si="55"/>
        <v>2.1515999999999997</v>
      </c>
      <c r="F112" s="266">
        <f t="shared" si="55"/>
        <v>2.1515999999999997</v>
      </c>
      <c r="G112" s="266">
        <f t="shared" si="55"/>
        <v>2.1515999999999997</v>
      </c>
      <c r="H112" s="266">
        <f t="shared" si="55"/>
        <v>2.1515999999999997</v>
      </c>
      <c r="I112" s="266">
        <f t="shared" si="55"/>
        <v>2.1515999999999997</v>
      </c>
      <c r="J112" s="266">
        <f t="shared" si="55"/>
        <v>2.1515999999999997</v>
      </c>
      <c r="K112" s="266">
        <f t="shared" si="55"/>
        <v>2.1515999999999997</v>
      </c>
      <c r="L112" s="266">
        <f t="shared" si="55"/>
        <v>2.1515999999999997</v>
      </c>
      <c r="M112" s="266">
        <f t="shared" si="55"/>
        <v>2.1515999999999997</v>
      </c>
      <c r="N112" s="125">
        <v>0</v>
      </c>
      <c r="O112" s="125">
        <v>0</v>
      </c>
      <c r="P112" s="125">
        <v>0</v>
      </c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25">
        <v>0</v>
      </c>
      <c r="AD112" s="125">
        <v>0</v>
      </c>
      <c r="AE112" s="125">
        <v>0</v>
      </c>
      <c r="AF112" s="125">
        <v>0</v>
      </c>
      <c r="AG112" s="126">
        <v>0</v>
      </c>
      <c r="AH112" s="22"/>
    </row>
    <row r="113" spans="1:34" x14ac:dyDescent="0.25">
      <c r="A113" s="21"/>
      <c r="B113" s="27" t="s">
        <v>527</v>
      </c>
      <c r="C113" s="67" t="s">
        <v>65</v>
      </c>
      <c r="D113" s="266">
        <f t="shared" ref="D113:M113" si="56">0.0003*$B$5^2 + 0.4223*$B$5 + 0.0593</f>
        <v>4.3123000000000005</v>
      </c>
      <c r="E113" s="266">
        <f t="shared" si="56"/>
        <v>4.3123000000000005</v>
      </c>
      <c r="F113" s="266">
        <f t="shared" si="56"/>
        <v>4.3123000000000005</v>
      </c>
      <c r="G113" s="266">
        <f t="shared" si="56"/>
        <v>4.3123000000000005</v>
      </c>
      <c r="H113" s="266">
        <f t="shared" si="56"/>
        <v>4.3123000000000005</v>
      </c>
      <c r="I113" s="266">
        <f t="shared" si="56"/>
        <v>4.3123000000000005</v>
      </c>
      <c r="J113" s="266">
        <f t="shared" si="56"/>
        <v>4.3123000000000005</v>
      </c>
      <c r="K113" s="266">
        <f t="shared" si="56"/>
        <v>4.3123000000000005</v>
      </c>
      <c r="L113" s="266">
        <f t="shared" si="56"/>
        <v>4.3123000000000005</v>
      </c>
      <c r="M113" s="266">
        <f t="shared" si="56"/>
        <v>4.3123000000000005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25">
        <v>0</v>
      </c>
      <c r="AD113" s="125">
        <v>0</v>
      </c>
      <c r="AE113" s="125">
        <v>0</v>
      </c>
      <c r="AF113" s="125">
        <v>0</v>
      </c>
      <c r="AG113" s="126">
        <v>0</v>
      </c>
      <c r="AH113" s="22"/>
    </row>
    <row r="114" spans="1:34" x14ac:dyDescent="0.25">
      <c r="A114" s="21"/>
      <c r="B114" s="120" t="s">
        <v>520</v>
      </c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3"/>
      <c r="AH114" s="22"/>
    </row>
    <row r="115" spans="1:34" ht="25.5" x14ac:dyDescent="0.25">
      <c r="A115" s="21"/>
      <c r="B115" s="262" t="s">
        <v>294</v>
      </c>
      <c r="C115" s="67" t="s">
        <v>65</v>
      </c>
      <c r="D115" s="267">
        <f>-0.0028*$B$5^2 + 0.4844*$B$5 - 0.5547</f>
        <v>4.0092999999999996</v>
      </c>
      <c r="E115" s="267">
        <f>-0.0028*$B$5^2 + 0.4844*$B$5 - 0.5547</f>
        <v>4.0092999999999996</v>
      </c>
      <c r="F115" s="267">
        <f>-0.0028*$B$5^2 + 0.4844*$B$5 - 0.5547</f>
        <v>4.0092999999999996</v>
      </c>
      <c r="G115" s="125">
        <f>-0.026*$B$5^2 + 2.264*$B$5 - 5.2053</f>
        <v>14.834699999999994</v>
      </c>
      <c r="H115" s="125">
        <f>-0.026*$B$5^2 + 2.264*$B$5 - 5.2053</f>
        <v>14.834699999999994</v>
      </c>
      <c r="I115" s="125">
        <f>-0.026*$B$5^2 + 2.264*$B$5 - 5.2053</f>
        <v>14.834699999999994</v>
      </c>
      <c r="J115" s="267">
        <f>-0.0028*$B$5^2 + 0.4844*$B$5 - 0.5547</f>
        <v>4.0092999999999996</v>
      </c>
      <c r="K115" s="267">
        <f>-0.0028*$B$5^2 + 0.4844*$B$5 - 0.5547</f>
        <v>4.0092999999999996</v>
      </c>
      <c r="L115" s="125">
        <f>-0.026*$B$5^2 + 2.264*$B$5 - 5.2053</f>
        <v>14.834699999999994</v>
      </c>
      <c r="M115" s="125">
        <f>-0.026*$B$5^2 + 2.264*$B$5 - 5.2053</f>
        <v>14.834699999999994</v>
      </c>
      <c r="N115" s="125">
        <v>0</v>
      </c>
      <c r="O115" s="125">
        <v>0</v>
      </c>
      <c r="P115" s="125">
        <v>0</v>
      </c>
      <c r="Q115" s="125">
        <v>0</v>
      </c>
      <c r="R115" s="125">
        <v>0</v>
      </c>
      <c r="S115" s="125">
        <v>0</v>
      </c>
      <c r="T115" s="125">
        <v>0</v>
      </c>
      <c r="U115" s="125">
        <v>0</v>
      </c>
      <c r="V115" s="125">
        <v>0</v>
      </c>
      <c r="W115" s="125">
        <v>0</v>
      </c>
      <c r="X115" s="125">
        <f>-0.0018*$B$5^2 + 0.426*$B$5 - 0.3558</f>
        <v>3.7242000000000002</v>
      </c>
      <c r="Y115" s="125">
        <f>-0.0018*$B$5^2 + 0.426*$B$5 - 0.3558</f>
        <v>3.7242000000000002</v>
      </c>
      <c r="Z115" s="125">
        <f>-0.0018*$B$5^2 + 0.426*$B$5 - 0.3558</f>
        <v>3.7242000000000002</v>
      </c>
      <c r="AA115" s="125">
        <f>-0.0291*$B$5^2 + 2.4718*$B$5 - 5.8065</f>
        <v>16.0015</v>
      </c>
      <c r="AB115" s="125">
        <f>-0.0291*$B$5^2 + 2.4718*$B$5 - 5.8065</f>
        <v>16.0015</v>
      </c>
      <c r="AC115" s="125">
        <f>-0.0291*$B$5^2 + 2.4718*$B$5 - 5.8065</f>
        <v>16.0015</v>
      </c>
      <c r="AD115" s="125">
        <f>-0.0018*$B$5^2 + 0.426*$B$5 - 0.3558</f>
        <v>3.7242000000000002</v>
      </c>
      <c r="AE115" s="125">
        <f>-0.0018*$B$5^2 + 0.426*$B$5 - 0.3558</f>
        <v>3.7242000000000002</v>
      </c>
      <c r="AF115" s="125">
        <f>-0.0291*$B$5^2 + 2.4718*$B$5 - 5.8065</f>
        <v>16.0015</v>
      </c>
      <c r="AG115" s="126">
        <f>-0.0291*$B$5^2 + 2.4718*$B$5 - 5.8065</f>
        <v>16.0015</v>
      </c>
      <c r="AH115" s="22"/>
    </row>
    <row r="116" spans="1:34" x14ac:dyDescent="0.25">
      <c r="A116" s="21"/>
      <c r="B116" s="262" t="s">
        <v>290</v>
      </c>
      <c r="C116" s="67" t="s">
        <v>63</v>
      </c>
      <c r="D116" s="267">
        <f>-0.0011*$B$5^2 + 0.1938*$B$5 - 0.2219</f>
        <v>1.6060999999999999</v>
      </c>
      <c r="E116" s="267">
        <f>-0.0011*$B$5^2 + 0.1938*$B$5 - 0.2219</f>
        <v>1.6060999999999999</v>
      </c>
      <c r="F116" s="267">
        <f>-0.0011*$B$5^2 + 0.1938*$B$5 - 0.2219</f>
        <v>1.6060999999999999</v>
      </c>
      <c r="G116" s="125">
        <f>-0.0104*$B$5^2 + 0.9056*$B$5 - 2.0821</f>
        <v>5.9338999999999977</v>
      </c>
      <c r="H116" s="125">
        <f>-0.0104*$B$5^2 + 0.9056*$B$5 - 2.0821</f>
        <v>5.9338999999999977</v>
      </c>
      <c r="I116" s="125">
        <f>-0.0104*$B$5^2 + 0.9056*$B$5 - 2.0821</f>
        <v>5.9338999999999977</v>
      </c>
      <c r="J116" s="267">
        <f>-0.0011*$B$5^2 + 0.1938*$B$5 - 0.2219</f>
        <v>1.6060999999999999</v>
      </c>
      <c r="K116" s="267">
        <f>-0.0011*$B$5^2 + 0.1938*$B$5 - 0.2219</f>
        <v>1.6060999999999999</v>
      </c>
      <c r="L116" s="125">
        <f>-0.0104*$B$5^2 + 0.9056*$B$5 - 2.0821</f>
        <v>5.9338999999999977</v>
      </c>
      <c r="M116" s="125">
        <f>-0.0104*$B$5^2 + 0.9056*$B$5 - 2.0821</f>
        <v>5.9338999999999977</v>
      </c>
      <c r="N116" s="125">
        <v>0</v>
      </c>
      <c r="O116" s="125">
        <v>0</v>
      </c>
      <c r="P116" s="125">
        <v>0</v>
      </c>
      <c r="Q116" s="125">
        <v>0</v>
      </c>
      <c r="R116" s="125">
        <v>0</v>
      </c>
      <c r="S116" s="125">
        <v>0</v>
      </c>
      <c r="T116" s="125">
        <v>0</v>
      </c>
      <c r="U116" s="125">
        <v>0</v>
      </c>
      <c r="V116" s="125">
        <v>0</v>
      </c>
      <c r="W116" s="125">
        <v>0</v>
      </c>
      <c r="X116" s="125">
        <f>-0.0007*$B$5^2 + 0.1704*$B$5 - 0.1423</f>
        <v>1.4916999999999998</v>
      </c>
      <c r="Y116" s="125">
        <f>-0.0007*$B$5^2 + 0.1704*$B$5 - 0.1423</f>
        <v>1.4916999999999998</v>
      </c>
      <c r="Z116" s="125">
        <f>-0.0007*$B$5^2 + 0.1704*$B$5 - 0.1423</f>
        <v>1.4916999999999998</v>
      </c>
      <c r="AA116" s="125">
        <f>-0.0116*$B$5^2 + 0.9887*$B$5 - 2.3226</f>
        <v>6.4044000000000008</v>
      </c>
      <c r="AB116" s="125">
        <f>-0.0116*$B$5^2 + 0.9887*$B$5 - 2.3226</f>
        <v>6.4044000000000008</v>
      </c>
      <c r="AC116" s="125">
        <f>-0.0116*$B$5^2 + 0.9887*$B$5 - 2.3226</f>
        <v>6.4044000000000008</v>
      </c>
      <c r="AD116" s="125">
        <f>-0.0007*$B$5^2 + 0.1704*$B$5 - 0.1423</f>
        <v>1.4916999999999998</v>
      </c>
      <c r="AE116" s="125">
        <f>-0.0007*$B$5^2 + 0.1704*$B$5 - 0.1423</f>
        <v>1.4916999999999998</v>
      </c>
      <c r="AF116" s="125">
        <f>-0.0116*$B$5^2 + 0.9887*$B$5 - 2.3226</f>
        <v>6.4044000000000008</v>
      </c>
      <c r="AG116" s="126">
        <f>-0.0116*$B$5^2 + 0.9887*$B$5 - 2.3226</f>
        <v>6.4044000000000008</v>
      </c>
      <c r="AH116" s="22"/>
    </row>
    <row r="117" spans="1:34" ht="25.5" x14ac:dyDescent="0.25">
      <c r="A117" s="21"/>
      <c r="B117" s="262" t="s">
        <v>295</v>
      </c>
      <c r="C117" s="67" t="s">
        <v>57</v>
      </c>
      <c r="D117" s="267">
        <f>-0.0125*$B$5^2 + 0.9411*$B$5 - 2.4971</f>
        <v>5.6639000000000017</v>
      </c>
      <c r="E117" s="267">
        <f>-0.0125*$B$5^2 + 0.9411*$B$5 - 2.4971</f>
        <v>5.6639000000000017</v>
      </c>
      <c r="F117" s="267">
        <f>-0.0125*$B$5^2 + 0.9411*$B$5 - 2.4971</f>
        <v>5.6639000000000017</v>
      </c>
      <c r="G117" s="125">
        <f>-0.193*$B$5^2 + 14.811*$B$5 - 38.604</f>
        <v>90.206000000000003</v>
      </c>
      <c r="H117" s="125">
        <f>-0.193*$B$5^2 + 14.811*$B$5 - 38.604</f>
        <v>90.206000000000003</v>
      </c>
      <c r="I117" s="125">
        <f>-0.193*$B$5^2 + 14.811*$B$5 - 38.604</f>
        <v>90.206000000000003</v>
      </c>
      <c r="J117" s="267">
        <f>-0.0125*$B$5^2 + 0.9411*$B$5 - 2.4971</f>
        <v>5.6639000000000017</v>
      </c>
      <c r="K117" s="267">
        <f>-0.0125*$B$5^2 + 0.9411*$B$5 - 2.4971</f>
        <v>5.6639000000000017</v>
      </c>
      <c r="L117" s="125">
        <f>-0.193*$B$5^2 + 14.811*$B$5 - 38.604</f>
        <v>90.206000000000003</v>
      </c>
      <c r="M117" s="125">
        <f>-0.193*$B$5^2 + 14.811*$B$5 - 38.604</f>
        <v>90.206000000000003</v>
      </c>
      <c r="N117" s="125">
        <v>0</v>
      </c>
      <c r="O117" s="125">
        <v>0</v>
      </c>
      <c r="P117" s="125">
        <v>0</v>
      </c>
      <c r="Q117" s="125">
        <v>0</v>
      </c>
      <c r="R117" s="125">
        <v>0</v>
      </c>
      <c r="S117" s="125">
        <v>0</v>
      </c>
      <c r="T117" s="125">
        <v>0</v>
      </c>
      <c r="U117" s="125">
        <v>0</v>
      </c>
      <c r="V117" s="125">
        <v>0</v>
      </c>
      <c r="W117" s="125">
        <v>0</v>
      </c>
      <c r="X117" s="125">
        <f>-0.0116*$B$5^2 + 0.894*$B$5 - 2.32</f>
        <v>5.4599999999999991</v>
      </c>
      <c r="Y117" s="125">
        <f>-0.0116*$B$5^2 + 0.894*$B$5 - 2.32</f>
        <v>5.4599999999999991</v>
      </c>
      <c r="Z117" s="125">
        <f>-0.0116*$B$5^2 + 0.894*$B$5 - 2.32</f>
        <v>5.4599999999999991</v>
      </c>
      <c r="AA117" s="125">
        <f>-0.2358*$B$5^2 + 17.764*$B$5 - 47.012</f>
        <v>107.04799999999997</v>
      </c>
      <c r="AB117" s="125">
        <f>-0.2358*$B$5^2 + 17.764*$B$5 - 47.012</f>
        <v>107.04799999999997</v>
      </c>
      <c r="AC117" s="125">
        <f>-0.2358*$B$5^2 + 17.764*$B$5 - 47.012</f>
        <v>107.04799999999997</v>
      </c>
      <c r="AD117" s="125">
        <f>-0.0116*$B$5^2 + 0.894*$B$5 - 2.32</f>
        <v>5.4599999999999991</v>
      </c>
      <c r="AE117" s="125">
        <f>-0.0116*$B$5^2 + 0.894*$B$5 - 2.32</f>
        <v>5.4599999999999991</v>
      </c>
      <c r="AF117" s="125">
        <f>-0.2358*$B$5^2 + 17.764*$B$5 - 47.012</f>
        <v>107.04799999999997</v>
      </c>
      <c r="AG117" s="126">
        <f>-0.2358*$B$5^2 + 17.764*$B$5 - 47.012</f>
        <v>107.04799999999997</v>
      </c>
      <c r="AH117" s="22"/>
    </row>
    <row r="118" spans="1:34" x14ac:dyDescent="0.25">
      <c r="A118" s="21"/>
      <c r="B118" s="27" t="s">
        <v>305</v>
      </c>
      <c r="C118" s="67" t="s">
        <v>63</v>
      </c>
      <c r="D118" s="267">
        <f>-0.1771*$B$5^2 + 55.761*$B$5 - 35.424</f>
        <v>504.476</v>
      </c>
      <c r="E118" s="267">
        <f>-0.1771*$B$5^2 + 55.761*$B$5 - 35.424</f>
        <v>504.476</v>
      </c>
      <c r="F118" s="267">
        <f>-0.1771*$B$5^2 + 55.761*$B$5 - 35.424</f>
        <v>504.476</v>
      </c>
      <c r="G118" s="125">
        <f>-0.0886*$B$5^2 + 27.881*$B$5 - 17.712</f>
        <v>252.238</v>
      </c>
      <c r="H118" s="125">
        <f>-0.0886*$B$5^2 + 27.881*$B$5 - 17.712</f>
        <v>252.238</v>
      </c>
      <c r="I118" s="125">
        <f>-0.0886*$B$5^2 + 27.881*$B$5 - 17.712</f>
        <v>252.238</v>
      </c>
      <c r="J118" s="267">
        <f>-0.1771*$B$5^2 + 55.761*$B$5 - 35.424</f>
        <v>504.476</v>
      </c>
      <c r="K118" s="267">
        <f>-0.1771*$B$5^2 + 55.761*$B$5 - 35.424</f>
        <v>504.476</v>
      </c>
      <c r="L118" s="125">
        <f>-0.0886*$B$5^2 + 27.881*$B$5 - 17.712</f>
        <v>252.238</v>
      </c>
      <c r="M118" s="125">
        <f>-0.0886*$B$5^2 + 27.881*$B$5 - 17.712</f>
        <v>252.238</v>
      </c>
      <c r="N118" s="125">
        <v>0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0</v>
      </c>
      <c r="U118" s="125">
        <v>0</v>
      </c>
      <c r="V118" s="125">
        <v>0</v>
      </c>
      <c r="W118" s="125">
        <v>0</v>
      </c>
      <c r="X118" s="125">
        <f>-0.1771*$B$5^2 + 55.761*$B$5 - 35.424</f>
        <v>504.476</v>
      </c>
      <c r="Y118" s="125">
        <f>-0.1771*$B$5^2 + 55.761*$B$5 - 35.424</f>
        <v>504.476</v>
      </c>
      <c r="Z118" s="125">
        <f>-0.1771*$B$5^2 + 55.761*$B$5 - 35.424</f>
        <v>504.476</v>
      </c>
      <c r="AA118" s="125">
        <f>-0.0886*$B$5^2 + 27.881*$B$5 - 17.712</f>
        <v>252.238</v>
      </c>
      <c r="AB118" s="125">
        <f>-0.0886*$B$5^2 + 27.881*$B$5 - 17.712</f>
        <v>252.238</v>
      </c>
      <c r="AC118" s="125">
        <f>-0.0886*$B$5^2 + 27.881*$B$5 - 17.712</f>
        <v>252.238</v>
      </c>
      <c r="AD118" s="125">
        <f>-0.1771*$B$5^2 + 55.761*$B$5 - 35.424</f>
        <v>504.476</v>
      </c>
      <c r="AE118" s="125">
        <f>-0.1771*$B$5^2 + 55.761*$B$5 - 35.424</f>
        <v>504.476</v>
      </c>
      <c r="AF118" s="125">
        <f>-0.0886*$B$5^2 + 27.881*$B$5 - 17.712</f>
        <v>252.238</v>
      </c>
      <c r="AG118" s="126">
        <f>-0.0886*$B$5^2 + 27.881*$B$5 - 17.712</f>
        <v>252.238</v>
      </c>
      <c r="AH118" s="22"/>
    </row>
    <row r="119" spans="1:34" x14ac:dyDescent="0.25">
      <c r="A119" s="21"/>
      <c r="B119" s="27" t="s">
        <v>465</v>
      </c>
      <c r="C119" s="67" t="s">
        <v>63</v>
      </c>
      <c r="D119" s="267">
        <f>-3.2288*$B$5^2 + 267.65*$B$5 - 645.76</f>
        <v>1707.86</v>
      </c>
      <c r="E119" s="267">
        <f>-3.2288*$B$5^2 + 267.65*$B$5 - 645.76</f>
        <v>1707.86</v>
      </c>
      <c r="F119" s="267">
        <f>-3.2288*$B$5^2 + 267.65*$B$5 - 645.76</f>
        <v>1707.86</v>
      </c>
      <c r="G119" s="125">
        <f>-0.3885*$B$5^2 + 35.386*$B$5 - 77.7</f>
        <v>237.31</v>
      </c>
      <c r="H119" s="125">
        <f>-0.3885*$B$5^2 + 35.386*$B$5 - 77.7</f>
        <v>237.31</v>
      </c>
      <c r="I119" s="125">
        <f>-0.3885*$B$5^2 + 35.386*$B$5 - 77.7</f>
        <v>237.31</v>
      </c>
      <c r="J119" s="267">
        <f>-3.2288*$B$5^2 + 267.65*$B$5 - 645.76</f>
        <v>1707.86</v>
      </c>
      <c r="K119" s="267">
        <f>-3.2288*$B$5^2 + 267.65*$B$5 - 645.76</f>
        <v>1707.86</v>
      </c>
      <c r="L119" s="125">
        <f>-0.3885*$B$5^2 + 35.386*$B$5 - 77.7</f>
        <v>237.31</v>
      </c>
      <c r="M119" s="125">
        <f>-0.3885*$B$5^2 + 35.386*$B$5 - 77.7</f>
        <v>237.31</v>
      </c>
      <c r="N119" s="125">
        <v>0</v>
      </c>
      <c r="O119" s="125">
        <v>0</v>
      </c>
      <c r="P119" s="125">
        <v>0</v>
      </c>
      <c r="Q119" s="125">
        <v>0</v>
      </c>
      <c r="R119" s="125">
        <v>0</v>
      </c>
      <c r="S119" s="125">
        <v>0</v>
      </c>
      <c r="T119" s="125">
        <v>0</v>
      </c>
      <c r="U119" s="125">
        <v>0</v>
      </c>
      <c r="V119" s="125">
        <v>0</v>
      </c>
      <c r="W119" s="125">
        <v>0</v>
      </c>
      <c r="X119" s="125">
        <f>-3.8415*$B$5^2 + 314.97*$B$5 - 768.3</f>
        <v>1997.2500000000002</v>
      </c>
      <c r="Y119" s="125">
        <f>-3.8415*$B$5^2 + 314.97*$B$5 - 768.3</f>
        <v>1997.2500000000002</v>
      </c>
      <c r="Z119" s="125">
        <f>-3.8415*$B$5^2 + 314.97*$B$5 - 768.3</f>
        <v>1997.2500000000002</v>
      </c>
      <c r="AA119" s="125">
        <f>-0.2751*$B$5^2 + 32.65*$B$5 - 55.024</f>
        <v>243.96600000000001</v>
      </c>
      <c r="AB119" s="125">
        <f>-0.2751*$B$5^2 + 32.65*$B$5 - 55.024</f>
        <v>243.96600000000001</v>
      </c>
      <c r="AC119" s="125">
        <f>-0.2751*$B$5^2 + 32.65*$B$5 - 55.024</f>
        <v>243.96600000000001</v>
      </c>
      <c r="AD119" s="125">
        <f>-3.8415*$B$5^2 + 314.97*$B$5 - 768.3</f>
        <v>1997.2500000000002</v>
      </c>
      <c r="AE119" s="125">
        <f>-3.8415*$B$5^2 + 314.97*$B$5 - 768.3</f>
        <v>1997.2500000000002</v>
      </c>
      <c r="AF119" s="125">
        <f>-0.2751*$B$5^2 + 32.65*$B$5 - 55.024</f>
        <v>243.96600000000001</v>
      </c>
      <c r="AG119" s="126">
        <f>-0.2751*$B$5^2 + 32.65*$B$5 - 55.024</f>
        <v>243.96600000000001</v>
      </c>
      <c r="AH119" s="22"/>
    </row>
    <row r="120" spans="1:34" x14ac:dyDescent="0.25">
      <c r="A120" s="21"/>
      <c r="B120" s="27" t="s">
        <v>522</v>
      </c>
      <c r="C120" s="67" t="s">
        <v>63</v>
      </c>
      <c r="D120" s="267">
        <f>-1.3624*$B$5^2 + 129.36*$B$5 - 272.48</f>
        <v>884.88000000000011</v>
      </c>
      <c r="E120" s="267">
        <f>-1.3624*$B$5^2 + 129.36*$B$5 - 272.48</f>
        <v>884.88000000000011</v>
      </c>
      <c r="F120" s="267">
        <f>-1.3624*$B$5^2 + 129.36*$B$5 - 272.48</f>
        <v>884.88000000000011</v>
      </c>
      <c r="G120" s="125">
        <f>-0.1908*$B$5^2 + 25.307*$B$5 - 38.165</f>
        <v>195.82500000000002</v>
      </c>
      <c r="H120" s="125">
        <f>-0.1908*$B$5^2 + 25.307*$B$5 - 38.165</f>
        <v>195.82500000000002</v>
      </c>
      <c r="I120" s="125">
        <f>-0.1908*$B$5^2 + 25.307*$B$5 - 38.165</f>
        <v>195.82500000000002</v>
      </c>
      <c r="J120" s="267">
        <f>-1.3624*$B$5^2 + 129.36*$B$5 - 272.48</f>
        <v>884.88000000000011</v>
      </c>
      <c r="K120" s="267">
        <f>-1.3624*$B$5^2 + 129.36*$B$5 - 272.48</f>
        <v>884.88000000000011</v>
      </c>
      <c r="L120" s="125">
        <f>-0.1908*$B$5^2 + 25.307*$B$5 - 38.165</f>
        <v>195.82500000000002</v>
      </c>
      <c r="M120" s="125">
        <f>-0.1908*$B$5^2 + 25.307*$B$5 - 38.165</f>
        <v>195.82500000000002</v>
      </c>
      <c r="N120" s="125">
        <v>0</v>
      </c>
      <c r="O120" s="125">
        <v>0</v>
      </c>
      <c r="P120" s="125">
        <v>0</v>
      </c>
      <c r="Q120" s="125">
        <v>0</v>
      </c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5">
        <f>-1.6074*$B$5^2 + 148.29*$B$5 - 321.49</f>
        <v>1000.6699999999998</v>
      </c>
      <c r="Y120" s="125">
        <f>-1.6074*$B$5^2 + 148.29*$B$5 - 321.49</f>
        <v>1000.6699999999998</v>
      </c>
      <c r="Z120" s="125">
        <f>-1.6074*$B$5^2 + 148.29*$B$5 - 321.49</f>
        <v>1000.6699999999998</v>
      </c>
      <c r="AA120" s="125">
        <f>-0.1455*$B$5^2 + 24.212*$B$5 - 29.094</f>
        <v>198.476</v>
      </c>
      <c r="AB120" s="125">
        <f>-0.1455*$B$5^2 + 24.212*$B$5 - 29.094</f>
        <v>198.476</v>
      </c>
      <c r="AC120" s="125">
        <f>-0.1455*$B$5^2 + 24.212*$B$5 - 29.094</f>
        <v>198.476</v>
      </c>
      <c r="AD120" s="125">
        <f>-1.6074*$B$5^2 + 148.29*$B$5 - 321.49</f>
        <v>1000.6699999999998</v>
      </c>
      <c r="AE120" s="125">
        <f>-1.6074*$B$5^2 + 148.29*$B$5 - 321.49</f>
        <v>1000.6699999999998</v>
      </c>
      <c r="AF120" s="125">
        <f>-0.1455*$B$5^2 + 24.212*$B$5 - 29.094</f>
        <v>198.476</v>
      </c>
      <c r="AG120" s="126">
        <f>-0.1455*$B$5^2 + 24.212*$B$5 - 29.094</f>
        <v>198.476</v>
      </c>
      <c r="AH120" s="22"/>
    </row>
    <row r="121" spans="1:34" ht="25.5" x14ac:dyDescent="0.25">
      <c r="A121" s="21"/>
      <c r="B121" s="27" t="s">
        <v>516</v>
      </c>
      <c r="C121" s="67" t="s">
        <v>57</v>
      </c>
      <c r="D121" s="267">
        <f t="shared" ref="D121:F122" si="57">-0.1771*$B$5^2 + 16.345*$B$5 - 35.422</f>
        <v>110.31799999999998</v>
      </c>
      <c r="E121" s="267">
        <f t="shared" si="57"/>
        <v>110.31799999999998</v>
      </c>
      <c r="F121" s="267">
        <f t="shared" si="57"/>
        <v>110.31799999999998</v>
      </c>
      <c r="G121" s="125">
        <f t="shared" ref="G121:I122" si="58">-0.024*$B$5^2 + 2.9914*$B$5 - 4.8067</f>
        <v>22.707300000000004</v>
      </c>
      <c r="H121" s="125">
        <f t="shared" si="58"/>
        <v>22.707300000000004</v>
      </c>
      <c r="I121" s="125">
        <f t="shared" si="58"/>
        <v>22.707300000000004</v>
      </c>
      <c r="J121" s="267">
        <f>-0.1771*$B$5^2 + 16.345*$B$5 - 35.422</f>
        <v>110.31799999999998</v>
      </c>
      <c r="K121" s="267">
        <f>-0.1771*$B$5^2 + 16.345*$B$5 - 35.422</f>
        <v>110.31799999999998</v>
      </c>
      <c r="L121" s="125">
        <f>-0.024*$B$5^2 + 2.9914*$B$5 - 4.8067</f>
        <v>22.707300000000004</v>
      </c>
      <c r="M121" s="125">
        <f>-0.024*$B$5^2 + 2.9914*$B$5 - 4.8067</f>
        <v>22.707300000000004</v>
      </c>
      <c r="N121" s="125">
        <v>0</v>
      </c>
      <c r="O121" s="125">
        <v>0</v>
      </c>
      <c r="P121" s="125">
        <v>0</v>
      </c>
      <c r="Q121" s="125">
        <v>0</v>
      </c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5">
        <f t="shared" ref="X121:Z122" si="59">-0.2094*$B$5^2 + 18.835*$B$5 - 41.871</f>
        <v>125.53900000000002</v>
      </c>
      <c r="Y121" s="125">
        <f t="shared" si="59"/>
        <v>125.53900000000002</v>
      </c>
      <c r="Z121" s="125">
        <f t="shared" si="59"/>
        <v>125.53900000000002</v>
      </c>
      <c r="AA121" s="125">
        <f t="shared" ref="AA121:AC122" si="60">-0.0181*$B$5^2 + 2.8474*$B$5 - 3.6132</f>
        <v>23.050800000000002</v>
      </c>
      <c r="AB121" s="125">
        <f t="shared" si="60"/>
        <v>23.050800000000002</v>
      </c>
      <c r="AC121" s="125">
        <f t="shared" si="60"/>
        <v>23.050800000000002</v>
      </c>
      <c r="AD121" s="125">
        <f>-0.2094*$B$5^2 + 18.835*$B$5 - 41.871</f>
        <v>125.53900000000002</v>
      </c>
      <c r="AE121" s="125">
        <f>-0.2094*$B$5^2 + 18.835*$B$5 - 41.871</f>
        <v>125.53900000000002</v>
      </c>
      <c r="AF121" s="125">
        <f>-0.0181*$B$5^2 + 2.8474*$B$5 - 3.6132</f>
        <v>23.050800000000002</v>
      </c>
      <c r="AG121" s="126">
        <f>-0.0181*$B$5^2 + 2.8474*$B$5 - 3.6132</f>
        <v>23.050800000000002</v>
      </c>
      <c r="AH121" s="22"/>
    </row>
    <row r="122" spans="1:34" ht="25.5" x14ac:dyDescent="0.25">
      <c r="A122" s="21"/>
      <c r="B122" s="27" t="s">
        <v>517</v>
      </c>
      <c r="C122" s="67" t="s">
        <v>57</v>
      </c>
      <c r="D122" s="267">
        <f t="shared" si="57"/>
        <v>110.31799999999998</v>
      </c>
      <c r="E122" s="267">
        <f t="shared" si="57"/>
        <v>110.31799999999998</v>
      </c>
      <c r="F122" s="267">
        <f t="shared" si="57"/>
        <v>110.31799999999998</v>
      </c>
      <c r="G122" s="125">
        <f t="shared" si="58"/>
        <v>22.707300000000004</v>
      </c>
      <c r="H122" s="125">
        <f t="shared" si="58"/>
        <v>22.707300000000004</v>
      </c>
      <c r="I122" s="125">
        <f t="shared" si="58"/>
        <v>22.707300000000004</v>
      </c>
      <c r="J122" s="267">
        <f>-0.1771*$B$5^2 + 16.345*$B$5 - 35.422</f>
        <v>110.31799999999998</v>
      </c>
      <c r="K122" s="267">
        <f>-0.1771*$B$5^2 + 16.345*$B$5 - 35.422</f>
        <v>110.31799999999998</v>
      </c>
      <c r="L122" s="125">
        <f>-0.024*$B$5^2 + 2.9914*$B$5 - 4.8067</f>
        <v>22.707300000000004</v>
      </c>
      <c r="M122" s="125">
        <f>-0.024*$B$5^2 + 2.9914*$B$5 - 4.8067</f>
        <v>22.707300000000004</v>
      </c>
      <c r="N122" s="125">
        <v>0</v>
      </c>
      <c r="O122" s="125">
        <v>0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5">
        <v>0</v>
      </c>
      <c r="V122" s="125">
        <v>0</v>
      </c>
      <c r="W122" s="125">
        <v>0</v>
      </c>
      <c r="X122" s="125">
        <f t="shared" si="59"/>
        <v>125.53900000000002</v>
      </c>
      <c r="Y122" s="125">
        <f t="shared" si="59"/>
        <v>125.53900000000002</v>
      </c>
      <c r="Z122" s="125">
        <f t="shared" si="59"/>
        <v>125.53900000000002</v>
      </c>
      <c r="AA122" s="125">
        <f t="shared" si="60"/>
        <v>23.050800000000002</v>
      </c>
      <c r="AB122" s="125">
        <f t="shared" si="60"/>
        <v>23.050800000000002</v>
      </c>
      <c r="AC122" s="125">
        <f t="shared" si="60"/>
        <v>23.050800000000002</v>
      </c>
      <c r="AD122" s="125">
        <f>-0.2094*$B$5^2 + 18.835*$B$5 - 41.871</f>
        <v>125.53900000000002</v>
      </c>
      <c r="AE122" s="125">
        <f>-0.2094*$B$5^2 + 18.835*$B$5 - 41.871</f>
        <v>125.53900000000002</v>
      </c>
      <c r="AF122" s="125">
        <f>-0.0181*$B$5^2 + 2.8474*$B$5 - 3.6132</f>
        <v>23.050800000000002</v>
      </c>
      <c r="AG122" s="126">
        <f>-0.0181*$B$5^2 + 2.8474*$B$5 - 3.6132</f>
        <v>23.050800000000002</v>
      </c>
      <c r="AH122" s="22"/>
    </row>
    <row r="123" spans="1:34" x14ac:dyDescent="0.25">
      <c r="A123" s="21"/>
      <c r="B123" s="27" t="s">
        <v>532</v>
      </c>
      <c r="C123" s="67" t="s">
        <v>65</v>
      </c>
      <c r="D123" s="267">
        <f t="shared" ref="D123:M123" si="61">-0.0001*$B$5^2 + 0.0423*$B$5 - 0.0269</f>
        <v>0.3861</v>
      </c>
      <c r="E123" s="267">
        <f t="shared" si="61"/>
        <v>0.3861</v>
      </c>
      <c r="F123" s="267">
        <f t="shared" si="61"/>
        <v>0.3861</v>
      </c>
      <c r="G123" s="267">
        <f t="shared" si="61"/>
        <v>0.3861</v>
      </c>
      <c r="H123" s="267">
        <f t="shared" si="61"/>
        <v>0.3861</v>
      </c>
      <c r="I123" s="267">
        <f t="shared" si="61"/>
        <v>0.3861</v>
      </c>
      <c r="J123" s="267">
        <f t="shared" si="61"/>
        <v>0.3861</v>
      </c>
      <c r="K123" s="267">
        <f t="shared" si="61"/>
        <v>0.3861</v>
      </c>
      <c r="L123" s="267">
        <f t="shared" si="61"/>
        <v>0.3861</v>
      </c>
      <c r="M123" s="267">
        <f t="shared" si="61"/>
        <v>0.3861</v>
      </c>
      <c r="N123" s="125">
        <v>0</v>
      </c>
      <c r="O123" s="125">
        <v>0</v>
      </c>
      <c r="P123" s="125">
        <v>0</v>
      </c>
      <c r="Q123" s="125">
        <v>0</v>
      </c>
      <c r="R123" s="125">
        <v>0</v>
      </c>
      <c r="S123" s="125">
        <v>0</v>
      </c>
      <c r="T123" s="125">
        <v>0</v>
      </c>
      <c r="U123" s="125">
        <v>0</v>
      </c>
      <c r="V123" s="125">
        <v>0</v>
      </c>
      <c r="W123" s="125">
        <v>0</v>
      </c>
      <c r="X123" s="125">
        <f t="shared" ref="X123:AG123" si="62">-0.0001*$B$5^2 + 0.0423*$B$5 - 0.0269</f>
        <v>0.3861</v>
      </c>
      <c r="Y123" s="125">
        <f t="shared" si="62"/>
        <v>0.3861</v>
      </c>
      <c r="Z123" s="125">
        <f t="shared" si="62"/>
        <v>0.3861</v>
      </c>
      <c r="AA123" s="125">
        <f t="shared" si="62"/>
        <v>0.3861</v>
      </c>
      <c r="AB123" s="125">
        <f t="shared" si="62"/>
        <v>0.3861</v>
      </c>
      <c r="AC123" s="125">
        <f t="shared" si="62"/>
        <v>0.3861</v>
      </c>
      <c r="AD123" s="125">
        <f t="shared" si="62"/>
        <v>0.3861</v>
      </c>
      <c r="AE123" s="125">
        <f t="shared" si="62"/>
        <v>0.3861</v>
      </c>
      <c r="AF123" s="125">
        <f t="shared" si="62"/>
        <v>0.3861</v>
      </c>
      <c r="AG123" s="126">
        <f t="shared" si="62"/>
        <v>0.3861</v>
      </c>
      <c r="AH123" s="22"/>
    </row>
    <row r="124" spans="1:34" x14ac:dyDescent="0.25">
      <c r="A124" s="21"/>
      <c r="B124" s="27" t="s">
        <v>529</v>
      </c>
      <c r="C124" s="67" t="s">
        <v>65</v>
      </c>
      <c r="D124" s="267">
        <f t="shared" ref="D124:M125" si="63">-0.0003*$B$5^2 + 0.0847*$B$5 - 0.0538</f>
        <v>0.76319999999999999</v>
      </c>
      <c r="E124" s="267">
        <f t="shared" si="63"/>
        <v>0.76319999999999999</v>
      </c>
      <c r="F124" s="267">
        <f t="shared" si="63"/>
        <v>0.76319999999999999</v>
      </c>
      <c r="G124" s="267">
        <f t="shared" si="63"/>
        <v>0.76319999999999999</v>
      </c>
      <c r="H124" s="267">
        <f t="shared" si="63"/>
        <v>0.76319999999999999</v>
      </c>
      <c r="I124" s="267">
        <f t="shared" si="63"/>
        <v>0.76319999999999999</v>
      </c>
      <c r="J124" s="267">
        <f t="shared" si="63"/>
        <v>0.76319999999999999</v>
      </c>
      <c r="K124" s="267">
        <f t="shared" si="63"/>
        <v>0.76319999999999999</v>
      </c>
      <c r="L124" s="267">
        <f t="shared" si="63"/>
        <v>0.76319999999999999</v>
      </c>
      <c r="M124" s="267">
        <f t="shared" si="63"/>
        <v>0.76319999999999999</v>
      </c>
      <c r="N124" s="125">
        <v>0</v>
      </c>
      <c r="O124" s="125">
        <v>0</v>
      </c>
      <c r="P124" s="125">
        <v>0</v>
      </c>
      <c r="Q124" s="125">
        <v>0</v>
      </c>
      <c r="R124" s="125">
        <v>0</v>
      </c>
      <c r="S124" s="125">
        <v>0</v>
      </c>
      <c r="T124" s="125">
        <v>0</v>
      </c>
      <c r="U124" s="125">
        <v>0</v>
      </c>
      <c r="V124" s="125">
        <v>0</v>
      </c>
      <c r="W124" s="125">
        <v>0</v>
      </c>
      <c r="X124" s="125">
        <f t="shared" ref="X124:AG125" si="64">-0.0003*$B$5^2 + 0.0847*$B$5 - 0.0538</f>
        <v>0.76319999999999999</v>
      </c>
      <c r="Y124" s="125">
        <f t="shared" si="64"/>
        <v>0.76319999999999999</v>
      </c>
      <c r="Z124" s="125">
        <f t="shared" si="64"/>
        <v>0.76319999999999999</v>
      </c>
      <c r="AA124" s="125">
        <f t="shared" si="64"/>
        <v>0.76319999999999999</v>
      </c>
      <c r="AB124" s="125">
        <f t="shared" si="64"/>
        <v>0.76319999999999999</v>
      </c>
      <c r="AC124" s="125">
        <f t="shared" si="64"/>
        <v>0.76319999999999999</v>
      </c>
      <c r="AD124" s="125">
        <f t="shared" si="64"/>
        <v>0.76319999999999999</v>
      </c>
      <c r="AE124" s="125">
        <f t="shared" si="64"/>
        <v>0.76319999999999999</v>
      </c>
      <c r="AF124" s="125">
        <f t="shared" si="64"/>
        <v>0.76319999999999999</v>
      </c>
      <c r="AG124" s="126">
        <f t="shared" si="64"/>
        <v>0.76319999999999999</v>
      </c>
      <c r="AH124" s="22"/>
    </row>
    <row r="125" spans="1:34" x14ac:dyDescent="0.25">
      <c r="A125" s="21"/>
      <c r="B125" s="27" t="s">
        <v>526</v>
      </c>
      <c r="C125" s="67" t="s">
        <v>65</v>
      </c>
      <c r="D125" s="267">
        <f t="shared" si="63"/>
        <v>0.76319999999999999</v>
      </c>
      <c r="E125" s="267">
        <f t="shared" si="63"/>
        <v>0.76319999999999999</v>
      </c>
      <c r="F125" s="267">
        <f t="shared" si="63"/>
        <v>0.76319999999999999</v>
      </c>
      <c r="G125" s="267">
        <f t="shared" si="63"/>
        <v>0.76319999999999999</v>
      </c>
      <c r="H125" s="267">
        <f t="shared" si="63"/>
        <v>0.76319999999999999</v>
      </c>
      <c r="I125" s="267">
        <f t="shared" si="63"/>
        <v>0.76319999999999999</v>
      </c>
      <c r="J125" s="267">
        <f t="shared" si="63"/>
        <v>0.76319999999999999</v>
      </c>
      <c r="K125" s="267">
        <f t="shared" si="63"/>
        <v>0.76319999999999999</v>
      </c>
      <c r="L125" s="267">
        <f t="shared" si="63"/>
        <v>0.76319999999999999</v>
      </c>
      <c r="M125" s="267">
        <f t="shared" si="63"/>
        <v>0.76319999999999999</v>
      </c>
      <c r="N125" s="125">
        <v>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5">
        <f t="shared" si="64"/>
        <v>0.76319999999999999</v>
      </c>
      <c r="Y125" s="125">
        <f t="shared" si="64"/>
        <v>0.76319999999999999</v>
      </c>
      <c r="Z125" s="125">
        <f t="shared" si="64"/>
        <v>0.76319999999999999</v>
      </c>
      <c r="AA125" s="125">
        <f t="shared" si="64"/>
        <v>0.76319999999999999</v>
      </c>
      <c r="AB125" s="125">
        <f t="shared" si="64"/>
        <v>0.76319999999999999</v>
      </c>
      <c r="AC125" s="125">
        <f t="shared" si="64"/>
        <v>0.76319999999999999</v>
      </c>
      <c r="AD125" s="125">
        <f t="shared" si="64"/>
        <v>0.76319999999999999</v>
      </c>
      <c r="AE125" s="125">
        <f t="shared" si="64"/>
        <v>0.76319999999999999</v>
      </c>
      <c r="AF125" s="125">
        <f t="shared" si="64"/>
        <v>0.76319999999999999</v>
      </c>
      <c r="AG125" s="126">
        <f t="shared" si="64"/>
        <v>0.76319999999999999</v>
      </c>
      <c r="AH125" s="22"/>
    </row>
    <row r="126" spans="1:34" x14ac:dyDescent="0.25">
      <c r="A126" s="21"/>
      <c r="B126" s="27" t="s">
        <v>533</v>
      </c>
      <c r="C126" s="67" t="s">
        <v>65</v>
      </c>
      <c r="D126" s="267">
        <f t="shared" ref="D126:M126" si="65">-0.0001*$B$5^2 + 0.0423*$B$5 - 0.0269</f>
        <v>0.3861</v>
      </c>
      <c r="E126" s="267">
        <f t="shared" si="65"/>
        <v>0.3861</v>
      </c>
      <c r="F126" s="267">
        <f t="shared" si="65"/>
        <v>0.3861</v>
      </c>
      <c r="G126" s="267">
        <f t="shared" si="65"/>
        <v>0.3861</v>
      </c>
      <c r="H126" s="267">
        <f t="shared" si="65"/>
        <v>0.3861</v>
      </c>
      <c r="I126" s="267">
        <f t="shared" si="65"/>
        <v>0.3861</v>
      </c>
      <c r="J126" s="267">
        <f t="shared" si="65"/>
        <v>0.3861</v>
      </c>
      <c r="K126" s="267">
        <f t="shared" si="65"/>
        <v>0.3861</v>
      </c>
      <c r="L126" s="267">
        <f t="shared" si="65"/>
        <v>0.3861</v>
      </c>
      <c r="M126" s="267">
        <f t="shared" si="65"/>
        <v>0.3861</v>
      </c>
      <c r="N126" s="125">
        <v>0</v>
      </c>
      <c r="O126" s="125">
        <v>0</v>
      </c>
      <c r="P126" s="125">
        <v>0</v>
      </c>
      <c r="Q126" s="125">
        <v>0</v>
      </c>
      <c r="R126" s="125">
        <v>0</v>
      </c>
      <c r="S126" s="125">
        <v>0</v>
      </c>
      <c r="T126" s="125">
        <v>0</v>
      </c>
      <c r="U126" s="125">
        <v>0</v>
      </c>
      <c r="V126" s="125">
        <v>0</v>
      </c>
      <c r="W126" s="125">
        <v>0</v>
      </c>
      <c r="X126" s="125">
        <f t="shared" ref="X126:AG126" si="66">-0.0001*$B$5^2 + 0.0423*$B$5 - 0.0269</f>
        <v>0.3861</v>
      </c>
      <c r="Y126" s="125">
        <f t="shared" si="66"/>
        <v>0.3861</v>
      </c>
      <c r="Z126" s="125">
        <f t="shared" si="66"/>
        <v>0.3861</v>
      </c>
      <c r="AA126" s="125">
        <f t="shared" si="66"/>
        <v>0.3861</v>
      </c>
      <c r="AB126" s="125">
        <f t="shared" si="66"/>
        <v>0.3861</v>
      </c>
      <c r="AC126" s="125">
        <f t="shared" si="66"/>
        <v>0.3861</v>
      </c>
      <c r="AD126" s="125">
        <f t="shared" si="66"/>
        <v>0.3861</v>
      </c>
      <c r="AE126" s="125">
        <f t="shared" si="66"/>
        <v>0.3861</v>
      </c>
      <c r="AF126" s="125">
        <f t="shared" si="66"/>
        <v>0.3861</v>
      </c>
      <c r="AG126" s="126">
        <f t="shared" si="66"/>
        <v>0.3861</v>
      </c>
      <c r="AH126" s="22"/>
    </row>
    <row r="127" spans="1:34" x14ac:dyDescent="0.25">
      <c r="A127" s="21"/>
      <c r="B127" s="27" t="s">
        <v>534</v>
      </c>
      <c r="C127" s="67" t="s">
        <v>65</v>
      </c>
      <c r="D127" s="267">
        <f t="shared" ref="D127:M127" si="67">-0.0011*$B$5^2 + 0.3387*$B$5 - 0.2152</f>
        <v>3.0618000000000003</v>
      </c>
      <c r="E127" s="267">
        <f t="shared" si="67"/>
        <v>3.0618000000000003</v>
      </c>
      <c r="F127" s="267">
        <f t="shared" si="67"/>
        <v>3.0618000000000003</v>
      </c>
      <c r="G127" s="267">
        <f t="shared" si="67"/>
        <v>3.0618000000000003</v>
      </c>
      <c r="H127" s="267">
        <f t="shared" si="67"/>
        <v>3.0618000000000003</v>
      </c>
      <c r="I127" s="267">
        <f t="shared" si="67"/>
        <v>3.0618000000000003</v>
      </c>
      <c r="J127" s="267">
        <f t="shared" si="67"/>
        <v>3.0618000000000003</v>
      </c>
      <c r="K127" s="267">
        <f t="shared" si="67"/>
        <v>3.0618000000000003</v>
      </c>
      <c r="L127" s="267">
        <f t="shared" si="67"/>
        <v>3.0618000000000003</v>
      </c>
      <c r="M127" s="267">
        <f t="shared" si="67"/>
        <v>3.0618000000000003</v>
      </c>
      <c r="N127" s="125">
        <v>0</v>
      </c>
      <c r="O127" s="125">
        <v>0</v>
      </c>
      <c r="P127" s="125">
        <v>0</v>
      </c>
      <c r="Q127" s="125">
        <v>0</v>
      </c>
      <c r="R127" s="125">
        <v>0</v>
      </c>
      <c r="S127" s="125">
        <v>0</v>
      </c>
      <c r="T127" s="125">
        <v>0</v>
      </c>
      <c r="U127" s="125">
        <v>0</v>
      </c>
      <c r="V127" s="125">
        <v>0</v>
      </c>
      <c r="W127" s="125">
        <v>0</v>
      </c>
      <c r="X127" s="125">
        <f t="shared" ref="X127:AG127" si="68">-0.0018*$B$5^2 + 0.5645*$B$5 - 0.3586</f>
        <v>5.1063999999999998</v>
      </c>
      <c r="Y127" s="125">
        <f t="shared" si="68"/>
        <v>5.1063999999999998</v>
      </c>
      <c r="Z127" s="125">
        <f t="shared" si="68"/>
        <v>5.1063999999999998</v>
      </c>
      <c r="AA127" s="125">
        <f t="shared" si="68"/>
        <v>5.1063999999999998</v>
      </c>
      <c r="AB127" s="125">
        <f t="shared" si="68"/>
        <v>5.1063999999999998</v>
      </c>
      <c r="AC127" s="125">
        <f t="shared" si="68"/>
        <v>5.1063999999999998</v>
      </c>
      <c r="AD127" s="125">
        <f t="shared" si="68"/>
        <v>5.1063999999999998</v>
      </c>
      <c r="AE127" s="125">
        <f t="shared" si="68"/>
        <v>5.1063999999999998</v>
      </c>
      <c r="AF127" s="125">
        <f t="shared" si="68"/>
        <v>5.1063999999999998</v>
      </c>
      <c r="AG127" s="126">
        <f t="shared" si="68"/>
        <v>5.1063999999999998</v>
      </c>
      <c r="AH127" s="22"/>
    </row>
    <row r="128" spans="1:34" x14ac:dyDescent="0.25">
      <c r="A128" s="21"/>
      <c r="B128" s="120" t="s">
        <v>536</v>
      </c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3"/>
      <c r="AH128" s="130"/>
    </row>
    <row r="129" spans="1:34" x14ac:dyDescent="0.25">
      <c r="B129" s="27" t="s">
        <v>514</v>
      </c>
      <c r="C129" s="67" t="s">
        <v>57</v>
      </c>
      <c r="D129" s="125">
        <f>-0.0067*$B$5^2 + 0.678*$B$5 + 4.9933</f>
        <v>11.103300000000001</v>
      </c>
      <c r="E129" s="125">
        <f>-0.0067*$B$5^2 + 0.678*$B$5 + 4.9933</f>
        <v>11.103300000000001</v>
      </c>
      <c r="F129" s="125">
        <f>-0.0067*$B$5^2 + 0.678*$B$5 + 4.9933</f>
        <v>11.103300000000001</v>
      </c>
      <c r="G129" s="125">
        <f>-0.0082*$B$5^2 + 0.768*$B$5 + 5.1433</f>
        <v>12.003299999999999</v>
      </c>
      <c r="H129" s="125">
        <f>-0.0082*$B$5^2 + 0.768*$B$5 + 5.1433</f>
        <v>12.003299999999999</v>
      </c>
      <c r="I129" s="125">
        <f>-0.0082*$B$5^2 + 0.768*$B$5 + 5.1433</f>
        <v>12.003299999999999</v>
      </c>
      <c r="J129" s="125">
        <f>-0.0067*$B$5^2 + 0.678*$B$5 + 4.9933</f>
        <v>11.103300000000001</v>
      </c>
      <c r="K129" s="125">
        <f>-0.0067*$B$5^2 + 0.678*$B$5 + 4.9933</f>
        <v>11.103300000000001</v>
      </c>
      <c r="L129" s="125">
        <f>-0.0082*$B$5^2 + 0.768*$B$5 + 5.1433</f>
        <v>12.003299999999999</v>
      </c>
      <c r="M129" s="125">
        <f>-0.0082*$B$5^2 + 0.768*$B$5 + 5.1433</f>
        <v>12.003299999999999</v>
      </c>
      <c r="N129" s="125">
        <f>-0.0027*$B$5^2 + 0.329*$B$5 + 4.59</f>
        <v>7.6099999999999994</v>
      </c>
      <c r="O129" s="125">
        <f>-0.0027*$B$5^2 + 0.329*$B$5 + 4.59</f>
        <v>7.6099999999999994</v>
      </c>
      <c r="P129" s="125">
        <f>-0.0027*$B$5^2 + 0.329*$B$5 + 4.59</f>
        <v>7.6099999999999994</v>
      </c>
      <c r="Q129" s="125">
        <f>-0.0042*$B$5^2 + 0.419*$B$5 + 4.29</f>
        <v>8.0599999999999987</v>
      </c>
      <c r="R129" s="125">
        <f>-0.0042*$B$5^2 + 0.419*$B$5 + 4.29</f>
        <v>8.0599999999999987</v>
      </c>
      <c r="S129" s="125">
        <f>-0.0042*$B$5^2 + 0.419*$B$5 + 4.29</f>
        <v>8.0599999999999987</v>
      </c>
      <c r="T129" s="125">
        <f>-0.0027*$B$5^2 + 0.329*$B$5 + 4.59</f>
        <v>7.6099999999999994</v>
      </c>
      <c r="U129" s="125">
        <f>-0.0027*$B$5^2 + 0.329*$B$5 + 4.59</f>
        <v>7.6099999999999994</v>
      </c>
      <c r="V129" s="125">
        <f>-0.0042*$B$5^2 + 0.419*$B$5 + 4.29</f>
        <v>8.0599999999999987</v>
      </c>
      <c r="W129" s="125">
        <f>-0.0042*$B$5^2 + 0.419*$B$5 + 4.29</f>
        <v>8.0599999999999987</v>
      </c>
      <c r="X129" s="125">
        <f>-0.0059*$B$5^2 + 0.5425*$B$5 + 2.27</f>
        <v>7.1050000000000004</v>
      </c>
      <c r="Y129" s="125">
        <f>-0.0059*$B$5^2 + 0.5425*$B$5 + 2.27</f>
        <v>7.1050000000000004</v>
      </c>
      <c r="Z129" s="125">
        <f>-0.0059*$B$5^2 + 0.5425*$B$5 + 2.27</f>
        <v>7.1050000000000004</v>
      </c>
      <c r="AA129" s="125">
        <f>-0.008*$B$5^2 + 0.6685*$B$5 + 1.89</f>
        <v>7.7749999999999995</v>
      </c>
      <c r="AB129" s="125">
        <f>-0.008*$B$5^2 + 0.6685*$B$5 + 1.89</f>
        <v>7.7749999999999995</v>
      </c>
      <c r="AC129" s="125">
        <f>-0.008*$B$5^2 + 0.6685*$B$5 + 1.89</f>
        <v>7.7749999999999995</v>
      </c>
      <c r="AD129" s="125">
        <f>-0.0059*$B$5^2 + 0.5425*$B$5 + 2.27</f>
        <v>7.1050000000000004</v>
      </c>
      <c r="AE129" s="125">
        <f>-0.0059*$B$5^2 + 0.5425*$B$5 + 2.27</f>
        <v>7.1050000000000004</v>
      </c>
      <c r="AF129" s="125">
        <f>-0.008*$B$5^2 + 0.6685*$B$5 + 1.89</f>
        <v>7.7749999999999995</v>
      </c>
      <c r="AG129" s="126">
        <f>-0.008*$B$5^2 + 0.6685*$B$5 + 1.89</f>
        <v>7.7749999999999995</v>
      </c>
      <c r="AH129" s="130"/>
    </row>
    <row r="130" spans="1:34" x14ac:dyDescent="0.25">
      <c r="B130" s="27" t="s">
        <v>458</v>
      </c>
      <c r="C130" s="67" t="s">
        <v>64</v>
      </c>
      <c r="D130" s="125">
        <f t="shared" ref="D130:AG130" si="69">5.3</f>
        <v>5.3</v>
      </c>
      <c r="E130" s="125">
        <f t="shared" si="69"/>
        <v>5.3</v>
      </c>
      <c r="F130" s="125">
        <f t="shared" si="69"/>
        <v>5.3</v>
      </c>
      <c r="G130" s="125">
        <f t="shared" si="69"/>
        <v>5.3</v>
      </c>
      <c r="H130" s="125">
        <f t="shared" si="69"/>
        <v>5.3</v>
      </c>
      <c r="I130" s="125">
        <f t="shared" si="69"/>
        <v>5.3</v>
      </c>
      <c r="J130" s="125">
        <f t="shared" si="69"/>
        <v>5.3</v>
      </c>
      <c r="K130" s="125">
        <f t="shared" si="69"/>
        <v>5.3</v>
      </c>
      <c r="L130" s="125">
        <f t="shared" si="69"/>
        <v>5.3</v>
      </c>
      <c r="M130" s="125">
        <f t="shared" si="69"/>
        <v>5.3</v>
      </c>
      <c r="N130" s="125">
        <f t="shared" si="69"/>
        <v>5.3</v>
      </c>
      <c r="O130" s="125">
        <f t="shared" si="69"/>
        <v>5.3</v>
      </c>
      <c r="P130" s="125">
        <f t="shared" si="69"/>
        <v>5.3</v>
      </c>
      <c r="Q130" s="125">
        <f t="shared" si="69"/>
        <v>5.3</v>
      </c>
      <c r="R130" s="125">
        <f t="shared" si="69"/>
        <v>5.3</v>
      </c>
      <c r="S130" s="125">
        <f t="shared" si="69"/>
        <v>5.3</v>
      </c>
      <c r="T130" s="125">
        <f t="shared" si="69"/>
        <v>5.3</v>
      </c>
      <c r="U130" s="125">
        <f t="shared" si="69"/>
        <v>5.3</v>
      </c>
      <c r="V130" s="125">
        <f t="shared" si="69"/>
        <v>5.3</v>
      </c>
      <c r="W130" s="125">
        <f t="shared" si="69"/>
        <v>5.3</v>
      </c>
      <c r="X130" s="125">
        <f t="shared" si="69"/>
        <v>5.3</v>
      </c>
      <c r="Y130" s="125">
        <f t="shared" si="69"/>
        <v>5.3</v>
      </c>
      <c r="Z130" s="125">
        <f t="shared" si="69"/>
        <v>5.3</v>
      </c>
      <c r="AA130" s="125">
        <f t="shared" si="69"/>
        <v>5.3</v>
      </c>
      <c r="AB130" s="125">
        <f t="shared" si="69"/>
        <v>5.3</v>
      </c>
      <c r="AC130" s="125">
        <f t="shared" si="69"/>
        <v>5.3</v>
      </c>
      <c r="AD130" s="125">
        <f t="shared" si="69"/>
        <v>5.3</v>
      </c>
      <c r="AE130" s="125">
        <f t="shared" si="69"/>
        <v>5.3</v>
      </c>
      <c r="AF130" s="125">
        <f t="shared" si="69"/>
        <v>5.3</v>
      </c>
      <c r="AG130" s="126">
        <f t="shared" si="69"/>
        <v>5.3</v>
      </c>
      <c r="AH130" s="130"/>
    </row>
    <row r="131" spans="1:34" x14ac:dyDescent="0.25">
      <c r="A131" s="112"/>
      <c r="B131" s="27" t="s">
        <v>535</v>
      </c>
      <c r="C131" s="67" t="s">
        <v>57</v>
      </c>
      <c r="D131" s="125">
        <f>-0.0149*$B$5^2 + 1.503*$B$5 + 11.24</f>
        <v>24.78</v>
      </c>
      <c r="E131" s="125">
        <f>-0.0149*$B$5^2 + 1.503*$B$5 + 11.24</f>
        <v>24.78</v>
      </c>
      <c r="F131" s="125">
        <f>-0.0149*$B$5^2 + 1.503*$B$5 + 11.24</f>
        <v>24.78</v>
      </c>
      <c r="G131" s="125">
        <f>-0.0182*$B$5^2 + 1.703*$B$5 + 11.573</f>
        <v>26.783000000000001</v>
      </c>
      <c r="H131" s="125">
        <f>-0.0182*$B$5^2 + 1.703*$B$5 + 11.573</f>
        <v>26.783000000000001</v>
      </c>
      <c r="I131" s="125">
        <f>-0.0182*$B$5^2 + 1.703*$B$5 + 11.573</f>
        <v>26.783000000000001</v>
      </c>
      <c r="J131" s="125">
        <f>-0.0149*$B$5^2 + 1.503*$B$5 + 11.24</f>
        <v>24.78</v>
      </c>
      <c r="K131" s="125">
        <f>-0.0149*$B$5^2 + 1.503*$B$5 + 11.24</f>
        <v>24.78</v>
      </c>
      <c r="L131" s="125">
        <f>-0.0182*$B$5^2 + 1.703*$B$5 + 11.573</f>
        <v>26.783000000000001</v>
      </c>
      <c r="M131" s="125">
        <f>-0.0182*$B$5^2 + 1.703*$B$5 + 11.573</f>
        <v>26.783000000000001</v>
      </c>
      <c r="N131" s="125">
        <f>-0.0066*$B$5^2 + 0.7645*$B$5 + 9.85</f>
        <v>16.835000000000001</v>
      </c>
      <c r="O131" s="125">
        <f>-0.0066*$B$5^2 + 0.7645*$B$5 + 9.85</f>
        <v>16.835000000000001</v>
      </c>
      <c r="P131" s="125">
        <f>-0.0066*$B$5^2 + 0.7645*$B$5 + 9.85</f>
        <v>16.835000000000001</v>
      </c>
      <c r="Q131" s="125">
        <f>-0.0099*$B$5^2 + 0.9645*$B$5 + 9.1833</f>
        <v>17.838299999999997</v>
      </c>
      <c r="R131" s="125">
        <f>-0.0099*$B$5^2 + 0.9645*$B$5 + 9.1833</f>
        <v>17.838299999999997</v>
      </c>
      <c r="S131" s="125">
        <f>-0.0099*$B$5^2 + 0.9645*$B$5 + 9.1833</f>
        <v>17.838299999999997</v>
      </c>
      <c r="T131" s="125">
        <f>-0.0066*$B$5^2 + 0.7645*$B$5 + 9.85</f>
        <v>16.835000000000001</v>
      </c>
      <c r="U131" s="125">
        <f>-0.0066*$B$5^2 + 0.7645*$B$5 + 9.85</f>
        <v>16.835000000000001</v>
      </c>
      <c r="V131" s="125">
        <f>-0.0099*$B$5^2 + 0.9645*$B$5 + 9.1833</f>
        <v>17.838299999999997</v>
      </c>
      <c r="W131" s="125">
        <f>-0.0099*$B$5^2 + 0.9645*$B$5 + 9.1833</f>
        <v>17.838299999999997</v>
      </c>
      <c r="X131" s="125">
        <f>-0.0147*$B$5^2 + 1.2495*$B$5 + 4.71</f>
        <v>15.734999999999999</v>
      </c>
      <c r="Y131" s="125">
        <f>-0.0147*$B$5^2 + 1.2495*$B$5 + 4.71</f>
        <v>15.734999999999999</v>
      </c>
      <c r="Z131" s="125">
        <f>-0.0147*$B$5^2 + 1.2495*$B$5 + 4.71</f>
        <v>15.734999999999999</v>
      </c>
      <c r="AA131" s="125">
        <f>-0.0196*$B$5^2 + 1.5395*$B$5 + 3.81</f>
        <v>17.245000000000001</v>
      </c>
      <c r="AB131" s="125">
        <f>-0.0196*$B$5^2 + 1.5395*$B$5 + 3.81</f>
        <v>17.245000000000001</v>
      </c>
      <c r="AC131" s="125">
        <f>-0.0196*$B$5^2 + 1.5395*$B$5 + 3.81</f>
        <v>17.245000000000001</v>
      </c>
      <c r="AD131" s="125">
        <f>-0.0147*$B$5^2 + 1.2495*$B$5 + 4.71</f>
        <v>15.734999999999999</v>
      </c>
      <c r="AE131" s="125">
        <f>-0.0147*$B$5^2 + 1.2495*$B$5 + 4.71</f>
        <v>15.734999999999999</v>
      </c>
      <c r="AF131" s="125">
        <f>-0.0196*$B$5^2 + 1.5395*$B$5 + 3.81</f>
        <v>17.245000000000001</v>
      </c>
      <c r="AG131" s="126">
        <f>-0.0196*$B$5^2 + 1.5395*$B$5 + 3.81</f>
        <v>17.245000000000001</v>
      </c>
      <c r="AH131" s="130"/>
    </row>
    <row r="132" spans="1:34" ht="25.5" x14ac:dyDescent="0.25">
      <c r="A132" s="112"/>
      <c r="B132" s="27" t="s">
        <v>416</v>
      </c>
      <c r="C132" s="67" t="s">
        <v>64</v>
      </c>
      <c r="D132" s="125">
        <f t="shared" ref="D132:AG132" si="70">5.3</f>
        <v>5.3</v>
      </c>
      <c r="E132" s="125">
        <f t="shared" si="70"/>
        <v>5.3</v>
      </c>
      <c r="F132" s="125">
        <f t="shared" si="70"/>
        <v>5.3</v>
      </c>
      <c r="G132" s="125">
        <f t="shared" si="70"/>
        <v>5.3</v>
      </c>
      <c r="H132" s="125">
        <f t="shared" si="70"/>
        <v>5.3</v>
      </c>
      <c r="I132" s="125">
        <f t="shared" si="70"/>
        <v>5.3</v>
      </c>
      <c r="J132" s="125">
        <f t="shared" si="70"/>
        <v>5.3</v>
      </c>
      <c r="K132" s="125">
        <f t="shared" si="70"/>
        <v>5.3</v>
      </c>
      <c r="L132" s="125">
        <f t="shared" si="70"/>
        <v>5.3</v>
      </c>
      <c r="M132" s="125">
        <f t="shared" si="70"/>
        <v>5.3</v>
      </c>
      <c r="N132" s="125">
        <f t="shared" si="70"/>
        <v>5.3</v>
      </c>
      <c r="O132" s="125">
        <f t="shared" si="70"/>
        <v>5.3</v>
      </c>
      <c r="P132" s="125">
        <f t="shared" si="70"/>
        <v>5.3</v>
      </c>
      <c r="Q132" s="125">
        <f t="shared" si="70"/>
        <v>5.3</v>
      </c>
      <c r="R132" s="125">
        <f t="shared" si="70"/>
        <v>5.3</v>
      </c>
      <c r="S132" s="125">
        <f t="shared" si="70"/>
        <v>5.3</v>
      </c>
      <c r="T132" s="125">
        <f t="shared" si="70"/>
        <v>5.3</v>
      </c>
      <c r="U132" s="125">
        <f t="shared" si="70"/>
        <v>5.3</v>
      </c>
      <c r="V132" s="125">
        <f t="shared" si="70"/>
        <v>5.3</v>
      </c>
      <c r="W132" s="125">
        <f t="shared" si="70"/>
        <v>5.3</v>
      </c>
      <c r="X132" s="125">
        <f t="shared" si="70"/>
        <v>5.3</v>
      </c>
      <c r="Y132" s="125">
        <f t="shared" si="70"/>
        <v>5.3</v>
      </c>
      <c r="Z132" s="125">
        <f t="shared" si="70"/>
        <v>5.3</v>
      </c>
      <c r="AA132" s="125">
        <f t="shared" si="70"/>
        <v>5.3</v>
      </c>
      <c r="AB132" s="125">
        <f t="shared" si="70"/>
        <v>5.3</v>
      </c>
      <c r="AC132" s="125">
        <f t="shared" si="70"/>
        <v>5.3</v>
      </c>
      <c r="AD132" s="125">
        <f t="shared" si="70"/>
        <v>5.3</v>
      </c>
      <c r="AE132" s="125">
        <f t="shared" si="70"/>
        <v>5.3</v>
      </c>
      <c r="AF132" s="125">
        <f t="shared" si="70"/>
        <v>5.3</v>
      </c>
      <c r="AG132" s="126">
        <f t="shared" si="70"/>
        <v>5.3</v>
      </c>
      <c r="AH132" s="130"/>
    </row>
    <row r="133" spans="1:34" x14ac:dyDescent="0.25">
      <c r="A133" s="112"/>
      <c r="B133" s="120" t="s">
        <v>537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3"/>
      <c r="AH133" s="130"/>
    </row>
    <row r="134" spans="1:34" ht="51" x14ac:dyDescent="0.25">
      <c r="A134" s="112"/>
      <c r="B134" s="27" t="s">
        <v>296</v>
      </c>
      <c r="C134" s="67" t="s">
        <v>65</v>
      </c>
      <c r="D134" s="125">
        <f>0.0819*$B$5^2 - 1.0448*$B$5 + 60.639</f>
        <v>58.381</v>
      </c>
      <c r="E134" s="125">
        <f>0.0819*$B$5^2 - 1.0448*$B$5 + 60.639</f>
        <v>58.381</v>
      </c>
      <c r="F134" s="125">
        <f>0.0819*$B$5^2 - 1.0448*$B$5 + 60.639</f>
        <v>58.381</v>
      </c>
      <c r="G134" s="125">
        <f>0.0875*$B$5^2 - 1.0275*$B$5 + 70.9</f>
        <v>69.375</v>
      </c>
      <c r="H134" s="125">
        <f>0.0875*$B$5^2 - 1.0275*$B$5 + 70.9</f>
        <v>69.375</v>
      </c>
      <c r="I134" s="125">
        <f>0.0875*$B$5^2 - 1.0275*$B$5 + 70.9</f>
        <v>69.375</v>
      </c>
      <c r="J134" s="125">
        <f>0.0819*$B$5^2 - 1.0448*$B$5 + 60.639</f>
        <v>58.381</v>
      </c>
      <c r="K134" s="125">
        <f>0.0819*$B$5^2 - 1.0448*$B$5 + 60.639</f>
        <v>58.381</v>
      </c>
      <c r="L134" s="125">
        <f>0.0875*$B$5^2 - 1.0275*$B$5 + 70.9</f>
        <v>69.375</v>
      </c>
      <c r="M134" s="125">
        <f>0.0875*$B$5^2 - 1.0275*$B$5 + 70.9</f>
        <v>69.375</v>
      </c>
      <c r="N134" s="125">
        <f>0.0069*$B$5^2 - 0.1242*$B$5 + 8.6452</f>
        <v>8.0932000000000013</v>
      </c>
      <c r="O134" s="125">
        <f>0.0069*$B$5^2 - 0.1242*$B$5 + 8.6452</f>
        <v>8.0932000000000013</v>
      </c>
      <c r="P134" s="125">
        <f>0.0069*$B$5^2 - 0.1242*$B$5 + 8.6452</f>
        <v>8.0932000000000013</v>
      </c>
      <c r="Q134" s="125">
        <f>0.0077*$B$5^2 - 0.1392*$B$5 + 10.632</f>
        <v>10.01</v>
      </c>
      <c r="R134" s="125">
        <f>0.0077*$B$5^2 - 0.1392*$B$5 + 10.632</f>
        <v>10.01</v>
      </c>
      <c r="S134" s="125">
        <f>0.0077*$B$5^2 - 0.1392*$B$5 + 10.632</f>
        <v>10.01</v>
      </c>
      <c r="T134" s="125">
        <f>0.0069*$B$5^2 - 0.1242*$B$5 + 8.6452</f>
        <v>8.0932000000000013</v>
      </c>
      <c r="U134" s="125">
        <f>0.0069*$B$5^2 - 0.1242*$B$5 + 8.6452</f>
        <v>8.0932000000000013</v>
      </c>
      <c r="V134" s="125">
        <f>0.0077*$B$5^2 - 0.1392*$B$5 + 10.632</f>
        <v>10.01</v>
      </c>
      <c r="W134" s="125">
        <f>0.0077*$B$5^2 - 0.1392*$B$5 + 10.632</f>
        <v>10.01</v>
      </c>
      <c r="X134" s="125">
        <f>0.1019*$B$5^2 - 2.6816*$B$5 + 62.161</f>
        <v>45.535000000000004</v>
      </c>
      <c r="Y134" s="125">
        <f>0.1019*$B$5^2 - 2.6816*$B$5 + 62.161</f>
        <v>45.535000000000004</v>
      </c>
      <c r="Z134" s="125">
        <f>0.1019*$B$5^2 - 2.6816*$B$5 + 62.161</f>
        <v>45.535000000000004</v>
      </c>
      <c r="AA134" s="125">
        <f>0.114*$B$5^2 - 3.0269*$B$5 + 73.118</f>
        <v>54.248999999999995</v>
      </c>
      <c r="AB134" s="125">
        <f>0.114*$B$5^2 - 3.0269*$B$5 + 73.118</f>
        <v>54.248999999999995</v>
      </c>
      <c r="AC134" s="125">
        <f>0.114*$B$5^2 - 3.0269*$B$5 + 73.118</f>
        <v>54.248999999999995</v>
      </c>
      <c r="AD134" s="125">
        <f>0.1019*$B$5^2 - 2.6816*$B$5 + 62.161</f>
        <v>45.535000000000004</v>
      </c>
      <c r="AE134" s="125">
        <f>0.1019*$B$5^2 - 2.6816*$B$5 + 62.161</f>
        <v>45.535000000000004</v>
      </c>
      <c r="AF134" s="125">
        <f>0.114*$B$5^2 - 3.0269*$B$5 + 73.118</f>
        <v>54.248999999999995</v>
      </c>
      <c r="AG134" s="126">
        <f>0.114*$B$5^2 - 3.0269*$B$5 + 73.118</f>
        <v>54.248999999999995</v>
      </c>
      <c r="AH134" s="130"/>
    </row>
    <row r="135" spans="1:34" ht="25.5" x14ac:dyDescent="0.25">
      <c r="A135" s="112"/>
      <c r="B135" s="262" t="s">
        <v>294</v>
      </c>
      <c r="C135" s="67" t="s">
        <v>65</v>
      </c>
      <c r="D135" s="125">
        <f>0.0063*$B$5^2 - 0.1147*$B$5 + 6.9645</f>
        <v>6.4474999999999998</v>
      </c>
      <c r="E135" s="125">
        <f>0.0063*$B$5^2 - 0.1147*$B$5 + 6.9645</f>
        <v>6.4474999999999998</v>
      </c>
      <c r="F135" s="125">
        <f>0.0063*$B$5^2 - 0.1147*$B$5 + 6.9645</f>
        <v>6.4474999999999998</v>
      </c>
      <c r="G135" s="125">
        <f>0.0205*$B$5^2 + 0.1223*$B$5 + 39.334</f>
        <v>42.607000000000006</v>
      </c>
      <c r="H135" s="125">
        <f>0.0205*$B$5^2 + 0.1223*$B$5 + 39.334</f>
        <v>42.607000000000006</v>
      </c>
      <c r="I135" s="125">
        <f>0.0205*$B$5^2 + 0.1223*$B$5 + 39.334</f>
        <v>42.607000000000006</v>
      </c>
      <c r="J135" s="125">
        <f>0.0063*$B$5^2 - 0.1147*$B$5 + 6.9645</f>
        <v>6.4474999999999998</v>
      </c>
      <c r="K135" s="125">
        <f>0.0063*$B$5^2 - 0.1147*$B$5 + 6.9645</f>
        <v>6.4474999999999998</v>
      </c>
      <c r="L135" s="125">
        <f>0.0205*$B$5^2 + 0.1223*$B$5 + 39.334</f>
        <v>42.607000000000006</v>
      </c>
      <c r="M135" s="125">
        <f>0.0205*$B$5^2 + 0.1223*$B$5 + 39.334</f>
        <v>42.607000000000006</v>
      </c>
      <c r="N135" s="125">
        <f>0.0049*$B$5^2 - 0.0676*$B$5 + 7.3775</f>
        <v>7.1915000000000004</v>
      </c>
      <c r="O135" s="125">
        <f>0.0049*$B$5^2 - 0.0676*$B$5 + 7.3775</f>
        <v>7.1915000000000004</v>
      </c>
      <c r="P135" s="125">
        <f>0.0049*$B$5^2 - 0.0676*$B$5 + 7.3775</f>
        <v>7.1915000000000004</v>
      </c>
      <c r="Q135" s="125">
        <f>0.0224*$B$5^2 - 0.0586*$B$5 + 43.317</f>
        <v>44.971000000000004</v>
      </c>
      <c r="R135" s="125">
        <f>0.0224*$B$5^2 - 0.0586*$B$5 + 43.317</f>
        <v>44.971000000000004</v>
      </c>
      <c r="S135" s="125">
        <f>0.0224*$B$5^2 - 0.0586*$B$5 + 43.317</f>
        <v>44.971000000000004</v>
      </c>
      <c r="T135" s="125">
        <f>0.0049*$B$5^2 - 0.0676*$B$5 + 7.3775</f>
        <v>7.1915000000000004</v>
      </c>
      <c r="U135" s="125">
        <f>0.0049*$B$5^2 - 0.0676*$B$5 + 7.3775</f>
        <v>7.1915000000000004</v>
      </c>
      <c r="V135" s="125">
        <f>0.0224*$B$5^2 - 0.0586*$B$5 + 43.317</f>
        <v>44.971000000000004</v>
      </c>
      <c r="W135" s="125">
        <f>0.0224*$B$5^2 - 0.0586*$B$5 + 43.317</f>
        <v>44.971000000000004</v>
      </c>
      <c r="X135" s="125">
        <f>0.0047*$B$5^2 - 0.0657*$B$5 + 6.6378</f>
        <v>6.4508000000000001</v>
      </c>
      <c r="Y135" s="125">
        <f>0.0047*$B$5^2 - 0.0657*$B$5 + 6.6378</f>
        <v>6.4508000000000001</v>
      </c>
      <c r="Z135" s="125">
        <f>0.0047*$B$5^2 - 0.0657*$B$5 + 6.6378</f>
        <v>6.4508000000000001</v>
      </c>
      <c r="AA135" s="125">
        <f>0.0239*$B$5^2 - 0.2092*$B$5 + 40.734</f>
        <v>41.032000000000004</v>
      </c>
      <c r="AB135" s="125">
        <f>0.0239*$B$5^2 - 0.2092*$B$5 + 40.734</f>
        <v>41.032000000000004</v>
      </c>
      <c r="AC135" s="125">
        <f>0.0239*$B$5^2 - 0.2092*$B$5 + 40.734</f>
        <v>41.032000000000004</v>
      </c>
      <c r="AD135" s="125">
        <f>0.0047*$B$5^2 - 0.0657*$B$5 + 6.6378</f>
        <v>6.4508000000000001</v>
      </c>
      <c r="AE135" s="125">
        <f>0.0047*$B$5^2 - 0.0657*$B$5 + 6.6378</f>
        <v>6.4508000000000001</v>
      </c>
      <c r="AF135" s="125">
        <f>0.0239*$B$5^2 - 0.2092*$B$5 + 40.734</f>
        <v>41.032000000000004</v>
      </c>
      <c r="AG135" s="126">
        <f>0.0239*$B$5^2 - 0.2092*$B$5 + 40.734</f>
        <v>41.032000000000004</v>
      </c>
      <c r="AH135" s="130"/>
    </row>
    <row r="136" spans="1:34" x14ac:dyDescent="0.25">
      <c r="A136" s="112"/>
      <c r="B136" s="262" t="s">
        <v>290</v>
      </c>
      <c r="C136" s="67" t="s">
        <v>63</v>
      </c>
      <c r="D136" s="125">
        <f>0.0025*$B$5^2 - 0.0459*$B$5 + 2.7858</f>
        <v>2.5768</v>
      </c>
      <c r="E136" s="125">
        <f>0.0025*$B$5^2 - 0.0459*$B$5 + 2.7858</f>
        <v>2.5768</v>
      </c>
      <c r="F136" s="125">
        <f>0.0025*$B$5^2 - 0.0459*$B$5 + 2.7858</f>
        <v>2.5768</v>
      </c>
      <c r="G136" s="125">
        <f>0.0082*$B$5^2 + 0.0489*$B$5 + 15.734</f>
        <v>17.042999999999999</v>
      </c>
      <c r="H136" s="125">
        <f>0.0082*$B$5^2 + 0.0489*$B$5 + 15.734</f>
        <v>17.042999999999999</v>
      </c>
      <c r="I136" s="125">
        <f>0.0082*$B$5^2 + 0.0489*$B$5 + 15.734</f>
        <v>17.042999999999999</v>
      </c>
      <c r="J136" s="125">
        <f>0.0025*$B$5^2 - 0.0459*$B$5 + 2.7858</f>
        <v>2.5768</v>
      </c>
      <c r="K136" s="125">
        <f>0.0025*$B$5^2 - 0.0459*$B$5 + 2.7858</f>
        <v>2.5768</v>
      </c>
      <c r="L136" s="125">
        <f>0.0082*$B$5^2 + 0.0489*$B$5 + 15.734</f>
        <v>17.042999999999999</v>
      </c>
      <c r="M136" s="125">
        <f>0.0082*$B$5^2 + 0.0489*$B$5 + 15.734</f>
        <v>17.042999999999999</v>
      </c>
      <c r="N136" s="125">
        <f>0.0019*$B$5^2 - 0.027*$B$5 + 2.951</f>
        <v>2.871</v>
      </c>
      <c r="O136" s="125">
        <f>0.0019*$B$5^2 - 0.027*$B$5 + 2.951</f>
        <v>2.871</v>
      </c>
      <c r="P136" s="125">
        <f>0.0019*$B$5^2 - 0.027*$B$5 + 2.951</f>
        <v>2.871</v>
      </c>
      <c r="Q136" s="125">
        <f>0.009*$B$5^2 - 0.0234*$B$5 + 17.327</f>
        <v>17.993000000000002</v>
      </c>
      <c r="R136" s="125">
        <f>0.009*$B$5^2 - 0.0234*$B$5 + 17.327</f>
        <v>17.993000000000002</v>
      </c>
      <c r="S136" s="125">
        <f>0.009*$B$5^2 - 0.0234*$B$5 + 17.327</f>
        <v>17.993000000000002</v>
      </c>
      <c r="T136" s="125">
        <f>0.0019*$B$5^2 - 0.027*$B$5 + 2.951</f>
        <v>2.871</v>
      </c>
      <c r="U136" s="125">
        <f>0.0019*$B$5^2 - 0.027*$B$5 + 2.951</f>
        <v>2.871</v>
      </c>
      <c r="V136" s="125">
        <f>0.009*$B$5^2 - 0.0234*$B$5 + 17.327</f>
        <v>17.993000000000002</v>
      </c>
      <c r="W136" s="125">
        <f>0.009*$B$5^2 - 0.0234*$B$5 + 17.327</f>
        <v>17.993000000000002</v>
      </c>
      <c r="X136" s="125">
        <f>0.0019*$B$5^2 - 0.0263*$B$5 + 2.6551</f>
        <v>2.5821000000000001</v>
      </c>
      <c r="Y136" s="125">
        <f>0.0019*$B$5^2 - 0.0263*$B$5 + 2.6551</f>
        <v>2.5821000000000001</v>
      </c>
      <c r="Z136" s="125">
        <f>0.0019*$B$5^2 - 0.0263*$B$5 + 2.6551</f>
        <v>2.5821000000000001</v>
      </c>
      <c r="AA136" s="125">
        <f>0.0096*$B$5^2 - 0.0837*$B$5 + 16.294</f>
        <v>16.417000000000002</v>
      </c>
      <c r="AB136" s="125">
        <f>0.0096*$B$5^2 - 0.0837*$B$5 + 16.294</f>
        <v>16.417000000000002</v>
      </c>
      <c r="AC136" s="125">
        <f>0.0096*$B$5^2 - 0.0837*$B$5 + 16.294</f>
        <v>16.417000000000002</v>
      </c>
      <c r="AD136" s="125">
        <f>0.0019*$B$5^2 - 0.0263*$B$5 + 2.6551</f>
        <v>2.5821000000000001</v>
      </c>
      <c r="AE136" s="125">
        <f>0.0019*$B$5^2 - 0.0263*$B$5 + 2.6551</f>
        <v>2.5821000000000001</v>
      </c>
      <c r="AF136" s="125">
        <f>0.0096*$B$5^2 - 0.0837*$B$5 + 16.294</f>
        <v>16.417000000000002</v>
      </c>
      <c r="AG136" s="126">
        <f>0.0096*$B$5^2 - 0.0837*$B$5 + 16.294</f>
        <v>16.417000000000002</v>
      </c>
      <c r="AH136" s="130"/>
    </row>
    <row r="137" spans="1:34" ht="25.5" x14ac:dyDescent="0.25">
      <c r="A137" s="112"/>
      <c r="B137" s="262" t="s">
        <v>295</v>
      </c>
      <c r="C137" s="67" t="s">
        <v>57</v>
      </c>
      <c r="D137" s="125">
        <f>0.0019*$B$5^2 - 0.0326*$B$5 + 5.1836</f>
        <v>5.0476000000000001</v>
      </c>
      <c r="E137" s="125">
        <f>0.0019*$B$5^2 - 0.0326*$B$5 + 5.1836</f>
        <v>5.0476000000000001</v>
      </c>
      <c r="F137" s="125">
        <f>0.0019*$B$5^2 - 0.0326*$B$5 + 5.1836</f>
        <v>5.0476000000000001</v>
      </c>
      <c r="G137" s="125">
        <f>0.101*$B$5^2 + 6.315*$B$5 + 305.97</f>
        <v>379.22</v>
      </c>
      <c r="H137" s="125">
        <f>0.101*$B$5^2 + 6.315*$B$5 + 305.97</f>
        <v>379.22</v>
      </c>
      <c r="I137" s="125">
        <f>0.101*$B$5^2 + 6.315*$B$5 + 305.97</f>
        <v>379.22</v>
      </c>
      <c r="J137" s="125">
        <f>0.0019*$B$5^2 - 0.0326*$B$5 + 5.1836</f>
        <v>5.0476000000000001</v>
      </c>
      <c r="K137" s="125">
        <f>0.0019*$B$5^2 - 0.0326*$B$5 + 5.1836</f>
        <v>5.0476000000000001</v>
      </c>
      <c r="L137" s="125">
        <f>0.101*$B$5^2 + 6.315*$B$5 + 305.97</f>
        <v>379.22</v>
      </c>
      <c r="M137" s="125">
        <f>0.101*$B$5^2 + 6.315*$B$5 + 305.97</f>
        <v>379.22</v>
      </c>
      <c r="N137" s="125">
        <f>0.0018*$B$5^2 - 0.0279*$B$5 + 5.6392</f>
        <v>5.5401999999999996</v>
      </c>
      <c r="O137" s="125">
        <f>0.0018*$B$5^2 - 0.0279*$B$5 + 5.6392</f>
        <v>5.5401999999999996</v>
      </c>
      <c r="P137" s="125">
        <f>0.0018*$B$5^2 - 0.0279*$B$5 + 5.6392</f>
        <v>5.5401999999999996</v>
      </c>
      <c r="Q137" s="125">
        <f>0.131*$B$5^2 + 4.0072*$B$5 + 341.98</f>
        <v>395.15200000000004</v>
      </c>
      <c r="R137" s="125">
        <f>0.131*$B$5^2 + 4.0072*$B$5 + 341.98</f>
        <v>395.15200000000004</v>
      </c>
      <c r="S137" s="125">
        <f>0.131*$B$5^2 + 4.0072*$B$5 + 341.98</f>
        <v>395.15200000000004</v>
      </c>
      <c r="T137" s="125">
        <f>0.0018*$B$5^2 - 0.0279*$B$5 + 5.6392</f>
        <v>5.5401999999999996</v>
      </c>
      <c r="U137" s="125">
        <f>0.0018*$B$5^2 - 0.0279*$B$5 + 5.6392</f>
        <v>5.5401999999999996</v>
      </c>
      <c r="V137" s="125">
        <f>0.131*$B$5^2 + 4.0072*$B$5 + 341.98</f>
        <v>395.15200000000004</v>
      </c>
      <c r="W137" s="125">
        <f>0.131*$B$5^2 + 4.0072*$B$5 + 341.98</f>
        <v>395.15200000000004</v>
      </c>
      <c r="X137" s="125">
        <f>0.0016*$B$5^2 - 0.024*$B$5 + 5.126</f>
        <v>5.0460000000000003</v>
      </c>
      <c r="Y137" s="125">
        <f>0.0016*$B$5^2 - 0.024*$B$5 + 5.126</f>
        <v>5.0460000000000003</v>
      </c>
      <c r="Z137" s="125">
        <f>0.0016*$B$5^2 - 0.024*$B$5 + 5.126</f>
        <v>5.0460000000000003</v>
      </c>
      <c r="AA137" s="125">
        <f>0.1572*$B$5^2 + 1.9305*$B$5 + 328.77</f>
        <v>363.79499999999996</v>
      </c>
      <c r="AB137" s="125">
        <f>0.1572*$B$5^2 + 1.9305*$B$5 + 328.77</f>
        <v>363.79499999999996</v>
      </c>
      <c r="AC137" s="125">
        <f>0.1572*$B$5^2 + 1.9305*$B$5 + 328.77</f>
        <v>363.79499999999996</v>
      </c>
      <c r="AD137" s="125">
        <f>0.0016*$B$5^2 - 0.024*$B$5 + 5.126</f>
        <v>5.0460000000000003</v>
      </c>
      <c r="AE137" s="125">
        <f>0.0016*$B$5^2 - 0.024*$B$5 + 5.126</f>
        <v>5.0460000000000003</v>
      </c>
      <c r="AF137" s="125">
        <f>0.1572*$B$5^2 + 1.9305*$B$5 + 328.77</f>
        <v>363.79499999999996</v>
      </c>
      <c r="AG137" s="126">
        <f>0.1572*$B$5^2 + 1.9305*$B$5 + 328.77</f>
        <v>363.79499999999996</v>
      </c>
      <c r="AH137" s="130"/>
    </row>
    <row r="138" spans="1:34" x14ac:dyDescent="0.25">
      <c r="A138" s="112"/>
      <c r="B138" s="27" t="s">
        <v>305</v>
      </c>
      <c r="C138" s="67" t="s">
        <v>63</v>
      </c>
      <c r="D138" s="125">
        <f>1.2426*$B$5^2 - 22.655*$B$5 + 1375.9</f>
        <v>1273.6100000000001</v>
      </c>
      <c r="E138" s="125">
        <f>1.2426*$B$5^2 - 22.655*$B$5 + 1375.9</f>
        <v>1273.6100000000001</v>
      </c>
      <c r="F138" s="125">
        <f>1.2426*$B$5^2 - 22.655*$B$5 + 1375.9</f>
        <v>1273.6100000000001</v>
      </c>
      <c r="G138" s="125">
        <v>0</v>
      </c>
      <c r="H138" s="125">
        <v>0</v>
      </c>
      <c r="I138" s="125">
        <v>0</v>
      </c>
      <c r="J138" s="125">
        <f>1.2426*$B$5^2 - 22.655*$B$5 + 1375.9</f>
        <v>1273.6100000000001</v>
      </c>
      <c r="K138" s="125">
        <f>1.2426*$B$5^2 - 22.655*$B$5 + 1375.9</f>
        <v>1273.6100000000001</v>
      </c>
      <c r="L138" s="125">
        <v>0</v>
      </c>
      <c r="M138" s="125">
        <v>0</v>
      </c>
      <c r="N138" s="125">
        <f>0.9592*$B$5^2 - 13.358*$B$5 + 1457.5</f>
        <v>1419.84</v>
      </c>
      <c r="O138" s="125">
        <f>0.9592*$B$5^2 - 13.358*$B$5 + 1457.5</f>
        <v>1419.84</v>
      </c>
      <c r="P138" s="125">
        <f>0.9592*$B$5^2 - 13.358*$B$5 + 1457.5</f>
        <v>1419.84</v>
      </c>
      <c r="Q138" s="125">
        <v>0</v>
      </c>
      <c r="R138" s="125">
        <v>0</v>
      </c>
      <c r="S138" s="125">
        <v>0</v>
      </c>
      <c r="T138" s="125">
        <f>0.9592*$B$5^2 - 13.358*$B$5 + 1457.5</f>
        <v>1419.84</v>
      </c>
      <c r="U138" s="125">
        <f>0.9592*$B$5^2 - 13.358*$B$5 + 1457.5</f>
        <v>1419.84</v>
      </c>
      <c r="V138" s="125">
        <v>0</v>
      </c>
      <c r="W138" s="125">
        <v>0</v>
      </c>
      <c r="X138" s="125">
        <f>0.9199*$B$5^2 - 12.973*$B$5 + 1311.4</f>
        <v>1273.6600000000001</v>
      </c>
      <c r="Y138" s="125">
        <f>0.9199*$B$5^2 - 12.973*$B$5 + 1311.4</f>
        <v>1273.6600000000001</v>
      </c>
      <c r="Z138" s="125">
        <f>0.9199*$B$5^2 - 12.973*$B$5 + 1311.4</f>
        <v>1273.6600000000001</v>
      </c>
      <c r="AA138" s="125">
        <v>0</v>
      </c>
      <c r="AB138" s="125">
        <v>0</v>
      </c>
      <c r="AC138" s="125">
        <v>0</v>
      </c>
      <c r="AD138" s="125">
        <f>0.9199*$B$5^2 - 12.973*$B$5 + 1311.4</f>
        <v>1273.6600000000001</v>
      </c>
      <c r="AE138" s="125">
        <f>0.9199*$B$5^2 - 12.973*$B$5 + 1311.4</f>
        <v>1273.6600000000001</v>
      </c>
      <c r="AF138" s="125">
        <v>0</v>
      </c>
      <c r="AG138" s="126">
        <v>0</v>
      </c>
      <c r="AH138" s="130"/>
    </row>
    <row r="139" spans="1:34" x14ac:dyDescent="0.25">
      <c r="A139" s="112"/>
      <c r="B139" s="27" t="s">
        <v>465</v>
      </c>
      <c r="C139" s="67" t="s">
        <v>63</v>
      </c>
      <c r="D139" s="125">
        <f>0.9885*$B$5^2 + 147.25*$B$5 + 4607.7</f>
        <v>6179.0499999999993</v>
      </c>
      <c r="E139" s="125">
        <f>0.9885*$B$5^2 + 147.25*$B$5 + 4607.7</f>
        <v>6179.0499999999993</v>
      </c>
      <c r="F139" s="125">
        <f>0.9885*$B$5^2 + 147.25*$B$5 + 4607.7</f>
        <v>6179.0499999999993</v>
      </c>
      <c r="G139" s="125">
        <v>0</v>
      </c>
      <c r="H139" s="125">
        <v>0</v>
      </c>
      <c r="I139" s="125">
        <v>0</v>
      </c>
      <c r="J139" s="125">
        <f>0.9885*$B$5^2 + 147.25*$B$5 + 4607.7</f>
        <v>6179.0499999999993</v>
      </c>
      <c r="K139" s="125">
        <f>0.9885*$B$5^2 + 147.25*$B$5 + 4607.7</f>
        <v>6179.0499999999993</v>
      </c>
      <c r="L139" s="125">
        <v>0</v>
      </c>
      <c r="M139" s="125">
        <v>0</v>
      </c>
      <c r="N139" s="125">
        <f>1.6598*$B$5^2 + 99.209*$B$5 + 5241.6</f>
        <v>6399.67</v>
      </c>
      <c r="O139" s="125">
        <f>1.6598*$B$5^2 + 99.209*$B$5 + 5241.6</f>
        <v>6399.67</v>
      </c>
      <c r="P139" s="125">
        <f>1.6598*$B$5^2 + 99.209*$B$5 + 5241.6</f>
        <v>6399.67</v>
      </c>
      <c r="Q139" s="125">
        <v>0</v>
      </c>
      <c r="R139" s="125">
        <v>0</v>
      </c>
      <c r="S139" s="125">
        <v>0</v>
      </c>
      <c r="T139" s="125">
        <f>1.6598*$B$5^2 + 99.209*$B$5 + 5241.6</f>
        <v>6399.67</v>
      </c>
      <c r="U139" s="125">
        <f>1.6598*$B$5^2 + 99.209*$B$5 + 5241.6</f>
        <v>6399.67</v>
      </c>
      <c r="V139" s="125">
        <v>0</v>
      </c>
      <c r="W139" s="125">
        <v>0</v>
      </c>
      <c r="X139" s="125">
        <f>2.4708*$B$5^2 + 45.076*$B$5 + 5207.1</f>
        <v>5904.9400000000005</v>
      </c>
      <c r="Y139" s="125">
        <f>2.4708*$B$5^2 + 45.076*$B$5 + 5207.1</f>
        <v>5904.9400000000005</v>
      </c>
      <c r="Z139" s="125">
        <f>2.4708*$B$5^2 + 45.076*$B$5 + 5207.1</f>
        <v>5904.9400000000005</v>
      </c>
      <c r="AA139" s="125">
        <v>0</v>
      </c>
      <c r="AB139" s="125">
        <v>0</v>
      </c>
      <c r="AC139" s="125">
        <v>0</v>
      </c>
      <c r="AD139" s="125">
        <f>2.4708*$B$5^2 + 45.076*$B$5 + 5207.1</f>
        <v>5904.9400000000005</v>
      </c>
      <c r="AE139" s="125">
        <f>2.4708*$B$5^2 + 45.076*$B$5 + 5207.1</f>
        <v>5904.9400000000005</v>
      </c>
      <c r="AF139" s="125">
        <v>0</v>
      </c>
      <c r="AG139" s="126">
        <v>0</v>
      </c>
      <c r="AH139" s="130"/>
    </row>
    <row r="140" spans="1:34" x14ac:dyDescent="0.25">
      <c r="A140" s="112"/>
      <c r="B140" s="27" t="s">
        <v>522</v>
      </c>
      <c r="C140" s="67" t="s">
        <v>63</v>
      </c>
      <c r="D140" s="125">
        <f>0.8925*$B$5^2 + 49.84*$B$5 + 2393.4</f>
        <v>2981.05</v>
      </c>
      <c r="E140" s="125">
        <f>0.8925*$B$5^2 + 49.84*$B$5 + 2393.4</f>
        <v>2981.05</v>
      </c>
      <c r="F140" s="125">
        <f>0.8925*$B$5^2 + 49.84*$B$5 + 2393.4</f>
        <v>2981.05</v>
      </c>
      <c r="G140" s="125">
        <v>0</v>
      </c>
      <c r="H140" s="125">
        <v>0</v>
      </c>
      <c r="I140" s="125">
        <v>0</v>
      </c>
      <c r="J140" s="125">
        <f>0.8925*$B$5^2 + 49.84*$B$5 + 2393.4</f>
        <v>2981.05</v>
      </c>
      <c r="K140" s="125">
        <f>0.8925*$B$5^2 + 49.84*$B$5 + 2393.4</f>
        <v>2981.05</v>
      </c>
      <c r="L140" s="125">
        <v>0</v>
      </c>
      <c r="M140" s="125">
        <v>0</v>
      </c>
      <c r="N140" s="125">
        <f>1.0476*$B$5^2 + 34.341*$B$5 + 2679.7</f>
        <v>3127.87</v>
      </c>
      <c r="O140" s="125">
        <f>1.0476*$B$5^2 + 34.341*$B$5 + 2679.7</f>
        <v>3127.87</v>
      </c>
      <c r="P140" s="125">
        <f>1.0476*$B$5^2 + 34.341*$B$5 + 2679.7</f>
        <v>3127.87</v>
      </c>
      <c r="Q140" s="125">
        <v>0</v>
      </c>
      <c r="R140" s="125">
        <v>0</v>
      </c>
      <c r="S140" s="125">
        <v>0</v>
      </c>
      <c r="T140" s="125">
        <f>1.0476*$B$5^2 + 34.341*$B$5 + 2679.7</f>
        <v>3127.87</v>
      </c>
      <c r="U140" s="125">
        <f>1.0476*$B$5^2 + 34.341*$B$5 + 2679.7</f>
        <v>3127.87</v>
      </c>
      <c r="V140" s="125">
        <v>0</v>
      </c>
      <c r="W140" s="125">
        <v>0</v>
      </c>
      <c r="X140" s="125">
        <f>1.3563*$B$5^2 + 12.841*$B$5 + 2607.4</f>
        <v>2871.44</v>
      </c>
      <c r="Y140" s="125">
        <f>1.3563*$B$5^2 + 12.841*$B$5 + 2607.4</f>
        <v>2871.44</v>
      </c>
      <c r="Z140" s="125">
        <f>1.3563*$B$5^2 + 12.841*$B$5 + 2607.4</f>
        <v>2871.44</v>
      </c>
      <c r="AA140" s="125">
        <v>0</v>
      </c>
      <c r="AB140" s="125">
        <v>0</v>
      </c>
      <c r="AC140" s="125">
        <v>0</v>
      </c>
      <c r="AD140" s="125">
        <f>1.3563*$B$5^2 + 12.841*$B$5 + 2607.4</f>
        <v>2871.44</v>
      </c>
      <c r="AE140" s="125">
        <f>1.3563*$B$5^2 + 12.841*$B$5 + 2607.4</f>
        <v>2871.44</v>
      </c>
      <c r="AF140" s="125">
        <v>0</v>
      </c>
      <c r="AG140" s="126">
        <v>0</v>
      </c>
      <c r="AH140" s="130"/>
    </row>
    <row r="141" spans="1:34" ht="25.5" x14ac:dyDescent="0.25">
      <c r="A141" s="112"/>
      <c r="B141" s="27" t="s">
        <v>516</v>
      </c>
      <c r="C141" s="67" t="s">
        <v>57</v>
      </c>
      <c r="D141" s="125">
        <f t="shared" ref="D141:F142" si="71">0.1023*$B$5^2 + 6.8329*$B$5 + 298.23</f>
        <v>376.78900000000004</v>
      </c>
      <c r="E141" s="125">
        <f t="shared" si="71"/>
        <v>376.78900000000004</v>
      </c>
      <c r="F141" s="125">
        <f t="shared" si="71"/>
        <v>376.78900000000004</v>
      </c>
      <c r="G141" s="125">
        <v>0</v>
      </c>
      <c r="H141" s="125">
        <v>0</v>
      </c>
      <c r="I141" s="125">
        <v>0</v>
      </c>
      <c r="J141" s="125">
        <f>0.1023*$B$5^2 + 6.8329*$B$5 + 298.23</f>
        <v>376.78900000000004</v>
      </c>
      <c r="K141" s="125">
        <f>0.1023*$B$5^2 + 6.8329*$B$5 + 298.23</f>
        <v>376.78900000000004</v>
      </c>
      <c r="L141" s="125">
        <v>0</v>
      </c>
      <c r="M141" s="125">
        <v>0</v>
      </c>
      <c r="N141" s="125">
        <f t="shared" ref="N141:P142" si="72">0.1262*$B$5^2 + 4.6806*$B$5 + 334.9</f>
        <v>394.32599999999996</v>
      </c>
      <c r="O141" s="125">
        <f t="shared" si="72"/>
        <v>394.32599999999996</v>
      </c>
      <c r="P141" s="125">
        <f t="shared" si="72"/>
        <v>394.32599999999996</v>
      </c>
      <c r="Q141" s="125">
        <v>0</v>
      </c>
      <c r="R141" s="125">
        <v>0</v>
      </c>
      <c r="S141" s="125">
        <v>0</v>
      </c>
      <c r="T141" s="125">
        <f>0.1262*$B$5^2 + 4.6806*$B$5 + 334.9</f>
        <v>394.32599999999996</v>
      </c>
      <c r="U141" s="125">
        <f>0.1262*$B$5^2 + 4.6806*$B$5 + 334.9</f>
        <v>394.32599999999996</v>
      </c>
      <c r="V141" s="125">
        <v>0</v>
      </c>
      <c r="W141" s="125">
        <v>0</v>
      </c>
      <c r="X141" s="125">
        <f t="shared" ref="X141:Z142" si="73">0.1673*$B$5^2 + 1.8471*$B$5 + 327.16</f>
        <v>362.36100000000005</v>
      </c>
      <c r="Y141" s="125">
        <f t="shared" si="73"/>
        <v>362.36100000000005</v>
      </c>
      <c r="Z141" s="125">
        <f t="shared" si="73"/>
        <v>362.36100000000005</v>
      </c>
      <c r="AA141" s="125">
        <v>0</v>
      </c>
      <c r="AB141" s="125">
        <v>0</v>
      </c>
      <c r="AC141" s="125">
        <v>0</v>
      </c>
      <c r="AD141" s="125">
        <f>0.1673*$B$5^2 + 1.8471*$B$5 + 327.16</f>
        <v>362.36100000000005</v>
      </c>
      <c r="AE141" s="125">
        <f>0.1673*$B$5^2 + 1.8471*$B$5 + 327.16</f>
        <v>362.36100000000005</v>
      </c>
      <c r="AF141" s="125">
        <v>0</v>
      </c>
      <c r="AG141" s="126">
        <v>0</v>
      </c>
      <c r="AH141" s="130"/>
    </row>
    <row r="142" spans="1:34" ht="25.5" x14ac:dyDescent="0.25">
      <c r="A142" s="112"/>
      <c r="B142" s="27" t="s">
        <v>517</v>
      </c>
      <c r="C142" s="67" t="s">
        <v>57</v>
      </c>
      <c r="D142" s="125">
        <f t="shared" si="71"/>
        <v>376.78900000000004</v>
      </c>
      <c r="E142" s="125">
        <f t="shared" si="71"/>
        <v>376.78900000000004</v>
      </c>
      <c r="F142" s="125">
        <f t="shared" si="71"/>
        <v>376.78900000000004</v>
      </c>
      <c r="G142" s="125">
        <v>0</v>
      </c>
      <c r="H142" s="125">
        <v>0</v>
      </c>
      <c r="I142" s="125">
        <v>0</v>
      </c>
      <c r="J142" s="125">
        <f>0.1023*$B$5^2 + 6.8329*$B$5 + 298.23</f>
        <v>376.78900000000004</v>
      </c>
      <c r="K142" s="125">
        <f>0.1023*$B$5^2 + 6.8329*$B$5 + 298.23</f>
        <v>376.78900000000004</v>
      </c>
      <c r="L142" s="125">
        <v>0</v>
      </c>
      <c r="M142" s="125">
        <v>0</v>
      </c>
      <c r="N142" s="125">
        <f t="shared" si="72"/>
        <v>394.32599999999996</v>
      </c>
      <c r="O142" s="125">
        <f t="shared" si="72"/>
        <v>394.32599999999996</v>
      </c>
      <c r="P142" s="125">
        <f t="shared" si="72"/>
        <v>394.32599999999996</v>
      </c>
      <c r="Q142" s="125">
        <v>0</v>
      </c>
      <c r="R142" s="125">
        <v>0</v>
      </c>
      <c r="S142" s="125">
        <v>0</v>
      </c>
      <c r="T142" s="125">
        <f>0.1262*$B$5^2 + 4.6806*$B$5 + 334.9</f>
        <v>394.32599999999996</v>
      </c>
      <c r="U142" s="125">
        <f>0.1262*$B$5^2 + 4.6806*$B$5 + 334.9</f>
        <v>394.32599999999996</v>
      </c>
      <c r="V142" s="125">
        <v>0</v>
      </c>
      <c r="W142" s="125">
        <v>0</v>
      </c>
      <c r="X142" s="125">
        <f t="shared" si="73"/>
        <v>362.36100000000005</v>
      </c>
      <c r="Y142" s="125">
        <f t="shared" si="73"/>
        <v>362.36100000000005</v>
      </c>
      <c r="Z142" s="125">
        <f t="shared" si="73"/>
        <v>362.36100000000005</v>
      </c>
      <c r="AA142" s="125">
        <v>0</v>
      </c>
      <c r="AB142" s="125">
        <v>0</v>
      </c>
      <c r="AC142" s="125">
        <v>0</v>
      </c>
      <c r="AD142" s="125">
        <f>0.1673*$B$5^2 + 1.8471*$B$5 + 327.16</f>
        <v>362.36100000000005</v>
      </c>
      <c r="AE142" s="125">
        <f>0.1673*$B$5^2 + 1.8471*$B$5 + 327.16</f>
        <v>362.36100000000005</v>
      </c>
      <c r="AF142" s="125">
        <v>0</v>
      </c>
      <c r="AG142" s="126">
        <v>0</v>
      </c>
      <c r="AH142" s="130"/>
    </row>
    <row r="143" spans="1:34" x14ac:dyDescent="0.25">
      <c r="A143" s="112"/>
      <c r="B143" s="120" t="s">
        <v>538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3"/>
      <c r="AH143" s="130"/>
    </row>
    <row r="144" spans="1:34" ht="51" x14ac:dyDescent="0.25">
      <c r="B144" s="131" t="s">
        <v>440</v>
      </c>
      <c r="C144" s="125" t="s">
        <v>65</v>
      </c>
      <c r="D144" s="125">
        <f>-1.2375*$B$5^2 + 79.986*$B$5 - 439.05</f>
        <v>237.06</v>
      </c>
      <c r="E144" s="125">
        <v>0</v>
      </c>
      <c r="F144" s="125">
        <v>0</v>
      </c>
      <c r="G144" s="125">
        <f>-1.2375*$B$5^2 + 79.986*$B$5 - 439.05</f>
        <v>237.06</v>
      </c>
      <c r="H144" s="125">
        <v>0</v>
      </c>
      <c r="I144" s="125">
        <v>0</v>
      </c>
      <c r="J144" s="125">
        <f>-1.2375*$B$5^2 + 79.986*$B$5 - 439.05</f>
        <v>237.06</v>
      </c>
      <c r="K144" s="125">
        <v>0</v>
      </c>
      <c r="L144" s="125">
        <f>-1.2375*$B$5^2 + 79.986*$B$5 - 439.05</f>
        <v>237.06</v>
      </c>
      <c r="M144" s="125">
        <v>0</v>
      </c>
      <c r="N144" s="125">
        <f>-0.0825*$B$5^2 + 20.395*$B$5 + 18.741</f>
        <v>214.44099999999997</v>
      </c>
      <c r="O144" s="125">
        <v>0</v>
      </c>
      <c r="P144" s="125">
        <v>0</v>
      </c>
      <c r="Q144" s="125">
        <f>-0.0825*$B$5^2 + 20.395*$B$5 + 18.741</f>
        <v>214.44099999999997</v>
      </c>
      <c r="R144" s="125">
        <v>0</v>
      </c>
      <c r="S144" s="125">
        <v>0</v>
      </c>
      <c r="T144" s="125">
        <f>-0.0825*$B$5^2 + 20.395*$B$5 + 18.741</f>
        <v>214.44099999999997</v>
      </c>
      <c r="U144" s="125">
        <v>0</v>
      </c>
      <c r="V144" s="125">
        <f>-0.0825*$B$5^2 + 20.395*$B$5 + 18.741</f>
        <v>214.44099999999997</v>
      </c>
      <c r="W144" s="125">
        <v>0</v>
      </c>
      <c r="X144" s="125">
        <f>0.0656*$B$5^2 + 10.101*$B$5 + 72.942</f>
        <v>180.512</v>
      </c>
      <c r="Y144" s="125">
        <v>0</v>
      </c>
      <c r="Z144" s="125">
        <v>0</v>
      </c>
      <c r="AA144" s="125">
        <f>0.0656*$B$5^2 + 10.101*$B$5 + 72.942</f>
        <v>180.512</v>
      </c>
      <c r="AB144" s="125">
        <v>0</v>
      </c>
      <c r="AC144" s="125">
        <v>0</v>
      </c>
      <c r="AD144" s="125">
        <f>0.0656*$B$5^2 + 10.101*$B$5 + 72.942</f>
        <v>180.512</v>
      </c>
      <c r="AE144" s="125">
        <v>0</v>
      </c>
      <c r="AF144" s="125">
        <f>0.0656*$B$5^2 + 10.101*$B$5 + 72.942</f>
        <v>180.512</v>
      </c>
      <c r="AG144" s="126">
        <v>0</v>
      </c>
      <c r="AH144" s="22"/>
    </row>
    <row r="145" spans="1:34" ht="25.5" x14ac:dyDescent="0.25">
      <c r="A145" s="112"/>
      <c r="B145" s="262" t="s">
        <v>294</v>
      </c>
      <c r="C145" s="125" t="s">
        <v>65</v>
      </c>
      <c r="D145" s="125">
        <f>-0.1816*$B$5^2 + 11.309*$B$5 - 42.115</f>
        <v>52.814999999999991</v>
      </c>
      <c r="E145" s="125">
        <v>0</v>
      </c>
      <c r="F145" s="125">
        <v>0</v>
      </c>
      <c r="G145" s="125">
        <f>-0.1816*$B$5^2 + 11.309*$B$5 - 42.115</f>
        <v>52.814999999999991</v>
      </c>
      <c r="H145" s="125">
        <v>0</v>
      </c>
      <c r="I145" s="125">
        <v>0</v>
      </c>
      <c r="J145" s="125">
        <f>-0.1816*$B$5^2 + 11.309*$B$5 - 42.115</f>
        <v>52.814999999999991</v>
      </c>
      <c r="K145" s="125">
        <v>0</v>
      </c>
      <c r="L145" s="125">
        <f>-0.1816*$B$5^2 + 11.309*$B$5 - 42.115</f>
        <v>52.814999999999991</v>
      </c>
      <c r="M145" s="125">
        <v>0</v>
      </c>
      <c r="N145" s="125">
        <f>-0.027*$B$5^2 + 3.4333*$B$5 + 17.569</f>
        <v>49.201999999999998</v>
      </c>
      <c r="O145" s="125">
        <v>0</v>
      </c>
      <c r="P145" s="125">
        <v>0</v>
      </c>
      <c r="Q145" s="125">
        <f>-0.027*$B$5^2 + 3.4333*$B$5 + 17.569</f>
        <v>49.201999999999998</v>
      </c>
      <c r="R145" s="125">
        <v>0</v>
      </c>
      <c r="S145" s="125">
        <v>0</v>
      </c>
      <c r="T145" s="125">
        <f>-0.027*$B$5^2 + 3.4333*$B$5 + 17.569</f>
        <v>49.201999999999998</v>
      </c>
      <c r="U145" s="125">
        <v>0</v>
      </c>
      <c r="V145" s="125">
        <f>-0.027*$B$5^2 + 3.4333*$B$5 + 17.569</f>
        <v>49.201999999999998</v>
      </c>
      <c r="W145" s="125">
        <v>0</v>
      </c>
      <c r="X145" s="125">
        <f>-0.002*$B$5^2 + 1.9512*$B$5 + 24.468</f>
        <v>43.78</v>
      </c>
      <c r="Y145" s="125">
        <v>0</v>
      </c>
      <c r="Z145" s="125">
        <v>0</v>
      </c>
      <c r="AA145" s="125">
        <f>-0.002*$B$5^2 + 1.9512*$B$5 + 24.468</f>
        <v>43.78</v>
      </c>
      <c r="AB145" s="125">
        <v>0</v>
      </c>
      <c r="AC145" s="125">
        <v>0</v>
      </c>
      <c r="AD145" s="125">
        <f>-0.002*$B$5^2 + 1.9512*$B$5 + 24.468</f>
        <v>43.78</v>
      </c>
      <c r="AE145" s="125">
        <v>0</v>
      </c>
      <c r="AF145" s="125">
        <f>-0.002*$B$5^2 + 1.9512*$B$5 + 24.468</f>
        <v>43.78</v>
      </c>
      <c r="AG145" s="126">
        <v>0</v>
      </c>
      <c r="AH145" s="22"/>
    </row>
    <row r="146" spans="1:34" x14ac:dyDescent="0.25">
      <c r="A146" s="112"/>
      <c r="B146" s="262" t="s">
        <v>290</v>
      </c>
      <c r="C146" s="125" t="s">
        <v>63</v>
      </c>
      <c r="D146" s="125">
        <f>-0.0726*$B$5^2 + 4.5236*$B$5 - 16.846</f>
        <v>21.130000000000006</v>
      </c>
      <c r="E146" s="125">
        <v>0</v>
      </c>
      <c r="F146" s="125">
        <v>0</v>
      </c>
      <c r="G146" s="125">
        <f>-0.0726*$B$5^2 + 4.5236*$B$5 - 16.846</f>
        <v>21.130000000000006</v>
      </c>
      <c r="H146" s="125">
        <v>0</v>
      </c>
      <c r="I146" s="125">
        <v>0</v>
      </c>
      <c r="J146" s="125">
        <f>-0.0726*$B$5^2 + 4.5236*$B$5 - 16.846</f>
        <v>21.130000000000006</v>
      </c>
      <c r="K146" s="125">
        <v>0</v>
      </c>
      <c r="L146" s="125">
        <f>-0.0726*$B$5^2 + 4.5236*$B$5 - 16.846</f>
        <v>21.130000000000006</v>
      </c>
      <c r="M146" s="125">
        <v>0</v>
      </c>
      <c r="N146" s="125">
        <f>-0.0108*$B$5^2 + 1.3733*$B$5 + 7.0274</f>
        <v>19.680399999999999</v>
      </c>
      <c r="O146" s="125">
        <v>0</v>
      </c>
      <c r="P146" s="125">
        <v>0</v>
      </c>
      <c r="Q146" s="125">
        <f>-0.0108*$B$5^2 + 1.3733*$B$5 + 7.0274</f>
        <v>19.680399999999999</v>
      </c>
      <c r="R146" s="125">
        <v>0</v>
      </c>
      <c r="S146" s="125">
        <v>0</v>
      </c>
      <c r="T146" s="125">
        <f>-0.0108*$B$5^2 + 1.3733*$B$5 + 7.0274</f>
        <v>19.680399999999999</v>
      </c>
      <c r="U146" s="125">
        <v>0</v>
      </c>
      <c r="V146" s="125">
        <f>-0.0108*$B$5^2 + 1.3733*$B$5 + 7.0274</f>
        <v>19.680399999999999</v>
      </c>
      <c r="W146" s="125">
        <v>0</v>
      </c>
      <c r="X146" s="125">
        <f>-0.0008*$B$5^2 + 0.7805*$B$5 + 9.7874</f>
        <v>17.5124</v>
      </c>
      <c r="Y146" s="125">
        <v>0</v>
      </c>
      <c r="Z146" s="125">
        <v>0</v>
      </c>
      <c r="AA146" s="125">
        <f>-0.0008*$B$5^2 + 0.7805*$B$5 + 9.7874</f>
        <v>17.5124</v>
      </c>
      <c r="AB146" s="125">
        <v>0</v>
      </c>
      <c r="AC146" s="125">
        <v>0</v>
      </c>
      <c r="AD146" s="125">
        <f>-0.0008*$B$5^2 + 0.7805*$B$5 + 9.7874</f>
        <v>17.5124</v>
      </c>
      <c r="AE146" s="125">
        <v>0</v>
      </c>
      <c r="AF146" s="125">
        <f>-0.0008*$B$5^2 + 0.7805*$B$5 + 9.7874</f>
        <v>17.5124</v>
      </c>
      <c r="AG146" s="126">
        <v>0</v>
      </c>
      <c r="AH146" s="22"/>
    </row>
    <row r="147" spans="1:34" ht="25.5" x14ac:dyDescent="0.25">
      <c r="A147" s="112"/>
      <c r="B147" s="262" t="s">
        <v>295</v>
      </c>
      <c r="C147" s="125" t="s">
        <v>57</v>
      </c>
      <c r="D147" s="125">
        <f>-1.4538*$B$5^2 + 92.595*$B$5 - 329.28</f>
        <v>451.29000000000008</v>
      </c>
      <c r="E147" s="125">
        <v>0</v>
      </c>
      <c r="F147" s="125">
        <v>0</v>
      </c>
      <c r="G147" s="125">
        <f>-1.4538*$B$5^2 + 92.595*$B$5 - 329.28</f>
        <v>451.29000000000008</v>
      </c>
      <c r="H147" s="125">
        <v>0</v>
      </c>
      <c r="I147" s="125">
        <v>0</v>
      </c>
      <c r="J147" s="125">
        <f>-1.4538*$B$5^2 + 92.595*$B$5 - 329.28</f>
        <v>451.29000000000008</v>
      </c>
      <c r="K147" s="125">
        <v>0</v>
      </c>
      <c r="L147" s="125">
        <f>-1.4538*$B$5^2 + 92.595*$B$5 - 329.28</f>
        <v>451.29000000000008</v>
      </c>
      <c r="M147" s="125">
        <v>0</v>
      </c>
      <c r="N147" s="125">
        <f>-0.2171*$B$5^2 + 29.591*$B$5 + 148.19</f>
        <v>422.39000000000004</v>
      </c>
      <c r="O147" s="125">
        <v>0</v>
      </c>
      <c r="P147" s="125">
        <v>0</v>
      </c>
      <c r="Q147" s="125">
        <f>-0.2171*$B$5^2 + 29.591*$B$5 + 148.19</f>
        <v>422.39000000000004</v>
      </c>
      <c r="R147" s="125">
        <v>0</v>
      </c>
      <c r="S147" s="125">
        <v>0</v>
      </c>
      <c r="T147" s="125">
        <f>-0.2171*$B$5^2 + 29.591*$B$5 + 148.19</f>
        <v>422.39000000000004</v>
      </c>
      <c r="U147" s="125">
        <v>0</v>
      </c>
      <c r="V147" s="125">
        <f>-0.2171*$B$5^2 + 29.591*$B$5 + 148.19</f>
        <v>422.39000000000004</v>
      </c>
      <c r="W147" s="125">
        <v>0</v>
      </c>
      <c r="X147" s="125">
        <f>0.0462*$B$5^2 + 14.576*$B$5 + 228.65</f>
        <v>379.03</v>
      </c>
      <c r="Y147" s="125">
        <v>0</v>
      </c>
      <c r="Z147" s="125">
        <v>0</v>
      </c>
      <c r="AA147" s="125">
        <f>0.0462*$B$5^2 + 14.576*$B$5 + 228.65</f>
        <v>379.03</v>
      </c>
      <c r="AB147" s="125">
        <v>0</v>
      </c>
      <c r="AC147" s="125">
        <v>0</v>
      </c>
      <c r="AD147" s="125">
        <f>0.0462*$B$5^2 + 14.576*$B$5 + 228.65</f>
        <v>379.03</v>
      </c>
      <c r="AE147" s="125">
        <v>0</v>
      </c>
      <c r="AF147" s="125">
        <f>0.0462*$B$5^2 + 14.576*$B$5 + 228.65</f>
        <v>379.03</v>
      </c>
      <c r="AG147" s="126">
        <v>0</v>
      </c>
      <c r="AH147" s="22"/>
    </row>
    <row r="148" spans="1:34" x14ac:dyDescent="0.25">
      <c r="A148" s="112"/>
      <c r="B148" s="27" t="s">
        <v>535</v>
      </c>
      <c r="C148" s="125" t="s">
        <v>57</v>
      </c>
      <c r="D148" s="125">
        <f>-0.0042*$B$5^2 + 0.9425*$B$5 + 29.95</f>
        <v>38.954999999999998</v>
      </c>
      <c r="E148" s="125">
        <v>0</v>
      </c>
      <c r="F148" s="125">
        <v>0</v>
      </c>
      <c r="G148" s="125">
        <f>-0.0042*$B$5^2 + 0.9425*$B$5 + 29.95</f>
        <v>38.954999999999998</v>
      </c>
      <c r="H148" s="125">
        <v>0</v>
      </c>
      <c r="I148" s="125">
        <v>0</v>
      </c>
      <c r="J148" s="125">
        <f>-0.0042*$B$5^2 + 0.9425*$B$5 + 29.95</f>
        <v>38.954999999999998</v>
      </c>
      <c r="K148" s="125">
        <v>0</v>
      </c>
      <c r="L148" s="125">
        <f>-0.0042*$B$5^2 + 0.9425*$B$5 + 29.95</f>
        <v>38.954999999999998</v>
      </c>
      <c r="M148" s="125">
        <v>0</v>
      </c>
      <c r="N148" s="125">
        <f>-0.0042*$B$5^2 + 0.9425*$B$5 + 29.95</f>
        <v>38.954999999999998</v>
      </c>
      <c r="O148" s="125">
        <v>0</v>
      </c>
      <c r="P148" s="125">
        <v>0</v>
      </c>
      <c r="Q148" s="125">
        <f>-0.0042*$B$5^2 + 0.9425*$B$5 + 29.95</f>
        <v>38.954999999999998</v>
      </c>
      <c r="R148" s="125">
        <v>0</v>
      </c>
      <c r="S148" s="125">
        <v>0</v>
      </c>
      <c r="T148" s="125">
        <f>-0.0042*$B$5^2 + 0.9425*$B$5 + 29.95</f>
        <v>38.954999999999998</v>
      </c>
      <c r="U148" s="125">
        <v>0</v>
      </c>
      <c r="V148" s="125">
        <f>-0.0042*$B$5^2 + 0.9425*$B$5 + 29.95</f>
        <v>38.954999999999998</v>
      </c>
      <c r="W148" s="125">
        <v>0</v>
      </c>
      <c r="X148" s="125">
        <f>0.0209*$B$5^2 - 0.3142*$B$5 + 40.003</f>
        <v>38.951000000000001</v>
      </c>
      <c r="Y148" s="125">
        <v>0</v>
      </c>
      <c r="Z148" s="125">
        <v>0</v>
      </c>
      <c r="AA148" s="125">
        <f>0.0209*$B$5^2 - 0.3142*$B$5 + 40.003</f>
        <v>38.951000000000001</v>
      </c>
      <c r="AB148" s="125">
        <v>0</v>
      </c>
      <c r="AC148" s="125">
        <v>0</v>
      </c>
      <c r="AD148" s="125">
        <f>0.0209*$B$5^2 - 0.3142*$B$5 + 40.003</f>
        <v>38.951000000000001</v>
      </c>
      <c r="AE148" s="125">
        <v>0</v>
      </c>
      <c r="AF148" s="125">
        <f>0.0209*$B$5^2 - 0.3142*$B$5 + 40.003</f>
        <v>38.951000000000001</v>
      </c>
      <c r="AG148" s="126">
        <v>0</v>
      </c>
      <c r="AH148" s="22"/>
    </row>
    <row r="149" spans="1:34" x14ac:dyDescent="0.25">
      <c r="A149" s="112"/>
      <c r="B149" s="27" t="s">
        <v>445</v>
      </c>
      <c r="C149" s="125" t="s">
        <v>59</v>
      </c>
      <c r="D149" s="125">
        <f>2</f>
        <v>2</v>
      </c>
      <c r="E149" s="125">
        <v>0</v>
      </c>
      <c r="F149" s="125">
        <v>0</v>
      </c>
      <c r="G149" s="125">
        <f>2</f>
        <v>2</v>
      </c>
      <c r="H149" s="125">
        <v>0</v>
      </c>
      <c r="I149" s="125">
        <v>0</v>
      </c>
      <c r="J149" s="125">
        <f>2</f>
        <v>2</v>
      </c>
      <c r="K149" s="125">
        <v>0</v>
      </c>
      <c r="L149" s="125">
        <f>2</f>
        <v>2</v>
      </c>
      <c r="M149" s="125">
        <v>0</v>
      </c>
      <c r="N149" s="125">
        <f>2</f>
        <v>2</v>
      </c>
      <c r="O149" s="125">
        <v>0</v>
      </c>
      <c r="P149" s="125">
        <v>0</v>
      </c>
      <c r="Q149" s="125">
        <f>2</f>
        <v>2</v>
      </c>
      <c r="R149" s="125">
        <v>0</v>
      </c>
      <c r="S149" s="125">
        <v>0</v>
      </c>
      <c r="T149" s="125">
        <f>2</f>
        <v>2</v>
      </c>
      <c r="U149" s="125">
        <v>0</v>
      </c>
      <c r="V149" s="125">
        <f>2</f>
        <v>2</v>
      </c>
      <c r="W149" s="125">
        <v>0</v>
      </c>
      <c r="X149" s="125">
        <f>2</f>
        <v>2</v>
      </c>
      <c r="Y149" s="125">
        <v>0</v>
      </c>
      <c r="Z149" s="125">
        <v>0</v>
      </c>
      <c r="AA149" s="125">
        <f>2</f>
        <v>2</v>
      </c>
      <c r="AB149" s="125">
        <v>0</v>
      </c>
      <c r="AC149" s="125">
        <v>0</v>
      </c>
      <c r="AD149" s="125">
        <f>2</f>
        <v>2</v>
      </c>
      <c r="AE149" s="125">
        <v>0</v>
      </c>
      <c r="AF149" s="125">
        <f>2</f>
        <v>2</v>
      </c>
      <c r="AG149" s="126">
        <v>0</v>
      </c>
      <c r="AH149" s="22"/>
    </row>
    <row r="150" spans="1:34" x14ac:dyDescent="0.25">
      <c r="A150" s="112"/>
      <c r="B150" s="120" t="s">
        <v>539</v>
      </c>
      <c r="C150" s="121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8"/>
      <c r="AH150" s="22"/>
    </row>
    <row r="151" spans="1:34" ht="51" x14ac:dyDescent="0.25">
      <c r="A151" s="112"/>
      <c r="B151" s="131" t="s">
        <v>440</v>
      </c>
      <c r="C151" s="125" t="s">
        <v>65</v>
      </c>
      <c r="D151" s="125">
        <f>-0.0536*$B$5^2 + 4.455*$B$5 + 106.93</f>
        <v>146.12</v>
      </c>
      <c r="E151" s="125">
        <v>0</v>
      </c>
      <c r="F151" s="125">
        <v>0</v>
      </c>
      <c r="G151" s="125">
        <f>-0.0536*$B$5^2 + 4.455*$B$5 + 106.93</f>
        <v>146.12</v>
      </c>
      <c r="H151" s="125">
        <v>0</v>
      </c>
      <c r="I151" s="125">
        <v>0</v>
      </c>
      <c r="J151" s="125">
        <f>-0.0536*$B$5^2 + 4.455*$B$5 + 106.93</f>
        <v>146.12</v>
      </c>
      <c r="K151" s="125">
        <v>0</v>
      </c>
      <c r="L151" s="125">
        <f>-0.0536*$B$5^2 + 4.455*$B$5 + 106.93</f>
        <v>146.12</v>
      </c>
      <c r="M151" s="125">
        <v>0</v>
      </c>
      <c r="N151" s="125">
        <f>-0.0742*$B$5^2 + 5.4423*$B$5 + 87.974</f>
        <v>134.977</v>
      </c>
      <c r="O151" s="125">
        <v>0</v>
      </c>
      <c r="P151" s="125">
        <v>0</v>
      </c>
      <c r="Q151" s="125">
        <f>-0.0742*$B$5^2 + 5.4423*$B$5 + 87.974</f>
        <v>134.977</v>
      </c>
      <c r="R151" s="125">
        <v>0</v>
      </c>
      <c r="S151" s="125">
        <v>0</v>
      </c>
      <c r="T151" s="125">
        <f>-0.0742*$B$5^2 + 5.4423*$B$5 + 87.974</f>
        <v>134.977</v>
      </c>
      <c r="U151" s="125">
        <v>0</v>
      </c>
      <c r="V151" s="125">
        <f>-0.0742*$B$5^2 + 5.4423*$B$5 + 87.974</f>
        <v>134.977</v>
      </c>
      <c r="W151" s="125">
        <v>0</v>
      </c>
      <c r="X151" s="125">
        <f>-0.1114*$B$5^2 + 7.0537*$B$5 + 60.728</f>
        <v>120.125</v>
      </c>
      <c r="Y151" s="125">
        <v>0</v>
      </c>
      <c r="Z151" s="125">
        <v>0</v>
      </c>
      <c r="AA151" s="125">
        <f>-0.1114*$B$5^2 + 7.0537*$B$5 + 60.728</f>
        <v>120.125</v>
      </c>
      <c r="AB151" s="125">
        <v>0</v>
      </c>
      <c r="AC151" s="125">
        <v>0</v>
      </c>
      <c r="AD151" s="125">
        <f>-0.1114*$B$5^2 + 7.0537*$B$5 + 60.728</f>
        <v>120.125</v>
      </c>
      <c r="AE151" s="125">
        <v>0</v>
      </c>
      <c r="AF151" s="125">
        <f>-0.1114*$B$5^2 + 7.0537*$B$5 + 60.728</f>
        <v>120.125</v>
      </c>
      <c r="AG151" s="126">
        <v>0</v>
      </c>
      <c r="AH151" s="22"/>
    </row>
    <row r="152" spans="1:34" ht="25.5" x14ac:dyDescent="0.25">
      <c r="A152" s="112"/>
      <c r="B152" s="262" t="s">
        <v>294</v>
      </c>
      <c r="C152" s="125" t="s">
        <v>65</v>
      </c>
      <c r="D152" s="125">
        <f>-0.0103*$B$5^2 + 0.855*$B$5 + 29.27</f>
        <v>36.79</v>
      </c>
      <c r="E152" s="125">
        <v>0</v>
      </c>
      <c r="F152" s="125">
        <v>0</v>
      </c>
      <c r="G152" s="125">
        <f>-0.0103*$B$5^2 + 0.855*$B$5 + 29.27</f>
        <v>36.79</v>
      </c>
      <c r="H152" s="125">
        <v>0</v>
      </c>
      <c r="I152" s="125">
        <v>0</v>
      </c>
      <c r="J152" s="125">
        <f>-0.0103*$B$5^2 + 0.855*$B$5 + 29.27</f>
        <v>36.79</v>
      </c>
      <c r="K152" s="125">
        <v>0</v>
      </c>
      <c r="L152" s="125">
        <f>-0.0103*$B$5^2 + 0.855*$B$5 + 29.27</f>
        <v>36.79</v>
      </c>
      <c r="M152" s="125">
        <v>0</v>
      </c>
      <c r="N152" s="125">
        <f>-0.0142*$B$5^2 + 1.0435*$B$5 + 25.641</f>
        <v>34.655999999999999</v>
      </c>
      <c r="O152" s="125">
        <v>0</v>
      </c>
      <c r="P152" s="125">
        <v>0</v>
      </c>
      <c r="Q152" s="125">
        <f>-0.0142*$B$5^2 + 1.0435*$B$5 + 25.641</f>
        <v>34.655999999999999</v>
      </c>
      <c r="R152" s="125">
        <v>0</v>
      </c>
      <c r="S152" s="125">
        <v>0</v>
      </c>
      <c r="T152" s="125">
        <f>-0.0142*$B$5^2 + 1.0435*$B$5 + 25.641</f>
        <v>34.655999999999999</v>
      </c>
      <c r="U152" s="125">
        <v>0</v>
      </c>
      <c r="V152" s="125">
        <f>-0.0142*$B$5^2 + 1.0435*$B$5 + 25.641</f>
        <v>34.655999999999999</v>
      </c>
      <c r="W152" s="125">
        <v>0</v>
      </c>
      <c r="X152" s="125">
        <f>-0.0214*$B$5^2 + 1.3538*$B$5 + 20.403</f>
        <v>31.800999999999998</v>
      </c>
      <c r="Y152" s="125">
        <v>0</v>
      </c>
      <c r="Z152" s="125">
        <v>0</v>
      </c>
      <c r="AA152" s="125">
        <f>-0.0214*$B$5^2 + 1.3538*$B$5 + 20.403</f>
        <v>31.800999999999998</v>
      </c>
      <c r="AB152" s="125">
        <v>0</v>
      </c>
      <c r="AC152" s="125">
        <v>0</v>
      </c>
      <c r="AD152" s="125">
        <f>-0.0214*$B$5^2 + 1.3538*$B$5 + 20.403</f>
        <v>31.800999999999998</v>
      </c>
      <c r="AE152" s="125">
        <v>0</v>
      </c>
      <c r="AF152" s="125">
        <f>-0.0214*$B$5^2 + 1.3538*$B$5 + 20.403</f>
        <v>31.800999999999998</v>
      </c>
      <c r="AG152" s="126">
        <v>0</v>
      </c>
      <c r="AH152" s="22"/>
    </row>
    <row r="153" spans="1:34" x14ac:dyDescent="0.25">
      <c r="A153" s="112"/>
      <c r="B153" s="262" t="s">
        <v>290</v>
      </c>
      <c r="C153" s="125" t="s">
        <v>63</v>
      </c>
      <c r="D153" s="125">
        <f>-0.0041*$B$5^2 + 0.342*$B$5 + 11.708</f>
        <v>14.718</v>
      </c>
      <c r="E153" s="125">
        <v>0</v>
      </c>
      <c r="F153" s="125">
        <v>0</v>
      </c>
      <c r="G153" s="125">
        <f>-0.0041*$B$5^2 + 0.342*$B$5 + 11.708</f>
        <v>14.718</v>
      </c>
      <c r="H153" s="125">
        <v>0</v>
      </c>
      <c r="I153" s="125">
        <v>0</v>
      </c>
      <c r="J153" s="125">
        <f>-0.0041*$B$5^2 + 0.342*$B$5 + 11.708</f>
        <v>14.718</v>
      </c>
      <c r="K153" s="125">
        <v>0</v>
      </c>
      <c r="L153" s="125">
        <f>-0.0041*$B$5^2 + 0.342*$B$5 + 11.708</f>
        <v>14.718</v>
      </c>
      <c r="M153" s="125">
        <v>0</v>
      </c>
      <c r="N153" s="125">
        <f>-0.0057*$B$5^2 + 0.4174*$B$5 + 10.256</f>
        <v>13.86</v>
      </c>
      <c r="O153" s="125">
        <v>0</v>
      </c>
      <c r="P153" s="125">
        <v>0</v>
      </c>
      <c r="Q153" s="125">
        <f>-0.0057*$B$5^2 + 0.4174*$B$5 + 10.256</f>
        <v>13.86</v>
      </c>
      <c r="R153" s="125">
        <v>0</v>
      </c>
      <c r="S153" s="125">
        <v>0</v>
      </c>
      <c r="T153" s="125">
        <f>-0.0057*$B$5^2 + 0.4174*$B$5 + 10.256</f>
        <v>13.86</v>
      </c>
      <c r="U153" s="125">
        <v>0</v>
      </c>
      <c r="V153" s="125">
        <f>-0.0057*$B$5^2 + 0.4174*$B$5 + 10.256</f>
        <v>13.86</v>
      </c>
      <c r="W153" s="125">
        <v>0</v>
      </c>
      <c r="X153" s="125">
        <f>-0.0086*$B$5^2 + 0.5415*$B$5 + 8.1614</f>
        <v>12.7164</v>
      </c>
      <c r="Y153" s="125">
        <v>0</v>
      </c>
      <c r="Z153" s="125">
        <v>0</v>
      </c>
      <c r="AA153" s="125">
        <f>-0.0086*$B$5^2 + 0.5415*$B$5 + 8.1614</f>
        <v>12.7164</v>
      </c>
      <c r="AB153" s="125">
        <v>0</v>
      </c>
      <c r="AC153" s="125">
        <v>0</v>
      </c>
      <c r="AD153" s="125">
        <f>-0.0086*$B$5^2 + 0.5415*$B$5 + 8.1614</f>
        <v>12.7164</v>
      </c>
      <c r="AE153" s="125">
        <v>0</v>
      </c>
      <c r="AF153" s="125">
        <f>-0.0086*$B$5^2 + 0.5415*$B$5 + 8.1614</f>
        <v>12.7164</v>
      </c>
      <c r="AG153" s="126">
        <v>0</v>
      </c>
      <c r="AH153" s="22"/>
    </row>
    <row r="154" spans="1:34" ht="25.5" x14ac:dyDescent="0.25">
      <c r="A154" s="112"/>
      <c r="B154" s="262" t="s">
        <v>295</v>
      </c>
      <c r="C154" s="125" t="s">
        <v>57</v>
      </c>
      <c r="D154" s="125">
        <f>-0.0823*$B$5^2 + 6.84*$B$5 + 202.33</f>
        <v>262.5</v>
      </c>
      <c r="E154" s="125">
        <v>0</v>
      </c>
      <c r="F154" s="125">
        <v>0</v>
      </c>
      <c r="G154" s="125">
        <f>-0.0823*$B$5^2 + 6.84*$B$5 + 202.33</f>
        <v>262.5</v>
      </c>
      <c r="H154" s="125">
        <v>0</v>
      </c>
      <c r="I154" s="125">
        <v>0</v>
      </c>
      <c r="J154" s="125">
        <f>-0.0823*$B$5^2 + 6.84*$B$5 + 202.33</f>
        <v>262.5</v>
      </c>
      <c r="K154" s="125">
        <v>0</v>
      </c>
      <c r="L154" s="125">
        <f>-0.0823*$B$5^2 + 6.84*$B$5 + 202.33</f>
        <v>262.5</v>
      </c>
      <c r="M154" s="125">
        <v>0</v>
      </c>
      <c r="N154" s="125">
        <f>-0.1134*$B$5^2 + 8.33*$B$5 + 173.44</f>
        <v>245.39999999999998</v>
      </c>
      <c r="O154" s="125">
        <v>0</v>
      </c>
      <c r="P154" s="125">
        <v>0</v>
      </c>
      <c r="Q154" s="125">
        <f>-0.1134*$B$5^2 + 8.33*$B$5 + 173.44</f>
        <v>245.39999999999998</v>
      </c>
      <c r="R154" s="125">
        <v>0</v>
      </c>
      <c r="S154" s="125">
        <v>0</v>
      </c>
      <c r="T154" s="125">
        <f>-0.1134*$B$5^2 + 8.33*$B$5 + 173.44</f>
        <v>245.39999999999998</v>
      </c>
      <c r="U154" s="125">
        <v>0</v>
      </c>
      <c r="V154" s="125">
        <f>-0.1134*$B$5^2 + 8.33*$B$5 + 173.44</f>
        <v>245.39999999999998</v>
      </c>
      <c r="W154" s="125">
        <v>0</v>
      </c>
      <c r="X154" s="125">
        <f>-0.171*$B$5^2 + 10.83*$B$5 + 131.4</f>
        <v>222.6</v>
      </c>
      <c r="Y154" s="125">
        <v>0</v>
      </c>
      <c r="Z154" s="125">
        <v>0</v>
      </c>
      <c r="AA154" s="125">
        <f>-0.171*$B$5^2 + 10.83*$B$5 + 131.4</f>
        <v>222.6</v>
      </c>
      <c r="AB154" s="125">
        <v>0</v>
      </c>
      <c r="AC154" s="125">
        <v>0</v>
      </c>
      <c r="AD154" s="125">
        <f>-0.171*$B$5^2 + 10.83*$B$5 + 131.4</f>
        <v>222.6</v>
      </c>
      <c r="AE154" s="125">
        <v>0</v>
      </c>
      <c r="AF154" s="125">
        <f>-0.171*$B$5^2 + 10.83*$B$5 + 131.4</f>
        <v>222.6</v>
      </c>
      <c r="AG154" s="126">
        <v>0</v>
      </c>
      <c r="AH154" s="22"/>
    </row>
    <row r="155" spans="1:34" ht="38.25" x14ac:dyDescent="0.25">
      <c r="A155" s="112"/>
      <c r="B155" s="27" t="s">
        <v>297</v>
      </c>
      <c r="C155" s="125" t="s">
        <v>57</v>
      </c>
      <c r="D155" s="125">
        <f>44.93</f>
        <v>44.93</v>
      </c>
      <c r="E155" s="125">
        <v>0</v>
      </c>
      <c r="F155" s="125">
        <v>0</v>
      </c>
      <c r="G155" s="125">
        <f>44.93</f>
        <v>44.93</v>
      </c>
      <c r="H155" s="125">
        <v>0</v>
      </c>
      <c r="I155" s="125">
        <v>0</v>
      </c>
      <c r="J155" s="125">
        <f>44.93</f>
        <v>44.93</v>
      </c>
      <c r="K155" s="125">
        <v>0</v>
      </c>
      <c r="L155" s="125">
        <f>44.93</f>
        <v>44.93</v>
      </c>
      <c r="M155" s="125">
        <v>0</v>
      </c>
      <c r="N155" s="125">
        <f>44.93</f>
        <v>44.93</v>
      </c>
      <c r="O155" s="125">
        <v>0</v>
      </c>
      <c r="P155" s="125">
        <v>0</v>
      </c>
      <c r="Q155" s="125">
        <f>44.93</f>
        <v>44.93</v>
      </c>
      <c r="R155" s="125">
        <v>0</v>
      </c>
      <c r="S155" s="125">
        <v>0</v>
      </c>
      <c r="T155" s="125">
        <f>44.93</f>
        <v>44.93</v>
      </c>
      <c r="U155" s="125">
        <v>0</v>
      </c>
      <c r="V155" s="125">
        <f>44.93</f>
        <v>44.93</v>
      </c>
      <c r="W155" s="125">
        <v>0</v>
      </c>
      <c r="X155" s="125">
        <f>44.93</f>
        <v>44.93</v>
      </c>
      <c r="Y155" s="125">
        <v>0</v>
      </c>
      <c r="Z155" s="125">
        <v>0</v>
      </c>
      <c r="AA155" s="125">
        <f>44.93</f>
        <v>44.93</v>
      </c>
      <c r="AB155" s="125">
        <v>0</v>
      </c>
      <c r="AC155" s="125">
        <v>0</v>
      </c>
      <c r="AD155" s="125">
        <f>44.93</f>
        <v>44.93</v>
      </c>
      <c r="AE155" s="125">
        <v>0</v>
      </c>
      <c r="AF155" s="125">
        <f>44.93</f>
        <v>44.93</v>
      </c>
      <c r="AG155" s="126">
        <v>0</v>
      </c>
      <c r="AH155" s="22"/>
    </row>
    <row r="156" spans="1:34" ht="38.25" x14ac:dyDescent="0.25">
      <c r="A156" s="112"/>
      <c r="B156" s="27" t="s">
        <v>540</v>
      </c>
      <c r="C156" s="125" t="s">
        <v>57</v>
      </c>
      <c r="D156" s="125">
        <f>35.75</f>
        <v>35.75</v>
      </c>
      <c r="E156" s="125">
        <v>0</v>
      </c>
      <c r="F156" s="125">
        <v>0</v>
      </c>
      <c r="G156" s="125">
        <f>35.75</f>
        <v>35.75</v>
      </c>
      <c r="H156" s="125">
        <v>0</v>
      </c>
      <c r="I156" s="125">
        <v>0</v>
      </c>
      <c r="J156" s="125">
        <f>35.75</f>
        <v>35.75</v>
      </c>
      <c r="K156" s="125">
        <v>0</v>
      </c>
      <c r="L156" s="125">
        <f>35.75</f>
        <v>35.75</v>
      </c>
      <c r="M156" s="125">
        <v>0</v>
      </c>
      <c r="N156" s="125">
        <f>35.75</f>
        <v>35.75</v>
      </c>
      <c r="O156" s="125">
        <v>0</v>
      </c>
      <c r="P156" s="125">
        <v>0</v>
      </c>
      <c r="Q156" s="125">
        <f>35.75</f>
        <v>35.75</v>
      </c>
      <c r="R156" s="125">
        <v>0</v>
      </c>
      <c r="S156" s="125">
        <v>0</v>
      </c>
      <c r="T156" s="125">
        <f>35.75</f>
        <v>35.75</v>
      </c>
      <c r="U156" s="125">
        <v>0</v>
      </c>
      <c r="V156" s="125">
        <f>35.75</f>
        <v>35.75</v>
      </c>
      <c r="W156" s="125">
        <v>0</v>
      </c>
      <c r="X156" s="125">
        <f>35.75</f>
        <v>35.75</v>
      </c>
      <c r="Y156" s="125">
        <v>0</v>
      </c>
      <c r="Z156" s="125">
        <v>0</v>
      </c>
      <c r="AA156" s="125">
        <f>35.75</f>
        <v>35.75</v>
      </c>
      <c r="AB156" s="125">
        <v>0</v>
      </c>
      <c r="AC156" s="125">
        <v>0</v>
      </c>
      <c r="AD156" s="125">
        <f>35.75</f>
        <v>35.75</v>
      </c>
      <c r="AE156" s="125">
        <v>0</v>
      </c>
      <c r="AF156" s="125">
        <f>35.75</f>
        <v>35.75</v>
      </c>
      <c r="AG156" s="126">
        <v>0</v>
      </c>
      <c r="AH156" s="22"/>
    </row>
    <row r="157" spans="1:34" ht="25.5" x14ac:dyDescent="0.25">
      <c r="A157" s="112"/>
      <c r="B157" s="27" t="s">
        <v>541</v>
      </c>
      <c r="C157" s="125" t="s">
        <v>57</v>
      </c>
      <c r="D157" s="125">
        <f>35.75</f>
        <v>35.75</v>
      </c>
      <c r="E157" s="125">
        <v>0</v>
      </c>
      <c r="F157" s="125">
        <v>0</v>
      </c>
      <c r="G157" s="125">
        <f>35.75</f>
        <v>35.75</v>
      </c>
      <c r="H157" s="125">
        <v>0</v>
      </c>
      <c r="I157" s="125">
        <v>0</v>
      </c>
      <c r="J157" s="125">
        <f>35.75</f>
        <v>35.75</v>
      </c>
      <c r="K157" s="125">
        <v>0</v>
      </c>
      <c r="L157" s="125">
        <f>35.75</f>
        <v>35.75</v>
      </c>
      <c r="M157" s="125">
        <v>0</v>
      </c>
      <c r="N157" s="125">
        <f>35.75</f>
        <v>35.75</v>
      </c>
      <c r="O157" s="125">
        <v>0</v>
      </c>
      <c r="P157" s="125">
        <v>0</v>
      </c>
      <c r="Q157" s="125">
        <f>35.75</f>
        <v>35.75</v>
      </c>
      <c r="R157" s="125">
        <v>0</v>
      </c>
      <c r="S157" s="125">
        <v>0</v>
      </c>
      <c r="T157" s="125">
        <f>35.75</f>
        <v>35.75</v>
      </c>
      <c r="U157" s="125">
        <v>0</v>
      </c>
      <c r="V157" s="125">
        <f>35.75</f>
        <v>35.75</v>
      </c>
      <c r="W157" s="125">
        <v>0</v>
      </c>
      <c r="X157" s="125">
        <f>35.75</f>
        <v>35.75</v>
      </c>
      <c r="Y157" s="125">
        <v>0</v>
      </c>
      <c r="Z157" s="125">
        <v>0</v>
      </c>
      <c r="AA157" s="125">
        <f>35.75</f>
        <v>35.75</v>
      </c>
      <c r="AB157" s="125">
        <v>0</v>
      </c>
      <c r="AC157" s="125">
        <v>0</v>
      </c>
      <c r="AD157" s="125">
        <f>35.75</f>
        <v>35.75</v>
      </c>
      <c r="AE157" s="125">
        <v>0</v>
      </c>
      <c r="AF157" s="125">
        <f>35.75</f>
        <v>35.75</v>
      </c>
      <c r="AG157" s="126">
        <v>0</v>
      </c>
      <c r="AH157" s="22"/>
    </row>
    <row r="158" spans="1:34" x14ac:dyDescent="0.25">
      <c r="A158" s="112"/>
      <c r="B158" s="27" t="s">
        <v>68</v>
      </c>
      <c r="C158" s="125" t="s">
        <v>64</v>
      </c>
      <c r="D158" s="125">
        <f>24.3</f>
        <v>24.3</v>
      </c>
      <c r="E158" s="125">
        <v>0</v>
      </c>
      <c r="F158" s="125">
        <v>0</v>
      </c>
      <c r="G158" s="125">
        <f>24.3</f>
        <v>24.3</v>
      </c>
      <c r="H158" s="125">
        <v>0</v>
      </c>
      <c r="I158" s="125">
        <v>0</v>
      </c>
      <c r="J158" s="125">
        <f>24.3</f>
        <v>24.3</v>
      </c>
      <c r="K158" s="125">
        <v>0</v>
      </c>
      <c r="L158" s="125">
        <f>24.3</f>
        <v>24.3</v>
      </c>
      <c r="M158" s="125">
        <v>0</v>
      </c>
      <c r="N158" s="125">
        <f>24.3</f>
        <v>24.3</v>
      </c>
      <c r="O158" s="125">
        <v>0</v>
      </c>
      <c r="P158" s="125">
        <v>0</v>
      </c>
      <c r="Q158" s="125">
        <f>24.3</f>
        <v>24.3</v>
      </c>
      <c r="R158" s="125">
        <v>0</v>
      </c>
      <c r="S158" s="125">
        <v>0</v>
      </c>
      <c r="T158" s="125">
        <f>24.3</f>
        <v>24.3</v>
      </c>
      <c r="U158" s="125">
        <v>0</v>
      </c>
      <c r="V158" s="125">
        <f>24.3</f>
        <v>24.3</v>
      </c>
      <c r="W158" s="125">
        <v>0</v>
      </c>
      <c r="X158" s="125">
        <f>24.3</f>
        <v>24.3</v>
      </c>
      <c r="Y158" s="125">
        <v>0</v>
      </c>
      <c r="Z158" s="125">
        <v>0</v>
      </c>
      <c r="AA158" s="125">
        <f>24.3</f>
        <v>24.3</v>
      </c>
      <c r="AB158" s="125">
        <v>0</v>
      </c>
      <c r="AC158" s="125">
        <v>0</v>
      </c>
      <c r="AD158" s="125">
        <f>24.3</f>
        <v>24.3</v>
      </c>
      <c r="AE158" s="125">
        <v>0</v>
      </c>
      <c r="AF158" s="125">
        <f>24.3</f>
        <v>24.3</v>
      </c>
      <c r="AG158" s="126">
        <v>0</v>
      </c>
      <c r="AH158" s="22"/>
    </row>
    <row r="159" spans="1:34" ht="25.5" x14ac:dyDescent="0.25">
      <c r="A159" s="112"/>
      <c r="B159" s="69" t="s">
        <v>902</v>
      </c>
      <c r="C159" s="125" t="s">
        <v>57</v>
      </c>
      <c r="D159" s="125">
        <f>1.92</f>
        <v>1.92</v>
      </c>
      <c r="E159" s="125">
        <v>0</v>
      </c>
      <c r="F159" s="125">
        <v>0</v>
      </c>
      <c r="G159" s="125">
        <f>1.92</f>
        <v>1.92</v>
      </c>
      <c r="H159" s="125">
        <v>0</v>
      </c>
      <c r="I159" s="125">
        <v>0</v>
      </c>
      <c r="J159" s="125">
        <f>1.92</f>
        <v>1.92</v>
      </c>
      <c r="K159" s="125">
        <v>0</v>
      </c>
      <c r="L159" s="125">
        <f>1.92</f>
        <v>1.92</v>
      </c>
      <c r="M159" s="125">
        <v>0</v>
      </c>
      <c r="N159" s="125">
        <f>1.92</f>
        <v>1.92</v>
      </c>
      <c r="O159" s="125">
        <v>0</v>
      </c>
      <c r="P159" s="125">
        <v>0</v>
      </c>
      <c r="Q159" s="125">
        <f>1.92</f>
        <v>1.92</v>
      </c>
      <c r="R159" s="125">
        <v>0</v>
      </c>
      <c r="S159" s="125">
        <v>0</v>
      </c>
      <c r="T159" s="125">
        <f>1.92</f>
        <v>1.92</v>
      </c>
      <c r="U159" s="125">
        <v>0</v>
      </c>
      <c r="V159" s="125">
        <f>1.92</f>
        <v>1.92</v>
      </c>
      <c r="W159" s="125">
        <v>0</v>
      </c>
      <c r="X159" s="125">
        <f>1.92</f>
        <v>1.92</v>
      </c>
      <c r="Y159" s="125">
        <v>0</v>
      </c>
      <c r="Z159" s="125">
        <v>0</v>
      </c>
      <c r="AA159" s="125">
        <f>1.92</f>
        <v>1.92</v>
      </c>
      <c r="AB159" s="125">
        <v>0</v>
      </c>
      <c r="AC159" s="125">
        <v>0</v>
      </c>
      <c r="AD159" s="125">
        <f>1.92</f>
        <v>1.92</v>
      </c>
      <c r="AE159" s="125">
        <v>0</v>
      </c>
      <c r="AF159" s="125">
        <f>1.92</f>
        <v>1.92</v>
      </c>
      <c r="AG159" s="126">
        <v>0</v>
      </c>
      <c r="AH159" s="22"/>
    </row>
    <row r="160" spans="1:34" ht="25.5" x14ac:dyDescent="0.25">
      <c r="A160" s="112"/>
      <c r="B160" s="27" t="s">
        <v>77</v>
      </c>
      <c r="C160" s="125" t="s">
        <v>57</v>
      </c>
      <c r="D160" s="125">
        <f>1.68</f>
        <v>1.68</v>
      </c>
      <c r="E160" s="125">
        <v>0</v>
      </c>
      <c r="F160" s="125">
        <v>0</v>
      </c>
      <c r="G160" s="125">
        <f>1.68</f>
        <v>1.68</v>
      </c>
      <c r="H160" s="125">
        <v>0</v>
      </c>
      <c r="I160" s="125">
        <v>0</v>
      </c>
      <c r="J160" s="125">
        <f>1.68</f>
        <v>1.68</v>
      </c>
      <c r="K160" s="125">
        <v>0</v>
      </c>
      <c r="L160" s="125">
        <f>1.68</f>
        <v>1.68</v>
      </c>
      <c r="M160" s="125">
        <v>0</v>
      </c>
      <c r="N160" s="125">
        <f>1.68</f>
        <v>1.68</v>
      </c>
      <c r="O160" s="125">
        <v>0</v>
      </c>
      <c r="P160" s="125">
        <v>0</v>
      </c>
      <c r="Q160" s="125">
        <f>1.68</f>
        <v>1.68</v>
      </c>
      <c r="R160" s="125">
        <v>0</v>
      </c>
      <c r="S160" s="125">
        <v>0</v>
      </c>
      <c r="T160" s="125">
        <f>1.68</f>
        <v>1.68</v>
      </c>
      <c r="U160" s="125">
        <v>0</v>
      </c>
      <c r="V160" s="125">
        <f>1.68</f>
        <v>1.68</v>
      </c>
      <c r="W160" s="125">
        <v>0</v>
      </c>
      <c r="X160" s="125">
        <f>1.68</f>
        <v>1.68</v>
      </c>
      <c r="Y160" s="125">
        <v>0</v>
      </c>
      <c r="Z160" s="125">
        <v>0</v>
      </c>
      <c r="AA160" s="125">
        <f>1.68</f>
        <v>1.68</v>
      </c>
      <c r="AB160" s="125">
        <v>0</v>
      </c>
      <c r="AC160" s="125">
        <v>0</v>
      </c>
      <c r="AD160" s="125">
        <f>1.68</f>
        <v>1.68</v>
      </c>
      <c r="AE160" s="125">
        <v>0</v>
      </c>
      <c r="AF160" s="125">
        <f>1.68</f>
        <v>1.68</v>
      </c>
      <c r="AG160" s="126">
        <v>0</v>
      </c>
      <c r="AH160" s="22"/>
    </row>
    <row r="161" spans="1:34" ht="25.5" x14ac:dyDescent="0.25">
      <c r="A161" s="112"/>
      <c r="B161" s="131" t="s">
        <v>710</v>
      </c>
      <c r="C161" s="125" t="s">
        <v>57</v>
      </c>
      <c r="D161" s="125">
        <f>6.3</f>
        <v>6.3</v>
      </c>
      <c r="E161" s="125">
        <v>0</v>
      </c>
      <c r="F161" s="125">
        <v>0</v>
      </c>
      <c r="G161" s="125">
        <f>6.3</f>
        <v>6.3</v>
      </c>
      <c r="H161" s="125">
        <v>0</v>
      </c>
      <c r="I161" s="125">
        <v>0</v>
      </c>
      <c r="J161" s="125">
        <f>6.3</f>
        <v>6.3</v>
      </c>
      <c r="K161" s="125">
        <v>0</v>
      </c>
      <c r="L161" s="125">
        <f>6.3</f>
        <v>6.3</v>
      </c>
      <c r="M161" s="125">
        <v>0</v>
      </c>
      <c r="N161" s="125">
        <f>6.3</f>
        <v>6.3</v>
      </c>
      <c r="O161" s="125">
        <v>0</v>
      </c>
      <c r="P161" s="125">
        <v>0</v>
      </c>
      <c r="Q161" s="125">
        <f>6.3</f>
        <v>6.3</v>
      </c>
      <c r="R161" s="125">
        <v>0</v>
      </c>
      <c r="S161" s="125">
        <v>0</v>
      </c>
      <c r="T161" s="125">
        <f>6.3</f>
        <v>6.3</v>
      </c>
      <c r="U161" s="125">
        <v>0</v>
      </c>
      <c r="V161" s="125">
        <f>6.3</f>
        <v>6.3</v>
      </c>
      <c r="W161" s="125">
        <v>0</v>
      </c>
      <c r="X161" s="125">
        <f>6.3</f>
        <v>6.3</v>
      </c>
      <c r="Y161" s="125">
        <v>0</v>
      </c>
      <c r="Z161" s="125">
        <v>0</v>
      </c>
      <c r="AA161" s="125">
        <f>6.3</f>
        <v>6.3</v>
      </c>
      <c r="AB161" s="125">
        <v>0</v>
      </c>
      <c r="AC161" s="125">
        <v>0</v>
      </c>
      <c r="AD161" s="125">
        <f>6.3</f>
        <v>6.3</v>
      </c>
      <c r="AE161" s="125">
        <v>0</v>
      </c>
      <c r="AF161" s="125">
        <f>6.3</f>
        <v>6.3</v>
      </c>
      <c r="AG161" s="126">
        <v>0</v>
      </c>
      <c r="AH161" s="22"/>
    </row>
    <row r="162" spans="1:34" ht="38.25" x14ac:dyDescent="0.25">
      <c r="A162" s="112"/>
      <c r="B162" s="131" t="s">
        <v>302</v>
      </c>
      <c r="C162" s="125" t="s">
        <v>57</v>
      </c>
      <c r="D162" s="125">
        <f>5.46</f>
        <v>5.46</v>
      </c>
      <c r="E162" s="125">
        <v>0</v>
      </c>
      <c r="F162" s="125">
        <v>0</v>
      </c>
      <c r="G162" s="125">
        <f>5.46</f>
        <v>5.46</v>
      </c>
      <c r="H162" s="125">
        <v>0</v>
      </c>
      <c r="I162" s="125">
        <v>0</v>
      </c>
      <c r="J162" s="125">
        <f>5.46</f>
        <v>5.46</v>
      </c>
      <c r="K162" s="125">
        <v>0</v>
      </c>
      <c r="L162" s="125">
        <f>5.46</f>
        <v>5.46</v>
      </c>
      <c r="M162" s="125">
        <v>0</v>
      </c>
      <c r="N162" s="125">
        <f>5.46</f>
        <v>5.46</v>
      </c>
      <c r="O162" s="125">
        <v>0</v>
      </c>
      <c r="P162" s="125">
        <v>0</v>
      </c>
      <c r="Q162" s="125">
        <f>5.46</f>
        <v>5.46</v>
      </c>
      <c r="R162" s="125">
        <v>0</v>
      </c>
      <c r="S162" s="125">
        <v>0</v>
      </c>
      <c r="T162" s="125">
        <f>5.46</f>
        <v>5.46</v>
      </c>
      <c r="U162" s="125">
        <v>0</v>
      </c>
      <c r="V162" s="125">
        <f>5.46</f>
        <v>5.46</v>
      </c>
      <c r="W162" s="125">
        <v>0</v>
      </c>
      <c r="X162" s="125">
        <f>5.46</f>
        <v>5.46</v>
      </c>
      <c r="Y162" s="125">
        <v>0</v>
      </c>
      <c r="Z162" s="125">
        <v>0</v>
      </c>
      <c r="AA162" s="125">
        <f>5.46</f>
        <v>5.46</v>
      </c>
      <c r="AB162" s="125">
        <v>0</v>
      </c>
      <c r="AC162" s="125">
        <v>0</v>
      </c>
      <c r="AD162" s="125">
        <f>5.46</f>
        <v>5.46</v>
      </c>
      <c r="AE162" s="125">
        <v>0</v>
      </c>
      <c r="AF162" s="125">
        <f>5.46</f>
        <v>5.46</v>
      </c>
      <c r="AG162" s="126">
        <v>0</v>
      </c>
      <c r="AH162" s="22"/>
    </row>
    <row r="163" spans="1:34" ht="38.25" x14ac:dyDescent="0.25">
      <c r="A163" s="112"/>
      <c r="B163" s="131" t="s">
        <v>298</v>
      </c>
      <c r="C163" s="125" t="s">
        <v>57</v>
      </c>
      <c r="D163" s="125">
        <f>25.46</f>
        <v>25.46</v>
      </c>
      <c r="E163" s="125">
        <v>0</v>
      </c>
      <c r="F163" s="125">
        <v>0</v>
      </c>
      <c r="G163" s="125">
        <f>25.46</f>
        <v>25.46</v>
      </c>
      <c r="H163" s="125">
        <v>0</v>
      </c>
      <c r="I163" s="125">
        <v>0</v>
      </c>
      <c r="J163" s="125">
        <f>25.46</f>
        <v>25.46</v>
      </c>
      <c r="K163" s="125">
        <v>0</v>
      </c>
      <c r="L163" s="125">
        <f>25.46</f>
        <v>25.46</v>
      </c>
      <c r="M163" s="125">
        <v>0</v>
      </c>
      <c r="N163" s="125">
        <f>25.46</f>
        <v>25.46</v>
      </c>
      <c r="O163" s="125">
        <v>0</v>
      </c>
      <c r="P163" s="125">
        <v>0</v>
      </c>
      <c r="Q163" s="125">
        <f>25.46</f>
        <v>25.46</v>
      </c>
      <c r="R163" s="125">
        <v>0</v>
      </c>
      <c r="S163" s="125">
        <v>0</v>
      </c>
      <c r="T163" s="125">
        <f>25.46</f>
        <v>25.46</v>
      </c>
      <c r="U163" s="125">
        <v>0</v>
      </c>
      <c r="V163" s="125">
        <f>25.46</f>
        <v>25.46</v>
      </c>
      <c r="W163" s="125">
        <v>0</v>
      </c>
      <c r="X163" s="125">
        <f>25.46</f>
        <v>25.46</v>
      </c>
      <c r="Y163" s="125">
        <v>0</v>
      </c>
      <c r="Z163" s="125">
        <v>0</v>
      </c>
      <c r="AA163" s="125">
        <f>25.46</f>
        <v>25.46</v>
      </c>
      <c r="AB163" s="125">
        <v>0</v>
      </c>
      <c r="AC163" s="125">
        <v>0</v>
      </c>
      <c r="AD163" s="125">
        <f>25.46</f>
        <v>25.46</v>
      </c>
      <c r="AE163" s="125">
        <v>0</v>
      </c>
      <c r="AF163" s="125">
        <f>25.46</f>
        <v>25.46</v>
      </c>
      <c r="AG163" s="126">
        <v>0</v>
      </c>
      <c r="AH163" s="22"/>
    </row>
    <row r="164" spans="1:34" ht="38.25" x14ac:dyDescent="0.25">
      <c r="A164" s="112"/>
      <c r="B164" s="131" t="s">
        <v>299</v>
      </c>
      <c r="C164" s="125" t="s">
        <v>57</v>
      </c>
      <c r="D164" s="125">
        <f>44.93</f>
        <v>44.93</v>
      </c>
      <c r="E164" s="125">
        <v>0</v>
      </c>
      <c r="F164" s="125">
        <v>0</v>
      </c>
      <c r="G164" s="125">
        <f>44.93</f>
        <v>44.93</v>
      </c>
      <c r="H164" s="125">
        <v>0</v>
      </c>
      <c r="I164" s="125">
        <v>0</v>
      </c>
      <c r="J164" s="125">
        <f>44.93</f>
        <v>44.93</v>
      </c>
      <c r="K164" s="125">
        <v>0</v>
      </c>
      <c r="L164" s="125">
        <f>44.93</f>
        <v>44.93</v>
      </c>
      <c r="M164" s="125">
        <v>0</v>
      </c>
      <c r="N164" s="125">
        <f>44.93</f>
        <v>44.93</v>
      </c>
      <c r="O164" s="125">
        <v>0</v>
      </c>
      <c r="P164" s="125">
        <v>0</v>
      </c>
      <c r="Q164" s="125">
        <f>44.93</f>
        <v>44.93</v>
      </c>
      <c r="R164" s="125">
        <v>0</v>
      </c>
      <c r="S164" s="125">
        <v>0</v>
      </c>
      <c r="T164" s="125">
        <f>44.93</f>
        <v>44.93</v>
      </c>
      <c r="U164" s="125">
        <v>0</v>
      </c>
      <c r="V164" s="125">
        <f>44.93</f>
        <v>44.93</v>
      </c>
      <c r="W164" s="125">
        <v>0</v>
      </c>
      <c r="X164" s="125">
        <f>44.93</f>
        <v>44.93</v>
      </c>
      <c r="Y164" s="125">
        <v>0</v>
      </c>
      <c r="Z164" s="125">
        <v>0</v>
      </c>
      <c r="AA164" s="125">
        <f>44.93</f>
        <v>44.93</v>
      </c>
      <c r="AB164" s="125">
        <v>0</v>
      </c>
      <c r="AC164" s="125">
        <v>0</v>
      </c>
      <c r="AD164" s="125">
        <f>44.93</f>
        <v>44.93</v>
      </c>
      <c r="AE164" s="125">
        <v>0</v>
      </c>
      <c r="AF164" s="125">
        <f>44.93</f>
        <v>44.93</v>
      </c>
      <c r="AG164" s="126">
        <v>0</v>
      </c>
      <c r="AH164" s="22"/>
    </row>
    <row r="165" spans="1:34" ht="38.25" x14ac:dyDescent="0.25">
      <c r="A165" s="112"/>
      <c r="B165" s="131" t="s">
        <v>300</v>
      </c>
      <c r="C165" s="125" t="s">
        <v>57</v>
      </c>
      <c r="D165" s="125">
        <f>44.93</f>
        <v>44.93</v>
      </c>
      <c r="E165" s="125">
        <v>0</v>
      </c>
      <c r="F165" s="125">
        <v>0</v>
      </c>
      <c r="G165" s="125">
        <f>44.93</f>
        <v>44.93</v>
      </c>
      <c r="H165" s="125">
        <v>0</v>
      </c>
      <c r="I165" s="125">
        <v>0</v>
      </c>
      <c r="J165" s="125">
        <f>44.93</f>
        <v>44.93</v>
      </c>
      <c r="K165" s="125">
        <v>0</v>
      </c>
      <c r="L165" s="125">
        <f>44.93</f>
        <v>44.93</v>
      </c>
      <c r="M165" s="125">
        <v>0</v>
      </c>
      <c r="N165" s="125">
        <f>44.93</f>
        <v>44.93</v>
      </c>
      <c r="O165" s="125">
        <v>0</v>
      </c>
      <c r="P165" s="125">
        <v>0</v>
      </c>
      <c r="Q165" s="125">
        <f>44.93</f>
        <v>44.93</v>
      </c>
      <c r="R165" s="125">
        <v>0</v>
      </c>
      <c r="S165" s="125">
        <v>0</v>
      </c>
      <c r="T165" s="125">
        <f>44.93</f>
        <v>44.93</v>
      </c>
      <c r="U165" s="125">
        <v>0</v>
      </c>
      <c r="V165" s="125">
        <f>44.93</f>
        <v>44.93</v>
      </c>
      <c r="W165" s="125">
        <v>0</v>
      </c>
      <c r="X165" s="125">
        <f>44.93</f>
        <v>44.93</v>
      </c>
      <c r="Y165" s="125">
        <v>0</v>
      </c>
      <c r="Z165" s="125">
        <v>0</v>
      </c>
      <c r="AA165" s="125">
        <f>44.93</f>
        <v>44.93</v>
      </c>
      <c r="AB165" s="125">
        <v>0</v>
      </c>
      <c r="AC165" s="125">
        <v>0</v>
      </c>
      <c r="AD165" s="125">
        <f>44.93</f>
        <v>44.93</v>
      </c>
      <c r="AE165" s="125">
        <v>0</v>
      </c>
      <c r="AF165" s="125">
        <f>44.93</f>
        <v>44.93</v>
      </c>
      <c r="AG165" s="126">
        <v>0</v>
      </c>
      <c r="AH165" s="22"/>
    </row>
    <row r="166" spans="1:34" ht="25.5" x14ac:dyDescent="0.25">
      <c r="A166" s="112"/>
      <c r="B166" s="27" t="s">
        <v>303</v>
      </c>
      <c r="C166" s="125" t="s">
        <v>57</v>
      </c>
      <c r="D166" s="125">
        <f>5.46</f>
        <v>5.46</v>
      </c>
      <c r="E166" s="125">
        <v>0</v>
      </c>
      <c r="F166" s="125">
        <v>0</v>
      </c>
      <c r="G166" s="125">
        <f>5.46</f>
        <v>5.46</v>
      </c>
      <c r="H166" s="125">
        <v>0</v>
      </c>
      <c r="I166" s="125">
        <v>0</v>
      </c>
      <c r="J166" s="125">
        <f>5.46</f>
        <v>5.46</v>
      </c>
      <c r="K166" s="125">
        <v>0</v>
      </c>
      <c r="L166" s="125">
        <f>5.46</f>
        <v>5.46</v>
      </c>
      <c r="M166" s="125">
        <v>0</v>
      </c>
      <c r="N166" s="125">
        <f>5.46</f>
        <v>5.46</v>
      </c>
      <c r="O166" s="125">
        <v>0</v>
      </c>
      <c r="P166" s="125">
        <v>0</v>
      </c>
      <c r="Q166" s="125">
        <f>5.46</f>
        <v>5.46</v>
      </c>
      <c r="R166" s="125">
        <v>0</v>
      </c>
      <c r="S166" s="125">
        <v>0</v>
      </c>
      <c r="T166" s="125">
        <f>5.46</f>
        <v>5.46</v>
      </c>
      <c r="U166" s="125">
        <v>0</v>
      </c>
      <c r="V166" s="125">
        <f>5.46</f>
        <v>5.46</v>
      </c>
      <c r="W166" s="125">
        <v>0</v>
      </c>
      <c r="X166" s="125">
        <f>5.46</f>
        <v>5.46</v>
      </c>
      <c r="Y166" s="125">
        <v>0</v>
      </c>
      <c r="Z166" s="125">
        <v>0</v>
      </c>
      <c r="AA166" s="125">
        <f>5.46</f>
        <v>5.46</v>
      </c>
      <c r="AB166" s="125">
        <v>0</v>
      </c>
      <c r="AC166" s="125">
        <v>0</v>
      </c>
      <c r="AD166" s="125">
        <f>5.46</f>
        <v>5.46</v>
      </c>
      <c r="AE166" s="125">
        <v>0</v>
      </c>
      <c r="AF166" s="125">
        <f>5.46</f>
        <v>5.46</v>
      </c>
      <c r="AG166" s="126">
        <v>0</v>
      </c>
      <c r="AH166" s="22"/>
    </row>
    <row r="167" spans="1:34" x14ac:dyDescent="0.25">
      <c r="A167" s="112"/>
      <c r="B167" s="27" t="s">
        <v>309</v>
      </c>
      <c r="C167" s="125" t="s">
        <v>57</v>
      </c>
      <c r="D167" s="125">
        <f>25.46</f>
        <v>25.46</v>
      </c>
      <c r="E167" s="125">
        <v>0</v>
      </c>
      <c r="F167" s="125">
        <v>0</v>
      </c>
      <c r="G167" s="125">
        <f>25.46</f>
        <v>25.46</v>
      </c>
      <c r="H167" s="125">
        <v>0</v>
      </c>
      <c r="I167" s="125">
        <v>0</v>
      </c>
      <c r="J167" s="125">
        <f>25.46</f>
        <v>25.46</v>
      </c>
      <c r="K167" s="125">
        <v>0</v>
      </c>
      <c r="L167" s="125">
        <f>25.46</f>
        <v>25.46</v>
      </c>
      <c r="M167" s="125">
        <v>0</v>
      </c>
      <c r="N167" s="125">
        <f>25.46</f>
        <v>25.46</v>
      </c>
      <c r="O167" s="125">
        <v>0</v>
      </c>
      <c r="P167" s="125">
        <v>0</v>
      </c>
      <c r="Q167" s="125">
        <f>25.46</f>
        <v>25.46</v>
      </c>
      <c r="R167" s="125">
        <v>0</v>
      </c>
      <c r="S167" s="125">
        <v>0</v>
      </c>
      <c r="T167" s="125">
        <f>25.46</f>
        <v>25.46</v>
      </c>
      <c r="U167" s="125">
        <v>0</v>
      </c>
      <c r="V167" s="125">
        <f>25.46</f>
        <v>25.46</v>
      </c>
      <c r="W167" s="125">
        <v>0</v>
      </c>
      <c r="X167" s="125">
        <f>25.46</f>
        <v>25.46</v>
      </c>
      <c r="Y167" s="125">
        <v>0</v>
      </c>
      <c r="Z167" s="125">
        <v>0</v>
      </c>
      <c r="AA167" s="125">
        <f>25.46</f>
        <v>25.46</v>
      </c>
      <c r="AB167" s="125">
        <v>0</v>
      </c>
      <c r="AC167" s="125">
        <v>0</v>
      </c>
      <c r="AD167" s="125">
        <f>25.46</f>
        <v>25.46</v>
      </c>
      <c r="AE167" s="125">
        <v>0</v>
      </c>
      <c r="AF167" s="125">
        <f>25.46</f>
        <v>25.46</v>
      </c>
      <c r="AG167" s="126">
        <v>0</v>
      </c>
      <c r="AH167" s="22"/>
    </row>
    <row r="168" spans="1:34" ht="25.5" x14ac:dyDescent="0.25">
      <c r="A168" s="112"/>
      <c r="B168" s="27" t="s">
        <v>71</v>
      </c>
      <c r="C168" s="125" t="s">
        <v>57</v>
      </c>
      <c r="D168" s="125">
        <f>44.93</f>
        <v>44.93</v>
      </c>
      <c r="E168" s="125">
        <v>0</v>
      </c>
      <c r="F168" s="125">
        <v>0</v>
      </c>
      <c r="G168" s="125">
        <f>44.93</f>
        <v>44.93</v>
      </c>
      <c r="H168" s="125">
        <v>0</v>
      </c>
      <c r="I168" s="125">
        <v>0</v>
      </c>
      <c r="J168" s="125">
        <f>44.93</f>
        <v>44.93</v>
      </c>
      <c r="K168" s="125">
        <v>0</v>
      </c>
      <c r="L168" s="125">
        <f>44.93</f>
        <v>44.93</v>
      </c>
      <c r="M168" s="125">
        <v>0</v>
      </c>
      <c r="N168" s="125">
        <f>44.93</f>
        <v>44.93</v>
      </c>
      <c r="O168" s="125">
        <v>0</v>
      </c>
      <c r="P168" s="125">
        <v>0</v>
      </c>
      <c r="Q168" s="125">
        <f>44.93</f>
        <v>44.93</v>
      </c>
      <c r="R168" s="125">
        <v>0</v>
      </c>
      <c r="S168" s="125">
        <v>0</v>
      </c>
      <c r="T168" s="125">
        <f>44.93</f>
        <v>44.93</v>
      </c>
      <c r="U168" s="125">
        <v>0</v>
      </c>
      <c r="V168" s="125">
        <f>44.93</f>
        <v>44.93</v>
      </c>
      <c r="W168" s="125">
        <v>0</v>
      </c>
      <c r="X168" s="125">
        <f>44.93</f>
        <v>44.93</v>
      </c>
      <c r="Y168" s="125">
        <v>0</v>
      </c>
      <c r="Z168" s="125">
        <v>0</v>
      </c>
      <c r="AA168" s="125">
        <f>44.93</f>
        <v>44.93</v>
      </c>
      <c r="AB168" s="125">
        <v>0</v>
      </c>
      <c r="AC168" s="125">
        <v>0</v>
      </c>
      <c r="AD168" s="125">
        <f>44.93</f>
        <v>44.93</v>
      </c>
      <c r="AE168" s="125">
        <v>0</v>
      </c>
      <c r="AF168" s="125">
        <f>44.93</f>
        <v>44.93</v>
      </c>
      <c r="AG168" s="126">
        <v>0</v>
      </c>
      <c r="AH168" s="22"/>
    </row>
    <row r="169" spans="1:34" ht="25.5" x14ac:dyDescent="0.25">
      <c r="A169" s="112"/>
      <c r="B169" s="27" t="s">
        <v>70</v>
      </c>
      <c r="C169" s="125" t="s">
        <v>57</v>
      </c>
      <c r="D169" s="125">
        <f>44.93</f>
        <v>44.93</v>
      </c>
      <c r="E169" s="125">
        <v>0</v>
      </c>
      <c r="F169" s="125">
        <v>0</v>
      </c>
      <c r="G169" s="125">
        <f>44.93</f>
        <v>44.93</v>
      </c>
      <c r="H169" s="125">
        <v>0</v>
      </c>
      <c r="I169" s="125">
        <v>0</v>
      </c>
      <c r="J169" s="125">
        <f>44.93</f>
        <v>44.93</v>
      </c>
      <c r="K169" s="125">
        <v>0</v>
      </c>
      <c r="L169" s="125">
        <f>44.93</f>
        <v>44.93</v>
      </c>
      <c r="M169" s="125">
        <v>0</v>
      </c>
      <c r="N169" s="125">
        <f>44.93</f>
        <v>44.93</v>
      </c>
      <c r="O169" s="125">
        <v>0</v>
      </c>
      <c r="P169" s="125">
        <v>0</v>
      </c>
      <c r="Q169" s="125">
        <f>44.93</f>
        <v>44.93</v>
      </c>
      <c r="R169" s="125">
        <v>0</v>
      </c>
      <c r="S169" s="125">
        <v>0</v>
      </c>
      <c r="T169" s="125">
        <f>44.93</f>
        <v>44.93</v>
      </c>
      <c r="U169" s="125">
        <v>0</v>
      </c>
      <c r="V169" s="125">
        <f>44.93</f>
        <v>44.93</v>
      </c>
      <c r="W169" s="125">
        <v>0</v>
      </c>
      <c r="X169" s="125">
        <f>44.93</f>
        <v>44.93</v>
      </c>
      <c r="Y169" s="125">
        <v>0</v>
      </c>
      <c r="Z169" s="125">
        <v>0</v>
      </c>
      <c r="AA169" s="125">
        <f>44.93</f>
        <v>44.93</v>
      </c>
      <c r="AB169" s="125">
        <v>0</v>
      </c>
      <c r="AC169" s="125">
        <v>0</v>
      </c>
      <c r="AD169" s="125">
        <f>44.93</f>
        <v>44.93</v>
      </c>
      <c r="AE169" s="125">
        <v>0</v>
      </c>
      <c r="AF169" s="125">
        <f>44.93</f>
        <v>44.93</v>
      </c>
      <c r="AG169" s="126">
        <v>0</v>
      </c>
      <c r="AH169" s="22"/>
    </row>
    <row r="170" spans="1:34" x14ac:dyDescent="0.25">
      <c r="A170" s="112"/>
      <c r="B170" s="131" t="s">
        <v>75</v>
      </c>
      <c r="C170" s="125" t="s">
        <v>59</v>
      </c>
      <c r="D170" s="125">
        <f>1</f>
        <v>1</v>
      </c>
      <c r="E170" s="125">
        <v>0</v>
      </c>
      <c r="F170" s="125">
        <v>0</v>
      </c>
      <c r="G170" s="125">
        <f>1</f>
        <v>1</v>
      </c>
      <c r="H170" s="125">
        <v>0</v>
      </c>
      <c r="I170" s="125">
        <v>0</v>
      </c>
      <c r="J170" s="125">
        <f>1</f>
        <v>1</v>
      </c>
      <c r="K170" s="125">
        <v>0</v>
      </c>
      <c r="L170" s="125">
        <f>1</f>
        <v>1</v>
      </c>
      <c r="M170" s="125">
        <v>0</v>
      </c>
      <c r="N170" s="125">
        <f>1</f>
        <v>1</v>
      </c>
      <c r="O170" s="125">
        <v>0</v>
      </c>
      <c r="P170" s="125">
        <v>0</v>
      </c>
      <c r="Q170" s="125">
        <f>1</f>
        <v>1</v>
      </c>
      <c r="R170" s="125">
        <v>0</v>
      </c>
      <c r="S170" s="125">
        <v>0</v>
      </c>
      <c r="T170" s="125">
        <f>1</f>
        <v>1</v>
      </c>
      <c r="U170" s="125">
        <v>0</v>
      </c>
      <c r="V170" s="125">
        <f>1</f>
        <v>1</v>
      </c>
      <c r="W170" s="125">
        <v>0</v>
      </c>
      <c r="X170" s="125">
        <f>1</f>
        <v>1</v>
      </c>
      <c r="Y170" s="125">
        <v>0</v>
      </c>
      <c r="Z170" s="125">
        <v>0</v>
      </c>
      <c r="AA170" s="125">
        <f>1</f>
        <v>1</v>
      </c>
      <c r="AB170" s="125">
        <v>0</v>
      </c>
      <c r="AC170" s="125">
        <v>0</v>
      </c>
      <c r="AD170" s="125">
        <f>1</f>
        <v>1</v>
      </c>
      <c r="AE170" s="125">
        <v>0</v>
      </c>
      <c r="AF170" s="125">
        <f>1</f>
        <v>1</v>
      </c>
      <c r="AG170" s="126">
        <v>0</v>
      </c>
      <c r="AH170" s="22"/>
    </row>
    <row r="171" spans="1:34" x14ac:dyDescent="0.25">
      <c r="A171" s="112"/>
      <c r="B171" s="27" t="s">
        <v>535</v>
      </c>
      <c r="C171" s="125" t="s">
        <v>57</v>
      </c>
      <c r="D171" s="125">
        <f>5.23</f>
        <v>5.23</v>
      </c>
      <c r="E171" s="125">
        <v>0</v>
      </c>
      <c r="F171" s="125">
        <v>0</v>
      </c>
      <c r="G171" s="125">
        <f>5.23</f>
        <v>5.23</v>
      </c>
      <c r="H171" s="125">
        <v>0</v>
      </c>
      <c r="I171" s="125">
        <v>0</v>
      </c>
      <c r="J171" s="125">
        <f>5.23</f>
        <v>5.23</v>
      </c>
      <c r="K171" s="125">
        <v>0</v>
      </c>
      <c r="L171" s="125">
        <f>5.23</f>
        <v>5.23</v>
      </c>
      <c r="M171" s="125">
        <v>0</v>
      </c>
      <c r="N171" s="125">
        <f>5.23</f>
        <v>5.23</v>
      </c>
      <c r="O171" s="125">
        <v>0</v>
      </c>
      <c r="P171" s="125">
        <v>0</v>
      </c>
      <c r="Q171" s="125">
        <f>5.23</f>
        <v>5.23</v>
      </c>
      <c r="R171" s="125">
        <v>0</v>
      </c>
      <c r="S171" s="125">
        <v>0</v>
      </c>
      <c r="T171" s="125">
        <f>5.23</f>
        <v>5.23</v>
      </c>
      <c r="U171" s="125">
        <v>0</v>
      </c>
      <c r="V171" s="125">
        <f>5.23</f>
        <v>5.23</v>
      </c>
      <c r="W171" s="125">
        <v>0</v>
      </c>
      <c r="X171" s="125">
        <f>5.23</f>
        <v>5.23</v>
      </c>
      <c r="Y171" s="125">
        <v>0</v>
      </c>
      <c r="Z171" s="125">
        <v>0</v>
      </c>
      <c r="AA171" s="125">
        <f>5.23</f>
        <v>5.23</v>
      </c>
      <c r="AB171" s="125">
        <v>0</v>
      </c>
      <c r="AC171" s="125">
        <v>0</v>
      </c>
      <c r="AD171" s="125">
        <f>5.23</f>
        <v>5.23</v>
      </c>
      <c r="AE171" s="125">
        <v>0</v>
      </c>
      <c r="AF171" s="125">
        <f>5.23</f>
        <v>5.23</v>
      </c>
      <c r="AG171" s="126">
        <v>0</v>
      </c>
      <c r="AH171" s="22"/>
    </row>
    <row r="172" spans="1:34" x14ac:dyDescent="0.25">
      <c r="A172" s="132"/>
      <c r="B172" s="120" t="s">
        <v>549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3"/>
      <c r="AH172" s="22"/>
    </row>
    <row r="173" spans="1:34" ht="25.5" x14ac:dyDescent="0.25">
      <c r="A173" s="112"/>
      <c r="B173" s="262" t="s">
        <v>294</v>
      </c>
      <c r="C173" s="133" t="s">
        <v>65</v>
      </c>
      <c r="D173" s="125">
        <f>0.0006*$B$5^2 + 0.6083*$B$5 + 6.2467</f>
        <v>12.389699999999998</v>
      </c>
      <c r="E173" s="125">
        <v>0</v>
      </c>
      <c r="F173" s="125">
        <v>0</v>
      </c>
      <c r="G173" s="125">
        <f>0.0006*$B$5^2 + 0.6083*$B$5 + 6.2467</f>
        <v>12.389699999999998</v>
      </c>
      <c r="H173" s="125">
        <v>0</v>
      </c>
      <c r="I173" s="125">
        <v>0</v>
      </c>
      <c r="J173" s="125">
        <f>0.0019*$B$5^2 + 0.3653*$B$5 + 2.9392</f>
        <v>6.7821999999999996</v>
      </c>
      <c r="K173" s="125">
        <v>0</v>
      </c>
      <c r="L173" s="125">
        <f>0.0019*$B$5^2 + 0.3653*$B$5 + 2.9392</f>
        <v>6.7821999999999996</v>
      </c>
      <c r="M173" s="125">
        <v>0</v>
      </c>
      <c r="N173" s="125">
        <f>0.0007*$B$5^2 + 0.2687*$B$5 + 4.5645</f>
        <v>7.3214999999999995</v>
      </c>
      <c r="O173" s="125">
        <v>0</v>
      </c>
      <c r="P173" s="125">
        <v>0</v>
      </c>
      <c r="Q173" s="125">
        <f>0.0007*$B$5^2 + 0.2687*$B$5 + 4.5645</f>
        <v>7.3214999999999995</v>
      </c>
      <c r="R173" s="125">
        <v>0</v>
      </c>
      <c r="S173" s="125">
        <v>0</v>
      </c>
      <c r="T173" s="125">
        <f>0.0013*$B$5^2 + 0.127*$B$5 + 2.337</f>
        <v>3.7370000000000001</v>
      </c>
      <c r="U173" s="125">
        <v>0</v>
      </c>
      <c r="V173" s="125">
        <f>0.0013*$B$5^2 + 0.127*$B$5 + 2.337</f>
        <v>3.7370000000000001</v>
      </c>
      <c r="W173" s="125">
        <v>0</v>
      </c>
      <c r="X173" s="125">
        <f>0.0007*$B$5^2 + 0.2673*$B$5 + 4.5837</f>
        <v>7.3267000000000007</v>
      </c>
      <c r="Y173" s="125">
        <v>0</v>
      </c>
      <c r="Z173" s="125">
        <v>0</v>
      </c>
      <c r="AA173" s="125">
        <f>0.0007*$B$5^2 + 0.2673*$B$5 + 4.5837</f>
        <v>7.3267000000000007</v>
      </c>
      <c r="AB173" s="125">
        <v>0</v>
      </c>
      <c r="AC173" s="125">
        <v>0</v>
      </c>
      <c r="AD173" s="125">
        <f>0.0014*$B$5^2 + 0.1256*$B$5 + 2.3554</f>
        <v>3.7513999999999994</v>
      </c>
      <c r="AE173" s="125">
        <v>0</v>
      </c>
      <c r="AF173" s="125">
        <f>0.0014*$B$5^2 + 0.1256*$B$5 + 2.3554</f>
        <v>3.7513999999999994</v>
      </c>
      <c r="AG173" s="126">
        <v>0</v>
      </c>
      <c r="AH173" s="22"/>
    </row>
    <row r="174" spans="1:34" x14ac:dyDescent="0.25">
      <c r="A174" s="112"/>
      <c r="B174" s="262" t="s">
        <v>290</v>
      </c>
      <c r="C174" s="133" t="s">
        <v>63</v>
      </c>
      <c r="D174" s="125">
        <f>0.0002*$B$5^2 + 0.2433*$B$5 + 2.4987</f>
        <v>4.9516999999999998</v>
      </c>
      <c r="E174" s="125">
        <v>0</v>
      </c>
      <c r="F174" s="125">
        <v>0</v>
      </c>
      <c r="G174" s="125">
        <f>0.0002*$B$5^2 + 0.2433*$B$5 + 2.4987</f>
        <v>4.9516999999999998</v>
      </c>
      <c r="H174" s="125">
        <v>0</v>
      </c>
      <c r="I174" s="125">
        <v>0</v>
      </c>
      <c r="J174" s="125">
        <f>0.0008*$B$5^2 + 0.1461*$B$5 + 1.1757</f>
        <v>2.7167000000000003</v>
      </c>
      <c r="K174" s="125">
        <v>0</v>
      </c>
      <c r="L174" s="125">
        <f>0.0008*$B$5^2 + 0.1461*$B$5 + 1.1757</f>
        <v>2.7167000000000003</v>
      </c>
      <c r="M174" s="125">
        <v>0</v>
      </c>
      <c r="N174" s="125">
        <f>0.0003*$B$5^2 + 0.1075*$B$5 + 1.8258</f>
        <v>2.9308000000000001</v>
      </c>
      <c r="O174" s="125">
        <v>0</v>
      </c>
      <c r="P174" s="125">
        <v>0</v>
      </c>
      <c r="Q174" s="125">
        <f>0.0003*$B$5^2 + 0.1075*$B$5 + 1.8258</f>
        <v>2.9308000000000001</v>
      </c>
      <c r="R174" s="125">
        <v>0</v>
      </c>
      <c r="S174" s="125">
        <v>0</v>
      </c>
      <c r="T174" s="125">
        <f>0.0005*$B$5^2 + 0.0508*$B$5 + 0.9348</f>
        <v>1.4927999999999999</v>
      </c>
      <c r="U174" s="125">
        <v>0</v>
      </c>
      <c r="V174" s="125">
        <f>0.0005*$B$5^2 + 0.0508*$B$5 + 0.9348</f>
        <v>1.4927999999999999</v>
      </c>
      <c r="W174" s="125">
        <v>0</v>
      </c>
      <c r="X174" s="125">
        <f>0.0003*$B$5^2 + 0.1069*$B$5 + 1.8335</f>
        <v>2.9325000000000001</v>
      </c>
      <c r="Y174" s="125">
        <v>0</v>
      </c>
      <c r="Z174" s="125">
        <v>0</v>
      </c>
      <c r="AA174" s="125">
        <f>0.0003*$B$5^2 + 0.1069*$B$5 + 1.8335</f>
        <v>2.9325000000000001</v>
      </c>
      <c r="AB174" s="125">
        <v>0</v>
      </c>
      <c r="AC174" s="125">
        <v>0</v>
      </c>
      <c r="AD174" s="125">
        <f>0.0005*$B$5^2 + 0.0503*$B$5 + 0.9422</f>
        <v>1.4952000000000001</v>
      </c>
      <c r="AE174" s="125">
        <v>0</v>
      </c>
      <c r="AF174" s="125">
        <f>0.0005*$B$5^2 + 0.0503*$B$5 + 0.9422</f>
        <v>1.4952000000000001</v>
      </c>
      <c r="AG174" s="126">
        <v>0</v>
      </c>
      <c r="AH174" s="22"/>
    </row>
    <row r="175" spans="1:34" ht="25.5" x14ac:dyDescent="0.25">
      <c r="A175" s="112"/>
      <c r="B175" s="262" t="s">
        <v>295</v>
      </c>
      <c r="C175" s="133" t="s">
        <v>57</v>
      </c>
      <c r="D175" s="125">
        <f>-0.0149*$B$5^2 + 12.429*$B$5 + 156.11</f>
        <v>278.91000000000003</v>
      </c>
      <c r="E175" s="125">
        <v>0</v>
      </c>
      <c r="F175" s="125">
        <v>0</v>
      </c>
      <c r="G175" s="125">
        <f>-0.0149*$B$5^2 + 12.429*$B$5 + 156.11</f>
        <v>278.91000000000003</v>
      </c>
      <c r="H175" s="125">
        <v>0</v>
      </c>
      <c r="I175" s="125">
        <v>0</v>
      </c>
      <c r="J175" s="125">
        <f>0.0125*$B$5^2 + 3.3492*$B$5 + 52.368</f>
        <v>87.110000000000014</v>
      </c>
      <c r="K175" s="125">
        <v>0</v>
      </c>
      <c r="L175" s="125">
        <f>0.0125*$B$5^2 + 3.3492*$B$5 + 52.368</f>
        <v>87.110000000000014</v>
      </c>
      <c r="M175" s="125">
        <v>0</v>
      </c>
      <c r="N175" s="125">
        <f>-0.0019*$B$5^2 + 6.0902*$B$5 + 114.23</f>
        <v>174.94200000000001</v>
      </c>
      <c r="O175" s="125">
        <v>0</v>
      </c>
      <c r="P175" s="125">
        <v>0</v>
      </c>
      <c r="Q175" s="125">
        <f>-0.0019*$B$5^2 + 6.0902*$B$5 + 114.23</f>
        <v>174.94200000000001</v>
      </c>
      <c r="R175" s="125">
        <v>0</v>
      </c>
      <c r="S175" s="125">
        <v>0</v>
      </c>
      <c r="T175" s="125">
        <f>0.0117*$B$5^2 + 1.3002*$B$5 + 43.552</f>
        <v>57.724000000000004</v>
      </c>
      <c r="U175" s="125">
        <v>0</v>
      </c>
      <c r="V175" s="125">
        <f>0.0117*$B$5^2 + 1.3002*$B$5 + 43.552</f>
        <v>57.724000000000004</v>
      </c>
      <c r="W175" s="125">
        <v>0</v>
      </c>
      <c r="X175" s="125">
        <f>-0.0017*$B$5^2 + 6.0758*$B$5 + 114.42</f>
        <v>175.00800000000001</v>
      </c>
      <c r="Y175" s="125">
        <v>0</v>
      </c>
      <c r="Z175" s="125">
        <v>0</v>
      </c>
      <c r="AA175" s="125">
        <f>-0.0017*$B$5^2 + 6.0758*$B$5 + 114.42</f>
        <v>175.00800000000001</v>
      </c>
      <c r="AB175" s="125">
        <v>0</v>
      </c>
      <c r="AC175" s="125">
        <v>0</v>
      </c>
      <c r="AD175" s="125">
        <f>0.0118*$B$5^2 + 1.2906*$B$5 + 43.712</f>
        <v>57.798000000000002</v>
      </c>
      <c r="AE175" s="125">
        <v>0</v>
      </c>
      <c r="AF175" s="125">
        <f>0.0118*$B$5^2 + 1.2906*$B$5 + 43.712</f>
        <v>57.798000000000002</v>
      </c>
      <c r="AG175" s="126">
        <v>0</v>
      </c>
      <c r="AH175" s="22"/>
    </row>
    <row r="176" spans="1:34" ht="51" x14ac:dyDescent="0.25">
      <c r="A176" s="112"/>
      <c r="B176" s="69" t="s">
        <v>462</v>
      </c>
      <c r="C176" s="133" t="s">
        <v>57</v>
      </c>
      <c r="D176" s="125">
        <v>0</v>
      </c>
      <c r="E176" s="125">
        <v>0</v>
      </c>
      <c r="F176" s="125">
        <v>0</v>
      </c>
      <c r="G176" s="125">
        <v>0</v>
      </c>
      <c r="H176" s="125">
        <v>0</v>
      </c>
      <c r="I176" s="125">
        <v>0</v>
      </c>
      <c r="J176" s="125">
        <f>-0.009*$B$5^2 + 1.62*$B$5 + 22.05</f>
        <v>37.35</v>
      </c>
      <c r="K176" s="125">
        <v>0</v>
      </c>
      <c r="L176" s="125">
        <f>-0.009*$B$5^2 + 1.62*$B$5 + 22.05</f>
        <v>37.35</v>
      </c>
      <c r="M176" s="125">
        <v>0</v>
      </c>
      <c r="N176" s="125">
        <v>0</v>
      </c>
      <c r="O176" s="125">
        <v>0</v>
      </c>
      <c r="P176" s="125">
        <v>0</v>
      </c>
      <c r="Q176" s="125">
        <v>0</v>
      </c>
      <c r="R176" s="125">
        <v>0</v>
      </c>
      <c r="S176" s="125">
        <v>0</v>
      </c>
      <c r="T176" s="125">
        <f>-0.0045*$B$5^2 + 0.945*$B$5 + 14.85</f>
        <v>23.85</v>
      </c>
      <c r="U176" s="125">
        <v>0</v>
      </c>
      <c r="V176" s="125">
        <f>-0.0045*$B$5^2 + 0.945*$B$5 + 14.85</f>
        <v>23.85</v>
      </c>
      <c r="W176" s="125">
        <v>0</v>
      </c>
      <c r="X176" s="125">
        <v>0</v>
      </c>
      <c r="Y176" s="125">
        <v>0</v>
      </c>
      <c r="Z176" s="125">
        <v>0</v>
      </c>
      <c r="AA176" s="125">
        <v>0</v>
      </c>
      <c r="AB176" s="125">
        <v>0</v>
      </c>
      <c r="AC176" s="125">
        <v>0</v>
      </c>
      <c r="AD176" s="125">
        <f>-0.0045*$B$5^2 + 0.945*$B$5 + 14.85</f>
        <v>23.85</v>
      </c>
      <c r="AE176" s="125">
        <v>0</v>
      </c>
      <c r="AF176" s="125">
        <f>-0.0045*$B$5^2 + 0.945*$B$5 + 14.85</f>
        <v>23.85</v>
      </c>
      <c r="AG176" s="126">
        <v>0</v>
      </c>
      <c r="AH176" s="22"/>
    </row>
    <row r="177" spans="1:34" ht="25.5" x14ac:dyDescent="0.25">
      <c r="A177" s="112"/>
      <c r="B177" s="69" t="s">
        <v>459</v>
      </c>
      <c r="C177" s="133" t="s">
        <v>57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  <c r="J177" s="125">
        <f>-0.0008*$B$5^2 + 4.304*$B$5 + 30.88</f>
        <v>73.84</v>
      </c>
      <c r="K177" s="125">
        <v>0</v>
      </c>
      <c r="L177" s="125">
        <f>-0.0008*$B$5^2 + 4.304*$B$5 + 30.88</f>
        <v>73.84</v>
      </c>
      <c r="M177" s="125">
        <v>0</v>
      </c>
      <c r="N177" s="125">
        <v>0</v>
      </c>
      <c r="O177" s="125">
        <v>0</v>
      </c>
      <c r="P177" s="125">
        <v>0</v>
      </c>
      <c r="Q177" s="125">
        <v>0</v>
      </c>
      <c r="R177" s="125">
        <v>0</v>
      </c>
      <c r="S177" s="125">
        <v>0</v>
      </c>
      <c r="T177" s="125">
        <f>-0.0004*$B$5^2 + 2.004*$B$5 + 19.04</f>
        <v>39.04</v>
      </c>
      <c r="U177" s="125">
        <v>0</v>
      </c>
      <c r="V177" s="125">
        <f>-0.0004*$B$5^2 + 2.004*$B$5 + 19.04</f>
        <v>39.04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25">
        <v>0</v>
      </c>
      <c r="AD177" s="125">
        <f>-0.0004*$B$5^2 + 2.004*$B$5 + 19.04</f>
        <v>39.04</v>
      </c>
      <c r="AE177" s="125">
        <v>0</v>
      </c>
      <c r="AF177" s="125">
        <f>-0.0004*$B$5^2 + 2.004*$B$5 + 19.04</f>
        <v>39.04</v>
      </c>
      <c r="AG177" s="126">
        <v>0</v>
      </c>
      <c r="AH177" s="22"/>
    </row>
    <row r="178" spans="1:34" ht="38.25" x14ac:dyDescent="0.25">
      <c r="A178" s="112"/>
      <c r="B178" s="69" t="s">
        <v>544</v>
      </c>
      <c r="C178" s="133" t="s">
        <v>57</v>
      </c>
      <c r="D178" s="125">
        <v>0</v>
      </c>
      <c r="E178" s="125">
        <v>0</v>
      </c>
      <c r="F178" s="125">
        <v>0</v>
      </c>
      <c r="G178" s="125">
        <v>0</v>
      </c>
      <c r="H178" s="125">
        <v>0</v>
      </c>
      <c r="I178" s="125">
        <v>0</v>
      </c>
      <c r="J178" s="125">
        <f>-0.0078*$B$5^2 + 1.404*$B$5 + 20.76</f>
        <v>34.020000000000003</v>
      </c>
      <c r="K178" s="125">
        <v>0</v>
      </c>
      <c r="L178" s="125">
        <f>-0.0078*$B$5^2 + 1.404*$B$5 + 20.76</f>
        <v>34.020000000000003</v>
      </c>
      <c r="M178" s="125">
        <v>0</v>
      </c>
      <c r="N178" s="125">
        <v>0</v>
      </c>
      <c r="O178" s="125">
        <v>0</v>
      </c>
      <c r="P178" s="125">
        <v>0</v>
      </c>
      <c r="Q178" s="125">
        <v>0</v>
      </c>
      <c r="R178" s="125">
        <v>0</v>
      </c>
      <c r="S178" s="125">
        <v>0</v>
      </c>
      <c r="T178" s="125">
        <f>-0.0039*$B$5^2 + 0.819*$B$5 + 14.52</f>
        <v>22.32</v>
      </c>
      <c r="U178" s="125">
        <v>0</v>
      </c>
      <c r="V178" s="125">
        <f>-0.0039*$B$5^2 + 0.819*$B$5 + 14.52</f>
        <v>22.32</v>
      </c>
      <c r="W178" s="125">
        <v>0</v>
      </c>
      <c r="X178" s="125">
        <v>0</v>
      </c>
      <c r="Y178" s="125">
        <v>0</v>
      </c>
      <c r="Z178" s="125">
        <v>0</v>
      </c>
      <c r="AA178" s="125">
        <v>0</v>
      </c>
      <c r="AB178" s="125">
        <v>0</v>
      </c>
      <c r="AC178" s="125">
        <v>0</v>
      </c>
      <c r="AD178" s="125">
        <f>-0.0039*$B$5^2 + 0.819*$B$5 + 14.52</f>
        <v>22.32</v>
      </c>
      <c r="AE178" s="125">
        <v>0</v>
      </c>
      <c r="AF178" s="125">
        <f>-0.0039*$B$5^2 + 0.819*$B$5 + 14.52</f>
        <v>22.32</v>
      </c>
      <c r="AG178" s="126">
        <v>0</v>
      </c>
      <c r="AH178" s="22"/>
    </row>
    <row r="179" spans="1:34" ht="25.5" x14ac:dyDescent="0.25">
      <c r="A179" s="112"/>
      <c r="B179" s="69" t="s">
        <v>71</v>
      </c>
      <c r="C179" s="133" t="s">
        <v>57</v>
      </c>
      <c r="D179" s="125">
        <v>0</v>
      </c>
      <c r="E179" s="125">
        <v>0</v>
      </c>
      <c r="F179" s="125">
        <v>0</v>
      </c>
      <c r="G179" s="125">
        <v>0</v>
      </c>
      <c r="H179" s="125">
        <v>0</v>
      </c>
      <c r="I179" s="125">
        <v>0</v>
      </c>
      <c r="J179" s="125">
        <f>-0.0078*$B$5^2 + 1.404*$B$5 + 20.76</f>
        <v>34.020000000000003</v>
      </c>
      <c r="K179" s="125">
        <v>0</v>
      </c>
      <c r="L179" s="125">
        <f>-0.0078*$B$5^2 + 1.404*$B$5 + 20.76</f>
        <v>34.020000000000003</v>
      </c>
      <c r="M179" s="125">
        <v>0</v>
      </c>
      <c r="N179" s="125">
        <v>0</v>
      </c>
      <c r="O179" s="125">
        <v>0</v>
      </c>
      <c r="P179" s="125">
        <v>0</v>
      </c>
      <c r="Q179" s="125">
        <v>0</v>
      </c>
      <c r="R179" s="125">
        <v>0</v>
      </c>
      <c r="S179" s="125">
        <v>0</v>
      </c>
      <c r="T179" s="125">
        <f>-0.0039*$B$5^2 + 0.819*$B$5 + 14.52</f>
        <v>22.32</v>
      </c>
      <c r="U179" s="125">
        <v>0</v>
      </c>
      <c r="V179" s="125">
        <f>-0.0039*$B$5^2 + 0.819*$B$5 + 14.52</f>
        <v>22.32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25">
        <v>0</v>
      </c>
      <c r="AD179" s="125">
        <f>-0.0039*$B$5^2 + 0.819*$B$5 + 14.52</f>
        <v>22.32</v>
      </c>
      <c r="AE179" s="125">
        <v>0</v>
      </c>
      <c r="AF179" s="125">
        <f>-0.0039*$B$5^2 + 0.819*$B$5 + 14.52</f>
        <v>22.32</v>
      </c>
      <c r="AG179" s="126">
        <v>0</v>
      </c>
      <c r="AH179" s="22"/>
    </row>
    <row r="180" spans="1:34" ht="25.5" x14ac:dyDescent="0.25">
      <c r="A180" s="112"/>
      <c r="B180" s="134" t="s">
        <v>73</v>
      </c>
      <c r="C180" s="133" t="s">
        <v>57</v>
      </c>
      <c r="D180" s="125">
        <f>0.008*$B$5^2 + 6.88*$B$5 + 61.44</f>
        <v>131.04</v>
      </c>
      <c r="E180" s="125">
        <v>0</v>
      </c>
      <c r="F180" s="125">
        <v>0</v>
      </c>
      <c r="G180" s="125">
        <f>0.008*$B$5^2 + 6.88*$B$5 + 61.44</f>
        <v>131.04</v>
      </c>
      <c r="H180" s="125">
        <v>0</v>
      </c>
      <c r="I180" s="125">
        <v>0</v>
      </c>
      <c r="J180" s="125">
        <f>0.008*$B$5^2 + 6.88*$B$5 + 61.44</f>
        <v>131.04</v>
      </c>
      <c r="K180" s="125">
        <v>0</v>
      </c>
      <c r="L180" s="125">
        <f>0.008*$B$5^2 + 6.88*$B$5 + 61.44</f>
        <v>131.04</v>
      </c>
      <c r="M180" s="125">
        <v>0</v>
      </c>
      <c r="N180" s="125">
        <f>0.004*$B$5^2 + 3*$B$5 + 45.44</f>
        <v>75.84</v>
      </c>
      <c r="O180" s="125">
        <v>0</v>
      </c>
      <c r="P180" s="125">
        <v>0</v>
      </c>
      <c r="Q180" s="125">
        <f>0.004*$B$5^2 + 3*$B$5 + 45.44</f>
        <v>75.84</v>
      </c>
      <c r="R180" s="125">
        <v>0</v>
      </c>
      <c r="S180" s="125">
        <v>0</v>
      </c>
      <c r="T180" s="125">
        <f>0.004*$B$5^2 + 3*$B$5 + 45.44</f>
        <v>75.84</v>
      </c>
      <c r="U180" s="125">
        <v>0</v>
      </c>
      <c r="V180" s="125">
        <f>0.004*$B$5^2 + 3*$B$5 + 45.44</f>
        <v>75.84</v>
      </c>
      <c r="W180" s="125">
        <v>0</v>
      </c>
      <c r="X180" s="125">
        <f>0.004*$B$5^2 + 3*$B$5 + 45.44</f>
        <v>75.84</v>
      </c>
      <c r="Y180" s="125">
        <v>0</v>
      </c>
      <c r="Z180" s="125">
        <v>0</v>
      </c>
      <c r="AA180" s="125">
        <f>0.004*$B$5^2 + 3*$B$5 + 45.44</f>
        <v>75.84</v>
      </c>
      <c r="AB180" s="125">
        <v>0</v>
      </c>
      <c r="AC180" s="125">
        <v>0</v>
      </c>
      <c r="AD180" s="125">
        <f>0.004*$B$5^2 + 3*$B$5 + 45.44</f>
        <v>75.84</v>
      </c>
      <c r="AE180" s="125">
        <v>0</v>
      </c>
      <c r="AF180" s="125">
        <f>0.004*$B$5^2 + 3*$B$5 + 45.44</f>
        <v>75.84</v>
      </c>
      <c r="AG180" s="126">
        <v>0</v>
      </c>
      <c r="AH180" s="22"/>
    </row>
    <row r="181" spans="1:34" x14ac:dyDescent="0.25">
      <c r="A181" s="112"/>
      <c r="B181" s="69" t="s">
        <v>545</v>
      </c>
      <c r="C181" s="133" t="s">
        <v>64</v>
      </c>
      <c r="D181" s="125">
        <f>-0.0219*$B$5^2 + 3.846*$B$5 + 91.213</f>
        <v>127.483</v>
      </c>
      <c r="E181" s="125">
        <v>0</v>
      </c>
      <c r="F181" s="125">
        <v>0</v>
      </c>
      <c r="G181" s="125">
        <f>-0.0219*$B$5^2 + 3.846*$B$5 + 91.213</f>
        <v>127.483</v>
      </c>
      <c r="H181" s="125">
        <v>0</v>
      </c>
      <c r="I181" s="125">
        <v>0</v>
      </c>
      <c r="J181" s="125">
        <f>-0.0219*$B$5^2 + 3.846*$B$5 + 91.213</f>
        <v>127.483</v>
      </c>
      <c r="K181" s="125">
        <v>0</v>
      </c>
      <c r="L181" s="125">
        <f>-0.0219*$B$5^2 + 3.846*$B$5 + 91.213</f>
        <v>127.483</v>
      </c>
      <c r="M181" s="125">
        <v>0</v>
      </c>
      <c r="N181" s="125">
        <f>-0.0073*$B$5^2 + 2.054*$B$5 + 75.427</f>
        <v>95.237000000000009</v>
      </c>
      <c r="O181" s="125">
        <v>0</v>
      </c>
      <c r="P181" s="125">
        <v>0</v>
      </c>
      <c r="Q181" s="125">
        <f>-0.0073*$B$5^2 + 2.054*$B$5 + 75.427</f>
        <v>95.237000000000009</v>
      </c>
      <c r="R181" s="125">
        <v>0</v>
      </c>
      <c r="S181" s="125">
        <v>0</v>
      </c>
      <c r="T181" s="125">
        <f>-0.0073*$B$5^2 + 2.054*$B$5 + 75.427</f>
        <v>95.237000000000009</v>
      </c>
      <c r="U181" s="125">
        <v>0</v>
      </c>
      <c r="V181" s="125">
        <f>-0.0073*$B$5^2 + 2.054*$B$5 + 75.427</f>
        <v>95.237000000000009</v>
      </c>
      <c r="W181" s="125">
        <v>0</v>
      </c>
      <c r="X181" s="125">
        <f>-0.0073*$B$5^2 + 2.054*$B$5 + 75.427</f>
        <v>95.237000000000009</v>
      </c>
      <c r="Y181" s="125">
        <v>0</v>
      </c>
      <c r="Z181" s="125">
        <v>0</v>
      </c>
      <c r="AA181" s="125">
        <f>-0.0073*$B$5^2 + 2.054*$B$5 + 75.427</f>
        <v>95.237000000000009</v>
      </c>
      <c r="AB181" s="125">
        <v>0</v>
      </c>
      <c r="AC181" s="125">
        <v>0</v>
      </c>
      <c r="AD181" s="125">
        <f>-0.0073*$B$5^2 + 2.054*$B$5 + 75.427</f>
        <v>95.237000000000009</v>
      </c>
      <c r="AE181" s="125">
        <v>0</v>
      </c>
      <c r="AF181" s="125">
        <f>-0.0073*$B$5^2 + 2.054*$B$5 + 75.427</f>
        <v>95.237000000000009</v>
      </c>
      <c r="AG181" s="126">
        <v>0</v>
      </c>
      <c r="AH181" s="22"/>
    </row>
    <row r="182" spans="1:34" x14ac:dyDescent="0.25">
      <c r="A182" s="112"/>
      <c r="B182" s="69" t="s">
        <v>463</v>
      </c>
      <c r="C182" s="133" t="s">
        <v>60</v>
      </c>
      <c r="D182" s="125">
        <f>0.0033*$B$5^2 + 0.1*$B$5 + 5.6667</f>
        <v>6.9966999999999997</v>
      </c>
      <c r="E182" s="125">
        <v>0</v>
      </c>
      <c r="F182" s="125">
        <v>0</v>
      </c>
      <c r="G182" s="125">
        <f>0.0033*$B$5^2 + 0.1*$B$5 + 5.6667</f>
        <v>6.9966999999999997</v>
      </c>
      <c r="H182" s="125">
        <v>0</v>
      </c>
      <c r="I182" s="125">
        <v>0</v>
      </c>
      <c r="J182" s="125">
        <f>0.0033*$B$5^2 + 0.1*$B$5 + 5.6667</f>
        <v>6.9966999999999997</v>
      </c>
      <c r="K182" s="125">
        <v>0</v>
      </c>
      <c r="L182" s="125">
        <f>0.0033*$B$5^2 + 0.1*$B$5 + 5.6667</f>
        <v>6.9966999999999997</v>
      </c>
      <c r="M182" s="125">
        <v>0</v>
      </c>
      <c r="N182" s="125">
        <f>0.0017*$B$5^2 + 0.05*$B$5 + 3.3333</f>
        <v>4.0032999999999994</v>
      </c>
      <c r="O182" s="125">
        <v>0</v>
      </c>
      <c r="P182" s="125">
        <v>0</v>
      </c>
      <c r="Q182" s="125">
        <f>0.0017*$B$5^2 + 0.05*$B$5 + 3.3333</f>
        <v>4.0032999999999994</v>
      </c>
      <c r="R182" s="125">
        <v>0</v>
      </c>
      <c r="S182" s="125">
        <v>0</v>
      </c>
      <c r="T182" s="125">
        <f>0.0017*$B$5^2 + 0.05*$B$5 + 3.3333</f>
        <v>4.0032999999999994</v>
      </c>
      <c r="U182" s="125">
        <v>0</v>
      </c>
      <c r="V182" s="125">
        <f>0.0017*$B$5^2 + 0.05*$B$5 + 3.3333</f>
        <v>4.0032999999999994</v>
      </c>
      <c r="W182" s="125">
        <v>0</v>
      </c>
      <c r="X182" s="125">
        <f>0.0017*$B$5^2 + 0.05*$B$5 + 3.3333</f>
        <v>4.0032999999999994</v>
      </c>
      <c r="Y182" s="125">
        <v>0</v>
      </c>
      <c r="Z182" s="125">
        <v>0</v>
      </c>
      <c r="AA182" s="125">
        <f>0.0017*$B$5^2 + 0.05*$B$5 + 3.3333</f>
        <v>4.0032999999999994</v>
      </c>
      <c r="AB182" s="125">
        <v>0</v>
      </c>
      <c r="AC182" s="125">
        <v>0</v>
      </c>
      <c r="AD182" s="125">
        <f>0.0017*$B$5^2 + 0.05*$B$5 + 3.3333</f>
        <v>4.0032999999999994</v>
      </c>
      <c r="AE182" s="125">
        <v>0</v>
      </c>
      <c r="AF182" s="125">
        <f>0.0017*$B$5^2 + 0.05*$B$5 + 3.3333</f>
        <v>4.0032999999999994</v>
      </c>
      <c r="AG182" s="126">
        <v>0</v>
      </c>
      <c r="AH182" s="22"/>
    </row>
    <row r="183" spans="1:34" x14ac:dyDescent="0.25">
      <c r="A183" s="112"/>
      <c r="B183" s="69" t="s">
        <v>546</v>
      </c>
      <c r="C183" s="133" t="s">
        <v>63</v>
      </c>
      <c r="D183" s="125">
        <f>-0.0096*$B$5^2 + 1.728*$B$5 + 24</f>
        <v>40.32</v>
      </c>
      <c r="E183" s="125">
        <v>0</v>
      </c>
      <c r="F183" s="125">
        <v>0</v>
      </c>
      <c r="G183" s="125">
        <f>-0.0096*$B$5^2 + 1.728*$B$5 + 24</f>
        <v>40.32</v>
      </c>
      <c r="H183" s="125">
        <v>0</v>
      </c>
      <c r="I183" s="125">
        <v>0</v>
      </c>
      <c r="J183" s="125">
        <f>-0.0096*$B$5^2 + 1.728*$B$5 + 24</f>
        <v>40.32</v>
      </c>
      <c r="K183" s="125">
        <v>0</v>
      </c>
      <c r="L183" s="125">
        <f>-0.0096*$B$5^2 + 1.728*$B$5 + 24</f>
        <v>40.32</v>
      </c>
      <c r="M183" s="125">
        <v>0</v>
      </c>
      <c r="N183" s="125">
        <f>-0.0048*$B$5^2 + 1.008*$B$5 + 16.32</f>
        <v>25.92</v>
      </c>
      <c r="O183" s="125">
        <v>0</v>
      </c>
      <c r="P183" s="125">
        <v>0</v>
      </c>
      <c r="Q183" s="125">
        <f>-0.0048*$B$5^2 + 1.008*$B$5 + 16.32</f>
        <v>25.92</v>
      </c>
      <c r="R183" s="125">
        <v>0</v>
      </c>
      <c r="S183" s="125">
        <v>0</v>
      </c>
      <c r="T183" s="125">
        <f>-0.0048*$B$5^2 + 1.008*$B$5 + 16.32</f>
        <v>25.92</v>
      </c>
      <c r="U183" s="125">
        <v>0</v>
      </c>
      <c r="V183" s="125">
        <f>-0.0048*$B$5^2 + 1.008*$B$5 + 16.32</f>
        <v>25.92</v>
      </c>
      <c r="W183" s="125">
        <v>0</v>
      </c>
      <c r="X183" s="125">
        <f>-0.0048*$B$5^2 + 1.008*$B$5 + 16.32</f>
        <v>25.92</v>
      </c>
      <c r="Y183" s="125">
        <v>0</v>
      </c>
      <c r="Z183" s="125">
        <v>0</v>
      </c>
      <c r="AA183" s="125">
        <f>-0.0048*$B$5^2 + 1.008*$B$5 + 16.32</f>
        <v>25.92</v>
      </c>
      <c r="AB183" s="125">
        <v>0</v>
      </c>
      <c r="AC183" s="125">
        <v>0</v>
      </c>
      <c r="AD183" s="125">
        <f>-0.0048*$B$5^2 + 1.008*$B$5 + 16.32</f>
        <v>25.92</v>
      </c>
      <c r="AE183" s="125">
        <v>0</v>
      </c>
      <c r="AF183" s="125">
        <f>-0.0048*$B$5^2 + 1.008*$B$5 + 16.32</f>
        <v>25.92</v>
      </c>
      <c r="AG183" s="126">
        <v>0</v>
      </c>
      <c r="AH183" s="22"/>
    </row>
    <row r="184" spans="1:34" x14ac:dyDescent="0.25">
      <c r="A184" s="112"/>
      <c r="B184" s="69" t="s">
        <v>547</v>
      </c>
      <c r="C184" s="133" t="s">
        <v>65</v>
      </c>
      <c r="D184" s="125">
        <f>0.0004*$B$5^2 + 0.1331*$B$5 + 0.5408</f>
        <v>1.9117999999999999</v>
      </c>
      <c r="E184" s="125">
        <v>0</v>
      </c>
      <c r="F184" s="125">
        <v>0</v>
      </c>
      <c r="G184" s="125">
        <f>0.0004*$B$5^2 + 0.1331*$B$5 + 0.5408</f>
        <v>1.9117999999999999</v>
      </c>
      <c r="H184" s="125">
        <v>0</v>
      </c>
      <c r="I184" s="125">
        <v>0</v>
      </c>
      <c r="J184" s="125">
        <f>0.0004*$B$5^2 + 0.1331*$B$5 + 0.5408</f>
        <v>1.9117999999999999</v>
      </c>
      <c r="K184" s="125">
        <v>0</v>
      </c>
      <c r="L184" s="125">
        <f>0.0004*$B$5^2 + 0.1331*$B$5 + 0.5408</f>
        <v>1.9117999999999999</v>
      </c>
      <c r="M184" s="125">
        <v>0</v>
      </c>
      <c r="N184" s="125">
        <f>0.0002*$B$5^2 + 0.0523*$B$5 + 0.3136</f>
        <v>0.85660000000000003</v>
      </c>
      <c r="O184" s="125">
        <v>0</v>
      </c>
      <c r="P184" s="125">
        <v>0</v>
      </c>
      <c r="Q184" s="125">
        <f>0.0002*$B$5^2 + 0.0523*$B$5 + 0.3136</f>
        <v>0.85660000000000003</v>
      </c>
      <c r="R184" s="125">
        <v>0</v>
      </c>
      <c r="S184" s="125">
        <v>0</v>
      </c>
      <c r="T184" s="125">
        <f>0.0002*$B$5^2 + 0.0523*$B$5 + 0.3136</f>
        <v>0.85660000000000003</v>
      </c>
      <c r="U184" s="125">
        <v>0</v>
      </c>
      <c r="V184" s="125">
        <f>0.0002*$B$5^2 + 0.0523*$B$5 + 0.3136</f>
        <v>0.85660000000000003</v>
      </c>
      <c r="W184" s="125">
        <v>0</v>
      </c>
      <c r="X184" s="125">
        <f>0.0002*$B$5^2 + 0.0523*$B$5 + 0.3136</f>
        <v>0.85660000000000003</v>
      </c>
      <c r="Y184" s="125">
        <v>0</v>
      </c>
      <c r="Z184" s="125">
        <v>0</v>
      </c>
      <c r="AA184" s="125">
        <f>0.0002*$B$5^2 + 0.0523*$B$5 + 0.3136</f>
        <v>0.85660000000000003</v>
      </c>
      <c r="AB184" s="125">
        <v>0</v>
      </c>
      <c r="AC184" s="125">
        <v>0</v>
      </c>
      <c r="AD184" s="125">
        <f>0.0002*$B$5^2 + 0.0523*$B$5 + 0.3136</f>
        <v>0.85660000000000003</v>
      </c>
      <c r="AE184" s="125">
        <v>0</v>
      </c>
      <c r="AF184" s="125">
        <f>0.0002*$B$5^2 + 0.0523*$B$5 + 0.3136</f>
        <v>0.85660000000000003</v>
      </c>
      <c r="AG184" s="126">
        <v>0</v>
      </c>
      <c r="AH184" s="22"/>
    </row>
    <row r="185" spans="1:34" x14ac:dyDescent="0.25">
      <c r="A185" s="112"/>
      <c r="B185" s="69" t="s">
        <v>548</v>
      </c>
      <c r="C185" s="133" t="s">
        <v>60</v>
      </c>
      <c r="D185" s="125">
        <f>-0.01*$B$5^2 + 1.9*$B$5 + 24</f>
        <v>42</v>
      </c>
      <c r="E185" s="125">
        <v>0</v>
      </c>
      <c r="F185" s="125">
        <v>0</v>
      </c>
      <c r="G185" s="125">
        <f>-0.01*$B$5^2 + 1.9*$B$5 + 24</f>
        <v>42</v>
      </c>
      <c r="H185" s="125">
        <v>0</v>
      </c>
      <c r="I185" s="125">
        <v>0</v>
      </c>
      <c r="J185" s="125">
        <f>-0.01*$B$5^2 + 1.9*$B$5 + 24</f>
        <v>42</v>
      </c>
      <c r="K185" s="125">
        <v>0</v>
      </c>
      <c r="L185" s="125">
        <f>-0.01*$B$5^2 + 1.9*$B$5 + 24</f>
        <v>42</v>
      </c>
      <c r="M185" s="125">
        <v>0</v>
      </c>
      <c r="N185" s="125">
        <f>-0.0067*$B$5^2 + 1.2*$B$5 + 14.667</f>
        <v>25.997</v>
      </c>
      <c r="O185" s="125">
        <v>0</v>
      </c>
      <c r="P185" s="125">
        <v>0</v>
      </c>
      <c r="Q185" s="125">
        <f>-0.0067*$B$5^2 + 1.2*$B$5 + 14.667</f>
        <v>25.997</v>
      </c>
      <c r="R185" s="125">
        <v>0</v>
      </c>
      <c r="S185" s="125">
        <v>0</v>
      </c>
      <c r="T185" s="125">
        <f>-0.0067*$B$5^2 + 1.2*$B$5 + 14.667</f>
        <v>25.997</v>
      </c>
      <c r="U185" s="125">
        <v>0</v>
      </c>
      <c r="V185" s="125">
        <f>-0.0067*$B$5^2 + 1.2*$B$5 + 14.667</f>
        <v>25.997</v>
      </c>
      <c r="W185" s="125">
        <v>0</v>
      </c>
      <c r="X185" s="125">
        <f>-0.0067*$B$5^2 + 1.2*$B$5 + 14.667</f>
        <v>25.997</v>
      </c>
      <c r="Y185" s="125">
        <v>0</v>
      </c>
      <c r="Z185" s="125">
        <v>0</v>
      </c>
      <c r="AA185" s="125">
        <f>-0.0067*$B$5^2 + 1.2*$B$5 + 14.667</f>
        <v>25.997</v>
      </c>
      <c r="AB185" s="125">
        <v>0</v>
      </c>
      <c r="AC185" s="125">
        <v>0</v>
      </c>
      <c r="AD185" s="125">
        <f>-0.0067*$B$5^2 + 1.2*$B$5 + 14.667</f>
        <v>25.997</v>
      </c>
      <c r="AE185" s="125">
        <v>0</v>
      </c>
      <c r="AF185" s="125">
        <f>-0.0067*$B$5^2 + 1.2*$B$5 + 14.667</f>
        <v>25.997</v>
      </c>
      <c r="AG185" s="126">
        <v>0</v>
      </c>
      <c r="AH185" s="22"/>
    </row>
    <row r="186" spans="1:34" x14ac:dyDescent="0.25">
      <c r="A186" s="112"/>
      <c r="B186" s="120" t="s">
        <v>550</v>
      </c>
      <c r="C186" s="121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8"/>
      <c r="AH186" s="22"/>
    </row>
    <row r="187" spans="1:34" ht="51" x14ac:dyDescent="0.25">
      <c r="A187" s="112"/>
      <c r="B187" s="135" t="s">
        <v>441</v>
      </c>
      <c r="C187" s="133" t="s">
        <v>65</v>
      </c>
      <c r="D187" s="125">
        <v>0</v>
      </c>
      <c r="E187" s="125">
        <f>0.0376*$B$5^2 + 47.7*$B$5 + 312.14</f>
        <v>792.9</v>
      </c>
      <c r="F187" s="125">
        <v>0</v>
      </c>
      <c r="G187" s="125">
        <v>0</v>
      </c>
      <c r="H187" s="125">
        <f>0.0376*$B$5^2 + 47.7*$B$5 + 312.14</f>
        <v>792.9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f>-0.0361*$B$5^2 + 22.891*$B$5 + 180.85</f>
        <v>406.15</v>
      </c>
      <c r="P187" s="125">
        <v>0</v>
      </c>
      <c r="Q187" s="125">
        <v>0</v>
      </c>
      <c r="R187" s="125">
        <f>-0.0361*$B$5^2 + 22.891*$B$5 + 180.85</f>
        <v>406.15</v>
      </c>
      <c r="S187" s="125">
        <v>0</v>
      </c>
      <c r="T187" s="125">
        <v>0</v>
      </c>
      <c r="U187" s="125">
        <v>0</v>
      </c>
      <c r="V187" s="125">
        <v>0</v>
      </c>
      <c r="W187" s="125">
        <v>0</v>
      </c>
      <c r="X187" s="125">
        <v>0</v>
      </c>
      <c r="Y187" s="125">
        <f>-0.0418*$B$5^2 + 23.176*$B$5 + 178.57</f>
        <v>406.15</v>
      </c>
      <c r="Z187" s="125">
        <v>0</v>
      </c>
      <c r="AA187" s="125">
        <v>0</v>
      </c>
      <c r="AB187" s="125">
        <f>-0.0418*$B$5^2 + 23.176*$B$5 + 178.57</f>
        <v>406.15</v>
      </c>
      <c r="AC187" s="125">
        <v>0</v>
      </c>
      <c r="AD187" s="125">
        <v>0</v>
      </c>
      <c r="AE187" s="125">
        <v>0</v>
      </c>
      <c r="AF187" s="125">
        <v>0</v>
      </c>
      <c r="AG187" s="126">
        <v>0</v>
      </c>
      <c r="AH187" s="22"/>
    </row>
    <row r="188" spans="1:34" ht="25.5" x14ac:dyDescent="0.25">
      <c r="A188" s="112"/>
      <c r="B188" s="262" t="s">
        <v>294</v>
      </c>
      <c r="C188" s="133" t="s">
        <v>65</v>
      </c>
      <c r="D188" s="125">
        <v>0</v>
      </c>
      <c r="E188" s="125">
        <f>0.0008*$B$5^2 - 0.0285*$B$5 + 23.875</f>
        <v>23.67</v>
      </c>
      <c r="F188" s="125">
        <v>0</v>
      </c>
      <c r="G188" s="125">
        <v>0</v>
      </c>
      <c r="H188" s="125">
        <f>0.0008*$B$5^2 - 0.0285*$B$5 + 23.875</f>
        <v>23.67</v>
      </c>
      <c r="I188" s="125">
        <v>0</v>
      </c>
      <c r="J188" s="125">
        <v>0</v>
      </c>
      <c r="K188" s="125">
        <v>0</v>
      </c>
      <c r="L188" s="125">
        <v>0</v>
      </c>
      <c r="M188" s="125">
        <v>0</v>
      </c>
      <c r="N188" s="125">
        <v>0</v>
      </c>
      <c r="O188" s="125">
        <f>-0.0075*$B$5^2 + 0.5216*$B$5 + 15.177</f>
        <v>19.643000000000001</v>
      </c>
      <c r="P188" s="125">
        <v>0</v>
      </c>
      <c r="Q188" s="125">
        <v>0</v>
      </c>
      <c r="R188" s="125">
        <f>-0.0075*$B$5^2 + 0.5216*$B$5 + 15.177</f>
        <v>19.643000000000001</v>
      </c>
      <c r="S188" s="125">
        <v>0</v>
      </c>
      <c r="T188" s="125">
        <v>0</v>
      </c>
      <c r="U188" s="125">
        <v>0</v>
      </c>
      <c r="V188" s="125">
        <v>0</v>
      </c>
      <c r="W188" s="125">
        <v>0</v>
      </c>
      <c r="X188" s="125">
        <v>0</v>
      </c>
      <c r="Y188" s="125">
        <f>-0.0075*$B$5^2 + 0.5208*$B$5 + 15.187</f>
        <v>19.645</v>
      </c>
      <c r="Z188" s="125">
        <v>0</v>
      </c>
      <c r="AA188" s="125">
        <v>0</v>
      </c>
      <c r="AB188" s="125">
        <f>-0.0075*$B$5^2 + 0.5208*$B$5 + 15.187</f>
        <v>19.645</v>
      </c>
      <c r="AC188" s="125">
        <v>0</v>
      </c>
      <c r="AD188" s="125">
        <v>0</v>
      </c>
      <c r="AE188" s="125">
        <v>0</v>
      </c>
      <c r="AF188" s="125">
        <v>0</v>
      </c>
      <c r="AG188" s="126">
        <v>0</v>
      </c>
      <c r="AH188" s="22"/>
    </row>
    <row r="189" spans="1:34" x14ac:dyDescent="0.25">
      <c r="A189" s="112"/>
      <c r="B189" s="262" t="s">
        <v>290</v>
      </c>
      <c r="C189" s="133" t="s">
        <v>63</v>
      </c>
      <c r="D189" s="125">
        <v>0</v>
      </c>
      <c r="E189" s="125">
        <f>0.0003*$B$5^2 - 0.0114*$B$5 + 9.55</f>
        <v>9.4660000000000011</v>
      </c>
      <c r="F189" s="125">
        <v>0</v>
      </c>
      <c r="G189" s="125">
        <v>0</v>
      </c>
      <c r="H189" s="125">
        <f>0.0003*$B$5^2 - 0.0114*$B$5 + 9.55</f>
        <v>9.4660000000000011</v>
      </c>
      <c r="I189" s="125">
        <v>0</v>
      </c>
      <c r="J189" s="125">
        <v>0</v>
      </c>
      <c r="K189" s="125">
        <v>0</v>
      </c>
      <c r="L189" s="125">
        <v>0</v>
      </c>
      <c r="M189" s="125">
        <v>0</v>
      </c>
      <c r="N189" s="125">
        <v>0</v>
      </c>
      <c r="O189" s="125">
        <f>-0.003*$B$5^2 + 0.2087*$B$5 + 6.0707</f>
        <v>7.8577000000000004</v>
      </c>
      <c r="P189" s="125">
        <v>0</v>
      </c>
      <c r="Q189" s="125">
        <v>0</v>
      </c>
      <c r="R189" s="125">
        <f>-0.003*$B$5^2 + 0.2087*$B$5 + 6.0707</f>
        <v>7.8577000000000004</v>
      </c>
      <c r="S189" s="125">
        <v>0</v>
      </c>
      <c r="T189" s="125">
        <v>0</v>
      </c>
      <c r="U189" s="125">
        <v>0</v>
      </c>
      <c r="V189" s="125">
        <v>0</v>
      </c>
      <c r="W189" s="125">
        <v>0</v>
      </c>
      <c r="X189" s="125">
        <v>0</v>
      </c>
      <c r="Y189" s="125">
        <f>-0.003*$B$5^2 + 0.2083*$B$5 + 6.075</f>
        <v>7.8580000000000005</v>
      </c>
      <c r="Z189" s="125">
        <v>0</v>
      </c>
      <c r="AA189" s="125">
        <v>0</v>
      </c>
      <c r="AB189" s="125">
        <f>-0.003*$B$5^2 + 0.2083*$B$5 + 6.075</f>
        <v>7.8580000000000005</v>
      </c>
      <c r="AC189" s="125">
        <v>0</v>
      </c>
      <c r="AD189" s="125">
        <v>0</v>
      </c>
      <c r="AE189" s="125">
        <v>0</v>
      </c>
      <c r="AF189" s="125">
        <v>0</v>
      </c>
      <c r="AG189" s="126">
        <v>0</v>
      </c>
      <c r="AH189" s="22"/>
    </row>
    <row r="190" spans="1:34" ht="25.5" x14ac:dyDescent="0.25">
      <c r="A190" s="112"/>
      <c r="B190" s="262" t="s">
        <v>295</v>
      </c>
      <c r="C190" s="133" t="s">
        <v>57</v>
      </c>
      <c r="D190" s="125">
        <v>0</v>
      </c>
      <c r="E190" s="125">
        <f>0.007*$B$5^2 - 0.2619*$B$5 + 169.15</f>
        <v>167.23099999999999</v>
      </c>
      <c r="F190" s="125">
        <v>0</v>
      </c>
      <c r="G190" s="125">
        <v>0</v>
      </c>
      <c r="H190" s="125">
        <f>0.007*$B$5^2 - 0.2619*$B$5 + 169.15</f>
        <v>167.23099999999999</v>
      </c>
      <c r="I190" s="125">
        <v>0</v>
      </c>
      <c r="J190" s="125">
        <v>0</v>
      </c>
      <c r="K190" s="125">
        <v>0</v>
      </c>
      <c r="L190" s="125">
        <v>0</v>
      </c>
      <c r="M190" s="125">
        <v>0</v>
      </c>
      <c r="N190" s="125">
        <v>0</v>
      </c>
      <c r="O190" s="125">
        <f>-0.0508*$B$5^2 + 3.5944*$B$5 + 108.13</f>
        <v>138.994</v>
      </c>
      <c r="P190" s="125">
        <v>0</v>
      </c>
      <c r="Q190" s="125">
        <v>0</v>
      </c>
      <c r="R190" s="125">
        <f>-0.0508*$B$5^2 + 3.5944*$B$5 + 108.13</f>
        <v>138.994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5">
        <v>0</v>
      </c>
      <c r="Y190" s="125">
        <f>-0.0507*$B$5^2 + 3.5848*$B$5 + 108.25</f>
        <v>139.02799999999999</v>
      </c>
      <c r="Z190" s="125">
        <v>0</v>
      </c>
      <c r="AA190" s="125">
        <v>0</v>
      </c>
      <c r="AB190" s="125">
        <f>-0.0507*$B$5^2 + 3.5848*$B$5 + 108.25</f>
        <v>139.02799999999999</v>
      </c>
      <c r="AC190" s="125">
        <v>0</v>
      </c>
      <c r="AD190" s="125">
        <v>0</v>
      </c>
      <c r="AE190" s="125">
        <v>0</v>
      </c>
      <c r="AF190" s="125">
        <v>0</v>
      </c>
      <c r="AG190" s="126">
        <v>0</v>
      </c>
      <c r="AH190" s="22"/>
    </row>
    <row r="191" spans="1:34" x14ac:dyDescent="0.25">
      <c r="A191" s="112"/>
      <c r="B191" s="27" t="s">
        <v>535</v>
      </c>
      <c r="C191" s="133" t="s">
        <v>57</v>
      </c>
      <c r="D191" s="125">
        <v>0</v>
      </c>
      <c r="E191" s="125">
        <f>0.0041*$B$5^2 - 0.23*$B$5 + 31.293</f>
        <v>29.402999999999999</v>
      </c>
      <c r="F191" s="125">
        <v>0</v>
      </c>
      <c r="G191" s="125">
        <v>0</v>
      </c>
      <c r="H191" s="125">
        <f>0.0041*$B$5^2 - 0.23*$B$5 + 31.293</f>
        <v>29.402999999999999</v>
      </c>
      <c r="I191" s="125">
        <v>0</v>
      </c>
      <c r="J191" s="125">
        <v>0</v>
      </c>
      <c r="K191" s="125">
        <v>0</v>
      </c>
      <c r="L191" s="125">
        <v>0</v>
      </c>
      <c r="M191" s="125">
        <v>0</v>
      </c>
      <c r="N191" s="125">
        <v>0</v>
      </c>
      <c r="O191" s="125">
        <f>-0.0014*$B$5^2 + 0.234*$B$5 + 23.28</f>
        <v>25.48</v>
      </c>
      <c r="P191" s="125">
        <v>0</v>
      </c>
      <c r="Q191" s="125">
        <v>0</v>
      </c>
      <c r="R191" s="125">
        <f>-0.0014*$B$5^2 + 0.234*$B$5 + 23.28</f>
        <v>25.48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5">
        <v>0</v>
      </c>
      <c r="Y191" s="125">
        <f>-0.0014*$B$5^2 + 0.234*$B$5 + 23.28</f>
        <v>25.48</v>
      </c>
      <c r="Z191" s="125">
        <v>0</v>
      </c>
      <c r="AA191" s="125">
        <v>0</v>
      </c>
      <c r="AB191" s="125">
        <f>-0.0014*$B$5^2 + 0.234*$B$5 + 23.28</f>
        <v>25.48</v>
      </c>
      <c r="AC191" s="125">
        <v>0</v>
      </c>
      <c r="AD191" s="125">
        <v>0</v>
      </c>
      <c r="AE191" s="125">
        <v>0</v>
      </c>
      <c r="AF191" s="125">
        <v>0</v>
      </c>
      <c r="AG191" s="126">
        <v>0</v>
      </c>
      <c r="AH191" s="22"/>
    </row>
    <row r="192" spans="1:34" ht="25.5" x14ac:dyDescent="0.25">
      <c r="A192" s="112"/>
      <c r="B192" s="135" t="s">
        <v>461</v>
      </c>
      <c r="C192" s="133" t="s">
        <v>64</v>
      </c>
      <c r="D192" s="125">
        <v>0</v>
      </c>
      <c r="E192" s="125">
        <f>0.0107*$B$5^2 - 0.64*$B$5 + 24.533</f>
        <v>19.203000000000003</v>
      </c>
      <c r="F192" s="125">
        <v>0</v>
      </c>
      <c r="G192" s="125">
        <v>0</v>
      </c>
      <c r="H192" s="125">
        <f>0.0107*$B$5^2 - 0.64*$B$5 + 24.533</f>
        <v>19.203000000000003</v>
      </c>
      <c r="I192" s="125">
        <v>0</v>
      </c>
      <c r="J192" s="125">
        <v>0</v>
      </c>
      <c r="K192" s="125">
        <v>0</v>
      </c>
      <c r="L192" s="125">
        <v>0</v>
      </c>
      <c r="M192" s="125">
        <v>0</v>
      </c>
      <c r="N192" s="125">
        <v>0</v>
      </c>
      <c r="O192" s="125">
        <f>-0.0053*$B$5^2 + 0.32*$B$5 + 11.733</f>
        <v>14.403</v>
      </c>
      <c r="P192" s="125">
        <v>0</v>
      </c>
      <c r="Q192" s="125">
        <v>0</v>
      </c>
      <c r="R192" s="125">
        <f>-0.0053*$B$5^2 + 0.32*$B$5 + 11.733</f>
        <v>14.403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5">
        <v>0</v>
      </c>
      <c r="Y192" s="125">
        <f>-0.0053*$B$5^2 + 0.32*$B$5 + 11.733</f>
        <v>14.403</v>
      </c>
      <c r="Z192" s="125">
        <v>0</v>
      </c>
      <c r="AA192" s="125">
        <v>0</v>
      </c>
      <c r="AB192" s="125">
        <f>-0.0053*$B$5^2 + 0.32*$B$5 + 11.733</f>
        <v>14.403</v>
      </c>
      <c r="AC192" s="125">
        <v>0</v>
      </c>
      <c r="AD192" s="125">
        <v>0</v>
      </c>
      <c r="AE192" s="125">
        <v>0</v>
      </c>
      <c r="AF192" s="125">
        <v>0</v>
      </c>
      <c r="AG192" s="126">
        <v>0</v>
      </c>
      <c r="AH192" s="22"/>
    </row>
    <row r="193" spans="1:34" ht="25.5" x14ac:dyDescent="0.25">
      <c r="A193" s="112"/>
      <c r="B193" s="134" t="s">
        <v>73</v>
      </c>
      <c r="C193" s="133" t="s">
        <v>57</v>
      </c>
      <c r="D193" s="125">
        <v>0</v>
      </c>
      <c r="E193" s="125">
        <f>-0.0591*$B$5^2 + 26.988*$B$5 + 400.42</f>
        <v>664.39</v>
      </c>
      <c r="F193" s="125">
        <v>0</v>
      </c>
      <c r="G193" s="125">
        <v>0</v>
      </c>
      <c r="H193" s="125">
        <f>-0.0591*$B$5^2 + 26.988*$B$5 + 400.42</f>
        <v>664.39</v>
      </c>
      <c r="I193" s="125">
        <v>0</v>
      </c>
      <c r="J193" s="125">
        <v>0</v>
      </c>
      <c r="K193" s="125">
        <v>0</v>
      </c>
      <c r="L193" s="125">
        <v>0</v>
      </c>
      <c r="M193" s="125">
        <v>0</v>
      </c>
      <c r="N193" s="125">
        <v>0</v>
      </c>
      <c r="O193" s="125">
        <f>-0.0979*$B$5^2 + 17.085*$B$5 + 266.13</f>
        <v>427.19000000000005</v>
      </c>
      <c r="P193" s="125">
        <v>0</v>
      </c>
      <c r="Q193" s="125">
        <v>0</v>
      </c>
      <c r="R193" s="125">
        <f>-0.0979*$B$5^2 + 17.085*$B$5 + 266.13</f>
        <v>427.19000000000005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5">
        <v>0</v>
      </c>
      <c r="Y193" s="125">
        <f>-0.1073*$B$5^2 + 17.556*$B$5 + 262.36</f>
        <v>427.19000000000005</v>
      </c>
      <c r="Z193" s="125">
        <v>0</v>
      </c>
      <c r="AA193" s="125">
        <v>0</v>
      </c>
      <c r="AB193" s="125">
        <f>-0.1073*$B$5^2 + 17.556*$B$5 + 262.36</f>
        <v>427.19000000000005</v>
      </c>
      <c r="AC193" s="125">
        <v>0</v>
      </c>
      <c r="AD193" s="125">
        <v>0</v>
      </c>
      <c r="AE193" s="125">
        <v>0</v>
      </c>
      <c r="AF193" s="125">
        <v>0</v>
      </c>
      <c r="AG193" s="126">
        <v>0</v>
      </c>
      <c r="AH193" s="22"/>
    </row>
    <row r="194" spans="1:34" x14ac:dyDescent="0.25">
      <c r="A194" s="112"/>
      <c r="B194" s="120" t="s">
        <v>551</v>
      </c>
      <c r="C194" s="121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8"/>
      <c r="AH194" s="22"/>
    </row>
    <row r="195" spans="1:34" ht="51" x14ac:dyDescent="0.25">
      <c r="A195" s="112"/>
      <c r="B195" s="27" t="s">
        <v>442</v>
      </c>
      <c r="C195" s="133" t="s">
        <v>65</v>
      </c>
      <c r="D195" s="125">
        <v>0</v>
      </c>
      <c r="E195" s="125">
        <v>0</v>
      </c>
      <c r="F195" s="125">
        <f>0.0117*$B$5^2 + 6.6647*$B$5 + 19.208</f>
        <v>87.024999999999991</v>
      </c>
      <c r="G195" s="125">
        <v>0</v>
      </c>
      <c r="H195" s="125">
        <v>0</v>
      </c>
      <c r="I195" s="125">
        <f>0.0117*$B$5^2 + 6.6647*$B$5 + 19.208</f>
        <v>87.024999999999991</v>
      </c>
      <c r="J195" s="125">
        <v>0</v>
      </c>
      <c r="K195" s="125">
        <f>0.0059*$B$5^2 + 7.9262*$B$5 + 31.829</f>
        <v>111.68100000000001</v>
      </c>
      <c r="L195" s="125">
        <v>0</v>
      </c>
      <c r="M195" s="125">
        <f>0.0059*$B$5^2 + 7.9262*$B$5 + 31.829</f>
        <v>111.68100000000001</v>
      </c>
      <c r="N195" s="125">
        <v>0</v>
      </c>
      <c r="O195" s="125">
        <v>0</v>
      </c>
      <c r="P195" s="125">
        <f>0.0415*$B$5^2 + 2.5804*$B$5 + 50.974</f>
        <v>80.927999999999997</v>
      </c>
      <c r="Q195" s="125">
        <v>0</v>
      </c>
      <c r="R195" s="125">
        <v>0</v>
      </c>
      <c r="S195" s="125">
        <f>0.0415*$B$5^2 + 2.5804*$B$5 + 50.974</f>
        <v>80.927999999999997</v>
      </c>
      <c r="T195" s="125">
        <v>0</v>
      </c>
      <c r="U195" s="125">
        <f>0.0436*$B$5^2 + 3.1677*$B$5 + 68.274</f>
        <v>104.31100000000001</v>
      </c>
      <c r="V195" s="125">
        <v>0</v>
      </c>
      <c r="W195" s="125">
        <f>0.0436*$B$5^2 + 3.1677*$B$5 + 68.274</f>
        <v>104.31100000000001</v>
      </c>
      <c r="X195" s="125">
        <v>0</v>
      </c>
      <c r="Y195" s="125">
        <v>0</v>
      </c>
      <c r="Z195" s="125">
        <f>-0.0104*$B$5^2 + 6.1789*$B$5 + 6.2022</f>
        <v>66.9512</v>
      </c>
      <c r="AA195" s="125">
        <v>0</v>
      </c>
      <c r="AB195" s="125">
        <v>0</v>
      </c>
      <c r="AC195" s="125">
        <f>-0.0104*$B$5^2 + 6.1789*$B$5 + 6.2022</f>
        <v>66.9512</v>
      </c>
      <c r="AD195" s="125">
        <v>0</v>
      </c>
      <c r="AE195" s="125">
        <f>-0.0183*$B$5^2 + 7.4015*$B$5 + 15.544</f>
        <v>87.728999999999999</v>
      </c>
      <c r="AF195" s="125">
        <v>0</v>
      </c>
      <c r="AG195" s="126">
        <f>-0.0183*$B$5^2 + 7.4015*$B$5 + 15.544</f>
        <v>87.728999999999999</v>
      </c>
      <c r="AH195" s="22"/>
    </row>
    <row r="196" spans="1:34" ht="25.5" x14ac:dyDescent="0.25">
      <c r="A196" s="112"/>
      <c r="B196" s="27" t="s">
        <v>294</v>
      </c>
      <c r="C196" s="133" t="s">
        <v>65</v>
      </c>
      <c r="D196" s="125">
        <v>0</v>
      </c>
      <c r="E196" s="125">
        <v>0</v>
      </c>
      <c r="F196" s="125">
        <f>-0.0004*$B$5^2 + 0.1855*$B$5 + 1.2343</f>
        <v>3.0492999999999997</v>
      </c>
      <c r="G196" s="125">
        <v>0</v>
      </c>
      <c r="H196" s="125">
        <v>0</v>
      </c>
      <c r="I196" s="125">
        <f>-0.0004*$B$5^2 + 0.1855*$B$5 + 1.2343</f>
        <v>3.0492999999999997</v>
      </c>
      <c r="J196" s="125">
        <v>0</v>
      </c>
      <c r="K196" s="125">
        <f>-0.0062*$B$5^2 + 1.2969*$B$5 + 13.349</f>
        <v>25.698</v>
      </c>
      <c r="L196" s="125">
        <v>0</v>
      </c>
      <c r="M196" s="125">
        <f>-0.0062*$B$5^2 + 1.2969*$B$5 + 13.349</f>
        <v>25.698</v>
      </c>
      <c r="N196" s="125">
        <v>0</v>
      </c>
      <c r="O196" s="125">
        <v>0</v>
      </c>
      <c r="P196" s="125">
        <f>0.0005*$B$5^2 + 0.0671*$B$5 + 2.3329</f>
        <v>3.0539000000000001</v>
      </c>
      <c r="Q196" s="125">
        <v>0</v>
      </c>
      <c r="R196" s="125">
        <v>0</v>
      </c>
      <c r="S196" s="125">
        <f>0.0005*$B$5^2 + 0.0671*$B$5 + 2.3329</f>
        <v>3.0539000000000001</v>
      </c>
      <c r="T196" s="125">
        <v>0</v>
      </c>
      <c r="U196" s="125">
        <f>0.0022*$B$5^2 + 0.5998*$B$5 + 18.223</f>
        <v>24.440999999999999</v>
      </c>
      <c r="V196" s="125">
        <v>0</v>
      </c>
      <c r="W196" s="125">
        <f>0.0022*$B$5^2 + 0.5998*$B$5 + 18.223</f>
        <v>24.440999999999999</v>
      </c>
      <c r="X196" s="125">
        <v>0</v>
      </c>
      <c r="Y196" s="125">
        <v>0</v>
      </c>
      <c r="Z196" s="125">
        <f>-0.0011*$B$5^2 + 0.1959*$B$5 + 0.8459</f>
        <v>2.6948999999999996</v>
      </c>
      <c r="AA196" s="125">
        <v>0</v>
      </c>
      <c r="AB196" s="125">
        <v>0</v>
      </c>
      <c r="AC196" s="125">
        <f>-0.0011*$B$5^2 + 0.1959*$B$5 + 0.8459</f>
        <v>2.6948999999999996</v>
      </c>
      <c r="AD196" s="125">
        <v>0</v>
      </c>
      <c r="AE196" s="125">
        <f>-0.0082*$B$5^2 + 1.2568*$B$5 + 10.018</f>
        <v>21.765999999999998</v>
      </c>
      <c r="AF196" s="125">
        <v>0</v>
      </c>
      <c r="AG196" s="126">
        <f>-0.0082*$B$5^2 + 1.2568*$B$5 + 10.018</f>
        <v>21.765999999999998</v>
      </c>
      <c r="AH196" s="22"/>
    </row>
    <row r="197" spans="1:34" x14ac:dyDescent="0.25">
      <c r="A197" s="112"/>
      <c r="B197" s="27" t="s">
        <v>290</v>
      </c>
      <c r="C197" s="133" t="s">
        <v>63</v>
      </c>
      <c r="D197" s="125">
        <v>0</v>
      </c>
      <c r="E197" s="125">
        <v>0</v>
      </c>
      <c r="F197" s="125">
        <f>-0.0001*$B$5^2 + 0.0742*$B$5 + 0.4937</f>
        <v>1.2257</v>
      </c>
      <c r="G197" s="125">
        <v>0</v>
      </c>
      <c r="H197" s="125">
        <v>0</v>
      </c>
      <c r="I197" s="125">
        <f>-0.0001*$B$5^2 + 0.0742*$B$5 + 0.4937</f>
        <v>1.2257</v>
      </c>
      <c r="J197" s="125">
        <v>0</v>
      </c>
      <c r="K197" s="125">
        <f>-0.0025*$B$5^2 + 0.5188*$B$5 + 5.3395</f>
        <v>10.2775</v>
      </c>
      <c r="L197" s="125">
        <v>0</v>
      </c>
      <c r="M197" s="125">
        <f>-0.0025*$B$5^2 + 0.5188*$B$5 + 5.3395</f>
        <v>10.2775</v>
      </c>
      <c r="N197" s="125">
        <v>0</v>
      </c>
      <c r="O197" s="125">
        <v>0</v>
      </c>
      <c r="P197" s="125">
        <f>0.0002*$B$5^2 + 0.0268*$B$5 + 0.9332</f>
        <v>1.2212000000000001</v>
      </c>
      <c r="Q197" s="125">
        <v>0</v>
      </c>
      <c r="R197" s="125">
        <v>0</v>
      </c>
      <c r="S197" s="125">
        <f>0.0002*$B$5^2 + 0.0268*$B$5 + 0.9332</f>
        <v>1.2212000000000001</v>
      </c>
      <c r="T197" s="125">
        <v>0</v>
      </c>
      <c r="U197" s="125">
        <f>0.0009*$B$5^2 + 0.2399*$B$5 + 7.289</f>
        <v>9.7779999999999987</v>
      </c>
      <c r="V197" s="125">
        <v>0</v>
      </c>
      <c r="W197" s="125">
        <f>0.0009*$B$5^2 + 0.2399*$B$5 + 7.289</f>
        <v>9.7779999999999987</v>
      </c>
      <c r="X197" s="125">
        <v>0</v>
      </c>
      <c r="Y197" s="125">
        <v>0</v>
      </c>
      <c r="Z197" s="125">
        <f>-0.0005*$B$5^2 + 0.0783*$B$5 + 0.3384</f>
        <v>1.0713999999999999</v>
      </c>
      <c r="AA197" s="125">
        <v>0</v>
      </c>
      <c r="AB197" s="125">
        <v>0</v>
      </c>
      <c r="AC197" s="125">
        <f>-0.0005*$B$5^2 + 0.0783*$B$5 + 0.3384</f>
        <v>1.0713999999999999</v>
      </c>
      <c r="AD197" s="125">
        <v>0</v>
      </c>
      <c r="AE197" s="125">
        <f>-0.0033*$B$5^2 + 0.5027*$B$5 + 4.0073</f>
        <v>8.7042999999999999</v>
      </c>
      <c r="AF197" s="125">
        <v>0</v>
      </c>
      <c r="AG197" s="126">
        <f>-0.0033*$B$5^2 + 0.5027*$B$5 + 4.0073</f>
        <v>8.7042999999999999</v>
      </c>
      <c r="AH197" s="22"/>
    </row>
    <row r="198" spans="1:34" ht="25.5" x14ac:dyDescent="0.25">
      <c r="A198" s="112"/>
      <c r="B198" s="27" t="s">
        <v>295</v>
      </c>
      <c r="C198" s="133" t="s">
        <v>57</v>
      </c>
      <c r="D198" s="125">
        <v>0</v>
      </c>
      <c r="E198" s="125">
        <v>0</v>
      </c>
      <c r="F198" s="125">
        <v>0</v>
      </c>
      <c r="G198" s="125">
        <v>0</v>
      </c>
      <c r="H198" s="125">
        <v>0</v>
      </c>
      <c r="I198" s="125">
        <v>0</v>
      </c>
      <c r="J198" s="125">
        <v>0</v>
      </c>
      <c r="K198" s="125">
        <f>-0.0464*$B$5^2 + 9.0102*$B$5 + 95.758</f>
        <v>181.21999999999997</v>
      </c>
      <c r="L198" s="125">
        <v>0</v>
      </c>
      <c r="M198" s="125">
        <f>-0.0464*$B$5^2 + 9.0102*$B$5 + 95.758</f>
        <v>181.21999999999997</v>
      </c>
      <c r="N198" s="125">
        <v>0</v>
      </c>
      <c r="O198" s="125">
        <v>0</v>
      </c>
      <c r="P198" s="125">
        <v>0</v>
      </c>
      <c r="Q198" s="125">
        <v>0</v>
      </c>
      <c r="R198" s="125">
        <v>0</v>
      </c>
      <c r="S198" s="125">
        <v>0</v>
      </c>
      <c r="T198" s="125">
        <v>0</v>
      </c>
      <c r="U198" s="125">
        <f>0.0141*$B$5^2 + 4.3008*$B$5 + 126.73</f>
        <v>171.148</v>
      </c>
      <c r="V198" s="125">
        <v>0</v>
      </c>
      <c r="W198" s="125">
        <f>0.0141*$B$5^2 + 4.3008*$B$5 + 126.73</f>
        <v>171.148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25">
        <v>0</v>
      </c>
      <c r="AD198" s="125">
        <v>0</v>
      </c>
      <c r="AE198" s="125">
        <f>-0.0569*$B$5^2 + 8.6119*$B$5 + 71.998</f>
        <v>152.42700000000002</v>
      </c>
      <c r="AF198" s="125">
        <v>0</v>
      </c>
      <c r="AG198" s="126">
        <f>-0.0569*$B$5^2 + 8.6119*$B$5 + 71.998</f>
        <v>152.42700000000002</v>
      </c>
      <c r="AH198" s="22"/>
    </row>
    <row r="199" spans="1:34" x14ac:dyDescent="0.25">
      <c r="A199" s="112"/>
      <c r="B199" s="27" t="s">
        <v>305</v>
      </c>
      <c r="C199" s="133" t="s">
        <v>63</v>
      </c>
      <c r="D199" s="125">
        <v>0</v>
      </c>
      <c r="E199" s="125">
        <v>0</v>
      </c>
      <c r="F199" s="125">
        <f>-0.0025*$B$5^2 + 1.2369*$B$5 + 8.2287</f>
        <v>20.347700000000003</v>
      </c>
      <c r="G199" s="125">
        <v>0</v>
      </c>
      <c r="H199" s="125">
        <v>0</v>
      </c>
      <c r="I199" s="125">
        <f>-0.0025*$B$5^2 + 1.2369*$B$5 + 8.2287</f>
        <v>20.347700000000003</v>
      </c>
      <c r="J199" s="125">
        <v>0</v>
      </c>
      <c r="K199" s="125">
        <v>0</v>
      </c>
      <c r="L199" s="125">
        <v>0</v>
      </c>
      <c r="M199" s="125">
        <v>0</v>
      </c>
      <c r="N199" s="125">
        <v>0</v>
      </c>
      <c r="O199" s="125">
        <v>0</v>
      </c>
      <c r="P199" s="125">
        <f>0.0032*$B$5^2 + 0.4474*$B$5 + 15.553</f>
        <v>20.347000000000001</v>
      </c>
      <c r="Q199" s="125">
        <v>0</v>
      </c>
      <c r="R199" s="125">
        <v>0</v>
      </c>
      <c r="S199" s="125">
        <f>0.0032*$B$5^2 + 0.4474*$B$5 + 15.553</f>
        <v>20.347000000000001</v>
      </c>
      <c r="T199" s="125">
        <v>0</v>
      </c>
      <c r="U199" s="125">
        <v>0</v>
      </c>
      <c r="V199" s="125">
        <v>0</v>
      </c>
      <c r="W199" s="125">
        <v>0</v>
      </c>
      <c r="X199" s="125">
        <v>0</v>
      </c>
      <c r="Y199" s="125">
        <v>0</v>
      </c>
      <c r="Z199" s="125">
        <f>-0.0075*$B$5^2 + 1.3057*$B$5 + 5.6396</f>
        <v>17.9466</v>
      </c>
      <c r="AA199" s="125">
        <v>0</v>
      </c>
      <c r="AB199" s="125">
        <v>0</v>
      </c>
      <c r="AC199" s="125">
        <f>-0.0075*$B$5^2 + 1.3057*$B$5 + 5.6396</f>
        <v>17.9466</v>
      </c>
      <c r="AD199" s="125">
        <v>0</v>
      </c>
      <c r="AE199" s="125">
        <v>0</v>
      </c>
      <c r="AF199" s="125">
        <v>0</v>
      </c>
      <c r="AG199" s="126">
        <v>0</v>
      </c>
      <c r="AH199" s="22"/>
    </row>
    <row r="200" spans="1:34" x14ac:dyDescent="0.25">
      <c r="A200" s="112"/>
      <c r="B200" s="27" t="s">
        <v>465</v>
      </c>
      <c r="C200" s="133" t="s">
        <v>63</v>
      </c>
      <c r="D200" s="125">
        <v>0</v>
      </c>
      <c r="E200" s="125">
        <v>0</v>
      </c>
      <c r="F200" s="125">
        <f>-0.0208*$B$5^2 + 3.7498*$B$5 + 38.737</f>
        <v>74.155000000000001</v>
      </c>
      <c r="G200" s="125">
        <v>0</v>
      </c>
      <c r="H200" s="125">
        <v>0</v>
      </c>
      <c r="I200" s="125">
        <f>-0.0208*$B$5^2 + 3.7498*$B$5 + 38.737</f>
        <v>74.155000000000001</v>
      </c>
      <c r="J200" s="125">
        <v>0</v>
      </c>
      <c r="K200" s="125">
        <v>0</v>
      </c>
      <c r="L200" s="125">
        <v>0</v>
      </c>
      <c r="M200" s="125">
        <v>0</v>
      </c>
      <c r="N200" s="125">
        <v>0</v>
      </c>
      <c r="O200" s="125">
        <v>0</v>
      </c>
      <c r="P200" s="125">
        <f>0.0057*$B$5^2 + 1.8427*$B$5 + 50.36</f>
        <v>69.356999999999999</v>
      </c>
      <c r="Q200" s="125">
        <v>0</v>
      </c>
      <c r="R200" s="125">
        <v>0</v>
      </c>
      <c r="S200" s="125">
        <f>0.0057*$B$5^2 + 1.8427*$B$5 + 50.36</f>
        <v>69.356999999999999</v>
      </c>
      <c r="T200" s="125">
        <v>0</v>
      </c>
      <c r="U200" s="125">
        <v>0</v>
      </c>
      <c r="V200" s="125">
        <v>0</v>
      </c>
      <c r="W200" s="125">
        <v>0</v>
      </c>
      <c r="X200" s="125">
        <v>0</v>
      </c>
      <c r="Y200" s="125">
        <v>0</v>
      </c>
      <c r="Z200" s="125">
        <f>-0.0234*$B$5^2 + 3.5139*$B$5 + 28.718</f>
        <v>61.51700000000001</v>
      </c>
      <c r="AA200" s="125">
        <v>0</v>
      </c>
      <c r="AB200" s="125">
        <v>0</v>
      </c>
      <c r="AC200" s="125">
        <f>-0.0234*$B$5^2 + 3.5139*$B$5 + 28.718</f>
        <v>61.51700000000001</v>
      </c>
      <c r="AD200" s="125">
        <v>0</v>
      </c>
      <c r="AE200" s="125">
        <v>0</v>
      </c>
      <c r="AF200" s="125">
        <v>0</v>
      </c>
      <c r="AG200" s="126">
        <v>0</v>
      </c>
      <c r="AH200" s="22"/>
    </row>
    <row r="201" spans="1:34" x14ac:dyDescent="0.25">
      <c r="A201" s="112"/>
      <c r="B201" s="27" t="s">
        <v>522</v>
      </c>
      <c r="C201" s="133" t="s">
        <v>63</v>
      </c>
      <c r="D201" s="125">
        <v>0</v>
      </c>
      <c r="E201" s="125">
        <v>0</v>
      </c>
      <c r="F201" s="125">
        <f>-0.0093*$B$5^2 + 1.9947*$B$5 + 18.786</f>
        <v>37.802999999999997</v>
      </c>
      <c r="G201" s="125">
        <v>0</v>
      </c>
      <c r="H201" s="125">
        <v>0</v>
      </c>
      <c r="I201" s="125">
        <f>-0.0093*$B$5^2 + 1.9947*$B$5 + 18.786</f>
        <v>37.802999999999997</v>
      </c>
      <c r="J201" s="125">
        <v>0</v>
      </c>
      <c r="K201" s="125">
        <v>0</v>
      </c>
      <c r="L201" s="125">
        <v>0</v>
      </c>
      <c r="M201" s="125">
        <v>0</v>
      </c>
      <c r="N201" s="125">
        <v>0</v>
      </c>
      <c r="O201" s="125">
        <v>0</v>
      </c>
      <c r="P201" s="125">
        <f>0.0036*$B$5^2 + 0.916*$B$5 + 26.365</f>
        <v>35.884999999999998</v>
      </c>
      <c r="Q201" s="125">
        <v>0</v>
      </c>
      <c r="R201" s="125">
        <v>0</v>
      </c>
      <c r="S201" s="125">
        <f>0.0036*$B$5^2 + 0.916*$B$5 + 26.365</f>
        <v>35.884999999999998</v>
      </c>
      <c r="T201" s="125">
        <v>0</v>
      </c>
      <c r="U201" s="125">
        <v>0</v>
      </c>
      <c r="V201" s="125">
        <v>0</v>
      </c>
      <c r="W201" s="125">
        <v>0</v>
      </c>
      <c r="X201" s="125">
        <v>0</v>
      </c>
      <c r="Y201" s="125">
        <v>0</v>
      </c>
      <c r="Z201" s="125">
        <f>-0.0124*$B$5^2 + 1.9278*$B$5 + 13.743</f>
        <v>31.780999999999999</v>
      </c>
      <c r="AA201" s="125">
        <v>0</v>
      </c>
      <c r="AB201" s="125">
        <v>0</v>
      </c>
      <c r="AC201" s="125">
        <f>-0.0124*$B$5^2 + 1.9278*$B$5 + 13.743</f>
        <v>31.780999999999999</v>
      </c>
      <c r="AD201" s="125">
        <v>0</v>
      </c>
      <c r="AE201" s="125">
        <v>0</v>
      </c>
      <c r="AF201" s="125">
        <v>0</v>
      </c>
      <c r="AG201" s="126">
        <v>0</v>
      </c>
      <c r="AH201" s="22"/>
    </row>
    <row r="202" spans="1:34" ht="25.5" x14ac:dyDescent="0.25">
      <c r="A202" s="112"/>
      <c r="B202" s="135" t="s">
        <v>542</v>
      </c>
      <c r="C202" s="133" t="s">
        <v>57</v>
      </c>
      <c r="D202" s="125">
        <v>0</v>
      </c>
      <c r="E202" s="125">
        <v>0</v>
      </c>
      <c r="F202" s="125">
        <f>-0.0465*$B$5^2 + 9.9734*$B$5 + 93.931</f>
        <v>189.01499999999999</v>
      </c>
      <c r="G202" s="125">
        <v>0</v>
      </c>
      <c r="H202" s="125">
        <v>0</v>
      </c>
      <c r="I202" s="125">
        <f>-0.0465*$B$5^2 + 9.9734*$B$5 + 93.931</f>
        <v>189.01499999999999</v>
      </c>
      <c r="J202" s="125">
        <v>0</v>
      </c>
      <c r="K202" s="125">
        <v>0</v>
      </c>
      <c r="L202" s="125">
        <v>0</v>
      </c>
      <c r="M202" s="125">
        <v>0</v>
      </c>
      <c r="N202" s="125">
        <v>0</v>
      </c>
      <c r="O202" s="125">
        <v>0</v>
      </c>
      <c r="P202" s="125">
        <f>0.0179*$B$5^2 + 4.5801*$B$5 + 131.83</f>
        <v>179.42100000000002</v>
      </c>
      <c r="Q202" s="125">
        <v>0</v>
      </c>
      <c r="R202" s="125">
        <v>0</v>
      </c>
      <c r="S202" s="125">
        <f>0.0179*$B$5^2 + 4.5801*$B$5 + 131.83</f>
        <v>179.42100000000002</v>
      </c>
      <c r="T202" s="125">
        <v>0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f>-0.0619*$B$5^2 + 9.6391*$B$5 + 68.716</f>
        <v>158.91699999999997</v>
      </c>
      <c r="AA202" s="125">
        <v>0</v>
      </c>
      <c r="AB202" s="125">
        <v>0</v>
      </c>
      <c r="AC202" s="125">
        <f>-0.0619*$B$5^2 + 9.6391*$B$5 + 68.716</f>
        <v>158.91699999999997</v>
      </c>
      <c r="AD202" s="125">
        <v>0</v>
      </c>
      <c r="AE202" s="125">
        <v>0</v>
      </c>
      <c r="AF202" s="125">
        <v>0</v>
      </c>
      <c r="AG202" s="126">
        <v>0</v>
      </c>
      <c r="AH202" s="22"/>
    </row>
    <row r="203" spans="1:34" ht="25.5" x14ac:dyDescent="0.25">
      <c r="A203" s="112"/>
      <c r="B203" s="135" t="s">
        <v>543</v>
      </c>
      <c r="C203" s="133" t="s">
        <v>57</v>
      </c>
      <c r="D203" s="125">
        <v>0</v>
      </c>
      <c r="E203" s="125">
        <v>0</v>
      </c>
      <c r="F203" s="125">
        <f>-0.0465*$B$5^2 + 9.9734*$B$5 + 93.931</f>
        <v>189.01499999999999</v>
      </c>
      <c r="G203" s="125">
        <v>0</v>
      </c>
      <c r="H203" s="125">
        <v>0</v>
      </c>
      <c r="I203" s="125">
        <f>-0.0465*$B$5^2 + 9.9734*$B$5 + 93.931</f>
        <v>189.01499999999999</v>
      </c>
      <c r="J203" s="125">
        <v>0</v>
      </c>
      <c r="K203" s="125">
        <v>0</v>
      </c>
      <c r="L203" s="125">
        <v>0</v>
      </c>
      <c r="M203" s="125">
        <v>0</v>
      </c>
      <c r="N203" s="125">
        <v>0</v>
      </c>
      <c r="O203" s="125">
        <v>0</v>
      </c>
      <c r="P203" s="125">
        <f>0.0179*$B$5^2 + 4.5801*$B$5 + 131.83</f>
        <v>179.42100000000002</v>
      </c>
      <c r="Q203" s="125">
        <v>0</v>
      </c>
      <c r="R203" s="125">
        <v>0</v>
      </c>
      <c r="S203" s="125">
        <f>0.0179*$B$5^2 + 4.5801*$B$5 + 131.83</f>
        <v>179.42100000000002</v>
      </c>
      <c r="T203" s="125">
        <v>0</v>
      </c>
      <c r="U203" s="125">
        <v>0</v>
      </c>
      <c r="V203" s="125">
        <v>0</v>
      </c>
      <c r="W203" s="125">
        <v>0</v>
      </c>
      <c r="X203" s="125">
        <v>0</v>
      </c>
      <c r="Y203" s="125">
        <v>0</v>
      </c>
      <c r="Z203" s="125">
        <f>-0.0619*$B$5^2 + 9.6391*$B$5 + 68.716</f>
        <v>158.91699999999997</v>
      </c>
      <c r="AA203" s="125">
        <v>0</v>
      </c>
      <c r="AB203" s="125">
        <v>0</v>
      </c>
      <c r="AC203" s="125">
        <f>-0.0619*$B$5^2 + 9.6391*$B$5 + 68.716</f>
        <v>158.91699999999997</v>
      </c>
      <c r="AD203" s="125">
        <v>0</v>
      </c>
      <c r="AE203" s="125">
        <v>0</v>
      </c>
      <c r="AF203" s="125">
        <v>0</v>
      </c>
      <c r="AG203" s="126">
        <v>0</v>
      </c>
      <c r="AH203" s="22"/>
    </row>
    <row r="204" spans="1:34" x14ac:dyDescent="0.25">
      <c r="A204" s="112"/>
      <c r="B204" s="27" t="s">
        <v>535</v>
      </c>
      <c r="C204" s="133" t="s">
        <v>57</v>
      </c>
      <c r="D204" s="125">
        <v>0</v>
      </c>
      <c r="E204" s="125">
        <v>0</v>
      </c>
      <c r="F204" s="125">
        <f>-0.0037*$B$5^2 + 0.5199*$B$5 + 11.791</f>
        <v>16.62</v>
      </c>
      <c r="G204" s="125">
        <v>0</v>
      </c>
      <c r="H204" s="125">
        <v>0</v>
      </c>
      <c r="I204" s="125">
        <f>-0.0037*$B$5^2 + 0.5199*$B$5 + 11.791</f>
        <v>16.62</v>
      </c>
      <c r="J204" s="125">
        <v>0</v>
      </c>
      <c r="K204" s="125">
        <f>-0.0037*$B$5^2 + 0.5199*$B$5 + 13.362</f>
        <v>18.190999999999999</v>
      </c>
      <c r="L204" s="125">
        <v>0</v>
      </c>
      <c r="M204" s="125">
        <f>-0.0037*$B$5^2 + 0.5199*$B$5 + 13.362</f>
        <v>18.190999999999999</v>
      </c>
      <c r="N204" s="125">
        <v>0</v>
      </c>
      <c r="O204" s="125">
        <v>0</v>
      </c>
      <c r="P204" s="125">
        <f>-1*10^-16*$B$5^2 + 0.2011*$B$5 + 14.64</f>
        <v>16.650999999999989</v>
      </c>
      <c r="Q204" s="125">
        <v>0</v>
      </c>
      <c r="R204" s="125">
        <v>0</v>
      </c>
      <c r="S204" s="125">
        <f>-1*10^-16*$B$5^2 + 0.2011*$B$5 + 14.64</f>
        <v>16.650999999999989</v>
      </c>
      <c r="T204" s="125">
        <v>0</v>
      </c>
      <c r="U204" s="125">
        <f>0.2011*$B$5 + 16.211</f>
        <v>18.221999999999998</v>
      </c>
      <c r="V204" s="125">
        <v>0</v>
      </c>
      <c r="W204" s="125">
        <f>0.2011*$B$5 + 16.211</f>
        <v>18.221999999999998</v>
      </c>
      <c r="X204" s="125">
        <v>0</v>
      </c>
      <c r="Y204" s="125">
        <v>0</v>
      </c>
      <c r="Z204" s="125">
        <f>-0.0042*$B$5^2 + 0.5089*$B$5 + 11.037</f>
        <v>15.706000000000001</v>
      </c>
      <c r="AA204" s="125">
        <v>0</v>
      </c>
      <c r="AB204" s="125">
        <v>0</v>
      </c>
      <c r="AC204" s="125">
        <f>-0.0042*$B$5^2 + 0.5089*$B$5 + 11.037</f>
        <v>15.706000000000001</v>
      </c>
      <c r="AD204" s="125">
        <v>0</v>
      </c>
      <c r="AE204" s="125">
        <f>-0.0042*$B$5^2 + 0.5089*$B$5 + 12.608</f>
        <v>17.277000000000001</v>
      </c>
      <c r="AF204" s="125">
        <v>0</v>
      </c>
      <c r="AG204" s="126">
        <f>-0.0042*$B$5^2 + 0.5089*$B$5 + 12.608</f>
        <v>17.277000000000001</v>
      </c>
      <c r="AH204" s="22"/>
    </row>
    <row r="205" spans="1:34" x14ac:dyDescent="0.25">
      <c r="A205" s="112"/>
      <c r="B205" s="131" t="s">
        <v>445</v>
      </c>
      <c r="C205" s="133" t="s">
        <v>59</v>
      </c>
      <c r="D205" s="125">
        <v>0</v>
      </c>
      <c r="E205" s="125">
        <v>0</v>
      </c>
      <c r="F205" s="125">
        <f>1</f>
        <v>1</v>
      </c>
      <c r="G205" s="125">
        <v>0</v>
      </c>
      <c r="H205" s="125">
        <v>0</v>
      </c>
      <c r="I205" s="125">
        <f>1</f>
        <v>1</v>
      </c>
      <c r="J205" s="125">
        <v>0</v>
      </c>
      <c r="K205" s="125">
        <f>1</f>
        <v>1</v>
      </c>
      <c r="L205" s="125">
        <v>0</v>
      </c>
      <c r="M205" s="125">
        <f>1</f>
        <v>1</v>
      </c>
      <c r="N205" s="125">
        <v>0</v>
      </c>
      <c r="O205" s="125">
        <v>0</v>
      </c>
      <c r="P205" s="125">
        <f>1</f>
        <v>1</v>
      </c>
      <c r="Q205" s="125">
        <v>0</v>
      </c>
      <c r="R205" s="125">
        <v>0</v>
      </c>
      <c r="S205" s="125">
        <f>1</f>
        <v>1</v>
      </c>
      <c r="T205" s="125">
        <v>0</v>
      </c>
      <c r="U205" s="125">
        <f>1</f>
        <v>1</v>
      </c>
      <c r="V205" s="125">
        <v>0</v>
      </c>
      <c r="W205" s="125">
        <f>1</f>
        <v>1</v>
      </c>
      <c r="X205" s="125">
        <v>0</v>
      </c>
      <c r="Y205" s="125">
        <v>0</v>
      </c>
      <c r="Z205" s="125">
        <f>1</f>
        <v>1</v>
      </c>
      <c r="AA205" s="125">
        <v>0</v>
      </c>
      <c r="AB205" s="125">
        <v>0</v>
      </c>
      <c r="AC205" s="125">
        <f>1</f>
        <v>1</v>
      </c>
      <c r="AD205" s="125">
        <v>0</v>
      </c>
      <c r="AE205" s="125">
        <f>1</f>
        <v>1</v>
      </c>
      <c r="AF205" s="125">
        <v>0</v>
      </c>
      <c r="AG205" s="126">
        <f>1</f>
        <v>1</v>
      </c>
      <c r="AH205" s="22"/>
    </row>
    <row r="206" spans="1:34" x14ac:dyDescent="0.25">
      <c r="A206" s="112"/>
      <c r="B206" s="120" t="s">
        <v>554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3"/>
      <c r="AH206" s="22"/>
    </row>
    <row r="207" spans="1:34" x14ac:dyDescent="0.25">
      <c r="A207" s="112"/>
      <c r="B207" s="120" t="s">
        <v>552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3"/>
      <c r="AH207" s="22"/>
    </row>
    <row r="208" spans="1:34" ht="38.25" x14ac:dyDescent="0.25">
      <c r="A208" s="112"/>
      <c r="B208" s="134" t="s">
        <v>310</v>
      </c>
      <c r="C208" s="133" t="s">
        <v>64</v>
      </c>
      <c r="D208" s="125">
        <f>0.01*$B$5^2 - 0.3*$B$5 + 14</f>
        <v>12</v>
      </c>
      <c r="E208" s="125">
        <f>0.01*$B$5^2 - 0.3*$B$5 + 14</f>
        <v>12</v>
      </c>
      <c r="F208" s="125">
        <f>0.01*$B$5^2 - 0.3*$B$5 + 14</f>
        <v>12</v>
      </c>
      <c r="G208" s="125">
        <f>-0.02*$B$5^2 + 1.2*$B$5 + 2</f>
        <v>12</v>
      </c>
      <c r="H208" s="125">
        <f>-0.02*$B$5^2 + 1.2*$B$5 + 2</f>
        <v>12</v>
      </c>
      <c r="I208" s="125">
        <f>-0.02*$B$5^2 + 1.2*$B$5 + 2</f>
        <v>12</v>
      </c>
      <c r="J208" s="125">
        <f>0.01*$B$5^2 - 0.3*$B$5 + 14</f>
        <v>12</v>
      </c>
      <c r="K208" s="125">
        <f>0.01*$B$5^2 - 0.3*$B$5 + 14</f>
        <v>12</v>
      </c>
      <c r="L208" s="125">
        <f>-0.02*$B$5^2 + 1.2*$B$5 + 2</f>
        <v>12</v>
      </c>
      <c r="M208" s="125">
        <f>-0.02*$B$5^2 + 1.2*$B$5 + 2</f>
        <v>12</v>
      </c>
      <c r="N208" s="125">
        <f>-0.02*$B$5^2 + 1.2*$B$5 + 2</f>
        <v>12</v>
      </c>
      <c r="O208" s="125">
        <f>-0.02*$B$5^2 + 1.2*$B$5 + 2</f>
        <v>12</v>
      </c>
      <c r="P208" s="125">
        <f>0.01*$B$5^2 - 0.3*$B$5 + 14</f>
        <v>12</v>
      </c>
      <c r="Q208" s="125">
        <f>-0.02*$B$5^2 + 1.2*$B$5 + 2</f>
        <v>12</v>
      </c>
      <c r="R208" s="125">
        <f>-0.02*$B$5^2 + 1.2*$B$5 + 2</f>
        <v>12</v>
      </c>
      <c r="S208" s="125">
        <f>0.01*$B$5^2 - 0.3*$B$5 + 14</f>
        <v>12</v>
      </c>
      <c r="T208" s="125">
        <f>-0.02*$B$5^2 + 1.2*$B$5 + 2</f>
        <v>12</v>
      </c>
      <c r="U208" s="125">
        <f>0.01*$B$5^2 - 0.3*$B$5 + 14</f>
        <v>12</v>
      </c>
      <c r="V208" s="125">
        <f>-0.02*$B$5^2 + 1.2*$B$5 + 2</f>
        <v>12</v>
      </c>
      <c r="W208" s="125">
        <f>0.01*$B$5^2 - 0.3*$B$5 + 14</f>
        <v>12</v>
      </c>
      <c r="X208" s="125">
        <f t="shared" ref="X208:AG208" si="74">0.01*$B$5^2 - 0.3*$B$5 + 20</f>
        <v>18</v>
      </c>
      <c r="Y208" s="125">
        <f t="shared" si="74"/>
        <v>18</v>
      </c>
      <c r="Z208" s="125">
        <f t="shared" si="74"/>
        <v>18</v>
      </c>
      <c r="AA208" s="125">
        <f t="shared" si="74"/>
        <v>18</v>
      </c>
      <c r="AB208" s="125">
        <f t="shared" si="74"/>
        <v>18</v>
      </c>
      <c r="AC208" s="125">
        <f t="shared" si="74"/>
        <v>18</v>
      </c>
      <c r="AD208" s="125">
        <f t="shared" si="74"/>
        <v>18</v>
      </c>
      <c r="AE208" s="125">
        <f t="shared" si="74"/>
        <v>18</v>
      </c>
      <c r="AF208" s="125">
        <f t="shared" si="74"/>
        <v>18</v>
      </c>
      <c r="AG208" s="126">
        <f t="shared" si="74"/>
        <v>18</v>
      </c>
      <c r="AH208" s="22"/>
    </row>
    <row r="209" spans="1:34" ht="38.25" x14ac:dyDescent="0.25">
      <c r="A209" s="112"/>
      <c r="B209" s="134" t="s">
        <v>311</v>
      </c>
      <c r="C209" s="133" t="s">
        <v>64</v>
      </c>
      <c r="D209" s="125">
        <f>0.06*$B$5^2 - 4.2*$B$5 + 84</f>
        <v>48</v>
      </c>
      <c r="E209" s="125">
        <f>0.08*$B$5^2 - 5.4*$B$5 + 100</f>
        <v>54</v>
      </c>
      <c r="F209" s="125">
        <f>0.06*$B$5^2 - 4.2*$B$5 + 84</f>
        <v>48</v>
      </c>
      <c r="G209" s="125">
        <f>0.03*$B$5^2 - 2.7*$B$5 + 72</f>
        <v>48</v>
      </c>
      <c r="H209" s="125">
        <f>0.05*$B$5^2 - 3.9*$B$5 + 88</f>
        <v>54</v>
      </c>
      <c r="I209" s="125">
        <f>0.03*$B$5^2 - 2.7*$B$5 + 72</f>
        <v>48</v>
      </c>
      <c r="J209" s="125">
        <f>0.06*$B$5^2 - 4.2*$B$5 + 84</f>
        <v>48</v>
      </c>
      <c r="K209" s="125">
        <f>0.06*$B$5^2 - 4.2*$B$5 + 84</f>
        <v>48</v>
      </c>
      <c r="L209" s="125">
        <f>0.03*$B$5^2 - 2.7*$B$5 + 72</f>
        <v>48</v>
      </c>
      <c r="M209" s="125">
        <f>0.03*$B$5^2 - 2.7*$B$5 + 72</f>
        <v>48</v>
      </c>
      <c r="N209" s="125">
        <f t="shared" ref="N209:W209" si="75">0.06*$B$5^2 - 4.2*$B$5 + 84</f>
        <v>48</v>
      </c>
      <c r="O209" s="125">
        <f t="shared" si="75"/>
        <v>48</v>
      </c>
      <c r="P209" s="125">
        <f t="shared" si="75"/>
        <v>48</v>
      </c>
      <c r="Q209" s="125">
        <f t="shared" si="75"/>
        <v>48</v>
      </c>
      <c r="R209" s="125">
        <f t="shared" si="75"/>
        <v>48</v>
      </c>
      <c r="S209" s="125">
        <f t="shared" si="75"/>
        <v>48</v>
      </c>
      <c r="T209" s="125">
        <f t="shared" si="75"/>
        <v>48</v>
      </c>
      <c r="U209" s="125">
        <f t="shared" si="75"/>
        <v>48</v>
      </c>
      <c r="V209" s="125">
        <f t="shared" si="75"/>
        <v>48</v>
      </c>
      <c r="W209" s="125">
        <f t="shared" si="75"/>
        <v>48</v>
      </c>
      <c r="X209" s="125">
        <f>IF($B$5 &lt; 15,30,0)</f>
        <v>30</v>
      </c>
      <c r="Y209" s="125">
        <f>IF($B$5 &lt; 15,36,0)</f>
        <v>36</v>
      </c>
      <c r="Z209" s="125">
        <f>IF($B$5 &lt; 15,30,0)</f>
        <v>30</v>
      </c>
      <c r="AA209" s="125">
        <f>IF($B$5 &lt; 15,30,0)</f>
        <v>30</v>
      </c>
      <c r="AB209" s="125">
        <f>IF($B$5 &lt; 15,36,0)</f>
        <v>36</v>
      </c>
      <c r="AC209" s="125">
        <f>IF($B$5 &lt; 15,30,0)</f>
        <v>30</v>
      </c>
      <c r="AD209" s="125">
        <f>IF($B$5 &lt; 15,30,0)</f>
        <v>30</v>
      </c>
      <c r="AE209" s="125">
        <f>IF($B$5 &lt; 15,30,0)</f>
        <v>30</v>
      </c>
      <c r="AF209" s="125">
        <f>IF($B$5 &lt; 15,30,0)</f>
        <v>30</v>
      </c>
      <c r="AG209" s="126">
        <f>IF($B$5 &lt; 15,30,0)</f>
        <v>30</v>
      </c>
      <c r="AH209" s="22"/>
    </row>
    <row r="210" spans="1:34" ht="38.25" x14ac:dyDescent="0.25">
      <c r="A210" s="112"/>
      <c r="B210" s="134" t="s">
        <v>312</v>
      </c>
      <c r="C210" s="133" t="s">
        <v>64</v>
      </c>
      <c r="D210" s="125">
        <f>-0.13*$B$5^2 + 6.9*$B$5 - 38</f>
        <v>18</v>
      </c>
      <c r="E210" s="125">
        <f>-0.19*$B$5^2 + 9.9*$B$5 - 62</f>
        <v>18</v>
      </c>
      <c r="F210" s="125">
        <f>-0.13*$B$5^2 + 6.9*$B$5 - 38</f>
        <v>18</v>
      </c>
      <c r="G210" s="125">
        <f>-0.16*$B$5^2 + 8.4*$B$5 - 50</f>
        <v>18</v>
      </c>
      <c r="H210" s="125">
        <f>-0.19*$B$5^2 + 9.9*$B$5 - 62</f>
        <v>18</v>
      </c>
      <c r="I210" s="125">
        <f>-0.16*$B$5^2 + 8.4*$B$5 - 50</f>
        <v>18</v>
      </c>
      <c r="J210" s="125">
        <f>-0.13*$B$5^2 + 6.9*$B$5 - 38</f>
        <v>18</v>
      </c>
      <c r="K210" s="125">
        <f>-0.13*$B$5^2 + 6.9*$B$5 - 38</f>
        <v>18</v>
      </c>
      <c r="L210" s="125">
        <f>-0.16*$B$5^2 + 8.4*$B$5 - 50</f>
        <v>18</v>
      </c>
      <c r="M210" s="125">
        <f>-0.16*$B$5^2 + 8.4*$B$5 - 50</f>
        <v>18</v>
      </c>
      <c r="N210" s="125">
        <f>-0.18*$B$5^2 + 9*$B$5 - 54</f>
        <v>18</v>
      </c>
      <c r="O210" s="125">
        <f>-0.21*$B$5^2 + 10.5*$B$5 - 66</f>
        <v>18</v>
      </c>
      <c r="P210" s="125">
        <f>-0.18*$B$5^2 + 9*$B$5 - 54</f>
        <v>18</v>
      </c>
      <c r="Q210" s="125">
        <f>-0.18*$B$5^2 + 9*$B$5 - 54</f>
        <v>18</v>
      </c>
      <c r="R210" s="125">
        <f>-0.21*$B$5^2 + 10.5*$B$5 - 66</f>
        <v>18</v>
      </c>
      <c r="S210" s="125">
        <f>-0.18*$B$5^2 + 9*$B$5 - 54</f>
        <v>18</v>
      </c>
      <c r="T210" s="125">
        <f>-0.18*$B$5^2 + 9*$B$5 - 54</f>
        <v>18</v>
      </c>
      <c r="U210" s="125">
        <f>-0.18*$B$5^2 + 9*$B$5 - 54</f>
        <v>18</v>
      </c>
      <c r="V210" s="125">
        <f>-0.18*$B$5^2 + 9*$B$5 - 54</f>
        <v>18</v>
      </c>
      <c r="W210" s="125">
        <f>-0.18*$B$5^2 + 9*$B$5 - 54</f>
        <v>18</v>
      </c>
      <c r="X210" s="125">
        <f>IF($B$5 &lt; 30,3.6*$B$5 - 18,0)</f>
        <v>18</v>
      </c>
      <c r="Y210" s="125">
        <f>IF($B$5 &lt; 30,4.2*$B$5 - 24,0)</f>
        <v>18</v>
      </c>
      <c r="Z210" s="125">
        <f>IF($B$5 &lt; 30,3.6*$B$5 - 18,0)</f>
        <v>18</v>
      </c>
      <c r="AA210" s="125">
        <f>IF($B$5 &lt; 30,3.6*$B$5 - 18,0)</f>
        <v>18</v>
      </c>
      <c r="AB210" s="125">
        <f>IF($B$5 &lt; 30,4.2*$B$5 - 24,0)</f>
        <v>18</v>
      </c>
      <c r="AC210" s="125">
        <f>IF($B$5 &lt; 30,3.6*$B$5 - 18,0)</f>
        <v>18</v>
      </c>
      <c r="AD210" s="125">
        <f>IF($B$5 &lt; 30,3.6*$B$5 - 18,0)</f>
        <v>18</v>
      </c>
      <c r="AE210" s="125">
        <f>IF($B$5 &lt; 30,3.6*$B$5 - 18,0)</f>
        <v>18</v>
      </c>
      <c r="AF210" s="125">
        <f>IF($B$5 &lt; 30,3.6*$B$5 - 18,0)</f>
        <v>18</v>
      </c>
      <c r="AG210" s="126">
        <f>IF($B$5 &lt; 30,3.6*$B$5 - 18,0)</f>
        <v>18</v>
      </c>
      <c r="AH210" s="22"/>
    </row>
    <row r="211" spans="1:34" ht="38.25" x14ac:dyDescent="0.25">
      <c r="A211" s="112"/>
      <c r="B211" s="134" t="s">
        <v>313</v>
      </c>
      <c r="C211" s="133" t="s">
        <v>64</v>
      </c>
      <c r="D211" s="125">
        <f>IF($B$5 &gt;= 30,48,0)</f>
        <v>0</v>
      </c>
      <c r="E211" s="125">
        <f>IF($B$5 &gt;= 30,60,0)</f>
        <v>0</v>
      </c>
      <c r="F211" s="125">
        <f>IF($B$5 &gt;= 30,54,0)</f>
        <v>0</v>
      </c>
      <c r="G211" s="125">
        <f>IF($B$5 &gt;= 30,54,0)</f>
        <v>0</v>
      </c>
      <c r="H211" s="125">
        <f>IF($B$5 &gt;= 30,60,0)</f>
        <v>0</v>
      </c>
      <c r="I211" s="125">
        <f>IF($B$5 &gt;= 30,54,0)</f>
        <v>0</v>
      </c>
      <c r="J211" s="125">
        <f>IF($B$5 &gt;= 30,48,0)</f>
        <v>0</v>
      </c>
      <c r="K211" s="125">
        <f>IF($B$5 &gt;= 30,54,0)</f>
        <v>0</v>
      </c>
      <c r="L211" s="125">
        <f>IF($B$5 &gt;= 30,54,0)</f>
        <v>0</v>
      </c>
      <c r="M211" s="125">
        <f>IF($B$5 &gt;= 30,54,0)</f>
        <v>0</v>
      </c>
      <c r="N211" s="125">
        <f>0.05*$B$5^2 - 1.5*$B$5 + 16</f>
        <v>6</v>
      </c>
      <c r="O211" s="125">
        <f>0.06*$B$5^2 - 1.8*$B$5 + 18</f>
        <v>6</v>
      </c>
      <c r="P211" s="125">
        <f>0.05*$B$5^2 - 1.5*$B$5 + 16</f>
        <v>6</v>
      </c>
      <c r="Q211" s="125">
        <f>0.05*$B$5^2 - 1.5*$B$5 + 16</f>
        <v>6</v>
      </c>
      <c r="R211" s="125">
        <f>0.06*$B$5^2 - 1.8*$B$5 + 18</f>
        <v>6</v>
      </c>
      <c r="S211" s="125">
        <f>0.05*$B$5^2 - 1.5*$B$5 + 16</f>
        <v>6</v>
      </c>
      <c r="T211" s="125">
        <f>0.05*$B$5^2 - 1.5*$B$5 + 16</f>
        <v>6</v>
      </c>
      <c r="U211" s="125">
        <f>0.05*$B$5^2 - 1.5*$B$5 + 16</f>
        <v>6</v>
      </c>
      <c r="V211" s="125">
        <f>0.05*$B$5^2 - 1.5*$B$5 + 16</f>
        <v>6</v>
      </c>
      <c r="W211" s="125">
        <f>0.05*$B$5^2 - 1.5*$B$5 + 16</f>
        <v>6</v>
      </c>
      <c r="X211" s="125">
        <f>IF($B$5 &gt;= 30,42,0)</f>
        <v>0</v>
      </c>
      <c r="Y211" s="125">
        <f>IF($B$5 &gt;= 30,42,0)</f>
        <v>0</v>
      </c>
      <c r="Z211" s="125">
        <f>IF($B$5 &gt;= 30,42,0)</f>
        <v>0</v>
      </c>
      <c r="AA211" s="125">
        <f>IF($B$5 &gt;= 30,42,0)</f>
        <v>0</v>
      </c>
      <c r="AB211" s="125">
        <f>IF($B$5 &gt;= 30,48,0)</f>
        <v>0</v>
      </c>
      <c r="AC211" s="125">
        <f>IF($B$5 &gt;= 30,42,0)</f>
        <v>0</v>
      </c>
      <c r="AD211" s="125">
        <f>IF($B$5 &gt;= 30,42,0)</f>
        <v>0</v>
      </c>
      <c r="AE211" s="125">
        <f>IF($B$5 &gt;= 30,42,0)</f>
        <v>0</v>
      </c>
      <c r="AF211" s="125">
        <f>IF($B$5 &gt;= 30,42,0)</f>
        <v>0</v>
      </c>
      <c r="AG211" s="126">
        <f>IF($B$5 &gt;= 30,42,0)</f>
        <v>0</v>
      </c>
      <c r="AH211" s="22"/>
    </row>
    <row r="212" spans="1:34" ht="38.25" x14ac:dyDescent="0.25">
      <c r="A212" s="112"/>
      <c r="B212" s="134" t="s">
        <v>314</v>
      </c>
      <c r="C212" s="133" t="s">
        <v>64</v>
      </c>
      <c r="D212" s="125">
        <v>0</v>
      </c>
      <c r="E212" s="125">
        <v>0</v>
      </c>
      <c r="F212" s="125">
        <v>0</v>
      </c>
      <c r="G212" s="125">
        <v>0</v>
      </c>
      <c r="H212" s="125">
        <v>0</v>
      </c>
      <c r="I212" s="125">
        <v>0</v>
      </c>
      <c r="J212" s="125">
        <v>0</v>
      </c>
      <c r="K212" s="125">
        <v>0</v>
      </c>
      <c r="L212" s="125">
        <v>0</v>
      </c>
      <c r="M212" s="125">
        <v>0</v>
      </c>
      <c r="N212" s="125">
        <f t="shared" ref="N212:W212" si="76">0.03*$B$5^2 - 0.9*$B$5 + 12</f>
        <v>6</v>
      </c>
      <c r="O212" s="125">
        <f t="shared" si="76"/>
        <v>6</v>
      </c>
      <c r="P212" s="125">
        <f t="shared" si="76"/>
        <v>6</v>
      </c>
      <c r="Q212" s="125">
        <f t="shared" si="76"/>
        <v>6</v>
      </c>
      <c r="R212" s="125">
        <f t="shared" si="76"/>
        <v>6</v>
      </c>
      <c r="S212" s="125">
        <f t="shared" si="76"/>
        <v>6</v>
      </c>
      <c r="T212" s="125">
        <f t="shared" si="76"/>
        <v>6</v>
      </c>
      <c r="U212" s="125">
        <f t="shared" si="76"/>
        <v>6</v>
      </c>
      <c r="V212" s="125">
        <f t="shared" si="76"/>
        <v>6</v>
      </c>
      <c r="W212" s="125">
        <f t="shared" si="76"/>
        <v>6</v>
      </c>
      <c r="X212" s="125">
        <f>IF($B$5 &gt;= 30,18,0)</f>
        <v>0</v>
      </c>
      <c r="Y212" s="125">
        <f>IF($B$5 &gt;= 30,18,0)</f>
        <v>0</v>
      </c>
      <c r="Z212" s="125">
        <f>IF($B$5 &gt;= 30,18,0)</f>
        <v>0</v>
      </c>
      <c r="AA212" s="125">
        <f>IF($B$5 &gt;= 30,24,0)</f>
        <v>0</v>
      </c>
      <c r="AB212" s="125">
        <f>IF($B$5 &gt;= 30,24,0)</f>
        <v>0</v>
      </c>
      <c r="AC212" s="125">
        <f>IF($B$5 &gt;= 30,24,0)</f>
        <v>0</v>
      </c>
      <c r="AD212" s="125">
        <f>IF($B$5 &gt;= 30,18,0)</f>
        <v>0</v>
      </c>
      <c r="AE212" s="125">
        <f>IF($B$5 &gt;= 30,18,0)</f>
        <v>0</v>
      </c>
      <c r="AF212" s="125">
        <f>IF($B$5 &gt;= 30,24,0)</f>
        <v>0</v>
      </c>
      <c r="AG212" s="126">
        <f>IF($B$5 &gt;= 30,24,0)</f>
        <v>0</v>
      </c>
      <c r="AH212" s="22"/>
    </row>
    <row r="213" spans="1:34" ht="38.25" x14ac:dyDescent="0.25">
      <c r="A213" s="112"/>
      <c r="B213" s="134" t="s">
        <v>316</v>
      </c>
      <c r="C213" s="133" t="s">
        <v>64</v>
      </c>
      <c r="D213" s="125">
        <v>0</v>
      </c>
      <c r="E213" s="125">
        <v>0</v>
      </c>
      <c r="F213" s="125">
        <v>0</v>
      </c>
      <c r="G213" s="125">
        <v>0</v>
      </c>
      <c r="H213" s="125">
        <v>0</v>
      </c>
      <c r="I213" s="125">
        <v>0</v>
      </c>
      <c r="J213" s="125">
        <v>0</v>
      </c>
      <c r="K213" s="125">
        <v>0</v>
      </c>
      <c r="L213" s="125">
        <v>0</v>
      </c>
      <c r="M213" s="125">
        <v>0</v>
      </c>
      <c r="N213" s="125">
        <f t="shared" ref="N213:W213" si="77">IF($B$5 &gt;= 30,6,0)</f>
        <v>0</v>
      </c>
      <c r="O213" s="125">
        <f t="shared" si="77"/>
        <v>0</v>
      </c>
      <c r="P213" s="125">
        <f t="shared" si="77"/>
        <v>0</v>
      </c>
      <c r="Q213" s="125">
        <f t="shared" si="77"/>
        <v>0</v>
      </c>
      <c r="R213" s="125">
        <f t="shared" si="77"/>
        <v>0</v>
      </c>
      <c r="S213" s="125">
        <f t="shared" si="77"/>
        <v>0</v>
      </c>
      <c r="T213" s="125">
        <f t="shared" si="77"/>
        <v>0</v>
      </c>
      <c r="U213" s="125">
        <f t="shared" si="77"/>
        <v>0</v>
      </c>
      <c r="V213" s="125">
        <f t="shared" si="77"/>
        <v>0</v>
      </c>
      <c r="W213" s="125">
        <f t="shared" si="77"/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25">
        <v>0</v>
      </c>
      <c r="AD213" s="125">
        <v>0</v>
      </c>
      <c r="AE213" s="125">
        <v>0</v>
      </c>
      <c r="AF213" s="125">
        <v>0</v>
      </c>
      <c r="AG213" s="126">
        <v>0</v>
      </c>
      <c r="AH213" s="22"/>
    </row>
    <row r="214" spans="1:34" x14ac:dyDescent="0.25">
      <c r="A214" s="112"/>
      <c r="B214" s="134" t="s">
        <v>234</v>
      </c>
      <c r="C214" s="133" t="s">
        <v>64</v>
      </c>
      <c r="D214" s="125">
        <f>0.01*$B$5^2 - 0.3*$B$5 + 14</f>
        <v>12</v>
      </c>
      <c r="E214" s="125">
        <f>0.01*$B$5^2 - 0.3*$B$5 + 14</f>
        <v>12</v>
      </c>
      <c r="F214" s="125">
        <f>0.01*$B$5^2 - 0.3*$B$5 + 14</f>
        <v>12</v>
      </c>
      <c r="G214" s="125">
        <f>-0.02*$B$5^2 + 1.2*$B$5 + 2</f>
        <v>12</v>
      </c>
      <c r="H214" s="125">
        <f>-0.02*$B$5^2 + 1.2*$B$5 + 2</f>
        <v>12</v>
      </c>
      <c r="I214" s="125">
        <f>-0.02*$B$5^2 + 1.2*$B$5 + 2</f>
        <v>12</v>
      </c>
      <c r="J214" s="125">
        <f>0.01*$B$5^2 - 0.3*$B$5 + 14</f>
        <v>12</v>
      </c>
      <c r="K214" s="125">
        <f>0.01*$B$5^2 - 0.3*$B$5 + 14</f>
        <v>12</v>
      </c>
      <c r="L214" s="125">
        <f>-0.02*$B$5^2 + 1.2*$B$5 + 2</f>
        <v>12</v>
      </c>
      <c r="M214" s="125">
        <f>-0.02*$B$5^2 + 1.2*$B$5 + 2</f>
        <v>12</v>
      </c>
      <c r="N214" s="125">
        <f>-0.02*$B$5^2 + 1.2*$B$5 + 2</f>
        <v>12</v>
      </c>
      <c r="O214" s="125">
        <f>-0.02*$B$5^2 + 1.2*$B$5 + 2</f>
        <v>12</v>
      </c>
      <c r="P214" s="125">
        <f>0.01*$B$5^2 - 0.3*$B$5 + 14</f>
        <v>12</v>
      </c>
      <c r="Q214" s="125">
        <f>-0.02*$B$5^2 + 1.2*$B$5 + 2</f>
        <v>12</v>
      </c>
      <c r="R214" s="125">
        <f>-0.02*$B$5^2 + 1.2*$B$5 + 2</f>
        <v>12</v>
      </c>
      <c r="S214" s="125">
        <f>0.01*$B$5^2 - 0.3*$B$5 + 14</f>
        <v>12</v>
      </c>
      <c r="T214" s="125">
        <f>-0.02*$B$5^2 + 1.2*$B$5 + 2</f>
        <v>12</v>
      </c>
      <c r="U214" s="125">
        <f>0.01*$B$5^2 - 0.3*$B$5 + 14</f>
        <v>12</v>
      </c>
      <c r="V214" s="125">
        <f>-0.02*$B$5^2 + 1.2*$B$5 + 2</f>
        <v>12</v>
      </c>
      <c r="W214" s="125">
        <f>0.01*$B$5^2 - 0.3*$B$5 + 14</f>
        <v>12</v>
      </c>
      <c r="X214" s="125">
        <f t="shared" ref="X214:AG214" si="78">0.01*$B$5^2 - 0.3*$B$5 + 20</f>
        <v>18</v>
      </c>
      <c r="Y214" s="125">
        <f t="shared" si="78"/>
        <v>18</v>
      </c>
      <c r="Z214" s="125">
        <f t="shared" si="78"/>
        <v>18</v>
      </c>
      <c r="AA214" s="125">
        <f t="shared" si="78"/>
        <v>18</v>
      </c>
      <c r="AB214" s="125">
        <f t="shared" si="78"/>
        <v>18</v>
      </c>
      <c r="AC214" s="125">
        <f t="shared" si="78"/>
        <v>18</v>
      </c>
      <c r="AD214" s="125">
        <f t="shared" si="78"/>
        <v>18</v>
      </c>
      <c r="AE214" s="125">
        <f t="shared" si="78"/>
        <v>18</v>
      </c>
      <c r="AF214" s="125">
        <f t="shared" si="78"/>
        <v>18</v>
      </c>
      <c r="AG214" s="126">
        <f t="shared" si="78"/>
        <v>18</v>
      </c>
      <c r="AH214" s="22"/>
    </row>
    <row r="215" spans="1:34" x14ac:dyDescent="0.25">
      <c r="A215" s="112"/>
      <c r="B215" s="134" t="s">
        <v>235</v>
      </c>
      <c r="C215" s="133" t="s">
        <v>64</v>
      </c>
      <c r="D215" s="125">
        <f>0.06*$B$5^2 - 4.2*$B$5 + 84</f>
        <v>48</v>
      </c>
      <c r="E215" s="125">
        <f>0.08*$B$5^2 - 5.4*$B$5 + 100</f>
        <v>54</v>
      </c>
      <c r="F215" s="125">
        <f>0.06*$B$5^2 - 4.2*$B$5 + 84</f>
        <v>48</v>
      </c>
      <c r="G215" s="125">
        <f>0.03*$B$5^2 - 2.7*$B$5 + 72</f>
        <v>48</v>
      </c>
      <c r="H215" s="125">
        <f>0.05*$B$5^2 - 3.9*$B$5 + 88</f>
        <v>54</v>
      </c>
      <c r="I215" s="125">
        <f>0.03*$B$5^2 - 2.7*$B$5 + 72</f>
        <v>48</v>
      </c>
      <c r="J215" s="125">
        <f>0.06*$B$5^2 - 4.2*$B$5 + 84</f>
        <v>48</v>
      </c>
      <c r="K215" s="125">
        <f>0.06*$B$5^2 - 4.2*$B$5 + 84</f>
        <v>48</v>
      </c>
      <c r="L215" s="125">
        <f>0.03*$B$5^2 - 2.7*$B$5 + 72</f>
        <v>48</v>
      </c>
      <c r="M215" s="125">
        <f>0.03*$B$5^2 - 2.7*$B$5 + 72</f>
        <v>48</v>
      </c>
      <c r="N215" s="125">
        <f t="shared" ref="N215:W215" si="79">0.06*$B$5^2 - 4.2*$B$5 + 84</f>
        <v>48</v>
      </c>
      <c r="O215" s="125">
        <f t="shared" si="79"/>
        <v>48</v>
      </c>
      <c r="P215" s="125">
        <f t="shared" si="79"/>
        <v>48</v>
      </c>
      <c r="Q215" s="125">
        <f t="shared" si="79"/>
        <v>48</v>
      </c>
      <c r="R215" s="125">
        <f t="shared" si="79"/>
        <v>48</v>
      </c>
      <c r="S215" s="125">
        <f t="shared" si="79"/>
        <v>48</v>
      </c>
      <c r="T215" s="125">
        <f t="shared" si="79"/>
        <v>48</v>
      </c>
      <c r="U215" s="125">
        <f t="shared" si="79"/>
        <v>48</v>
      </c>
      <c r="V215" s="125">
        <f t="shared" si="79"/>
        <v>48</v>
      </c>
      <c r="W215" s="125">
        <f t="shared" si="79"/>
        <v>48</v>
      </c>
      <c r="X215" s="125">
        <f>IF($B$5 &lt; 15,30,0)</f>
        <v>30</v>
      </c>
      <c r="Y215" s="125">
        <f>IF($B$5 &lt; 15,36,0)</f>
        <v>36</v>
      </c>
      <c r="Z215" s="125">
        <f>IF($B$5 &lt; 15,30,0)</f>
        <v>30</v>
      </c>
      <c r="AA215" s="125">
        <f>IF($B$5 &lt; 15,30,0)</f>
        <v>30</v>
      </c>
      <c r="AB215" s="125">
        <f>IF($B$5 &lt; 15,36,0)</f>
        <v>36</v>
      </c>
      <c r="AC215" s="125">
        <f>IF($B$5 &lt; 15,30,0)</f>
        <v>30</v>
      </c>
      <c r="AD215" s="125">
        <f>IF($B$5 &lt; 15,30,0)</f>
        <v>30</v>
      </c>
      <c r="AE215" s="125">
        <f>IF($B$5 &lt; 15,30,0)</f>
        <v>30</v>
      </c>
      <c r="AF215" s="125">
        <f>IF($B$5 &lt; 15,30,0)</f>
        <v>30</v>
      </c>
      <c r="AG215" s="126">
        <f>IF($B$5 &lt; 15,30,0)</f>
        <v>30</v>
      </c>
      <c r="AH215" s="22"/>
    </row>
    <row r="216" spans="1:34" x14ac:dyDescent="0.25">
      <c r="A216" s="112"/>
      <c r="B216" s="134" t="s">
        <v>236</v>
      </c>
      <c r="C216" s="133" t="s">
        <v>64</v>
      </c>
      <c r="D216" s="125">
        <f>-0.13*$B$5^2 + 6.9*$B$5 - 38</f>
        <v>18</v>
      </c>
      <c r="E216" s="125">
        <f>-0.19*$B$5^2 + 9.9*$B$5 - 62</f>
        <v>18</v>
      </c>
      <c r="F216" s="125">
        <f>-0.13*$B$5^2 + 6.9*$B$5 - 38</f>
        <v>18</v>
      </c>
      <c r="G216" s="125">
        <f>-0.16*$B$5^2 + 8.4*$B$5 - 50</f>
        <v>18</v>
      </c>
      <c r="H216" s="125">
        <f>-0.19*$B$5^2 + 9.9*$B$5 - 62</f>
        <v>18</v>
      </c>
      <c r="I216" s="125">
        <f>-0.16*$B$5^2 + 8.4*$B$5 - 50</f>
        <v>18</v>
      </c>
      <c r="J216" s="125">
        <f>-0.13*$B$5^2 + 6.9*$B$5 - 38</f>
        <v>18</v>
      </c>
      <c r="K216" s="125">
        <f>-0.13*$B$5^2 + 6.9*$B$5 - 38</f>
        <v>18</v>
      </c>
      <c r="L216" s="125">
        <f>-0.16*$B$5^2 + 8.4*$B$5 - 50</f>
        <v>18</v>
      </c>
      <c r="M216" s="125">
        <f>-0.16*$B$5^2 + 8.4*$B$5 - 50</f>
        <v>18</v>
      </c>
      <c r="N216" s="125">
        <f>-0.18*$B$5^2 + 9*$B$5 - 54</f>
        <v>18</v>
      </c>
      <c r="O216" s="125">
        <f>-0.21*$B$5^2 + 10.5*$B$5 - 66</f>
        <v>18</v>
      </c>
      <c r="P216" s="125">
        <f>-0.18*$B$5^2 + 9*$B$5 - 54</f>
        <v>18</v>
      </c>
      <c r="Q216" s="125">
        <f>-0.18*$B$5^2 + 9*$B$5 - 54</f>
        <v>18</v>
      </c>
      <c r="R216" s="125">
        <f>-0.21*$B$5^2 + 10.5*$B$5 - 66</f>
        <v>18</v>
      </c>
      <c r="S216" s="125">
        <f>-0.18*$B$5^2 + 9*$B$5 - 54</f>
        <v>18</v>
      </c>
      <c r="T216" s="125">
        <f>-0.18*$B$5^2 + 9*$B$5 - 54</f>
        <v>18</v>
      </c>
      <c r="U216" s="125">
        <f>-0.18*$B$5^2 + 9*$B$5 - 54</f>
        <v>18</v>
      </c>
      <c r="V216" s="125">
        <f>-0.18*$B$5^2 + 9*$B$5 - 54</f>
        <v>18</v>
      </c>
      <c r="W216" s="125">
        <f>-0.18*$B$5^2 + 9*$B$5 - 54</f>
        <v>18</v>
      </c>
      <c r="X216" s="125">
        <f>IF($B$5 &lt; 30,3.6*$B$5 - 18,0)</f>
        <v>18</v>
      </c>
      <c r="Y216" s="125">
        <f>IF($B$5 &lt; 30,4.2*$B$5 - 24,0)</f>
        <v>18</v>
      </c>
      <c r="Z216" s="125">
        <f>IF($B$5 &lt; 30,3.6*$B$5 - 18,0)</f>
        <v>18</v>
      </c>
      <c r="AA216" s="125">
        <f>IF($B$5 &lt; 30,3.6*$B$5 - 18,0)</f>
        <v>18</v>
      </c>
      <c r="AB216" s="125">
        <f>IF($B$5 &lt; 30,4.2*$B$5 - 24,0)</f>
        <v>18</v>
      </c>
      <c r="AC216" s="125">
        <f>IF($B$5 &lt; 30,3.6*$B$5 - 18,0)</f>
        <v>18</v>
      </c>
      <c r="AD216" s="125">
        <f>IF($B$5 &lt; 30,3.6*$B$5 - 18,0)</f>
        <v>18</v>
      </c>
      <c r="AE216" s="125">
        <f>IF($B$5 &lt; 30,3.6*$B$5 - 18,0)</f>
        <v>18</v>
      </c>
      <c r="AF216" s="125">
        <f>IF($B$5 &lt; 30,3.6*$B$5 - 18,0)</f>
        <v>18</v>
      </c>
      <c r="AG216" s="126">
        <f>IF($B$5 &lt; 30,3.6*$B$5 - 18,0)</f>
        <v>18</v>
      </c>
      <c r="AH216" s="22"/>
    </row>
    <row r="217" spans="1:34" x14ac:dyDescent="0.25">
      <c r="A217" s="112"/>
      <c r="B217" s="69" t="s">
        <v>237</v>
      </c>
      <c r="C217" s="133" t="s">
        <v>64</v>
      </c>
      <c r="D217" s="125">
        <f>IF($B$5 &gt;= 30,48,0)</f>
        <v>0</v>
      </c>
      <c r="E217" s="125">
        <f>IF($B$5 &gt;= 30,60,0)</f>
        <v>0</v>
      </c>
      <c r="F217" s="125">
        <f>IF($B$5 &gt;= 30,54,0)</f>
        <v>0</v>
      </c>
      <c r="G217" s="125">
        <f>IF($B$5 &gt;= 30,54,0)</f>
        <v>0</v>
      </c>
      <c r="H217" s="125">
        <f>IF($B$5 &gt;= 30,60,0)</f>
        <v>0</v>
      </c>
      <c r="I217" s="125">
        <f>IF($B$5 &gt;= 30,54,0)</f>
        <v>0</v>
      </c>
      <c r="J217" s="125">
        <f>IF($B$5 &gt;= 30,48,0)</f>
        <v>0</v>
      </c>
      <c r="K217" s="125">
        <f>IF($B$5 &gt;= 30,54,0)</f>
        <v>0</v>
      </c>
      <c r="L217" s="125">
        <f>IF($B$5 &gt;= 30,54,0)</f>
        <v>0</v>
      </c>
      <c r="M217" s="125">
        <f>IF($B$5 &gt;= 30,54,0)</f>
        <v>0</v>
      </c>
      <c r="N217" s="125">
        <f>0.05*$B$5^2 - 1.5*$B$5 + 16</f>
        <v>6</v>
      </c>
      <c r="O217" s="125">
        <f>0.06*$B$5^2 - 1.8*$B$5 + 18</f>
        <v>6</v>
      </c>
      <c r="P217" s="125">
        <f>0.05*$B$5^2 - 1.5*$B$5 + 16</f>
        <v>6</v>
      </c>
      <c r="Q217" s="125">
        <f>0.05*$B$5^2 - 1.5*$B$5 + 16</f>
        <v>6</v>
      </c>
      <c r="R217" s="125">
        <f>0.06*$B$5^2 - 1.8*$B$5 + 18</f>
        <v>6</v>
      </c>
      <c r="S217" s="125">
        <f>0.05*$B$5^2 - 1.5*$B$5 + 16</f>
        <v>6</v>
      </c>
      <c r="T217" s="125">
        <f>0.05*$B$5^2 - 1.5*$B$5 + 16</f>
        <v>6</v>
      </c>
      <c r="U217" s="125">
        <f>0.05*$B$5^2 - 1.5*$B$5 + 16</f>
        <v>6</v>
      </c>
      <c r="V217" s="125">
        <f>0.05*$B$5^2 - 1.5*$B$5 + 16</f>
        <v>6</v>
      </c>
      <c r="W217" s="125">
        <f>0.05*$B$5^2 - 1.5*$B$5 + 16</f>
        <v>6</v>
      </c>
      <c r="X217" s="125">
        <f>IF($B$5 &gt;= 30,42,0)</f>
        <v>0</v>
      </c>
      <c r="Y217" s="125">
        <f>IF($B$5 &gt;= 30,42,0)</f>
        <v>0</v>
      </c>
      <c r="Z217" s="125">
        <f>IF($B$5 &gt;= 30,42,0)</f>
        <v>0</v>
      </c>
      <c r="AA217" s="125">
        <f>IF($B$5 &gt;= 30,42,0)</f>
        <v>0</v>
      </c>
      <c r="AB217" s="125">
        <f>IF($B$5 &gt;= 30,48,0)</f>
        <v>0</v>
      </c>
      <c r="AC217" s="125">
        <f>IF($B$5 &gt;= 30,42,0)</f>
        <v>0</v>
      </c>
      <c r="AD217" s="125">
        <f>IF($B$5 &gt;= 30,42,0)</f>
        <v>0</v>
      </c>
      <c r="AE217" s="125">
        <f>IF($B$5 &gt;= 30,42,0)</f>
        <v>0</v>
      </c>
      <c r="AF217" s="125">
        <f>IF($B$5 &gt;= 30,42,0)</f>
        <v>0</v>
      </c>
      <c r="AG217" s="126">
        <f>IF($B$5 &gt;= 30,42,0)</f>
        <v>0</v>
      </c>
      <c r="AH217" s="22"/>
    </row>
    <row r="218" spans="1:34" x14ac:dyDescent="0.25">
      <c r="A218" s="112"/>
      <c r="B218" s="69" t="s">
        <v>238</v>
      </c>
      <c r="C218" s="133" t="s">
        <v>64</v>
      </c>
      <c r="D218" s="125">
        <v>0</v>
      </c>
      <c r="E218" s="125">
        <v>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125">
        <v>0</v>
      </c>
      <c r="M218" s="125">
        <v>0</v>
      </c>
      <c r="N218" s="125">
        <f t="shared" ref="N218:W218" si="80">0.03*$B$5^2 - 0.9*$B$5 + 12</f>
        <v>6</v>
      </c>
      <c r="O218" s="125">
        <f t="shared" si="80"/>
        <v>6</v>
      </c>
      <c r="P218" s="125">
        <f t="shared" si="80"/>
        <v>6</v>
      </c>
      <c r="Q218" s="125">
        <f t="shared" si="80"/>
        <v>6</v>
      </c>
      <c r="R218" s="125">
        <f t="shared" si="80"/>
        <v>6</v>
      </c>
      <c r="S218" s="125">
        <f t="shared" si="80"/>
        <v>6</v>
      </c>
      <c r="T218" s="125">
        <f t="shared" si="80"/>
        <v>6</v>
      </c>
      <c r="U218" s="125">
        <f t="shared" si="80"/>
        <v>6</v>
      </c>
      <c r="V218" s="125">
        <f t="shared" si="80"/>
        <v>6</v>
      </c>
      <c r="W218" s="125">
        <f t="shared" si="80"/>
        <v>6</v>
      </c>
      <c r="X218" s="125">
        <f>IF($B$5 &gt;= 30,18,0)</f>
        <v>0</v>
      </c>
      <c r="Y218" s="125">
        <f>IF($B$5 &gt;= 30,18,0)</f>
        <v>0</v>
      </c>
      <c r="Z218" s="125">
        <f>IF($B$5 &gt;= 30,18,0)</f>
        <v>0</v>
      </c>
      <c r="AA218" s="125">
        <f>IF($B$5 &gt;= 30,24,0)</f>
        <v>0</v>
      </c>
      <c r="AB218" s="125">
        <f>IF($B$5 &gt;= 30,24,0)</f>
        <v>0</v>
      </c>
      <c r="AC218" s="125">
        <f>IF($B$5 &gt;= 30,24,0)</f>
        <v>0</v>
      </c>
      <c r="AD218" s="125">
        <f>IF($B$5 &gt;= 30,18,0)</f>
        <v>0</v>
      </c>
      <c r="AE218" s="125">
        <f>IF($B$5 &gt;= 30,18,0)</f>
        <v>0</v>
      </c>
      <c r="AF218" s="125">
        <f>IF($B$5 &gt;= 30,24,0)</f>
        <v>0</v>
      </c>
      <c r="AG218" s="126">
        <f>IF($B$5 &gt;= 30,24,0)</f>
        <v>0</v>
      </c>
      <c r="AH218" s="22"/>
    </row>
    <row r="219" spans="1:34" x14ac:dyDescent="0.25">
      <c r="A219" s="112"/>
      <c r="B219" s="134" t="s">
        <v>240</v>
      </c>
      <c r="C219" s="133" t="s">
        <v>64</v>
      </c>
      <c r="D219" s="125">
        <v>0</v>
      </c>
      <c r="E219" s="125">
        <v>0</v>
      </c>
      <c r="F219" s="125">
        <v>0</v>
      </c>
      <c r="G219" s="125">
        <v>0</v>
      </c>
      <c r="H219" s="125">
        <v>0</v>
      </c>
      <c r="I219" s="125">
        <v>0</v>
      </c>
      <c r="J219" s="125">
        <v>0</v>
      </c>
      <c r="K219" s="125">
        <v>0</v>
      </c>
      <c r="L219" s="125">
        <v>0</v>
      </c>
      <c r="M219" s="125">
        <v>0</v>
      </c>
      <c r="N219" s="125">
        <f t="shared" ref="N219:W219" si="81">IF($B$5 &gt;= 30,6,0)</f>
        <v>0</v>
      </c>
      <c r="O219" s="125">
        <f t="shared" si="81"/>
        <v>0</v>
      </c>
      <c r="P219" s="125">
        <f t="shared" si="81"/>
        <v>0</v>
      </c>
      <c r="Q219" s="125">
        <f t="shared" si="81"/>
        <v>0</v>
      </c>
      <c r="R219" s="125">
        <f t="shared" si="81"/>
        <v>0</v>
      </c>
      <c r="S219" s="125">
        <f t="shared" si="81"/>
        <v>0</v>
      </c>
      <c r="T219" s="125">
        <f t="shared" si="81"/>
        <v>0</v>
      </c>
      <c r="U219" s="125">
        <f t="shared" si="81"/>
        <v>0</v>
      </c>
      <c r="V219" s="125">
        <f t="shared" si="81"/>
        <v>0</v>
      </c>
      <c r="W219" s="125">
        <f t="shared" si="81"/>
        <v>0</v>
      </c>
      <c r="X219" s="125">
        <v>0</v>
      </c>
      <c r="Y219" s="125">
        <v>0</v>
      </c>
      <c r="Z219" s="125">
        <v>0</v>
      </c>
      <c r="AA219" s="125">
        <v>0</v>
      </c>
      <c r="AB219" s="125">
        <v>0</v>
      </c>
      <c r="AC219" s="125">
        <v>0</v>
      </c>
      <c r="AD219" s="125">
        <v>0</v>
      </c>
      <c r="AE219" s="125">
        <v>0</v>
      </c>
      <c r="AF219" s="125">
        <v>0</v>
      </c>
      <c r="AG219" s="126">
        <v>0</v>
      </c>
      <c r="AH219" s="22"/>
    </row>
    <row r="220" spans="1:34" x14ac:dyDescent="0.25">
      <c r="A220" s="112"/>
      <c r="B220" s="69" t="s">
        <v>194</v>
      </c>
      <c r="C220" s="133" t="s">
        <v>59</v>
      </c>
      <c r="D220" s="125">
        <v>0</v>
      </c>
      <c r="E220" s="125">
        <v>0</v>
      </c>
      <c r="F220" s="125">
        <v>0</v>
      </c>
      <c r="G220" s="125">
        <v>0</v>
      </c>
      <c r="H220" s="125">
        <v>0</v>
      </c>
      <c r="I220" s="125">
        <v>0</v>
      </c>
      <c r="J220" s="125">
        <v>0</v>
      </c>
      <c r="K220" s="125">
        <v>0</v>
      </c>
      <c r="L220" s="125">
        <v>0</v>
      </c>
      <c r="M220" s="125">
        <v>0</v>
      </c>
      <c r="N220" s="125">
        <f t="shared" ref="N220:W220" si="82">IF($B$5 &gt;= 15,-0.05*$B$5 + 3,0)</f>
        <v>0</v>
      </c>
      <c r="O220" s="125">
        <f t="shared" si="82"/>
        <v>0</v>
      </c>
      <c r="P220" s="125">
        <f t="shared" si="82"/>
        <v>0</v>
      </c>
      <c r="Q220" s="125">
        <f t="shared" si="82"/>
        <v>0</v>
      </c>
      <c r="R220" s="125">
        <f t="shared" si="82"/>
        <v>0</v>
      </c>
      <c r="S220" s="125">
        <f t="shared" si="82"/>
        <v>0</v>
      </c>
      <c r="T220" s="125">
        <f t="shared" si="82"/>
        <v>0</v>
      </c>
      <c r="U220" s="125">
        <f t="shared" si="82"/>
        <v>0</v>
      </c>
      <c r="V220" s="125">
        <f t="shared" si="82"/>
        <v>0</v>
      </c>
      <c r="W220" s="125">
        <f t="shared" si="82"/>
        <v>0</v>
      </c>
      <c r="X220" s="125">
        <f t="shared" ref="X220:AG220" si="83">IF($B$5 &gt;= 15,1,0)</f>
        <v>0</v>
      </c>
      <c r="Y220" s="125">
        <f t="shared" si="83"/>
        <v>0</v>
      </c>
      <c r="Z220" s="125">
        <f t="shared" si="83"/>
        <v>0</v>
      </c>
      <c r="AA220" s="125">
        <f t="shared" si="83"/>
        <v>0</v>
      </c>
      <c r="AB220" s="125">
        <f t="shared" si="83"/>
        <v>0</v>
      </c>
      <c r="AC220" s="125">
        <f t="shared" si="83"/>
        <v>0</v>
      </c>
      <c r="AD220" s="125">
        <f t="shared" si="83"/>
        <v>0</v>
      </c>
      <c r="AE220" s="125">
        <f t="shared" si="83"/>
        <v>0</v>
      </c>
      <c r="AF220" s="125">
        <f t="shared" si="83"/>
        <v>0</v>
      </c>
      <c r="AG220" s="126">
        <f t="shared" si="83"/>
        <v>0</v>
      </c>
      <c r="AH220" s="22"/>
    </row>
    <row r="221" spans="1:34" x14ac:dyDescent="0.25">
      <c r="A221" s="112"/>
      <c r="B221" s="134" t="s">
        <v>195</v>
      </c>
      <c r="C221" s="133" t="s">
        <v>59</v>
      </c>
      <c r="D221" s="125">
        <f t="shared" ref="D221:W221" si="84">IF(AND($B$5 &gt;= 15,$B$5 &lt; 30),1,0)</f>
        <v>0</v>
      </c>
      <c r="E221" s="125">
        <f t="shared" si="84"/>
        <v>0</v>
      </c>
      <c r="F221" s="125">
        <f t="shared" si="84"/>
        <v>0</v>
      </c>
      <c r="G221" s="125">
        <f t="shared" si="84"/>
        <v>0</v>
      </c>
      <c r="H221" s="125">
        <f t="shared" si="84"/>
        <v>0</v>
      </c>
      <c r="I221" s="125">
        <f t="shared" si="84"/>
        <v>0</v>
      </c>
      <c r="J221" s="125">
        <f t="shared" si="84"/>
        <v>0</v>
      </c>
      <c r="K221" s="125">
        <f t="shared" si="84"/>
        <v>0</v>
      </c>
      <c r="L221" s="125">
        <f t="shared" si="84"/>
        <v>0</v>
      </c>
      <c r="M221" s="125">
        <f t="shared" si="84"/>
        <v>0</v>
      </c>
      <c r="N221" s="125">
        <f t="shared" si="84"/>
        <v>0</v>
      </c>
      <c r="O221" s="125">
        <f t="shared" si="84"/>
        <v>0</v>
      </c>
      <c r="P221" s="125">
        <f t="shared" si="84"/>
        <v>0</v>
      </c>
      <c r="Q221" s="125">
        <f t="shared" si="84"/>
        <v>0</v>
      </c>
      <c r="R221" s="125">
        <f t="shared" si="84"/>
        <v>0</v>
      </c>
      <c r="S221" s="125">
        <f t="shared" si="84"/>
        <v>0</v>
      </c>
      <c r="T221" s="125">
        <f t="shared" si="84"/>
        <v>0</v>
      </c>
      <c r="U221" s="125">
        <f t="shared" si="84"/>
        <v>0</v>
      </c>
      <c r="V221" s="125">
        <f t="shared" si="84"/>
        <v>0</v>
      </c>
      <c r="W221" s="125">
        <f t="shared" si="84"/>
        <v>0</v>
      </c>
      <c r="X221" s="125">
        <f t="shared" ref="X221:AG221" si="85">IF($B$5 &lt; 15,1,0)</f>
        <v>1</v>
      </c>
      <c r="Y221" s="125">
        <f t="shared" si="85"/>
        <v>1</v>
      </c>
      <c r="Z221" s="125">
        <f t="shared" si="85"/>
        <v>1</v>
      </c>
      <c r="AA221" s="125">
        <f t="shared" si="85"/>
        <v>1</v>
      </c>
      <c r="AB221" s="125">
        <f t="shared" si="85"/>
        <v>1</v>
      </c>
      <c r="AC221" s="125">
        <f t="shared" si="85"/>
        <v>1</v>
      </c>
      <c r="AD221" s="125">
        <f t="shared" si="85"/>
        <v>1</v>
      </c>
      <c r="AE221" s="125">
        <f t="shared" si="85"/>
        <v>1</v>
      </c>
      <c r="AF221" s="125">
        <f t="shared" si="85"/>
        <v>1</v>
      </c>
      <c r="AG221" s="126">
        <f t="shared" si="85"/>
        <v>1</v>
      </c>
      <c r="AH221" s="22"/>
    </row>
    <row r="222" spans="1:34" x14ac:dyDescent="0.25">
      <c r="A222" s="112"/>
      <c r="B222" s="69" t="s">
        <v>196</v>
      </c>
      <c r="C222" s="133" t="s">
        <v>59</v>
      </c>
      <c r="D222" s="125">
        <f t="shared" ref="D222:M222" si="86">-0.025*$B$5^2 + 1.25*$B$5 - 7</f>
        <v>3</v>
      </c>
      <c r="E222" s="125">
        <f t="shared" si="86"/>
        <v>3</v>
      </c>
      <c r="F222" s="125">
        <f t="shared" si="86"/>
        <v>3</v>
      </c>
      <c r="G222" s="125">
        <f t="shared" si="86"/>
        <v>3</v>
      </c>
      <c r="H222" s="125">
        <f t="shared" si="86"/>
        <v>3</v>
      </c>
      <c r="I222" s="125">
        <f t="shared" si="86"/>
        <v>3</v>
      </c>
      <c r="J222" s="125">
        <f t="shared" si="86"/>
        <v>3</v>
      </c>
      <c r="K222" s="125">
        <f t="shared" si="86"/>
        <v>3</v>
      </c>
      <c r="L222" s="125">
        <f t="shared" si="86"/>
        <v>3</v>
      </c>
      <c r="M222" s="125">
        <f t="shared" si="86"/>
        <v>3</v>
      </c>
      <c r="N222" s="125">
        <f t="shared" ref="N222:W222" si="87">0.0033*$B$5^2 - 0.2*$B$5 + 3.6667</f>
        <v>1.9967000000000001</v>
      </c>
      <c r="O222" s="125">
        <f t="shared" si="87"/>
        <v>1.9967000000000001</v>
      </c>
      <c r="P222" s="125">
        <f t="shared" si="87"/>
        <v>1.9967000000000001</v>
      </c>
      <c r="Q222" s="125">
        <f t="shared" si="87"/>
        <v>1.9967000000000001</v>
      </c>
      <c r="R222" s="125">
        <f t="shared" si="87"/>
        <v>1.9967000000000001</v>
      </c>
      <c r="S222" s="125">
        <f t="shared" si="87"/>
        <v>1.9967000000000001</v>
      </c>
      <c r="T222" s="125">
        <f t="shared" si="87"/>
        <v>1.9967000000000001</v>
      </c>
      <c r="U222" s="125">
        <f t="shared" si="87"/>
        <v>1.9967000000000001</v>
      </c>
      <c r="V222" s="125">
        <f t="shared" si="87"/>
        <v>1.9967000000000001</v>
      </c>
      <c r="W222" s="125">
        <f t="shared" si="87"/>
        <v>1.9967000000000001</v>
      </c>
      <c r="X222" s="125">
        <f t="shared" ref="X222:AG222" si="88">IF($B$5 &lt; 30,0.3*$B$5 - 2,0)</f>
        <v>1</v>
      </c>
      <c r="Y222" s="125">
        <f t="shared" si="88"/>
        <v>1</v>
      </c>
      <c r="Z222" s="125">
        <f t="shared" si="88"/>
        <v>1</v>
      </c>
      <c r="AA222" s="125">
        <f t="shared" si="88"/>
        <v>1</v>
      </c>
      <c r="AB222" s="125">
        <f t="shared" si="88"/>
        <v>1</v>
      </c>
      <c r="AC222" s="125">
        <f t="shared" si="88"/>
        <v>1</v>
      </c>
      <c r="AD222" s="125">
        <f t="shared" si="88"/>
        <v>1</v>
      </c>
      <c r="AE222" s="125">
        <f t="shared" si="88"/>
        <v>1</v>
      </c>
      <c r="AF222" s="125">
        <f t="shared" si="88"/>
        <v>1</v>
      </c>
      <c r="AG222" s="126">
        <f t="shared" si="88"/>
        <v>1</v>
      </c>
      <c r="AH222" s="22"/>
    </row>
    <row r="223" spans="1:34" x14ac:dyDescent="0.25">
      <c r="A223" s="112"/>
      <c r="B223" s="69" t="s">
        <v>197</v>
      </c>
      <c r="C223" s="133" t="s">
        <v>59</v>
      </c>
      <c r="D223" s="125">
        <f t="shared" ref="D223:M223" si="89">IF($B$5 &gt;= 15,0.1*$B$5 + 2,0)</f>
        <v>0</v>
      </c>
      <c r="E223" s="125">
        <f t="shared" si="89"/>
        <v>0</v>
      </c>
      <c r="F223" s="125">
        <f t="shared" si="89"/>
        <v>0</v>
      </c>
      <c r="G223" s="125">
        <f t="shared" si="89"/>
        <v>0</v>
      </c>
      <c r="H223" s="125">
        <f t="shared" si="89"/>
        <v>0</v>
      </c>
      <c r="I223" s="125">
        <f t="shared" si="89"/>
        <v>0</v>
      </c>
      <c r="J223" s="125">
        <f t="shared" si="89"/>
        <v>0</v>
      </c>
      <c r="K223" s="125">
        <f t="shared" si="89"/>
        <v>0</v>
      </c>
      <c r="L223" s="125">
        <f t="shared" si="89"/>
        <v>0</v>
      </c>
      <c r="M223" s="125">
        <f t="shared" si="89"/>
        <v>0</v>
      </c>
      <c r="N223" s="125">
        <v>0</v>
      </c>
      <c r="O223" s="125">
        <v>0</v>
      </c>
      <c r="P223" s="125">
        <v>0</v>
      </c>
      <c r="Q223" s="125">
        <v>0</v>
      </c>
      <c r="R223" s="125">
        <v>0</v>
      </c>
      <c r="S223" s="125">
        <v>0</v>
      </c>
      <c r="T223" s="125">
        <v>0</v>
      </c>
      <c r="U223" s="125">
        <v>0</v>
      </c>
      <c r="V223" s="125">
        <v>0</v>
      </c>
      <c r="W223" s="125">
        <v>0</v>
      </c>
      <c r="X223" s="125">
        <f t="shared" ref="X223:AG223" si="90">IF($B$5 &gt;= 30,1,0)</f>
        <v>0</v>
      </c>
      <c r="Y223" s="125">
        <f t="shared" si="90"/>
        <v>0</v>
      </c>
      <c r="Z223" s="125">
        <f t="shared" si="90"/>
        <v>0</v>
      </c>
      <c r="AA223" s="125">
        <f t="shared" si="90"/>
        <v>0</v>
      </c>
      <c r="AB223" s="125">
        <f t="shared" si="90"/>
        <v>0</v>
      </c>
      <c r="AC223" s="125">
        <f t="shared" si="90"/>
        <v>0</v>
      </c>
      <c r="AD223" s="125">
        <f t="shared" si="90"/>
        <v>0</v>
      </c>
      <c r="AE223" s="125">
        <f t="shared" si="90"/>
        <v>0</v>
      </c>
      <c r="AF223" s="125">
        <f t="shared" si="90"/>
        <v>0</v>
      </c>
      <c r="AG223" s="126">
        <f t="shared" si="90"/>
        <v>0</v>
      </c>
      <c r="AH223" s="22"/>
    </row>
    <row r="224" spans="1:34" x14ac:dyDescent="0.25">
      <c r="A224" s="112"/>
      <c r="B224" s="134" t="s">
        <v>198</v>
      </c>
      <c r="C224" s="133" t="s">
        <v>59</v>
      </c>
      <c r="D224" s="125">
        <v>0</v>
      </c>
      <c r="E224" s="125">
        <v>0</v>
      </c>
      <c r="F224" s="125">
        <v>0</v>
      </c>
      <c r="G224" s="125">
        <v>0</v>
      </c>
      <c r="H224" s="125">
        <v>0</v>
      </c>
      <c r="I224" s="125">
        <v>0</v>
      </c>
      <c r="J224" s="125">
        <v>0</v>
      </c>
      <c r="K224" s="125">
        <v>0</v>
      </c>
      <c r="L224" s="125">
        <v>0</v>
      </c>
      <c r="M224" s="125">
        <v>0</v>
      </c>
      <c r="N224" s="125">
        <f t="shared" ref="N224:W224" si="91">0.005*$B$5^2 - 0.15*$B$5 + 2</f>
        <v>1</v>
      </c>
      <c r="O224" s="125">
        <f t="shared" si="91"/>
        <v>1</v>
      </c>
      <c r="P224" s="125">
        <f t="shared" si="91"/>
        <v>1</v>
      </c>
      <c r="Q224" s="125">
        <f t="shared" si="91"/>
        <v>1</v>
      </c>
      <c r="R224" s="125">
        <f t="shared" si="91"/>
        <v>1</v>
      </c>
      <c r="S224" s="125">
        <f t="shared" si="91"/>
        <v>1</v>
      </c>
      <c r="T224" s="125">
        <f t="shared" si="91"/>
        <v>1</v>
      </c>
      <c r="U224" s="125">
        <f t="shared" si="91"/>
        <v>1</v>
      </c>
      <c r="V224" s="125">
        <f t="shared" si="91"/>
        <v>1</v>
      </c>
      <c r="W224" s="125">
        <f t="shared" si="91"/>
        <v>1</v>
      </c>
      <c r="X224" s="125">
        <f t="shared" ref="X224:AG224" si="92">IF($B$5 &gt;= 30,4,0)</f>
        <v>0</v>
      </c>
      <c r="Y224" s="125">
        <f t="shared" si="92"/>
        <v>0</v>
      </c>
      <c r="Z224" s="125">
        <f t="shared" si="92"/>
        <v>0</v>
      </c>
      <c r="AA224" s="125">
        <f t="shared" si="92"/>
        <v>0</v>
      </c>
      <c r="AB224" s="125">
        <f t="shared" si="92"/>
        <v>0</v>
      </c>
      <c r="AC224" s="125">
        <f t="shared" si="92"/>
        <v>0</v>
      </c>
      <c r="AD224" s="125">
        <f t="shared" si="92"/>
        <v>0</v>
      </c>
      <c r="AE224" s="125">
        <f t="shared" si="92"/>
        <v>0</v>
      </c>
      <c r="AF224" s="125">
        <f t="shared" si="92"/>
        <v>0</v>
      </c>
      <c r="AG224" s="126">
        <f t="shared" si="92"/>
        <v>0</v>
      </c>
      <c r="AH224" s="22"/>
    </row>
    <row r="225" spans="1:34" x14ac:dyDescent="0.25">
      <c r="A225" s="112"/>
      <c r="B225" s="69" t="s">
        <v>200</v>
      </c>
      <c r="C225" s="133" t="s">
        <v>59</v>
      </c>
      <c r="D225" s="125">
        <v>0</v>
      </c>
      <c r="E225" s="125">
        <v>0</v>
      </c>
      <c r="F225" s="125">
        <v>0</v>
      </c>
      <c r="G225" s="125">
        <v>0</v>
      </c>
      <c r="H225" s="125">
        <v>0</v>
      </c>
      <c r="I225" s="125">
        <v>0</v>
      </c>
      <c r="J225" s="125">
        <v>0</v>
      </c>
      <c r="K225" s="125">
        <v>0</v>
      </c>
      <c r="L225" s="125">
        <v>0</v>
      </c>
      <c r="M225" s="125">
        <v>0</v>
      </c>
      <c r="N225" s="125">
        <f t="shared" ref="N225:W225" si="93">IF($B$5 &gt;= 30,1,0)</f>
        <v>0</v>
      </c>
      <c r="O225" s="125">
        <f t="shared" si="93"/>
        <v>0</v>
      </c>
      <c r="P225" s="125">
        <f t="shared" si="93"/>
        <v>0</v>
      </c>
      <c r="Q225" s="125">
        <f t="shared" si="93"/>
        <v>0</v>
      </c>
      <c r="R225" s="125">
        <f t="shared" si="93"/>
        <v>0</v>
      </c>
      <c r="S225" s="125">
        <f t="shared" si="93"/>
        <v>0</v>
      </c>
      <c r="T225" s="125">
        <f t="shared" si="93"/>
        <v>0</v>
      </c>
      <c r="U225" s="125">
        <f t="shared" si="93"/>
        <v>0</v>
      </c>
      <c r="V225" s="125">
        <f t="shared" si="93"/>
        <v>0</v>
      </c>
      <c r="W225" s="125">
        <f t="shared" si="93"/>
        <v>0</v>
      </c>
      <c r="X225" s="125">
        <v>0</v>
      </c>
      <c r="Y225" s="125">
        <v>0</v>
      </c>
      <c r="Z225" s="125">
        <v>0</v>
      </c>
      <c r="AA225" s="125">
        <v>0</v>
      </c>
      <c r="AB225" s="125">
        <v>0</v>
      </c>
      <c r="AC225" s="125">
        <v>0</v>
      </c>
      <c r="AD225" s="125">
        <v>0</v>
      </c>
      <c r="AE225" s="125">
        <v>0</v>
      </c>
      <c r="AF225" s="125">
        <v>0</v>
      </c>
      <c r="AG225" s="126">
        <v>0</v>
      </c>
      <c r="AH225" s="22"/>
    </row>
    <row r="226" spans="1:34" x14ac:dyDescent="0.25">
      <c r="A226" s="112"/>
      <c r="B226" s="69" t="s">
        <v>201</v>
      </c>
      <c r="C226" s="133" t="s">
        <v>59</v>
      </c>
      <c r="D226" s="125">
        <f t="shared" ref="D226:M226" si="94">IF($B$5 &lt; 30,-0.1*$B$5 + 3,0)</f>
        <v>2</v>
      </c>
      <c r="E226" s="125">
        <f t="shared" si="94"/>
        <v>2</v>
      </c>
      <c r="F226" s="125">
        <f t="shared" si="94"/>
        <v>2</v>
      </c>
      <c r="G226" s="125">
        <f t="shared" si="94"/>
        <v>2</v>
      </c>
      <c r="H226" s="125">
        <f t="shared" si="94"/>
        <v>2</v>
      </c>
      <c r="I226" s="125">
        <f t="shared" si="94"/>
        <v>2</v>
      </c>
      <c r="J226" s="125">
        <f t="shared" si="94"/>
        <v>2</v>
      </c>
      <c r="K226" s="125">
        <f t="shared" si="94"/>
        <v>2</v>
      </c>
      <c r="L226" s="125">
        <f t="shared" si="94"/>
        <v>2</v>
      </c>
      <c r="M226" s="125">
        <f t="shared" si="94"/>
        <v>2</v>
      </c>
      <c r="N226" s="125">
        <f t="shared" ref="N226:W226" si="95">IF($B$5 &lt; 15,1,0)</f>
        <v>1</v>
      </c>
      <c r="O226" s="125">
        <f t="shared" si="95"/>
        <v>1</v>
      </c>
      <c r="P226" s="125">
        <f t="shared" si="95"/>
        <v>1</v>
      </c>
      <c r="Q226" s="125">
        <f t="shared" si="95"/>
        <v>1</v>
      </c>
      <c r="R226" s="125">
        <f t="shared" si="95"/>
        <v>1</v>
      </c>
      <c r="S226" s="125">
        <f t="shared" si="95"/>
        <v>1</v>
      </c>
      <c r="T226" s="125">
        <f t="shared" si="95"/>
        <v>1</v>
      </c>
      <c r="U226" s="125">
        <f t="shared" si="95"/>
        <v>1</v>
      </c>
      <c r="V226" s="125">
        <f t="shared" si="95"/>
        <v>1</v>
      </c>
      <c r="W226" s="125">
        <f t="shared" si="95"/>
        <v>1</v>
      </c>
      <c r="X226" s="125">
        <v>0</v>
      </c>
      <c r="Y226" s="125">
        <v>0</v>
      </c>
      <c r="Z226" s="125">
        <v>0</v>
      </c>
      <c r="AA226" s="125">
        <v>0</v>
      </c>
      <c r="AB226" s="125">
        <v>0</v>
      </c>
      <c r="AC226" s="125">
        <v>0</v>
      </c>
      <c r="AD226" s="125">
        <v>0</v>
      </c>
      <c r="AE226" s="125">
        <v>0</v>
      </c>
      <c r="AF226" s="125">
        <v>0</v>
      </c>
      <c r="AG226" s="126">
        <v>0</v>
      </c>
      <c r="AH226" s="22"/>
    </row>
    <row r="227" spans="1:34" x14ac:dyDescent="0.25">
      <c r="A227" s="112"/>
      <c r="B227" s="134" t="s">
        <v>202</v>
      </c>
      <c r="C227" s="133" t="s">
        <v>59</v>
      </c>
      <c r="D227" s="125">
        <f t="shared" ref="D227:M227" si="96">IF($B$5 &lt; 15,1,0)</f>
        <v>1</v>
      </c>
      <c r="E227" s="125">
        <f t="shared" si="96"/>
        <v>1</v>
      </c>
      <c r="F227" s="125">
        <f t="shared" si="96"/>
        <v>1</v>
      </c>
      <c r="G227" s="125">
        <f t="shared" si="96"/>
        <v>1</v>
      </c>
      <c r="H227" s="125">
        <f t="shared" si="96"/>
        <v>1</v>
      </c>
      <c r="I227" s="125">
        <f t="shared" si="96"/>
        <v>1</v>
      </c>
      <c r="J227" s="125">
        <f t="shared" si="96"/>
        <v>1</v>
      </c>
      <c r="K227" s="125">
        <f t="shared" si="96"/>
        <v>1</v>
      </c>
      <c r="L227" s="125">
        <f t="shared" si="96"/>
        <v>1</v>
      </c>
      <c r="M227" s="125">
        <f t="shared" si="96"/>
        <v>1</v>
      </c>
      <c r="N227" s="125">
        <f t="shared" ref="N227:W227" si="97">IF($B$5 &lt; 30,0.1*$B$5,0)</f>
        <v>1</v>
      </c>
      <c r="O227" s="125">
        <f t="shared" si="97"/>
        <v>1</v>
      </c>
      <c r="P227" s="125">
        <f t="shared" si="97"/>
        <v>1</v>
      </c>
      <c r="Q227" s="125">
        <f t="shared" si="97"/>
        <v>1</v>
      </c>
      <c r="R227" s="125">
        <f t="shared" si="97"/>
        <v>1</v>
      </c>
      <c r="S227" s="125">
        <f t="shared" si="97"/>
        <v>1</v>
      </c>
      <c r="T227" s="125">
        <f t="shared" si="97"/>
        <v>1</v>
      </c>
      <c r="U227" s="125">
        <f t="shared" si="97"/>
        <v>1</v>
      </c>
      <c r="V227" s="125">
        <f t="shared" si="97"/>
        <v>1</v>
      </c>
      <c r="W227" s="125">
        <f t="shared" si="97"/>
        <v>1</v>
      </c>
      <c r="X227" s="125">
        <f t="shared" ref="X227:AG227" si="98">IF($B$5 &lt; 30,0.2*$B$5 - 1,0)</f>
        <v>1</v>
      </c>
      <c r="Y227" s="125">
        <f t="shared" si="98"/>
        <v>1</v>
      </c>
      <c r="Z227" s="125">
        <f t="shared" si="98"/>
        <v>1</v>
      </c>
      <c r="AA227" s="125">
        <f t="shared" si="98"/>
        <v>1</v>
      </c>
      <c r="AB227" s="125">
        <f t="shared" si="98"/>
        <v>1</v>
      </c>
      <c r="AC227" s="125">
        <f t="shared" si="98"/>
        <v>1</v>
      </c>
      <c r="AD227" s="125">
        <f t="shared" si="98"/>
        <v>1</v>
      </c>
      <c r="AE227" s="125">
        <f t="shared" si="98"/>
        <v>1</v>
      </c>
      <c r="AF227" s="125">
        <f t="shared" si="98"/>
        <v>1</v>
      </c>
      <c r="AG227" s="126">
        <f t="shared" si="98"/>
        <v>1</v>
      </c>
      <c r="AH227" s="22"/>
    </row>
    <row r="228" spans="1:34" x14ac:dyDescent="0.25">
      <c r="A228" s="112"/>
      <c r="B228" s="69" t="s">
        <v>203</v>
      </c>
      <c r="C228" s="133" t="s">
        <v>59</v>
      </c>
      <c r="D228" s="125">
        <v>0</v>
      </c>
      <c r="E228" s="125">
        <v>0</v>
      </c>
      <c r="F228" s="125">
        <v>0</v>
      </c>
      <c r="G228" s="125">
        <v>0</v>
      </c>
      <c r="H228" s="125">
        <v>0</v>
      </c>
      <c r="I228" s="125">
        <v>0</v>
      </c>
      <c r="J228" s="125">
        <v>0</v>
      </c>
      <c r="K228" s="125">
        <v>0</v>
      </c>
      <c r="L228" s="125">
        <v>0</v>
      </c>
      <c r="M228" s="125">
        <v>0</v>
      </c>
      <c r="N228" s="125">
        <f t="shared" ref="N228:W228" si="99">IF($B$5 &lt; 30,1,0)</f>
        <v>1</v>
      </c>
      <c r="O228" s="125">
        <f t="shared" si="99"/>
        <v>1</v>
      </c>
      <c r="P228" s="125">
        <f t="shared" si="99"/>
        <v>1</v>
      </c>
      <c r="Q228" s="125">
        <f t="shared" si="99"/>
        <v>1</v>
      </c>
      <c r="R228" s="125">
        <f t="shared" si="99"/>
        <v>1</v>
      </c>
      <c r="S228" s="125">
        <f t="shared" si="99"/>
        <v>1</v>
      </c>
      <c r="T228" s="125">
        <f t="shared" si="99"/>
        <v>1</v>
      </c>
      <c r="U228" s="125">
        <f t="shared" si="99"/>
        <v>1</v>
      </c>
      <c r="V228" s="125">
        <f t="shared" si="99"/>
        <v>1</v>
      </c>
      <c r="W228" s="125">
        <f t="shared" si="99"/>
        <v>1</v>
      </c>
      <c r="X228" s="125">
        <v>0</v>
      </c>
      <c r="Y228" s="125">
        <v>0</v>
      </c>
      <c r="Z228" s="125">
        <v>0</v>
      </c>
      <c r="AA228" s="125">
        <v>0</v>
      </c>
      <c r="AB228" s="125">
        <v>0</v>
      </c>
      <c r="AC228" s="125">
        <v>0</v>
      </c>
      <c r="AD228" s="125">
        <v>0</v>
      </c>
      <c r="AE228" s="125">
        <v>0</v>
      </c>
      <c r="AF228" s="125">
        <v>0</v>
      </c>
      <c r="AG228" s="126">
        <v>0</v>
      </c>
      <c r="AH228" s="22"/>
    </row>
    <row r="229" spans="1:34" x14ac:dyDescent="0.25">
      <c r="A229" s="112"/>
      <c r="B229" s="69" t="s">
        <v>204</v>
      </c>
      <c r="C229" s="133" t="s">
        <v>59</v>
      </c>
      <c r="D229" s="125">
        <f t="shared" ref="D229:M229" si="100">IF($B$5 &gt;= 30,2,0)</f>
        <v>0</v>
      </c>
      <c r="E229" s="125">
        <f t="shared" si="100"/>
        <v>0</v>
      </c>
      <c r="F229" s="125">
        <f t="shared" si="100"/>
        <v>0</v>
      </c>
      <c r="G229" s="125">
        <f t="shared" si="100"/>
        <v>0</v>
      </c>
      <c r="H229" s="125">
        <f t="shared" si="100"/>
        <v>0</v>
      </c>
      <c r="I229" s="125">
        <f t="shared" si="100"/>
        <v>0</v>
      </c>
      <c r="J229" s="125">
        <f t="shared" si="100"/>
        <v>0</v>
      </c>
      <c r="K229" s="125">
        <f t="shared" si="100"/>
        <v>0</v>
      </c>
      <c r="L229" s="125">
        <f t="shared" si="100"/>
        <v>0</v>
      </c>
      <c r="M229" s="125">
        <f t="shared" si="100"/>
        <v>0</v>
      </c>
      <c r="N229" s="125">
        <f t="shared" ref="N229:AG229" si="101">0.0017*$B$5^2 - 0.05*$B$5 + 1.3333</f>
        <v>1.0032999999999999</v>
      </c>
      <c r="O229" s="125">
        <f t="shared" si="101"/>
        <v>1.0032999999999999</v>
      </c>
      <c r="P229" s="125">
        <f t="shared" si="101"/>
        <v>1.0032999999999999</v>
      </c>
      <c r="Q229" s="125">
        <f t="shared" si="101"/>
        <v>1.0032999999999999</v>
      </c>
      <c r="R229" s="125">
        <f t="shared" si="101"/>
        <v>1.0032999999999999</v>
      </c>
      <c r="S229" s="125">
        <f t="shared" si="101"/>
        <v>1.0032999999999999</v>
      </c>
      <c r="T229" s="125">
        <f t="shared" si="101"/>
        <v>1.0032999999999999</v>
      </c>
      <c r="U229" s="125">
        <f t="shared" si="101"/>
        <v>1.0032999999999999</v>
      </c>
      <c r="V229" s="125">
        <f t="shared" si="101"/>
        <v>1.0032999999999999</v>
      </c>
      <c r="W229" s="125">
        <f t="shared" si="101"/>
        <v>1.0032999999999999</v>
      </c>
      <c r="X229" s="125">
        <f t="shared" si="101"/>
        <v>1.0032999999999999</v>
      </c>
      <c r="Y229" s="125">
        <f t="shared" si="101"/>
        <v>1.0032999999999999</v>
      </c>
      <c r="Z229" s="125">
        <f t="shared" si="101"/>
        <v>1.0032999999999999</v>
      </c>
      <c r="AA229" s="125">
        <f t="shared" si="101"/>
        <v>1.0032999999999999</v>
      </c>
      <c r="AB229" s="125">
        <f t="shared" si="101"/>
        <v>1.0032999999999999</v>
      </c>
      <c r="AC229" s="125">
        <f t="shared" si="101"/>
        <v>1.0032999999999999</v>
      </c>
      <c r="AD229" s="125">
        <f t="shared" si="101"/>
        <v>1.0032999999999999</v>
      </c>
      <c r="AE229" s="125">
        <f t="shared" si="101"/>
        <v>1.0032999999999999</v>
      </c>
      <c r="AF229" s="125">
        <f t="shared" si="101"/>
        <v>1.0032999999999999</v>
      </c>
      <c r="AG229" s="126">
        <f t="shared" si="101"/>
        <v>1.0032999999999999</v>
      </c>
      <c r="AH229" s="22"/>
    </row>
    <row r="230" spans="1:34" x14ac:dyDescent="0.25">
      <c r="A230" s="112"/>
      <c r="B230" s="134" t="s">
        <v>205</v>
      </c>
      <c r="C230" s="133" t="s">
        <v>59</v>
      </c>
      <c r="D230" s="125">
        <v>0</v>
      </c>
      <c r="E230" s="125">
        <v>0</v>
      </c>
      <c r="F230" s="125">
        <v>0</v>
      </c>
      <c r="G230" s="125">
        <v>0</v>
      </c>
      <c r="H230" s="125">
        <v>0</v>
      </c>
      <c r="I230" s="125">
        <v>0</v>
      </c>
      <c r="J230" s="125">
        <v>0</v>
      </c>
      <c r="K230" s="125">
        <v>0</v>
      </c>
      <c r="L230" s="125">
        <v>0</v>
      </c>
      <c r="M230" s="125">
        <v>0</v>
      </c>
      <c r="N230" s="125">
        <f t="shared" ref="N230:W230" si="102">IF($B$5 &lt; 15,1,0)</f>
        <v>1</v>
      </c>
      <c r="O230" s="125">
        <f t="shared" si="102"/>
        <v>1</v>
      </c>
      <c r="P230" s="125">
        <f t="shared" si="102"/>
        <v>1</v>
      </c>
      <c r="Q230" s="125">
        <f t="shared" si="102"/>
        <v>1</v>
      </c>
      <c r="R230" s="125">
        <f t="shared" si="102"/>
        <v>1</v>
      </c>
      <c r="S230" s="125">
        <f t="shared" si="102"/>
        <v>1</v>
      </c>
      <c r="T230" s="125">
        <f t="shared" si="102"/>
        <v>1</v>
      </c>
      <c r="U230" s="125">
        <f t="shared" si="102"/>
        <v>1</v>
      </c>
      <c r="V230" s="125">
        <f t="shared" si="102"/>
        <v>1</v>
      </c>
      <c r="W230" s="125">
        <f t="shared" si="102"/>
        <v>1</v>
      </c>
      <c r="X230" s="125">
        <v>0</v>
      </c>
      <c r="Y230" s="125">
        <v>0</v>
      </c>
      <c r="Z230" s="125">
        <v>0</v>
      </c>
      <c r="AA230" s="125">
        <v>0</v>
      </c>
      <c r="AB230" s="125">
        <v>0</v>
      </c>
      <c r="AC230" s="125">
        <v>0</v>
      </c>
      <c r="AD230" s="125">
        <v>0</v>
      </c>
      <c r="AE230" s="125">
        <v>0</v>
      </c>
      <c r="AF230" s="125">
        <v>0</v>
      </c>
      <c r="AG230" s="126">
        <v>0</v>
      </c>
      <c r="AH230" s="22"/>
    </row>
    <row r="231" spans="1:34" x14ac:dyDescent="0.25">
      <c r="A231" s="112"/>
      <c r="B231" s="69" t="s">
        <v>206</v>
      </c>
      <c r="C231" s="133" t="s">
        <v>59</v>
      </c>
      <c r="D231" s="125">
        <v>0</v>
      </c>
      <c r="E231" s="125">
        <v>0</v>
      </c>
      <c r="F231" s="125">
        <v>0</v>
      </c>
      <c r="G231" s="125">
        <v>0</v>
      </c>
      <c r="H231" s="125">
        <v>0</v>
      </c>
      <c r="I231" s="125">
        <v>0</v>
      </c>
      <c r="J231" s="125">
        <v>0</v>
      </c>
      <c r="K231" s="125">
        <v>0</v>
      </c>
      <c r="L231" s="125">
        <v>0</v>
      </c>
      <c r="M231" s="125">
        <v>0</v>
      </c>
      <c r="N231" s="125">
        <f t="shared" ref="N231:W231" si="103">IF($B$5 &gt;= 30,1,0)</f>
        <v>0</v>
      </c>
      <c r="O231" s="125">
        <f t="shared" si="103"/>
        <v>0</v>
      </c>
      <c r="P231" s="125">
        <f t="shared" si="103"/>
        <v>0</v>
      </c>
      <c r="Q231" s="125">
        <f t="shared" si="103"/>
        <v>0</v>
      </c>
      <c r="R231" s="125">
        <f t="shared" si="103"/>
        <v>0</v>
      </c>
      <c r="S231" s="125">
        <f t="shared" si="103"/>
        <v>0</v>
      </c>
      <c r="T231" s="125">
        <f t="shared" si="103"/>
        <v>0</v>
      </c>
      <c r="U231" s="125">
        <f t="shared" si="103"/>
        <v>0</v>
      </c>
      <c r="V231" s="125">
        <f t="shared" si="103"/>
        <v>0</v>
      </c>
      <c r="W231" s="125">
        <f t="shared" si="103"/>
        <v>0</v>
      </c>
      <c r="X231" s="125">
        <v>0</v>
      </c>
      <c r="Y231" s="125">
        <v>0</v>
      </c>
      <c r="Z231" s="125">
        <v>0</v>
      </c>
      <c r="AA231" s="125">
        <v>0</v>
      </c>
      <c r="AB231" s="125">
        <v>0</v>
      </c>
      <c r="AC231" s="125">
        <v>0</v>
      </c>
      <c r="AD231" s="125">
        <v>0</v>
      </c>
      <c r="AE231" s="125">
        <v>0</v>
      </c>
      <c r="AF231" s="125">
        <v>0</v>
      </c>
      <c r="AG231" s="126">
        <v>0</v>
      </c>
      <c r="AH231" s="22"/>
    </row>
    <row r="232" spans="1:34" x14ac:dyDescent="0.25">
      <c r="A232" s="112"/>
      <c r="B232" s="69" t="s">
        <v>207</v>
      </c>
      <c r="C232" s="133" t="s">
        <v>59</v>
      </c>
      <c r="D232" s="125">
        <v>0</v>
      </c>
      <c r="E232" s="125">
        <v>0</v>
      </c>
      <c r="F232" s="125">
        <v>0</v>
      </c>
      <c r="G232" s="125">
        <v>0</v>
      </c>
      <c r="H232" s="125">
        <v>0</v>
      </c>
      <c r="I232" s="125">
        <v>0</v>
      </c>
      <c r="J232" s="125">
        <v>0</v>
      </c>
      <c r="K232" s="125">
        <v>0</v>
      </c>
      <c r="L232" s="125">
        <v>0</v>
      </c>
      <c r="M232" s="125">
        <v>0</v>
      </c>
      <c r="N232" s="125">
        <f t="shared" ref="N232:W232" si="104">IF($B$5 &gt;= 30,2,0)</f>
        <v>0</v>
      </c>
      <c r="O232" s="125">
        <f t="shared" si="104"/>
        <v>0</v>
      </c>
      <c r="P232" s="125">
        <f t="shared" si="104"/>
        <v>0</v>
      </c>
      <c r="Q232" s="125">
        <f t="shared" si="104"/>
        <v>0</v>
      </c>
      <c r="R232" s="125">
        <f t="shared" si="104"/>
        <v>0</v>
      </c>
      <c r="S232" s="125">
        <f t="shared" si="104"/>
        <v>0</v>
      </c>
      <c r="T232" s="125">
        <f t="shared" si="104"/>
        <v>0</v>
      </c>
      <c r="U232" s="125">
        <f t="shared" si="104"/>
        <v>0</v>
      </c>
      <c r="V232" s="125">
        <f t="shared" si="104"/>
        <v>0</v>
      </c>
      <c r="W232" s="125">
        <f t="shared" si="104"/>
        <v>0</v>
      </c>
      <c r="X232" s="125">
        <v>0</v>
      </c>
      <c r="Y232" s="125">
        <v>0</v>
      </c>
      <c r="Z232" s="125">
        <v>0</v>
      </c>
      <c r="AA232" s="125">
        <v>0</v>
      </c>
      <c r="AB232" s="125">
        <v>0</v>
      </c>
      <c r="AC232" s="125">
        <v>0</v>
      </c>
      <c r="AD232" s="125">
        <v>0</v>
      </c>
      <c r="AE232" s="125">
        <v>0</v>
      </c>
      <c r="AF232" s="125">
        <v>0</v>
      </c>
      <c r="AG232" s="126">
        <v>0</v>
      </c>
      <c r="AH232" s="22"/>
    </row>
    <row r="233" spans="1:34" x14ac:dyDescent="0.25">
      <c r="A233" s="112"/>
      <c r="B233" s="134" t="s">
        <v>208</v>
      </c>
      <c r="C233" s="133" t="s">
        <v>59</v>
      </c>
      <c r="D233" s="125">
        <v>0</v>
      </c>
      <c r="E233" s="125">
        <v>0</v>
      </c>
      <c r="F233" s="125">
        <v>0</v>
      </c>
      <c r="G233" s="125">
        <v>0</v>
      </c>
      <c r="H233" s="125">
        <v>0</v>
      </c>
      <c r="I233" s="125">
        <v>0</v>
      </c>
      <c r="J233" s="125">
        <v>0</v>
      </c>
      <c r="K233" s="125">
        <v>0</v>
      </c>
      <c r="L233" s="125">
        <v>0</v>
      </c>
      <c r="M233" s="125">
        <v>0</v>
      </c>
      <c r="N233" s="125">
        <f t="shared" ref="N233:W233" si="105">IF($B$5 &gt;= 30,1,0)</f>
        <v>0</v>
      </c>
      <c r="O233" s="125">
        <f t="shared" si="105"/>
        <v>0</v>
      </c>
      <c r="P233" s="125">
        <f t="shared" si="105"/>
        <v>0</v>
      </c>
      <c r="Q233" s="125">
        <f t="shared" si="105"/>
        <v>0</v>
      </c>
      <c r="R233" s="125">
        <f t="shared" si="105"/>
        <v>0</v>
      </c>
      <c r="S233" s="125">
        <f t="shared" si="105"/>
        <v>0</v>
      </c>
      <c r="T233" s="125">
        <f t="shared" si="105"/>
        <v>0</v>
      </c>
      <c r="U233" s="125">
        <f t="shared" si="105"/>
        <v>0</v>
      </c>
      <c r="V233" s="125">
        <f t="shared" si="105"/>
        <v>0</v>
      </c>
      <c r="W233" s="125">
        <f t="shared" si="105"/>
        <v>0</v>
      </c>
      <c r="X233" s="125">
        <v>0</v>
      </c>
      <c r="Y233" s="125">
        <v>0</v>
      </c>
      <c r="Z233" s="125">
        <v>0</v>
      </c>
      <c r="AA233" s="125">
        <v>0</v>
      </c>
      <c r="AB233" s="125">
        <v>0</v>
      </c>
      <c r="AC233" s="125">
        <v>0</v>
      </c>
      <c r="AD233" s="125">
        <v>0</v>
      </c>
      <c r="AE233" s="125">
        <v>0</v>
      </c>
      <c r="AF233" s="125">
        <v>0</v>
      </c>
      <c r="AG233" s="126">
        <v>0</v>
      </c>
      <c r="AH233" s="22"/>
    </row>
    <row r="234" spans="1:34" x14ac:dyDescent="0.25">
      <c r="A234" s="112"/>
      <c r="B234" s="69" t="s">
        <v>209</v>
      </c>
      <c r="C234" s="133" t="s">
        <v>59</v>
      </c>
      <c r="D234" s="125">
        <v>0</v>
      </c>
      <c r="E234" s="125">
        <v>0</v>
      </c>
      <c r="F234" s="125">
        <v>0</v>
      </c>
      <c r="G234" s="125">
        <v>0</v>
      </c>
      <c r="H234" s="125">
        <v>0</v>
      </c>
      <c r="I234" s="125">
        <v>0</v>
      </c>
      <c r="J234" s="125">
        <v>0</v>
      </c>
      <c r="K234" s="125">
        <v>0</v>
      </c>
      <c r="L234" s="125">
        <v>0</v>
      </c>
      <c r="M234" s="125">
        <v>0</v>
      </c>
      <c r="N234" s="125">
        <f t="shared" ref="N234:W234" si="106">IF($B$5 &gt;= 30,2,0)</f>
        <v>0</v>
      </c>
      <c r="O234" s="125">
        <f t="shared" si="106"/>
        <v>0</v>
      </c>
      <c r="P234" s="125">
        <f t="shared" si="106"/>
        <v>0</v>
      </c>
      <c r="Q234" s="125">
        <f t="shared" si="106"/>
        <v>0</v>
      </c>
      <c r="R234" s="125">
        <f t="shared" si="106"/>
        <v>0</v>
      </c>
      <c r="S234" s="125">
        <f t="shared" si="106"/>
        <v>0</v>
      </c>
      <c r="T234" s="125">
        <f t="shared" si="106"/>
        <v>0</v>
      </c>
      <c r="U234" s="125">
        <f t="shared" si="106"/>
        <v>0</v>
      </c>
      <c r="V234" s="125">
        <f t="shared" si="106"/>
        <v>0</v>
      </c>
      <c r="W234" s="125">
        <f t="shared" si="106"/>
        <v>0</v>
      </c>
      <c r="X234" s="125">
        <v>0</v>
      </c>
      <c r="Y234" s="125">
        <v>0</v>
      </c>
      <c r="Z234" s="125">
        <v>0</v>
      </c>
      <c r="AA234" s="125">
        <v>0</v>
      </c>
      <c r="AB234" s="125">
        <v>0</v>
      </c>
      <c r="AC234" s="125">
        <v>0</v>
      </c>
      <c r="AD234" s="125">
        <v>0</v>
      </c>
      <c r="AE234" s="125">
        <v>0</v>
      </c>
      <c r="AF234" s="125">
        <v>0</v>
      </c>
      <c r="AG234" s="126">
        <v>0</v>
      </c>
      <c r="AH234" s="22"/>
    </row>
    <row r="235" spans="1:34" x14ac:dyDescent="0.25">
      <c r="A235" s="112"/>
      <c r="B235" s="69" t="s">
        <v>211</v>
      </c>
      <c r="C235" s="133" t="s">
        <v>59</v>
      </c>
      <c r="D235" s="125">
        <f t="shared" ref="D235:M235" si="107">IF($B$5 &lt; 30,1,0)</f>
        <v>1</v>
      </c>
      <c r="E235" s="125">
        <f t="shared" si="107"/>
        <v>1</v>
      </c>
      <c r="F235" s="125">
        <f t="shared" si="107"/>
        <v>1</v>
      </c>
      <c r="G235" s="125">
        <f t="shared" si="107"/>
        <v>1</v>
      </c>
      <c r="H235" s="125">
        <f t="shared" si="107"/>
        <v>1</v>
      </c>
      <c r="I235" s="125">
        <f t="shared" si="107"/>
        <v>1</v>
      </c>
      <c r="J235" s="125">
        <f t="shared" si="107"/>
        <v>1</v>
      </c>
      <c r="K235" s="125">
        <f t="shared" si="107"/>
        <v>1</v>
      </c>
      <c r="L235" s="125">
        <f t="shared" si="107"/>
        <v>1</v>
      </c>
      <c r="M235" s="125">
        <f t="shared" si="107"/>
        <v>1</v>
      </c>
      <c r="N235" s="125">
        <f t="shared" ref="N235:W235" si="108">IF($B$5 &lt; 30,2,0)</f>
        <v>2</v>
      </c>
      <c r="O235" s="125">
        <f t="shared" si="108"/>
        <v>2</v>
      </c>
      <c r="P235" s="125">
        <f t="shared" si="108"/>
        <v>2</v>
      </c>
      <c r="Q235" s="125">
        <f t="shared" si="108"/>
        <v>2</v>
      </c>
      <c r="R235" s="125">
        <f t="shared" si="108"/>
        <v>2</v>
      </c>
      <c r="S235" s="125">
        <f t="shared" si="108"/>
        <v>2</v>
      </c>
      <c r="T235" s="125">
        <f t="shared" si="108"/>
        <v>2</v>
      </c>
      <c r="U235" s="125">
        <f t="shared" si="108"/>
        <v>2</v>
      </c>
      <c r="V235" s="125">
        <f t="shared" si="108"/>
        <v>2</v>
      </c>
      <c r="W235" s="125">
        <f t="shared" si="108"/>
        <v>2</v>
      </c>
      <c r="X235" s="125">
        <v>0</v>
      </c>
      <c r="Y235" s="125">
        <v>0</v>
      </c>
      <c r="Z235" s="125">
        <v>0</v>
      </c>
      <c r="AA235" s="125">
        <v>0</v>
      </c>
      <c r="AB235" s="125">
        <v>0</v>
      </c>
      <c r="AC235" s="125">
        <v>0</v>
      </c>
      <c r="AD235" s="125">
        <v>0</v>
      </c>
      <c r="AE235" s="125">
        <v>0</v>
      </c>
      <c r="AF235" s="125">
        <v>0</v>
      </c>
      <c r="AG235" s="126">
        <v>0</v>
      </c>
      <c r="AH235" s="22"/>
    </row>
    <row r="236" spans="1:34" x14ac:dyDescent="0.25">
      <c r="A236" s="112"/>
      <c r="B236" s="69" t="s">
        <v>212</v>
      </c>
      <c r="C236" s="133" t="s">
        <v>59</v>
      </c>
      <c r="D236" s="125">
        <f t="shared" ref="D236:M236" si="109">IF($B$5 &lt; 15,1,0)</f>
        <v>1</v>
      </c>
      <c r="E236" s="125">
        <f t="shared" si="109"/>
        <v>1</v>
      </c>
      <c r="F236" s="125">
        <f t="shared" si="109"/>
        <v>1</v>
      </c>
      <c r="G236" s="125">
        <f t="shared" si="109"/>
        <v>1</v>
      </c>
      <c r="H236" s="125">
        <f t="shared" si="109"/>
        <v>1</v>
      </c>
      <c r="I236" s="125">
        <f t="shared" si="109"/>
        <v>1</v>
      </c>
      <c r="J236" s="125">
        <f t="shared" si="109"/>
        <v>1</v>
      </c>
      <c r="K236" s="125">
        <f t="shared" si="109"/>
        <v>1</v>
      </c>
      <c r="L236" s="125">
        <f t="shared" si="109"/>
        <v>1</v>
      </c>
      <c r="M236" s="125">
        <f t="shared" si="109"/>
        <v>1</v>
      </c>
      <c r="N236" s="125">
        <v>0</v>
      </c>
      <c r="O236" s="125">
        <v>0</v>
      </c>
      <c r="P236" s="125">
        <v>0</v>
      </c>
      <c r="Q236" s="125">
        <v>0</v>
      </c>
      <c r="R236" s="125">
        <v>0</v>
      </c>
      <c r="S236" s="125">
        <v>0</v>
      </c>
      <c r="T236" s="125">
        <v>0</v>
      </c>
      <c r="U236" s="125">
        <v>0</v>
      </c>
      <c r="V236" s="125">
        <v>0</v>
      </c>
      <c r="W236" s="125">
        <v>0</v>
      </c>
      <c r="X236" s="125">
        <f t="shared" ref="X236:AG236" si="110">IF($B$5 &lt; 30,0.2*$B$5 - 1,0)</f>
        <v>1</v>
      </c>
      <c r="Y236" s="125">
        <f t="shared" si="110"/>
        <v>1</v>
      </c>
      <c r="Z236" s="125">
        <f t="shared" si="110"/>
        <v>1</v>
      </c>
      <c r="AA236" s="125">
        <f t="shared" si="110"/>
        <v>1</v>
      </c>
      <c r="AB236" s="125">
        <f t="shared" si="110"/>
        <v>1</v>
      </c>
      <c r="AC236" s="125">
        <f t="shared" si="110"/>
        <v>1</v>
      </c>
      <c r="AD236" s="125">
        <f t="shared" si="110"/>
        <v>1</v>
      </c>
      <c r="AE236" s="125">
        <f t="shared" si="110"/>
        <v>1</v>
      </c>
      <c r="AF236" s="125">
        <f t="shared" si="110"/>
        <v>1</v>
      </c>
      <c r="AG236" s="126">
        <f t="shared" si="110"/>
        <v>1</v>
      </c>
      <c r="AH236" s="22"/>
    </row>
    <row r="237" spans="1:34" x14ac:dyDescent="0.25">
      <c r="A237" s="112"/>
      <c r="B237" s="69" t="s">
        <v>213</v>
      </c>
      <c r="C237" s="133" t="s">
        <v>59</v>
      </c>
      <c r="D237" s="125">
        <f t="shared" ref="D237:M237" si="111" xml:space="preserve"> - 0.1*$B$5 + 5</f>
        <v>4</v>
      </c>
      <c r="E237" s="125">
        <f t="shared" si="111"/>
        <v>4</v>
      </c>
      <c r="F237" s="125">
        <f t="shared" si="111"/>
        <v>4</v>
      </c>
      <c r="G237" s="125">
        <f t="shared" si="111"/>
        <v>4</v>
      </c>
      <c r="H237" s="125">
        <f t="shared" si="111"/>
        <v>4</v>
      </c>
      <c r="I237" s="125">
        <f t="shared" si="111"/>
        <v>4</v>
      </c>
      <c r="J237" s="125">
        <f t="shared" si="111"/>
        <v>4</v>
      </c>
      <c r="K237" s="125">
        <f t="shared" si="111"/>
        <v>4</v>
      </c>
      <c r="L237" s="125">
        <f t="shared" si="111"/>
        <v>4</v>
      </c>
      <c r="M237" s="125">
        <f t="shared" si="111"/>
        <v>4</v>
      </c>
      <c r="N237" s="125">
        <f t="shared" ref="N237:W238" si="112">IF($B$5 &lt; 30,2,0)</f>
        <v>2</v>
      </c>
      <c r="O237" s="125">
        <f t="shared" si="112"/>
        <v>2</v>
      </c>
      <c r="P237" s="125">
        <f t="shared" si="112"/>
        <v>2</v>
      </c>
      <c r="Q237" s="125">
        <f t="shared" si="112"/>
        <v>2</v>
      </c>
      <c r="R237" s="125">
        <f t="shared" si="112"/>
        <v>2</v>
      </c>
      <c r="S237" s="125">
        <f t="shared" si="112"/>
        <v>2</v>
      </c>
      <c r="T237" s="125">
        <f t="shared" si="112"/>
        <v>2</v>
      </c>
      <c r="U237" s="125">
        <f t="shared" si="112"/>
        <v>2</v>
      </c>
      <c r="V237" s="125">
        <f t="shared" si="112"/>
        <v>2</v>
      </c>
      <c r="W237" s="125">
        <f t="shared" si="112"/>
        <v>2</v>
      </c>
      <c r="X237" s="125">
        <f t="shared" ref="X237:AG237" si="113">IF($B$5 &lt; 15,1,0)</f>
        <v>1</v>
      </c>
      <c r="Y237" s="125">
        <f t="shared" si="113"/>
        <v>1</v>
      </c>
      <c r="Z237" s="125">
        <f t="shared" si="113"/>
        <v>1</v>
      </c>
      <c r="AA237" s="125">
        <f t="shared" si="113"/>
        <v>1</v>
      </c>
      <c r="AB237" s="125">
        <f t="shared" si="113"/>
        <v>1</v>
      </c>
      <c r="AC237" s="125">
        <f t="shared" si="113"/>
        <v>1</v>
      </c>
      <c r="AD237" s="125">
        <f t="shared" si="113"/>
        <v>1</v>
      </c>
      <c r="AE237" s="125">
        <f t="shared" si="113"/>
        <v>1</v>
      </c>
      <c r="AF237" s="125">
        <f t="shared" si="113"/>
        <v>1</v>
      </c>
      <c r="AG237" s="126">
        <f t="shared" si="113"/>
        <v>1</v>
      </c>
      <c r="AH237" s="22"/>
    </row>
    <row r="238" spans="1:34" x14ac:dyDescent="0.25">
      <c r="A238" s="112"/>
      <c r="B238" s="69" t="s">
        <v>214</v>
      </c>
      <c r="C238" s="133" t="s">
        <v>59</v>
      </c>
      <c r="D238" s="125">
        <f t="shared" ref="D238:M238" si="114">-3*10^-17*$B$5^2 + 0.1*$B$5 - 1*10^-14</f>
        <v>0.99999999999998701</v>
      </c>
      <c r="E238" s="125">
        <f t="shared" si="114"/>
        <v>0.99999999999998701</v>
      </c>
      <c r="F238" s="125">
        <f t="shared" si="114"/>
        <v>0.99999999999998701</v>
      </c>
      <c r="G238" s="125">
        <f t="shared" si="114"/>
        <v>0.99999999999998701</v>
      </c>
      <c r="H238" s="125">
        <f t="shared" si="114"/>
        <v>0.99999999999998701</v>
      </c>
      <c r="I238" s="125">
        <f t="shared" si="114"/>
        <v>0.99999999999998701</v>
      </c>
      <c r="J238" s="125">
        <f t="shared" si="114"/>
        <v>0.99999999999998701</v>
      </c>
      <c r="K238" s="125">
        <f t="shared" si="114"/>
        <v>0.99999999999998701</v>
      </c>
      <c r="L238" s="125">
        <f t="shared" si="114"/>
        <v>0.99999999999998701</v>
      </c>
      <c r="M238" s="125">
        <f t="shared" si="114"/>
        <v>0.99999999999998701</v>
      </c>
      <c r="N238" s="125">
        <f t="shared" si="112"/>
        <v>2</v>
      </c>
      <c r="O238" s="125">
        <f t="shared" si="112"/>
        <v>2</v>
      </c>
      <c r="P238" s="125">
        <f t="shared" si="112"/>
        <v>2</v>
      </c>
      <c r="Q238" s="125">
        <f t="shared" si="112"/>
        <v>2</v>
      </c>
      <c r="R238" s="125">
        <f t="shared" si="112"/>
        <v>2</v>
      </c>
      <c r="S238" s="125">
        <f t="shared" si="112"/>
        <v>2</v>
      </c>
      <c r="T238" s="125">
        <f t="shared" si="112"/>
        <v>2</v>
      </c>
      <c r="U238" s="125">
        <f t="shared" si="112"/>
        <v>2</v>
      </c>
      <c r="V238" s="125">
        <f t="shared" si="112"/>
        <v>2</v>
      </c>
      <c r="W238" s="125">
        <f t="shared" si="112"/>
        <v>2</v>
      </c>
      <c r="X238" s="125">
        <v>0</v>
      </c>
      <c r="Y238" s="125">
        <v>0</v>
      </c>
      <c r="Z238" s="125">
        <v>0</v>
      </c>
      <c r="AA238" s="125">
        <v>0</v>
      </c>
      <c r="AB238" s="125">
        <v>0</v>
      </c>
      <c r="AC238" s="125">
        <v>0</v>
      </c>
      <c r="AD238" s="125">
        <v>0</v>
      </c>
      <c r="AE238" s="125">
        <v>0</v>
      </c>
      <c r="AF238" s="125">
        <v>0</v>
      </c>
      <c r="AG238" s="126">
        <v>0</v>
      </c>
      <c r="AH238" s="22"/>
    </row>
    <row r="239" spans="1:34" x14ac:dyDescent="0.25">
      <c r="A239" s="112"/>
      <c r="B239" s="69" t="s">
        <v>215</v>
      </c>
      <c r="C239" s="133" t="s">
        <v>59</v>
      </c>
      <c r="D239" s="125">
        <v>0</v>
      </c>
      <c r="E239" s="125">
        <v>0</v>
      </c>
      <c r="F239" s="125">
        <v>0</v>
      </c>
      <c r="G239" s="125">
        <v>0</v>
      </c>
      <c r="H239" s="125">
        <v>0</v>
      </c>
      <c r="I239" s="125">
        <v>0</v>
      </c>
      <c r="J239" s="125">
        <v>0</v>
      </c>
      <c r="K239" s="125">
        <v>0</v>
      </c>
      <c r="L239" s="125">
        <v>0</v>
      </c>
      <c r="M239" s="125">
        <v>0</v>
      </c>
      <c r="N239" s="125">
        <f t="shared" ref="N239:W240" si="115">IF($B$5 &gt;= 30,2,0)</f>
        <v>0</v>
      </c>
      <c r="O239" s="125">
        <f t="shared" si="115"/>
        <v>0</v>
      </c>
      <c r="P239" s="125">
        <f t="shared" si="115"/>
        <v>0</v>
      </c>
      <c r="Q239" s="125">
        <f t="shared" si="115"/>
        <v>0</v>
      </c>
      <c r="R239" s="125">
        <f t="shared" si="115"/>
        <v>0</v>
      </c>
      <c r="S239" s="125">
        <f t="shared" si="115"/>
        <v>0</v>
      </c>
      <c r="T239" s="125">
        <f t="shared" si="115"/>
        <v>0</v>
      </c>
      <c r="U239" s="125">
        <f t="shared" si="115"/>
        <v>0</v>
      </c>
      <c r="V239" s="125">
        <f t="shared" si="115"/>
        <v>0</v>
      </c>
      <c r="W239" s="125">
        <f t="shared" si="115"/>
        <v>0</v>
      </c>
      <c r="X239" s="125">
        <f t="shared" ref="X239:AG239" si="116">IF($B$5 &gt;= 30,1,0)</f>
        <v>0</v>
      </c>
      <c r="Y239" s="125">
        <f t="shared" si="116"/>
        <v>0</v>
      </c>
      <c r="Z239" s="125">
        <f t="shared" si="116"/>
        <v>0</v>
      </c>
      <c r="AA239" s="125">
        <f t="shared" si="116"/>
        <v>0</v>
      </c>
      <c r="AB239" s="125">
        <f t="shared" si="116"/>
        <v>0</v>
      </c>
      <c r="AC239" s="125">
        <f t="shared" si="116"/>
        <v>0</v>
      </c>
      <c r="AD239" s="125">
        <f t="shared" si="116"/>
        <v>0</v>
      </c>
      <c r="AE239" s="125">
        <f t="shared" si="116"/>
        <v>0</v>
      </c>
      <c r="AF239" s="125">
        <f t="shared" si="116"/>
        <v>0</v>
      </c>
      <c r="AG239" s="126">
        <f t="shared" si="116"/>
        <v>0</v>
      </c>
      <c r="AH239" s="22"/>
    </row>
    <row r="240" spans="1:34" x14ac:dyDescent="0.25">
      <c r="A240" s="112"/>
      <c r="B240" s="69" t="s">
        <v>216</v>
      </c>
      <c r="C240" s="133" t="s">
        <v>59</v>
      </c>
      <c r="D240" s="125">
        <v>0</v>
      </c>
      <c r="E240" s="125">
        <v>0</v>
      </c>
      <c r="F240" s="125">
        <v>0</v>
      </c>
      <c r="G240" s="125">
        <v>0</v>
      </c>
      <c r="H240" s="125">
        <v>0</v>
      </c>
      <c r="I240" s="125">
        <v>0</v>
      </c>
      <c r="J240" s="125">
        <v>0</v>
      </c>
      <c r="K240" s="125">
        <v>0</v>
      </c>
      <c r="L240" s="125">
        <v>0</v>
      </c>
      <c r="M240" s="125">
        <v>0</v>
      </c>
      <c r="N240" s="125">
        <f t="shared" si="115"/>
        <v>0</v>
      </c>
      <c r="O240" s="125">
        <f t="shared" si="115"/>
        <v>0</v>
      </c>
      <c r="P240" s="125">
        <f t="shared" si="115"/>
        <v>0</v>
      </c>
      <c r="Q240" s="125">
        <f t="shared" si="115"/>
        <v>0</v>
      </c>
      <c r="R240" s="125">
        <f t="shared" si="115"/>
        <v>0</v>
      </c>
      <c r="S240" s="125">
        <f t="shared" si="115"/>
        <v>0</v>
      </c>
      <c r="T240" s="125">
        <f t="shared" si="115"/>
        <v>0</v>
      </c>
      <c r="U240" s="125">
        <f t="shared" si="115"/>
        <v>0</v>
      </c>
      <c r="V240" s="125">
        <f t="shared" si="115"/>
        <v>0</v>
      </c>
      <c r="W240" s="125">
        <f t="shared" si="115"/>
        <v>0</v>
      </c>
      <c r="X240" s="125">
        <f t="shared" ref="X240:AG240" si="117">IF($B$5 &gt;= 30,3,0)</f>
        <v>0</v>
      </c>
      <c r="Y240" s="125">
        <f t="shared" si="117"/>
        <v>0</v>
      </c>
      <c r="Z240" s="125">
        <f t="shared" si="117"/>
        <v>0</v>
      </c>
      <c r="AA240" s="125">
        <f t="shared" si="117"/>
        <v>0</v>
      </c>
      <c r="AB240" s="125">
        <f t="shared" si="117"/>
        <v>0</v>
      </c>
      <c r="AC240" s="125">
        <f t="shared" si="117"/>
        <v>0</v>
      </c>
      <c r="AD240" s="125">
        <f t="shared" si="117"/>
        <v>0</v>
      </c>
      <c r="AE240" s="125">
        <f t="shared" si="117"/>
        <v>0</v>
      </c>
      <c r="AF240" s="125">
        <f t="shared" si="117"/>
        <v>0</v>
      </c>
      <c r="AG240" s="126">
        <f t="shared" si="117"/>
        <v>0</v>
      </c>
      <c r="AH240" s="22"/>
    </row>
    <row r="241" spans="1:34" x14ac:dyDescent="0.25">
      <c r="A241" s="112"/>
      <c r="B241" s="69" t="s">
        <v>217</v>
      </c>
      <c r="C241" s="133" t="s">
        <v>59</v>
      </c>
      <c r="D241" s="125">
        <f t="shared" ref="D241:M242" si="118">IF($B$5 &gt;= 30,1,0)</f>
        <v>0</v>
      </c>
      <c r="E241" s="125">
        <f t="shared" si="118"/>
        <v>0</v>
      </c>
      <c r="F241" s="125">
        <f t="shared" si="118"/>
        <v>0</v>
      </c>
      <c r="G241" s="125">
        <f t="shared" si="118"/>
        <v>0</v>
      </c>
      <c r="H241" s="125">
        <f t="shared" si="118"/>
        <v>0</v>
      </c>
      <c r="I241" s="125">
        <f t="shared" si="118"/>
        <v>0</v>
      </c>
      <c r="J241" s="125">
        <f t="shared" si="118"/>
        <v>0</v>
      </c>
      <c r="K241" s="125">
        <f t="shared" si="118"/>
        <v>0</v>
      </c>
      <c r="L241" s="125">
        <f t="shared" si="118"/>
        <v>0</v>
      </c>
      <c r="M241" s="125">
        <f t="shared" si="118"/>
        <v>0</v>
      </c>
      <c r="N241" s="125">
        <f>2</f>
        <v>2</v>
      </c>
      <c r="O241" s="125">
        <f>2</f>
        <v>2</v>
      </c>
      <c r="P241" s="125">
        <f>2</f>
        <v>2</v>
      </c>
      <c r="Q241" s="125">
        <f>2</f>
        <v>2</v>
      </c>
      <c r="R241" s="125">
        <f>2</f>
        <v>2</v>
      </c>
      <c r="S241" s="125">
        <f>2</f>
        <v>2</v>
      </c>
      <c r="T241" s="125">
        <f>2</f>
        <v>2</v>
      </c>
      <c r="U241" s="125">
        <f>2</f>
        <v>2</v>
      </c>
      <c r="V241" s="125">
        <f>2</f>
        <v>2</v>
      </c>
      <c r="W241" s="125">
        <f>2</f>
        <v>2</v>
      </c>
      <c r="X241" s="125">
        <f t="shared" ref="X241:AG241" si="119">IF($B$5 &gt;= 30,2,0)</f>
        <v>0</v>
      </c>
      <c r="Y241" s="125">
        <f t="shared" si="119"/>
        <v>0</v>
      </c>
      <c r="Z241" s="125">
        <f t="shared" si="119"/>
        <v>0</v>
      </c>
      <c r="AA241" s="125">
        <f t="shared" si="119"/>
        <v>0</v>
      </c>
      <c r="AB241" s="125">
        <f t="shared" si="119"/>
        <v>0</v>
      </c>
      <c r="AC241" s="125">
        <f t="shared" si="119"/>
        <v>0</v>
      </c>
      <c r="AD241" s="125">
        <f t="shared" si="119"/>
        <v>0</v>
      </c>
      <c r="AE241" s="125">
        <f t="shared" si="119"/>
        <v>0</v>
      </c>
      <c r="AF241" s="125">
        <f t="shared" si="119"/>
        <v>0</v>
      </c>
      <c r="AG241" s="126">
        <f t="shared" si="119"/>
        <v>0</v>
      </c>
      <c r="AH241" s="22"/>
    </row>
    <row r="242" spans="1:34" x14ac:dyDescent="0.25">
      <c r="A242" s="112"/>
      <c r="B242" s="69" t="s">
        <v>218</v>
      </c>
      <c r="C242" s="133" t="s">
        <v>59</v>
      </c>
      <c r="D242" s="125">
        <f t="shared" si="118"/>
        <v>0</v>
      </c>
      <c r="E242" s="125">
        <f t="shared" si="118"/>
        <v>0</v>
      </c>
      <c r="F242" s="125">
        <f t="shared" si="118"/>
        <v>0</v>
      </c>
      <c r="G242" s="125">
        <f t="shared" si="118"/>
        <v>0</v>
      </c>
      <c r="H242" s="125">
        <f t="shared" si="118"/>
        <v>0</v>
      </c>
      <c r="I242" s="125">
        <f t="shared" si="118"/>
        <v>0</v>
      </c>
      <c r="J242" s="125">
        <f t="shared" si="118"/>
        <v>0</v>
      </c>
      <c r="K242" s="125">
        <f t="shared" si="118"/>
        <v>0</v>
      </c>
      <c r="L242" s="125">
        <f t="shared" si="118"/>
        <v>0</v>
      </c>
      <c r="M242" s="125">
        <f t="shared" si="118"/>
        <v>0</v>
      </c>
      <c r="N242" s="125">
        <f t="shared" ref="N242:W242" si="120">IF($B$5 &gt;= 30,2,0)</f>
        <v>0</v>
      </c>
      <c r="O242" s="125">
        <f t="shared" si="120"/>
        <v>0</v>
      </c>
      <c r="P242" s="125">
        <f t="shared" si="120"/>
        <v>0</v>
      </c>
      <c r="Q242" s="125">
        <f t="shared" si="120"/>
        <v>0</v>
      </c>
      <c r="R242" s="125">
        <f t="shared" si="120"/>
        <v>0</v>
      </c>
      <c r="S242" s="125">
        <f t="shared" si="120"/>
        <v>0</v>
      </c>
      <c r="T242" s="125">
        <f t="shared" si="120"/>
        <v>0</v>
      </c>
      <c r="U242" s="125">
        <f t="shared" si="120"/>
        <v>0</v>
      </c>
      <c r="V242" s="125">
        <f t="shared" si="120"/>
        <v>0</v>
      </c>
      <c r="W242" s="125">
        <f t="shared" si="120"/>
        <v>0</v>
      </c>
      <c r="X242" s="125">
        <v>0</v>
      </c>
      <c r="Y242" s="125">
        <v>0</v>
      </c>
      <c r="Z242" s="125">
        <v>0</v>
      </c>
      <c r="AA242" s="125">
        <v>0</v>
      </c>
      <c r="AB242" s="125">
        <v>0</v>
      </c>
      <c r="AC242" s="125">
        <v>0</v>
      </c>
      <c r="AD242" s="125">
        <v>0</v>
      </c>
      <c r="AE242" s="125">
        <v>0</v>
      </c>
      <c r="AF242" s="125">
        <v>0</v>
      </c>
      <c r="AG242" s="126">
        <v>0</v>
      </c>
      <c r="AH242" s="22"/>
    </row>
    <row r="243" spans="1:34" x14ac:dyDescent="0.25">
      <c r="A243" s="112"/>
      <c r="B243" s="69" t="s">
        <v>221</v>
      </c>
      <c r="C243" s="133" t="s">
        <v>59</v>
      </c>
      <c r="D243" s="125">
        <f t="shared" ref="D243:M243" si="121">-0.0017*$B$5^2 + 0.05*$B$5 + 3.6667</f>
        <v>3.9967000000000001</v>
      </c>
      <c r="E243" s="125">
        <f t="shared" si="121"/>
        <v>3.9967000000000001</v>
      </c>
      <c r="F243" s="125">
        <f t="shared" si="121"/>
        <v>3.9967000000000001</v>
      </c>
      <c r="G243" s="125">
        <f t="shared" si="121"/>
        <v>3.9967000000000001</v>
      </c>
      <c r="H243" s="125">
        <f t="shared" si="121"/>
        <v>3.9967000000000001</v>
      </c>
      <c r="I243" s="125">
        <f t="shared" si="121"/>
        <v>3.9967000000000001</v>
      </c>
      <c r="J243" s="125">
        <f t="shared" si="121"/>
        <v>3.9967000000000001</v>
      </c>
      <c r="K243" s="125">
        <f t="shared" si="121"/>
        <v>3.9967000000000001</v>
      </c>
      <c r="L243" s="125">
        <f t="shared" si="121"/>
        <v>3.9967000000000001</v>
      </c>
      <c r="M243" s="125">
        <f t="shared" si="121"/>
        <v>3.9967000000000001</v>
      </c>
      <c r="N243" s="125">
        <f>4</f>
        <v>4</v>
      </c>
      <c r="O243" s="125">
        <f>4</f>
        <v>4</v>
      </c>
      <c r="P243" s="125">
        <f>4</f>
        <v>4</v>
      </c>
      <c r="Q243" s="125">
        <f>4</f>
        <v>4</v>
      </c>
      <c r="R243" s="125">
        <f>4</f>
        <v>4</v>
      </c>
      <c r="S243" s="125">
        <f>4</f>
        <v>4</v>
      </c>
      <c r="T243" s="125">
        <f>4</f>
        <v>4</v>
      </c>
      <c r="U243" s="125">
        <f>4</f>
        <v>4</v>
      </c>
      <c r="V243" s="125">
        <f>4</f>
        <v>4</v>
      </c>
      <c r="W243" s="125">
        <f>4</f>
        <v>4</v>
      </c>
      <c r="X243" s="125">
        <f t="shared" ref="X243:AG243" si="122">-0.0067*$B$5^2 + 0.4*$B$5 - 0.3333</f>
        <v>2.9967000000000001</v>
      </c>
      <c r="Y243" s="125">
        <f t="shared" si="122"/>
        <v>2.9967000000000001</v>
      </c>
      <c r="Z243" s="125">
        <f t="shared" si="122"/>
        <v>2.9967000000000001</v>
      </c>
      <c r="AA243" s="125">
        <f t="shared" si="122"/>
        <v>2.9967000000000001</v>
      </c>
      <c r="AB243" s="125">
        <f t="shared" si="122"/>
        <v>2.9967000000000001</v>
      </c>
      <c r="AC243" s="125">
        <f t="shared" si="122"/>
        <v>2.9967000000000001</v>
      </c>
      <c r="AD243" s="125">
        <f t="shared" si="122"/>
        <v>2.9967000000000001</v>
      </c>
      <c r="AE243" s="125">
        <f t="shared" si="122"/>
        <v>2.9967000000000001</v>
      </c>
      <c r="AF243" s="125">
        <f t="shared" si="122"/>
        <v>2.9967000000000001</v>
      </c>
      <c r="AG243" s="126">
        <f t="shared" si="122"/>
        <v>2.9967000000000001</v>
      </c>
      <c r="AH243" s="22"/>
    </row>
    <row r="244" spans="1:34" x14ac:dyDescent="0.25">
      <c r="A244" s="112"/>
      <c r="B244" s="69" t="s">
        <v>222</v>
      </c>
      <c r="C244" s="133" t="s">
        <v>59</v>
      </c>
      <c r="D244" s="125">
        <f t="shared" ref="D244:M244" si="123">IF($B$5 &lt; 30,-0.3*$B$5 + 10,0)</f>
        <v>7</v>
      </c>
      <c r="E244" s="125">
        <f t="shared" si="123"/>
        <v>7</v>
      </c>
      <c r="F244" s="125">
        <f t="shared" si="123"/>
        <v>7</v>
      </c>
      <c r="G244" s="125">
        <f t="shared" si="123"/>
        <v>7</v>
      </c>
      <c r="H244" s="125">
        <f t="shared" si="123"/>
        <v>7</v>
      </c>
      <c r="I244" s="125">
        <f t="shared" si="123"/>
        <v>7</v>
      </c>
      <c r="J244" s="125">
        <f t="shared" si="123"/>
        <v>7</v>
      </c>
      <c r="K244" s="125">
        <f t="shared" si="123"/>
        <v>7</v>
      </c>
      <c r="L244" s="125">
        <f t="shared" si="123"/>
        <v>7</v>
      </c>
      <c r="M244" s="125">
        <f t="shared" si="123"/>
        <v>7</v>
      </c>
      <c r="N244" s="125">
        <f t="shared" ref="N244:W244" si="124">IF($B$5 &lt; 30,4,0)</f>
        <v>4</v>
      </c>
      <c r="O244" s="125">
        <f t="shared" si="124"/>
        <v>4</v>
      </c>
      <c r="P244" s="125">
        <f t="shared" si="124"/>
        <v>4</v>
      </c>
      <c r="Q244" s="125">
        <f t="shared" si="124"/>
        <v>4</v>
      </c>
      <c r="R244" s="125">
        <f t="shared" si="124"/>
        <v>4</v>
      </c>
      <c r="S244" s="125">
        <f t="shared" si="124"/>
        <v>4</v>
      </c>
      <c r="T244" s="125">
        <f t="shared" si="124"/>
        <v>4</v>
      </c>
      <c r="U244" s="125">
        <f t="shared" si="124"/>
        <v>4</v>
      </c>
      <c r="V244" s="125">
        <f t="shared" si="124"/>
        <v>4</v>
      </c>
      <c r="W244" s="125">
        <f t="shared" si="124"/>
        <v>4</v>
      </c>
      <c r="X244" s="125">
        <f t="shared" ref="X244:AG244" si="125">IF($B$5 &lt; 15,4,0)</f>
        <v>4</v>
      </c>
      <c r="Y244" s="125">
        <f t="shared" si="125"/>
        <v>4</v>
      </c>
      <c r="Z244" s="125">
        <f t="shared" si="125"/>
        <v>4</v>
      </c>
      <c r="AA244" s="125">
        <f t="shared" si="125"/>
        <v>4</v>
      </c>
      <c r="AB244" s="125">
        <f t="shared" si="125"/>
        <v>4</v>
      </c>
      <c r="AC244" s="125">
        <f t="shared" si="125"/>
        <v>4</v>
      </c>
      <c r="AD244" s="125">
        <f t="shared" si="125"/>
        <v>4</v>
      </c>
      <c r="AE244" s="125">
        <f t="shared" si="125"/>
        <v>4</v>
      </c>
      <c r="AF244" s="125">
        <f t="shared" si="125"/>
        <v>4</v>
      </c>
      <c r="AG244" s="126">
        <f t="shared" si="125"/>
        <v>4</v>
      </c>
      <c r="AH244" s="22"/>
    </row>
    <row r="245" spans="1:34" x14ac:dyDescent="0.25">
      <c r="A245" s="112"/>
      <c r="B245" s="69" t="s">
        <v>223</v>
      </c>
      <c r="C245" s="133" t="s">
        <v>59</v>
      </c>
      <c r="D245" s="125">
        <f t="shared" ref="D245:M245" si="126">-0.0483*$B$5^2 + 2.45*$B$5 - 15.667</f>
        <v>4.0030000000000019</v>
      </c>
      <c r="E245" s="125">
        <f t="shared" si="126"/>
        <v>4.0030000000000019</v>
      </c>
      <c r="F245" s="125">
        <f t="shared" si="126"/>
        <v>4.0030000000000019</v>
      </c>
      <c r="G245" s="125">
        <f t="shared" si="126"/>
        <v>4.0030000000000019</v>
      </c>
      <c r="H245" s="125">
        <f t="shared" si="126"/>
        <v>4.0030000000000019</v>
      </c>
      <c r="I245" s="125">
        <f t="shared" si="126"/>
        <v>4.0030000000000019</v>
      </c>
      <c r="J245" s="125">
        <f t="shared" si="126"/>
        <v>4.0030000000000019</v>
      </c>
      <c r="K245" s="125">
        <f t="shared" si="126"/>
        <v>4.0030000000000019</v>
      </c>
      <c r="L245" s="125">
        <f t="shared" si="126"/>
        <v>4.0030000000000019</v>
      </c>
      <c r="M245" s="125">
        <f t="shared" si="126"/>
        <v>4.0030000000000019</v>
      </c>
      <c r="N245" s="125">
        <f t="shared" ref="N245:W245" si="127">-0.02*$B$5^2 + $B$5 - 4</f>
        <v>4</v>
      </c>
      <c r="O245" s="125">
        <f t="shared" si="127"/>
        <v>4</v>
      </c>
      <c r="P245" s="125">
        <f t="shared" si="127"/>
        <v>4</v>
      </c>
      <c r="Q245" s="125">
        <f t="shared" si="127"/>
        <v>4</v>
      </c>
      <c r="R245" s="125">
        <f t="shared" si="127"/>
        <v>4</v>
      </c>
      <c r="S245" s="125">
        <f t="shared" si="127"/>
        <v>4</v>
      </c>
      <c r="T245" s="125">
        <f t="shared" si="127"/>
        <v>4</v>
      </c>
      <c r="U245" s="125">
        <f t="shared" si="127"/>
        <v>4</v>
      </c>
      <c r="V245" s="125">
        <f t="shared" si="127"/>
        <v>4</v>
      </c>
      <c r="W245" s="125">
        <f t="shared" si="127"/>
        <v>4</v>
      </c>
      <c r="X245" s="125">
        <f t="shared" ref="X245:AG245" si="128">IF($B$5 &lt; 30,1.1*$B$5 - 6,0)</f>
        <v>5</v>
      </c>
      <c r="Y245" s="125">
        <f t="shared" si="128"/>
        <v>5</v>
      </c>
      <c r="Z245" s="125">
        <f t="shared" si="128"/>
        <v>5</v>
      </c>
      <c r="AA245" s="125">
        <f t="shared" si="128"/>
        <v>5</v>
      </c>
      <c r="AB245" s="125">
        <f t="shared" si="128"/>
        <v>5</v>
      </c>
      <c r="AC245" s="125">
        <f t="shared" si="128"/>
        <v>5</v>
      </c>
      <c r="AD245" s="125">
        <f t="shared" si="128"/>
        <v>5</v>
      </c>
      <c r="AE245" s="125">
        <f t="shared" si="128"/>
        <v>5</v>
      </c>
      <c r="AF245" s="125">
        <f t="shared" si="128"/>
        <v>5</v>
      </c>
      <c r="AG245" s="126">
        <f t="shared" si="128"/>
        <v>5</v>
      </c>
      <c r="AH245" s="22"/>
    </row>
    <row r="246" spans="1:34" x14ac:dyDescent="0.25">
      <c r="A246" s="112"/>
      <c r="B246" s="69" t="s">
        <v>224</v>
      </c>
      <c r="C246" s="133" t="s">
        <v>59</v>
      </c>
      <c r="D246" s="125">
        <f t="shared" ref="D246:M246" si="129">IF($B$5 &gt;= 15,0.25*$B$5 - 2,0)</f>
        <v>0</v>
      </c>
      <c r="E246" s="125">
        <f t="shared" si="129"/>
        <v>0</v>
      </c>
      <c r="F246" s="125">
        <f t="shared" si="129"/>
        <v>0</v>
      </c>
      <c r="G246" s="125">
        <f t="shared" si="129"/>
        <v>0</v>
      </c>
      <c r="H246" s="125">
        <f t="shared" si="129"/>
        <v>0</v>
      </c>
      <c r="I246" s="125">
        <f t="shared" si="129"/>
        <v>0</v>
      </c>
      <c r="J246" s="125">
        <f t="shared" si="129"/>
        <v>0</v>
      </c>
      <c r="K246" s="125">
        <f t="shared" si="129"/>
        <v>0</v>
      </c>
      <c r="L246" s="125">
        <f t="shared" si="129"/>
        <v>0</v>
      </c>
      <c r="M246" s="125">
        <f t="shared" si="129"/>
        <v>0</v>
      </c>
      <c r="N246" s="125">
        <f t="shared" ref="N246:W246" si="130">-0.0033*$B$5^2 + 0.1*$B$5 + 5.3333</f>
        <v>6.0033000000000003</v>
      </c>
      <c r="O246" s="125">
        <f t="shared" si="130"/>
        <v>6.0033000000000003</v>
      </c>
      <c r="P246" s="125">
        <f t="shared" si="130"/>
        <v>6.0033000000000003</v>
      </c>
      <c r="Q246" s="125">
        <f t="shared" si="130"/>
        <v>6.0033000000000003</v>
      </c>
      <c r="R246" s="125">
        <f t="shared" si="130"/>
        <v>6.0033000000000003</v>
      </c>
      <c r="S246" s="125">
        <f t="shared" si="130"/>
        <v>6.0033000000000003</v>
      </c>
      <c r="T246" s="125">
        <f t="shared" si="130"/>
        <v>6.0033000000000003</v>
      </c>
      <c r="U246" s="125">
        <f t="shared" si="130"/>
        <v>6.0033000000000003</v>
      </c>
      <c r="V246" s="125">
        <f t="shared" si="130"/>
        <v>6.0033000000000003</v>
      </c>
      <c r="W246" s="125">
        <f t="shared" si="130"/>
        <v>6.0033000000000003</v>
      </c>
      <c r="X246" s="125">
        <f t="shared" ref="X246:AG246" si="131">IF($B$5 &gt;= 30,3,0)</f>
        <v>0</v>
      </c>
      <c r="Y246" s="125">
        <f t="shared" si="131"/>
        <v>0</v>
      </c>
      <c r="Z246" s="125">
        <f t="shared" si="131"/>
        <v>0</v>
      </c>
      <c r="AA246" s="125">
        <f t="shared" si="131"/>
        <v>0</v>
      </c>
      <c r="AB246" s="125">
        <f t="shared" si="131"/>
        <v>0</v>
      </c>
      <c r="AC246" s="125">
        <f t="shared" si="131"/>
        <v>0</v>
      </c>
      <c r="AD246" s="125">
        <f t="shared" si="131"/>
        <v>0</v>
      </c>
      <c r="AE246" s="125">
        <f t="shared" si="131"/>
        <v>0</v>
      </c>
      <c r="AF246" s="125">
        <f t="shared" si="131"/>
        <v>0</v>
      </c>
      <c r="AG246" s="126">
        <f t="shared" si="131"/>
        <v>0</v>
      </c>
      <c r="AH246" s="22"/>
    </row>
    <row r="247" spans="1:34" x14ac:dyDescent="0.25">
      <c r="A247" s="112"/>
      <c r="B247" s="69" t="s">
        <v>225</v>
      </c>
      <c r="C247" s="133" t="s">
        <v>59</v>
      </c>
      <c r="D247" s="125">
        <v>0</v>
      </c>
      <c r="E247" s="125">
        <v>0</v>
      </c>
      <c r="F247" s="125">
        <v>0</v>
      </c>
      <c r="G247" s="125">
        <v>0</v>
      </c>
      <c r="H247" s="125">
        <v>0</v>
      </c>
      <c r="I247" s="125">
        <v>0</v>
      </c>
      <c r="J247" s="125">
        <v>0</v>
      </c>
      <c r="K247" s="125">
        <v>0</v>
      </c>
      <c r="L247" s="125">
        <v>0</v>
      </c>
      <c r="M247" s="125">
        <v>0</v>
      </c>
      <c r="N247" s="125">
        <f t="shared" ref="N247:W247" si="132">IF($B$5 &gt;= 30,8,0)</f>
        <v>0</v>
      </c>
      <c r="O247" s="125">
        <f t="shared" si="132"/>
        <v>0</v>
      </c>
      <c r="P247" s="125">
        <f t="shared" si="132"/>
        <v>0</v>
      </c>
      <c r="Q247" s="125">
        <f t="shared" si="132"/>
        <v>0</v>
      </c>
      <c r="R247" s="125">
        <f t="shared" si="132"/>
        <v>0</v>
      </c>
      <c r="S247" s="125">
        <f t="shared" si="132"/>
        <v>0</v>
      </c>
      <c r="T247" s="125">
        <f t="shared" si="132"/>
        <v>0</v>
      </c>
      <c r="U247" s="125">
        <f t="shared" si="132"/>
        <v>0</v>
      </c>
      <c r="V247" s="125">
        <f t="shared" si="132"/>
        <v>0</v>
      </c>
      <c r="W247" s="125">
        <f t="shared" si="132"/>
        <v>0</v>
      </c>
      <c r="X247" s="125">
        <f t="shared" ref="X247:AG247" si="133">IF($B$5 &gt;= 30,6,0)</f>
        <v>0</v>
      </c>
      <c r="Y247" s="125">
        <f t="shared" si="133"/>
        <v>0</v>
      </c>
      <c r="Z247" s="125">
        <f t="shared" si="133"/>
        <v>0</v>
      </c>
      <c r="AA247" s="125">
        <f t="shared" si="133"/>
        <v>0</v>
      </c>
      <c r="AB247" s="125">
        <f t="shared" si="133"/>
        <v>0</v>
      </c>
      <c r="AC247" s="125">
        <f t="shared" si="133"/>
        <v>0</v>
      </c>
      <c r="AD247" s="125">
        <f t="shared" si="133"/>
        <v>0</v>
      </c>
      <c r="AE247" s="125">
        <f t="shared" si="133"/>
        <v>0</v>
      </c>
      <c r="AF247" s="125">
        <f t="shared" si="133"/>
        <v>0</v>
      </c>
      <c r="AG247" s="126">
        <f t="shared" si="133"/>
        <v>0</v>
      </c>
      <c r="AH247" s="22"/>
    </row>
    <row r="248" spans="1:34" x14ac:dyDescent="0.25">
      <c r="A248" s="112"/>
      <c r="B248" s="69" t="s">
        <v>228</v>
      </c>
      <c r="C248" s="133" t="s">
        <v>59</v>
      </c>
      <c r="D248" s="125">
        <f t="shared" ref="D248:M248" si="134">-0.0133*$B$5^2 + 0.6*$B$5 + 3.3333</f>
        <v>8.0032999999999994</v>
      </c>
      <c r="E248" s="125">
        <f t="shared" si="134"/>
        <v>8.0032999999999994</v>
      </c>
      <c r="F248" s="125">
        <f t="shared" si="134"/>
        <v>8.0032999999999994</v>
      </c>
      <c r="G248" s="125">
        <f t="shared" si="134"/>
        <v>8.0032999999999994</v>
      </c>
      <c r="H248" s="125">
        <f t="shared" si="134"/>
        <v>8.0032999999999994</v>
      </c>
      <c r="I248" s="125">
        <f t="shared" si="134"/>
        <v>8.0032999999999994</v>
      </c>
      <c r="J248" s="125">
        <f t="shared" si="134"/>
        <v>8.0032999999999994</v>
      </c>
      <c r="K248" s="125">
        <f t="shared" si="134"/>
        <v>8.0032999999999994</v>
      </c>
      <c r="L248" s="125">
        <f t="shared" si="134"/>
        <v>8.0032999999999994</v>
      </c>
      <c r="M248" s="125">
        <f t="shared" si="134"/>
        <v>8.0032999999999994</v>
      </c>
      <c r="N248" s="125">
        <f t="shared" ref="N248:W248" si="135">-0.0067*$B$5^2 + 0.4*$B$5 + 0.6667</f>
        <v>3.9967000000000001</v>
      </c>
      <c r="O248" s="125">
        <f t="shared" si="135"/>
        <v>3.9967000000000001</v>
      </c>
      <c r="P248" s="125">
        <f t="shared" si="135"/>
        <v>3.9967000000000001</v>
      </c>
      <c r="Q248" s="125">
        <f t="shared" si="135"/>
        <v>3.9967000000000001</v>
      </c>
      <c r="R248" s="125">
        <f t="shared" si="135"/>
        <v>3.9967000000000001</v>
      </c>
      <c r="S248" s="125">
        <f t="shared" si="135"/>
        <v>3.9967000000000001</v>
      </c>
      <c r="T248" s="125">
        <f t="shared" si="135"/>
        <v>3.9967000000000001</v>
      </c>
      <c r="U248" s="125">
        <f t="shared" si="135"/>
        <v>3.9967000000000001</v>
      </c>
      <c r="V248" s="125">
        <f t="shared" si="135"/>
        <v>3.9967000000000001</v>
      </c>
      <c r="W248" s="125">
        <f t="shared" si="135"/>
        <v>3.9967000000000001</v>
      </c>
      <c r="X248" s="125">
        <f>8</f>
        <v>8</v>
      </c>
      <c r="Y248" s="125">
        <f>8</f>
        <v>8</v>
      </c>
      <c r="Z248" s="125">
        <f>8</f>
        <v>8</v>
      </c>
      <c r="AA248" s="125">
        <f>8</f>
        <v>8</v>
      </c>
      <c r="AB248" s="125">
        <f>8</f>
        <v>8</v>
      </c>
      <c r="AC248" s="125">
        <f>8</f>
        <v>8</v>
      </c>
      <c r="AD248" s="125">
        <f>8</f>
        <v>8</v>
      </c>
      <c r="AE248" s="125">
        <f>8</f>
        <v>8</v>
      </c>
      <c r="AF248" s="125">
        <f>8</f>
        <v>8</v>
      </c>
      <c r="AG248" s="126">
        <f>8</f>
        <v>8</v>
      </c>
      <c r="AH248" s="22"/>
    </row>
    <row r="249" spans="1:34" x14ac:dyDescent="0.25">
      <c r="A249" s="112"/>
      <c r="B249" s="69" t="s">
        <v>229</v>
      </c>
      <c r="C249" s="133" t="s">
        <v>59</v>
      </c>
      <c r="D249" s="125">
        <f t="shared" ref="D249:M249" si="136">IF(AND($B$5 &gt;= 15,$B$5 &lt; 30),0,4)</f>
        <v>4</v>
      </c>
      <c r="E249" s="125">
        <f t="shared" si="136"/>
        <v>4</v>
      </c>
      <c r="F249" s="125">
        <f t="shared" si="136"/>
        <v>4</v>
      </c>
      <c r="G249" s="125">
        <f t="shared" si="136"/>
        <v>4</v>
      </c>
      <c r="H249" s="125">
        <f t="shared" si="136"/>
        <v>4</v>
      </c>
      <c r="I249" s="125">
        <f t="shared" si="136"/>
        <v>4</v>
      </c>
      <c r="J249" s="125">
        <f t="shared" si="136"/>
        <v>4</v>
      </c>
      <c r="K249" s="125">
        <f t="shared" si="136"/>
        <v>4</v>
      </c>
      <c r="L249" s="125">
        <f t="shared" si="136"/>
        <v>4</v>
      </c>
      <c r="M249" s="125">
        <f t="shared" si="136"/>
        <v>4</v>
      </c>
      <c r="N249" s="125">
        <f t="shared" ref="N249:W249" si="137">-0.0133*$B$5^2 + 0.4*$B$5 + 9.3333</f>
        <v>12.003299999999999</v>
      </c>
      <c r="O249" s="125">
        <f t="shared" si="137"/>
        <v>12.003299999999999</v>
      </c>
      <c r="P249" s="125">
        <f t="shared" si="137"/>
        <v>12.003299999999999</v>
      </c>
      <c r="Q249" s="125">
        <f t="shared" si="137"/>
        <v>12.003299999999999</v>
      </c>
      <c r="R249" s="125">
        <f t="shared" si="137"/>
        <v>12.003299999999999</v>
      </c>
      <c r="S249" s="125">
        <f t="shared" si="137"/>
        <v>12.003299999999999</v>
      </c>
      <c r="T249" s="125">
        <f t="shared" si="137"/>
        <v>12.003299999999999</v>
      </c>
      <c r="U249" s="125">
        <f t="shared" si="137"/>
        <v>12.003299999999999</v>
      </c>
      <c r="V249" s="125">
        <f t="shared" si="137"/>
        <v>12.003299999999999</v>
      </c>
      <c r="W249" s="125">
        <f t="shared" si="137"/>
        <v>12.003299999999999</v>
      </c>
      <c r="X249" s="125">
        <f t="shared" ref="X249:AG249" si="138">IF($B$5 &lt; 15,6,0)</f>
        <v>6</v>
      </c>
      <c r="Y249" s="125">
        <f t="shared" si="138"/>
        <v>6</v>
      </c>
      <c r="Z249" s="125">
        <f t="shared" si="138"/>
        <v>6</v>
      </c>
      <c r="AA249" s="125">
        <f t="shared" si="138"/>
        <v>6</v>
      </c>
      <c r="AB249" s="125">
        <f t="shared" si="138"/>
        <v>6</v>
      </c>
      <c r="AC249" s="125">
        <f t="shared" si="138"/>
        <v>6</v>
      </c>
      <c r="AD249" s="125">
        <f t="shared" si="138"/>
        <v>6</v>
      </c>
      <c r="AE249" s="125">
        <f t="shared" si="138"/>
        <v>6</v>
      </c>
      <c r="AF249" s="125">
        <f t="shared" si="138"/>
        <v>6</v>
      </c>
      <c r="AG249" s="126">
        <f t="shared" si="138"/>
        <v>6</v>
      </c>
      <c r="AH249" s="22"/>
    </row>
    <row r="250" spans="1:34" x14ac:dyDescent="0.25">
      <c r="A250" s="112"/>
      <c r="B250" s="69" t="s">
        <v>230</v>
      </c>
      <c r="C250" s="133" t="s">
        <v>59</v>
      </c>
      <c r="D250" s="125">
        <f t="shared" ref="D250:M250" si="139">-0.07*$B$5^2 + 3.5*$B$5 - 22</f>
        <v>6</v>
      </c>
      <c r="E250" s="125">
        <f t="shared" si="139"/>
        <v>6</v>
      </c>
      <c r="F250" s="125">
        <f t="shared" si="139"/>
        <v>6</v>
      </c>
      <c r="G250" s="125">
        <f t="shared" si="139"/>
        <v>6</v>
      </c>
      <c r="H250" s="125">
        <f t="shared" si="139"/>
        <v>6</v>
      </c>
      <c r="I250" s="125">
        <f t="shared" si="139"/>
        <v>6</v>
      </c>
      <c r="J250" s="125">
        <f t="shared" si="139"/>
        <v>6</v>
      </c>
      <c r="K250" s="125">
        <f t="shared" si="139"/>
        <v>6</v>
      </c>
      <c r="L250" s="125">
        <f t="shared" si="139"/>
        <v>6</v>
      </c>
      <c r="M250" s="125">
        <f t="shared" si="139"/>
        <v>6</v>
      </c>
      <c r="N250" s="125">
        <f t="shared" ref="N250:W250" si="140">-0.0267*$B$5^2 + 1.2*$B$5 + 2.6667</f>
        <v>11.996700000000001</v>
      </c>
      <c r="O250" s="125">
        <f t="shared" si="140"/>
        <v>11.996700000000001</v>
      </c>
      <c r="P250" s="125">
        <f t="shared" si="140"/>
        <v>11.996700000000001</v>
      </c>
      <c r="Q250" s="125">
        <f t="shared" si="140"/>
        <v>11.996700000000001</v>
      </c>
      <c r="R250" s="125">
        <f t="shared" si="140"/>
        <v>11.996700000000001</v>
      </c>
      <c r="S250" s="125">
        <f t="shared" si="140"/>
        <v>11.996700000000001</v>
      </c>
      <c r="T250" s="125">
        <f t="shared" si="140"/>
        <v>11.996700000000001</v>
      </c>
      <c r="U250" s="125">
        <f t="shared" si="140"/>
        <v>11.996700000000001</v>
      </c>
      <c r="V250" s="125">
        <f t="shared" si="140"/>
        <v>11.996700000000001</v>
      </c>
      <c r="W250" s="125">
        <f t="shared" si="140"/>
        <v>11.996700000000001</v>
      </c>
      <c r="X250" s="125">
        <f t="shared" ref="X250:AG250" si="141">IF($B$5 &lt; 30,0.4*$B$5 + 6,0)</f>
        <v>10</v>
      </c>
      <c r="Y250" s="125">
        <f t="shared" si="141"/>
        <v>10</v>
      </c>
      <c r="Z250" s="125">
        <f t="shared" si="141"/>
        <v>10</v>
      </c>
      <c r="AA250" s="125">
        <f t="shared" si="141"/>
        <v>10</v>
      </c>
      <c r="AB250" s="125">
        <f t="shared" si="141"/>
        <v>10</v>
      </c>
      <c r="AC250" s="125">
        <f t="shared" si="141"/>
        <v>10</v>
      </c>
      <c r="AD250" s="125">
        <f t="shared" si="141"/>
        <v>10</v>
      </c>
      <c r="AE250" s="125">
        <f t="shared" si="141"/>
        <v>10</v>
      </c>
      <c r="AF250" s="125">
        <f t="shared" si="141"/>
        <v>10</v>
      </c>
      <c r="AG250" s="126">
        <f t="shared" si="141"/>
        <v>10</v>
      </c>
      <c r="AH250" s="22"/>
    </row>
    <row r="251" spans="1:34" x14ac:dyDescent="0.25">
      <c r="A251" s="112"/>
      <c r="B251" s="69" t="s">
        <v>231</v>
      </c>
      <c r="C251" s="133" t="s">
        <v>59</v>
      </c>
      <c r="D251" s="125">
        <f t="shared" ref="D251:M251" si="142">IF($B$5 &gt;= 15,0.2*$B$5 + 8,0)</f>
        <v>0</v>
      </c>
      <c r="E251" s="125">
        <f t="shared" si="142"/>
        <v>0</v>
      </c>
      <c r="F251" s="125">
        <f t="shared" si="142"/>
        <v>0</v>
      </c>
      <c r="G251" s="125">
        <f t="shared" si="142"/>
        <v>0</v>
      </c>
      <c r="H251" s="125">
        <f t="shared" si="142"/>
        <v>0</v>
      </c>
      <c r="I251" s="125">
        <f t="shared" si="142"/>
        <v>0</v>
      </c>
      <c r="J251" s="125">
        <f t="shared" si="142"/>
        <v>0</v>
      </c>
      <c r="K251" s="125">
        <f t="shared" si="142"/>
        <v>0</v>
      </c>
      <c r="L251" s="125">
        <f t="shared" si="142"/>
        <v>0</v>
      </c>
      <c r="M251" s="125">
        <f t="shared" si="142"/>
        <v>0</v>
      </c>
      <c r="N251" s="125">
        <f t="shared" ref="N251:W252" si="143">IF($B$5 &gt;= 30,8,0)</f>
        <v>0</v>
      </c>
      <c r="O251" s="125">
        <f t="shared" si="143"/>
        <v>0</v>
      </c>
      <c r="P251" s="125">
        <f t="shared" si="143"/>
        <v>0</v>
      </c>
      <c r="Q251" s="125">
        <f t="shared" si="143"/>
        <v>0</v>
      </c>
      <c r="R251" s="125">
        <f t="shared" si="143"/>
        <v>0</v>
      </c>
      <c r="S251" s="125">
        <f t="shared" si="143"/>
        <v>0</v>
      </c>
      <c r="T251" s="125">
        <f t="shared" si="143"/>
        <v>0</v>
      </c>
      <c r="U251" s="125">
        <f t="shared" si="143"/>
        <v>0</v>
      </c>
      <c r="V251" s="125">
        <f t="shared" si="143"/>
        <v>0</v>
      </c>
      <c r="W251" s="125">
        <f t="shared" si="143"/>
        <v>0</v>
      </c>
      <c r="X251" s="125">
        <f t="shared" ref="X251:AG251" si="144">IF($B$5 &gt;= 30,6,0)</f>
        <v>0</v>
      </c>
      <c r="Y251" s="125">
        <f t="shared" si="144"/>
        <v>0</v>
      </c>
      <c r="Z251" s="125">
        <f t="shared" si="144"/>
        <v>0</v>
      </c>
      <c r="AA251" s="125">
        <f t="shared" si="144"/>
        <v>0</v>
      </c>
      <c r="AB251" s="125">
        <f t="shared" si="144"/>
        <v>0</v>
      </c>
      <c r="AC251" s="125">
        <f t="shared" si="144"/>
        <v>0</v>
      </c>
      <c r="AD251" s="125">
        <f t="shared" si="144"/>
        <v>0</v>
      </c>
      <c r="AE251" s="125">
        <f t="shared" si="144"/>
        <v>0</v>
      </c>
      <c r="AF251" s="125">
        <f t="shared" si="144"/>
        <v>0</v>
      </c>
      <c r="AG251" s="126">
        <f t="shared" si="144"/>
        <v>0</v>
      </c>
      <c r="AH251" s="22"/>
    </row>
    <row r="252" spans="1:34" x14ac:dyDescent="0.25">
      <c r="A252" s="112"/>
      <c r="B252" s="69" t="s">
        <v>232</v>
      </c>
      <c r="C252" s="133" t="s">
        <v>59</v>
      </c>
      <c r="D252" s="125">
        <v>0</v>
      </c>
      <c r="E252" s="125">
        <v>0</v>
      </c>
      <c r="F252" s="125">
        <v>0</v>
      </c>
      <c r="G252" s="125">
        <v>0</v>
      </c>
      <c r="H252" s="125">
        <v>0</v>
      </c>
      <c r="I252" s="125">
        <v>0</v>
      </c>
      <c r="J252" s="125">
        <v>0</v>
      </c>
      <c r="K252" s="125">
        <v>0</v>
      </c>
      <c r="L252" s="125">
        <v>0</v>
      </c>
      <c r="M252" s="125">
        <v>0</v>
      </c>
      <c r="N252" s="125">
        <f t="shared" si="143"/>
        <v>0</v>
      </c>
      <c r="O252" s="125">
        <f t="shared" si="143"/>
        <v>0</v>
      </c>
      <c r="P252" s="125">
        <f t="shared" si="143"/>
        <v>0</v>
      </c>
      <c r="Q252" s="125">
        <f t="shared" si="143"/>
        <v>0</v>
      </c>
      <c r="R252" s="125">
        <f t="shared" si="143"/>
        <v>0</v>
      </c>
      <c r="S252" s="125">
        <f t="shared" si="143"/>
        <v>0</v>
      </c>
      <c r="T252" s="125">
        <f t="shared" si="143"/>
        <v>0</v>
      </c>
      <c r="U252" s="125">
        <f t="shared" si="143"/>
        <v>0</v>
      </c>
      <c r="V252" s="125">
        <f t="shared" si="143"/>
        <v>0</v>
      </c>
      <c r="W252" s="125">
        <f t="shared" si="143"/>
        <v>0</v>
      </c>
      <c r="X252" s="125">
        <f t="shared" ref="X252:AG252" si="145">IF($B$5 &gt;= 30,10,0)</f>
        <v>0</v>
      </c>
      <c r="Y252" s="125">
        <f t="shared" si="145"/>
        <v>0</v>
      </c>
      <c r="Z252" s="125">
        <f t="shared" si="145"/>
        <v>0</v>
      </c>
      <c r="AA252" s="125">
        <f t="shared" si="145"/>
        <v>0</v>
      </c>
      <c r="AB252" s="125">
        <f t="shared" si="145"/>
        <v>0</v>
      </c>
      <c r="AC252" s="125">
        <f t="shared" si="145"/>
        <v>0</v>
      </c>
      <c r="AD252" s="125">
        <f t="shared" si="145"/>
        <v>0</v>
      </c>
      <c r="AE252" s="125">
        <f t="shared" si="145"/>
        <v>0</v>
      </c>
      <c r="AF252" s="125">
        <f t="shared" si="145"/>
        <v>0</v>
      </c>
      <c r="AG252" s="126">
        <f t="shared" si="145"/>
        <v>0</v>
      </c>
      <c r="AH252" s="22"/>
    </row>
    <row r="253" spans="1:34" x14ac:dyDescent="0.25">
      <c r="A253" s="112"/>
      <c r="B253" s="120" t="s">
        <v>553</v>
      </c>
      <c r="C253" s="121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8"/>
      <c r="AH253" s="22"/>
    </row>
    <row r="254" spans="1:34" x14ac:dyDescent="0.25">
      <c r="A254" s="112"/>
      <c r="B254" s="69" t="s">
        <v>241</v>
      </c>
      <c r="C254" s="133" t="s">
        <v>64</v>
      </c>
      <c r="D254" s="125">
        <f t="shared" ref="D254:M254" si="146">0.02*$B$5^2 - 1.2*$B$5 + 34</f>
        <v>24</v>
      </c>
      <c r="E254" s="125">
        <f t="shared" si="146"/>
        <v>24</v>
      </c>
      <c r="F254" s="125">
        <f t="shared" si="146"/>
        <v>24</v>
      </c>
      <c r="G254" s="125">
        <f t="shared" si="146"/>
        <v>24</v>
      </c>
      <c r="H254" s="125">
        <f t="shared" si="146"/>
        <v>24</v>
      </c>
      <c r="I254" s="125">
        <f t="shared" si="146"/>
        <v>24</v>
      </c>
      <c r="J254" s="125">
        <f t="shared" si="146"/>
        <v>24</v>
      </c>
      <c r="K254" s="125">
        <f t="shared" si="146"/>
        <v>24</v>
      </c>
      <c r="L254" s="125">
        <f t="shared" si="146"/>
        <v>24</v>
      </c>
      <c r="M254" s="125">
        <f t="shared" si="146"/>
        <v>24</v>
      </c>
      <c r="N254" s="125">
        <f t="shared" ref="N254:W255" si="147">-0.02*$B$5^2 + 1.2*$B$5 + 8</f>
        <v>18</v>
      </c>
      <c r="O254" s="125">
        <f t="shared" si="147"/>
        <v>18</v>
      </c>
      <c r="P254" s="125">
        <f t="shared" si="147"/>
        <v>18</v>
      </c>
      <c r="Q254" s="125">
        <f t="shared" si="147"/>
        <v>18</v>
      </c>
      <c r="R254" s="125">
        <f t="shared" si="147"/>
        <v>18</v>
      </c>
      <c r="S254" s="125">
        <f t="shared" si="147"/>
        <v>18</v>
      </c>
      <c r="T254" s="125">
        <f t="shared" si="147"/>
        <v>18</v>
      </c>
      <c r="U254" s="125">
        <f t="shared" si="147"/>
        <v>18</v>
      </c>
      <c r="V254" s="125">
        <f t="shared" si="147"/>
        <v>18</v>
      </c>
      <c r="W254" s="125">
        <f t="shared" si="147"/>
        <v>18</v>
      </c>
      <c r="X254" s="125">
        <f>24</f>
        <v>24</v>
      </c>
      <c r="Y254" s="125">
        <f>24</f>
        <v>24</v>
      </c>
      <c r="Z254" s="125">
        <f>24</f>
        <v>24</v>
      </c>
      <c r="AA254" s="125">
        <f>24</f>
        <v>24</v>
      </c>
      <c r="AB254" s="125">
        <f>24</f>
        <v>24</v>
      </c>
      <c r="AC254" s="125">
        <f>24</f>
        <v>24</v>
      </c>
      <c r="AD254" s="125">
        <f>24</f>
        <v>24</v>
      </c>
      <c r="AE254" s="125">
        <f>24</f>
        <v>24</v>
      </c>
      <c r="AF254" s="125">
        <f>24</f>
        <v>24</v>
      </c>
      <c r="AG254" s="126">
        <f>24</f>
        <v>24</v>
      </c>
      <c r="AH254" s="22"/>
    </row>
    <row r="255" spans="1:34" x14ac:dyDescent="0.25">
      <c r="A255" s="112"/>
      <c r="B255" s="69" t="s">
        <v>242</v>
      </c>
      <c r="C255" s="133" t="s">
        <v>64</v>
      </c>
      <c r="D255" s="125">
        <f t="shared" ref="D255:M255" si="148">-0.02*$B$5^2 + 1.2*$B$5 + 8</f>
        <v>18</v>
      </c>
      <c r="E255" s="125">
        <f t="shared" si="148"/>
        <v>18</v>
      </c>
      <c r="F255" s="125">
        <f t="shared" si="148"/>
        <v>18</v>
      </c>
      <c r="G255" s="125">
        <f t="shared" si="148"/>
        <v>18</v>
      </c>
      <c r="H255" s="125">
        <f t="shared" si="148"/>
        <v>18</v>
      </c>
      <c r="I255" s="125">
        <f t="shared" si="148"/>
        <v>18</v>
      </c>
      <c r="J255" s="125">
        <f t="shared" si="148"/>
        <v>18</v>
      </c>
      <c r="K255" s="125">
        <f t="shared" si="148"/>
        <v>18</v>
      </c>
      <c r="L255" s="125">
        <f t="shared" si="148"/>
        <v>18</v>
      </c>
      <c r="M255" s="125">
        <f t="shared" si="148"/>
        <v>18</v>
      </c>
      <c r="N255" s="125">
        <f t="shared" si="147"/>
        <v>18</v>
      </c>
      <c r="O255" s="125">
        <f t="shared" si="147"/>
        <v>18</v>
      </c>
      <c r="P255" s="125">
        <f t="shared" si="147"/>
        <v>18</v>
      </c>
      <c r="Q255" s="125">
        <f t="shared" si="147"/>
        <v>18</v>
      </c>
      <c r="R255" s="125">
        <f t="shared" si="147"/>
        <v>18</v>
      </c>
      <c r="S255" s="125">
        <f t="shared" si="147"/>
        <v>18</v>
      </c>
      <c r="T255" s="125">
        <f t="shared" si="147"/>
        <v>18</v>
      </c>
      <c r="U255" s="125">
        <f t="shared" si="147"/>
        <v>18</v>
      </c>
      <c r="V255" s="125">
        <f t="shared" si="147"/>
        <v>18</v>
      </c>
      <c r="W255" s="125">
        <f t="shared" si="147"/>
        <v>18</v>
      </c>
      <c r="X255" s="125">
        <f>24</f>
        <v>24</v>
      </c>
      <c r="Y255" s="125">
        <f>24</f>
        <v>24</v>
      </c>
      <c r="Z255" s="125">
        <f>24</f>
        <v>24</v>
      </c>
      <c r="AA255" s="125">
        <f>24</f>
        <v>24</v>
      </c>
      <c r="AB255" s="125">
        <f>24</f>
        <v>24</v>
      </c>
      <c r="AC255" s="125">
        <f>24</f>
        <v>24</v>
      </c>
      <c r="AD255" s="125">
        <f>24</f>
        <v>24</v>
      </c>
      <c r="AE255" s="125">
        <f>24</f>
        <v>24</v>
      </c>
      <c r="AF255" s="125">
        <f>24</f>
        <v>24</v>
      </c>
      <c r="AG255" s="126">
        <f>24</f>
        <v>24</v>
      </c>
      <c r="AH255" s="22"/>
    </row>
    <row r="256" spans="1:34" x14ac:dyDescent="0.25">
      <c r="A256" s="112"/>
      <c r="B256" s="69" t="s">
        <v>243</v>
      </c>
      <c r="C256" s="133" t="s">
        <v>64</v>
      </c>
      <c r="D256" s="125">
        <v>0</v>
      </c>
      <c r="E256" s="125">
        <v>0</v>
      </c>
      <c r="F256" s="125">
        <v>0</v>
      </c>
      <c r="G256" s="125">
        <v>0</v>
      </c>
      <c r="H256" s="125">
        <v>0</v>
      </c>
      <c r="I256" s="125">
        <v>0</v>
      </c>
      <c r="J256" s="125">
        <v>0</v>
      </c>
      <c r="K256" s="125">
        <v>0</v>
      </c>
      <c r="L256" s="125">
        <v>0</v>
      </c>
      <c r="M256" s="125">
        <v>0</v>
      </c>
      <c r="N256" s="125">
        <f t="shared" ref="N256:W256" si="149">IF($B$5 &lt; 30,6,0)</f>
        <v>6</v>
      </c>
      <c r="O256" s="125">
        <f t="shared" si="149"/>
        <v>6</v>
      </c>
      <c r="P256" s="125">
        <f t="shared" si="149"/>
        <v>6</v>
      </c>
      <c r="Q256" s="125">
        <f t="shared" si="149"/>
        <v>6</v>
      </c>
      <c r="R256" s="125">
        <f t="shared" si="149"/>
        <v>6</v>
      </c>
      <c r="S256" s="125">
        <f t="shared" si="149"/>
        <v>6</v>
      </c>
      <c r="T256" s="125">
        <f t="shared" si="149"/>
        <v>6</v>
      </c>
      <c r="U256" s="125">
        <f t="shared" si="149"/>
        <v>6</v>
      </c>
      <c r="V256" s="125">
        <f t="shared" si="149"/>
        <v>6</v>
      </c>
      <c r="W256" s="125">
        <f t="shared" si="149"/>
        <v>6</v>
      </c>
      <c r="X256" s="125">
        <f t="shared" ref="X256:AG256" si="150">IF($B$5 &lt; 15,6,0)</f>
        <v>6</v>
      </c>
      <c r="Y256" s="125">
        <f t="shared" si="150"/>
        <v>6</v>
      </c>
      <c r="Z256" s="125">
        <f t="shared" si="150"/>
        <v>6</v>
      </c>
      <c r="AA256" s="125">
        <f t="shared" si="150"/>
        <v>6</v>
      </c>
      <c r="AB256" s="125">
        <f t="shared" si="150"/>
        <v>6</v>
      </c>
      <c r="AC256" s="125">
        <f t="shared" si="150"/>
        <v>6</v>
      </c>
      <c r="AD256" s="125">
        <f t="shared" si="150"/>
        <v>6</v>
      </c>
      <c r="AE256" s="125">
        <f t="shared" si="150"/>
        <v>6</v>
      </c>
      <c r="AF256" s="125">
        <f t="shared" si="150"/>
        <v>6</v>
      </c>
      <c r="AG256" s="126">
        <f t="shared" si="150"/>
        <v>6</v>
      </c>
      <c r="AH256" s="22"/>
    </row>
    <row r="257" spans="1:34" x14ac:dyDescent="0.25">
      <c r="A257" s="112"/>
      <c r="B257" s="69" t="s">
        <v>244</v>
      </c>
      <c r="C257" s="133" t="s">
        <v>64</v>
      </c>
      <c r="D257" s="125">
        <f t="shared" ref="D257:M257" si="151">0.01*$B$5^2 - 0.3*$B$5 + 20</f>
        <v>18</v>
      </c>
      <c r="E257" s="125">
        <f t="shared" si="151"/>
        <v>18</v>
      </c>
      <c r="F257" s="125">
        <f t="shared" si="151"/>
        <v>18</v>
      </c>
      <c r="G257" s="125">
        <f t="shared" si="151"/>
        <v>18</v>
      </c>
      <c r="H257" s="125">
        <f t="shared" si="151"/>
        <v>18</v>
      </c>
      <c r="I257" s="125">
        <f t="shared" si="151"/>
        <v>18</v>
      </c>
      <c r="J257" s="125">
        <f t="shared" si="151"/>
        <v>18</v>
      </c>
      <c r="K257" s="125">
        <f t="shared" si="151"/>
        <v>18</v>
      </c>
      <c r="L257" s="125">
        <f t="shared" si="151"/>
        <v>18</v>
      </c>
      <c r="M257" s="125">
        <f t="shared" si="151"/>
        <v>18</v>
      </c>
      <c r="N257" s="125">
        <f t="shared" ref="N257:W257" si="152">-0.02*$B$5^2 + 1.2*$B$5 + 8</f>
        <v>18</v>
      </c>
      <c r="O257" s="125">
        <f t="shared" si="152"/>
        <v>18</v>
      </c>
      <c r="P257" s="125">
        <f t="shared" si="152"/>
        <v>18</v>
      </c>
      <c r="Q257" s="125">
        <f t="shared" si="152"/>
        <v>18</v>
      </c>
      <c r="R257" s="125">
        <f t="shared" si="152"/>
        <v>18</v>
      </c>
      <c r="S257" s="125">
        <f t="shared" si="152"/>
        <v>18</v>
      </c>
      <c r="T257" s="125">
        <f t="shared" si="152"/>
        <v>18</v>
      </c>
      <c r="U257" s="125">
        <f t="shared" si="152"/>
        <v>18</v>
      </c>
      <c r="V257" s="125">
        <f t="shared" si="152"/>
        <v>18</v>
      </c>
      <c r="W257" s="125">
        <f t="shared" si="152"/>
        <v>18</v>
      </c>
      <c r="X257" s="125">
        <f>24</f>
        <v>24</v>
      </c>
      <c r="Y257" s="125">
        <f>24</f>
        <v>24</v>
      </c>
      <c r="Z257" s="125">
        <f>24</f>
        <v>24</v>
      </c>
      <c r="AA257" s="125">
        <f>24</f>
        <v>24</v>
      </c>
      <c r="AB257" s="125">
        <f>24</f>
        <v>24</v>
      </c>
      <c r="AC257" s="125">
        <f>24</f>
        <v>24</v>
      </c>
      <c r="AD257" s="125">
        <f>24</f>
        <v>24</v>
      </c>
      <c r="AE257" s="125">
        <f>24</f>
        <v>24</v>
      </c>
      <c r="AF257" s="125">
        <f>24</f>
        <v>24</v>
      </c>
      <c r="AG257" s="126">
        <f>24</f>
        <v>24</v>
      </c>
      <c r="AH257" s="22"/>
    </row>
    <row r="258" spans="1:34" x14ac:dyDescent="0.25">
      <c r="A258" s="112"/>
      <c r="B258" s="69" t="s">
        <v>246</v>
      </c>
      <c r="C258" s="133" t="s">
        <v>59</v>
      </c>
      <c r="D258" s="125">
        <f t="shared" ref="D258:M258" si="153">-0.0017*$B$5^2 + 0.05*$B$5 + 1.6667</f>
        <v>1.9967000000000001</v>
      </c>
      <c r="E258" s="125">
        <f t="shared" si="153"/>
        <v>1.9967000000000001</v>
      </c>
      <c r="F258" s="125">
        <f t="shared" si="153"/>
        <v>1.9967000000000001</v>
      </c>
      <c r="G258" s="125">
        <f t="shared" si="153"/>
        <v>1.9967000000000001</v>
      </c>
      <c r="H258" s="125">
        <f t="shared" si="153"/>
        <v>1.9967000000000001</v>
      </c>
      <c r="I258" s="125">
        <f t="shared" si="153"/>
        <v>1.9967000000000001</v>
      </c>
      <c r="J258" s="125">
        <f t="shared" si="153"/>
        <v>1.9967000000000001</v>
      </c>
      <c r="K258" s="125">
        <f t="shared" si="153"/>
        <v>1.9967000000000001</v>
      </c>
      <c r="L258" s="125">
        <f t="shared" si="153"/>
        <v>1.9967000000000001</v>
      </c>
      <c r="M258" s="125">
        <f t="shared" si="153"/>
        <v>1.9967000000000001</v>
      </c>
      <c r="N258" s="125">
        <f>2</f>
        <v>2</v>
      </c>
      <c r="O258" s="125">
        <f>2</f>
        <v>2</v>
      </c>
      <c r="P258" s="125">
        <f>2</f>
        <v>2</v>
      </c>
      <c r="Q258" s="125">
        <f>2</f>
        <v>2</v>
      </c>
      <c r="R258" s="125">
        <f>2</f>
        <v>2</v>
      </c>
      <c r="S258" s="125">
        <f>2</f>
        <v>2</v>
      </c>
      <c r="T258" s="125">
        <f>2</f>
        <v>2</v>
      </c>
      <c r="U258" s="125">
        <f>2</f>
        <v>2</v>
      </c>
      <c r="V258" s="125">
        <f>2</f>
        <v>2</v>
      </c>
      <c r="W258" s="125">
        <f>2</f>
        <v>2</v>
      </c>
      <c r="X258" s="125">
        <f>2</f>
        <v>2</v>
      </c>
      <c r="Y258" s="125">
        <f>2</f>
        <v>2</v>
      </c>
      <c r="Z258" s="125">
        <f>2</f>
        <v>2</v>
      </c>
      <c r="AA258" s="125">
        <f>2</f>
        <v>2</v>
      </c>
      <c r="AB258" s="125">
        <f>2</f>
        <v>2</v>
      </c>
      <c r="AC258" s="125">
        <f>2</f>
        <v>2</v>
      </c>
      <c r="AD258" s="125">
        <f>2</f>
        <v>2</v>
      </c>
      <c r="AE258" s="125">
        <f>2</f>
        <v>2</v>
      </c>
      <c r="AF258" s="125">
        <f>2</f>
        <v>2</v>
      </c>
      <c r="AG258" s="126">
        <f>2</f>
        <v>2</v>
      </c>
      <c r="AH258" s="22"/>
    </row>
    <row r="259" spans="1:34" x14ac:dyDescent="0.25">
      <c r="A259" s="112"/>
      <c r="B259" s="69" t="s">
        <v>250</v>
      </c>
      <c r="C259" s="133" t="s">
        <v>59</v>
      </c>
      <c r="D259" s="125">
        <f>2</f>
        <v>2</v>
      </c>
      <c r="E259" s="125">
        <f>2</f>
        <v>2</v>
      </c>
      <c r="F259" s="125">
        <f>2</f>
        <v>2</v>
      </c>
      <c r="G259" s="125">
        <f>2</f>
        <v>2</v>
      </c>
      <c r="H259" s="125">
        <f>2</f>
        <v>2</v>
      </c>
      <c r="I259" s="125">
        <f>2</f>
        <v>2</v>
      </c>
      <c r="J259" s="125">
        <f>2</f>
        <v>2</v>
      </c>
      <c r="K259" s="125">
        <f>2</f>
        <v>2</v>
      </c>
      <c r="L259" s="125">
        <f>2</f>
        <v>2</v>
      </c>
      <c r="M259" s="125">
        <f>2</f>
        <v>2</v>
      </c>
      <c r="N259" s="125">
        <f>2</f>
        <v>2</v>
      </c>
      <c r="O259" s="125">
        <f>2</f>
        <v>2</v>
      </c>
      <c r="P259" s="125">
        <f>2</f>
        <v>2</v>
      </c>
      <c r="Q259" s="125">
        <f>2</f>
        <v>2</v>
      </c>
      <c r="R259" s="125">
        <f>2</f>
        <v>2</v>
      </c>
      <c r="S259" s="125">
        <f>2</f>
        <v>2</v>
      </c>
      <c r="T259" s="125">
        <f>2</f>
        <v>2</v>
      </c>
      <c r="U259" s="125">
        <f>2</f>
        <v>2</v>
      </c>
      <c r="V259" s="125">
        <f>2</f>
        <v>2</v>
      </c>
      <c r="W259" s="125">
        <f>2</f>
        <v>2</v>
      </c>
      <c r="X259" s="125">
        <f>2</f>
        <v>2</v>
      </c>
      <c r="Y259" s="125">
        <f>2</f>
        <v>2</v>
      </c>
      <c r="Z259" s="125">
        <f>2</f>
        <v>2</v>
      </c>
      <c r="AA259" s="125">
        <f>2</f>
        <v>2</v>
      </c>
      <c r="AB259" s="125">
        <f>2</f>
        <v>2</v>
      </c>
      <c r="AC259" s="125">
        <f>2</f>
        <v>2</v>
      </c>
      <c r="AD259" s="125">
        <f>2</f>
        <v>2</v>
      </c>
      <c r="AE259" s="125">
        <f>2</f>
        <v>2</v>
      </c>
      <c r="AF259" s="125">
        <f>2</f>
        <v>2</v>
      </c>
      <c r="AG259" s="126">
        <f>2</f>
        <v>2</v>
      </c>
      <c r="AH259" s="22"/>
    </row>
    <row r="260" spans="1:34" x14ac:dyDescent="0.25">
      <c r="A260" s="112"/>
      <c r="B260" s="69" t="s">
        <v>251</v>
      </c>
      <c r="C260" s="133" t="s">
        <v>59</v>
      </c>
      <c r="D260" s="125">
        <f>1</f>
        <v>1</v>
      </c>
      <c r="E260" s="125">
        <f>1</f>
        <v>1</v>
      </c>
      <c r="F260" s="125">
        <f>1</f>
        <v>1</v>
      </c>
      <c r="G260" s="125">
        <f>1</f>
        <v>1</v>
      </c>
      <c r="H260" s="125">
        <f>1</f>
        <v>1</v>
      </c>
      <c r="I260" s="125">
        <f>1</f>
        <v>1</v>
      </c>
      <c r="J260" s="125">
        <f>1</f>
        <v>1</v>
      </c>
      <c r="K260" s="125">
        <f>1</f>
        <v>1</v>
      </c>
      <c r="L260" s="125">
        <f>1</f>
        <v>1</v>
      </c>
      <c r="M260" s="125">
        <f>1</f>
        <v>1</v>
      </c>
      <c r="N260" s="125">
        <f>1</f>
        <v>1</v>
      </c>
      <c r="O260" s="125">
        <f>1</f>
        <v>1</v>
      </c>
      <c r="P260" s="125">
        <f>1</f>
        <v>1</v>
      </c>
      <c r="Q260" s="125">
        <f>1</f>
        <v>1</v>
      </c>
      <c r="R260" s="125">
        <f>1</f>
        <v>1</v>
      </c>
      <c r="S260" s="125">
        <f>1</f>
        <v>1</v>
      </c>
      <c r="T260" s="125">
        <f>1</f>
        <v>1</v>
      </c>
      <c r="U260" s="125">
        <f>1</f>
        <v>1</v>
      </c>
      <c r="V260" s="125">
        <f>1</f>
        <v>1</v>
      </c>
      <c r="W260" s="125">
        <f>1</f>
        <v>1</v>
      </c>
      <c r="X260" s="125">
        <f>1</f>
        <v>1</v>
      </c>
      <c r="Y260" s="125">
        <f>1</f>
        <v>1</v>
      </c>
      <c r="Z260" s="125">
        <f>1</f>
        <v>1</v>
      </c>
      <c r="AA260" s="125">
        <f>1</f>
        <v>1</v>
      </c>
      <c r="AB260" s="125">
        <f>1</f>
        <v>1</v>
      </c>
      <c r="AC260" s="125">
        <f>1</f>
        <v>1</v>
      </c>
      <c r="AD260" s="125">
        <f>1</f>
        <v>1</v>
      </c>
      <c r="AE260" s="125">
        <f>1</f>
        <v>1</v>
      </c>
      <c r="AF260" s="125">
        <f>1</f>
        <v>1</v>
      </c>
      <c r="AG260" s="126">
        <f>1</f>
        <v>1</v>
      </c>
      <c r="AH260" s="22"/>
    </row>
    <row r="261" spans="1:34" x14ac:dyDescent="0.25">
      <c r="A261" s="112"/>
      <c r="B261" s="69" t="s">
        <v>254</v>
      </c>
      <c r="C261" s="133" t="s">
        <v>59</v>
      </c>
      <c r="D261" s="125">
        <f>1</f>
        <v>1</v>
      </c>
      <c r="E261" s="125">
        <f>1</f>
        <v>1</v>
      </c>
      <c r="F261" s="125">
        <f>1</f>
        <v>1</v>
      </c>
      <c r="G261" s="125">
        <f>1</f>
        <v>1</v>
      </c>
      <c r="H261" s="125">
        <f>1</f>
        <v>1</v>
      </c>
      <c r="I261" s="125">
        <f>1</f>
        <v>1</v>
      </c>
      <c r="J261" s="125">
        <f>1</f>
        <v>1</v>
      </c>
      <c r="K261" s="125">
        <f>1</f>
        <v>1</v>
      </c>
      <c r="L261" s="125">
        <f>1</f>
        <v>1</v>
      </c>
      <c r="M261" s="125">
        <f>1</f>
        <v>1</v>
      </c>
      <c r="N261" s="125">
        <f>1</f>
        <v>1</v>
      </c>
      <c r="O261" s="125">
        <f>1</f>
        <v>1</v>
      </c>
      <c r="P261" s="125">
        <f>1</f>
        <v>1</v>
      </c>
      <c r="Q261" s="125">
        <f>1</f>
        <v>1</v>
      </c>
      <c r="R261" s="125">
        <f>1</f>
        <v>1</v>
      </c>
      <c r="S261" s="125">
        <f>1</f>
        <v>1</v>
      </c>
      <c r="T261" s="125">
        <f>1</f>
        <v>1</v>
      </c>
      <c r="U261" s="125">
        <f>1</f>
        <v>1</v>
      </c>
      <c r="V261" s="125">
        <f>1</f>
        <v>1</v>
      </c>
      <c r="W261" s="125">
        <f>1</f>
        <v>1</v>
      </c>
      <c r="X261" s="125">
        <f>1</f>
        <v>1</v>
      </c>
      <c r="Y261" s="125">
        <f>1</f>
        <v>1</v>
      </c>
      <c r="Z261" s="125">
        <f>1</f>
        <v>1</v>
      </c>
      <c r="AA261" s="125">
        <f>1</f>
        <v>1</v>
      </c>
      <c r="AB261" s="125">
        <f>1</f>
        <v>1</v>
      </c>
      <c r="AC261" s="125">
        <f>1</f>
        <v>1</v>
      </c>
      <c r="AD261" s="125">
        <f>1</f>
        <v>1</v>
      </c>
      <c r="AE261" s="125">
        <f>1</f>
        <v>1</v>
      </c>
      <c r="AF261" s="125">
        <f>1</f>
        <v>1</v>
      </c>
      <c r="AG261" s="126">
        <f>1</f>
        <v>1</v>
      </c>
      <c r="AH261" s="22"/>
    </row>
    <row r="262" spans="1:34" x14ac:dyDescent="0.25">
      <c r="A262" s="112"/>
      <c r="B262" s="69" t="s">
        <v>255</v>
      </c>
      <c r="C262" s="133" t="s">
        <v>59</v>
      </c>
      <c r="D262" s="125">
        <f>1</f>
        <v>1</v>
      </c>
      <c r="E262" s="125">
        <f>1</f>
        <v>1</v>
      </c>
      <c r="F262" s="125">
        <f>1</f>
        <v>1</v>
      </c>
      <c r="G262" s="125">
        <f>1</f>
        <v>1</v>
      </c>
      <c r="H262" s="125">
        <f>1</f>
        <v>1</v>
      </c>
      <c r="I262" s="125">
        <f>1</f>
        <v>1</v>
      </c>
      <c r="J262" s="125">
        <f>1</f>
        <v>1</v>
      </c>
      <c r="K262" s="125">
        <f>1</f>
        <v>1</v>
      </c>
      <c r="L262" s="125">
        <f>1</f>
        <v>1</v>
      </c>
      <c r="M262" s="125">
        <f>1</f>
        <v>1</v>
      </c>
      <c r="N262" s="125">
        <f>1</f>
        <v>1</v>
      </c>
      <c r="O262" s="125">
        <f>1</f>
        <v>1</v>
      </c>
      <c r="P262" s="125">
        <f>1</f>
        <v>1</v>
      </c>
      <c r="Q262" s="125">
        <f>1</f>
        <v>1</v>
      </c>
      <c r="R262" s="125">
        <f>1</f>
        <v>1</v>
      </c>
      <c r="S262" s="125">
        <f>1</f>
        <v>1</v>
      </c>
      <c r="T262" s="125">
        <f>1</f>
        <v>1</v>
      </c>
      <c r="U262" s="125">
        <f>1</f>
        <v>1</v>
      </c>
      <c r="V262" s="125">
        <f>1</f>
        <v>1</v>
      </c>
      <c r="W262" s="125">
        <f>1</f>
        <v>1</v>
      </c>
      <c r="X262" s="125">
        <f>1</f>
        <v>1</v>
      </c>
      <c r="Y262" s="125">
        <f>1</f>
        <v>1</v>
      </c>
      <c r="Z262" s="125">
        <f>1</f>
        <v>1</v>
      </c>
      <c r="AA262" s="125">
        <f>1</f>
        <v>1</v>
      </c>
      <c r="AB262" s="125">
        <f>1</f>
        <v>1</v>
      </c>
      <c r="AC262" s="125">
        <f>1</f>
        <v>1</v>
      </c>
      <c r="AD262" s="125">
        <f>1</f>
        <v>1</v>
      </c>
      <c r="AE262" s="125">
        <f>1</f>
        <v>1</v>
      </c>
      <c r="AF262" s="125">
        <f>1</f>
        <v>1</v>
      </c>
      <c r="AG262" s="126">
        <f>1</f>
        <v>1</v>
      </c>
      <c r="AH262" s="22"/>
    </row>
    <row r="263" spans="1:34" x14ac:dyDescent="0.25">
      <c r="A263" s="112"/>
      <c r="B263" s="69" t="s">
        <v>256</v>
      </c>
      <c r="C263" s="133" t="s">
        <v>59</v>
      </c>
      <c r="D263" s="125">
        <f t="shared" ref="D263:M263" si="154">IF($B$5 &gt;= 30,1,0)</f>
        <v>0</v>
      </c>
      <c r="E263" s="125">
        <f t="shared" si="154"/>
        <v>0</v>
      </c>
      <c r="F263" s="125">
        <f t="shared" si="154"/>
        <v>0</v>
      </c>
      <c r="G263" s="125">
        <f t="shared" si="154"/>
        <v>0</v>
      </c>
      <c r="H263" s="125">
        <f t="shared" si="154"/>
        <v>0</v>
      </c>
      <c r="I263" s="125">
        <f t="shared" si="154"/>
        <v>0</v>
      </c>
      <c r="J263" s="125">
        <f t="shared" si="154"/>
        <v>0</v>
      </c>
      <c r="K263" s="125">
        <f t="shared" si="154"/>
        <v>0</v>
      </c>
      <c r="L263" s="125">
        <f t="shared" si="154"/>
        <v>0</v>
      </c>
      <c r="M263" s="125">
        <f t="shared" si="154"/>
        <v>0</v>
      </c>
      <c r="N263" s="125">
        <f>1</f>
        <v>1</v>
      </c>
      <c r="O263" s="125">
        <f>1</f>
        <v>1</v>
      </c>
      <c r="P263" s="125">
        <f>1</f>
        <v>1</v>
      </c>
      <c r="Q263" s="125">
        <f>1</f>
        <v>1</v>
      </c>
      <c r="R263" s="125">
        <f>1</f>
        <v>1</v>
      </c>
      <c r="S263" s="125">
        <f>1</f>
        <v>1</v>
      </c>
      <c r="T263" s="125">
        <f>1</f>
        <v>1</v>
      </c>
      <c r="U263" s="125">
        <f>1</f>
        <v>1</v>
      </c>
      <c r="V263" s="125">
        <f>1</f>
        <v>1</v>
      </c>
      <c r="W263" s="125">
        <f>1</f>
        <v>1</v>
      </c>
      <c r="X263" s="125">
        <f>1</f>
        <v>1</v>
      </c>
      <c r="Y263" s="125">
        <f>1</f>
        <v>1</v>
      </c>
      <c r="Z263" s="125">
        <f>1</f>
        <v>1</v>
      </c>
      <c r="AA263" s="125">
        <f>1</f>
        <v>1</v>
      </c>
      <c r="AB263" s="125">
        <f>1</f>
        <v>1</v>
      </c>
      <c r="AC263" s="125">
        <f>1</f>
        <v>1</v>
      </c>
      <c r="AD263" s="125">
        <f>1</f>
        <v>1</v>
      </c>
      <c r="AE263" s="125">
        <f>1</f>
        <v>1</v>
      </c>
      <c r="AF263" s="125">
        <f>1</f>
        <v>1</v>
      </c>
      <c r="AG263" s="126">
        <f>1</f>
        <v>1</v>
      </c>
      <c r="AH263" s="22"/>
    </row>
    <row r="264" spans="1:34" x14ac:dyDescent="0.25">
      <c r="A264" s="112"/>
      <c r="B264" s="69" t="s">
        <v>258</v>
      </c>
      <c r="C264" s="133" t="s">
        <v>59</v>
      </c>
      <c r="D264" s="125">
        <f>1</f>
        <v>1</v>
      </c>
      <c r="E264" s="125">
        <f>1</f>
        <v>1</v>
      </c>
      <c r="F264" s="125">
        <f>1</f>
        <v>1</v>
      </c>
      <c r="G264" s="125">
        <f>1</f>
        <v>1</v>
      </c>
      <c r="H264" s="125">
        <f>1</f>
        <v>1</v>
      </c>
      <c r="I264" s="125">
        <f>1</f>
        <v>1</v>
      </c>
      <c r="J264" s="125">
        <f>1</f>
        <v>1</v>
      </c>
      <c r="K264" s="125">
        <f>1</f>
        <v>1</v>
      </c>
      <c r="L264" s="125">
        <f>1</f>
        <v>1</v>
      </c>
      <c r="M264" s="125">
        <f>1</f>
        <v>1</v>
      </c>
      <c r="N264" s="125">
        <f>1</f>
        <v>1</v>
      </c>
      <c r="O264" s="125">
        <f>1</f>
        <v>1</v>
      </c>
      <c r="P264" s="125">
        <f>1</f>
        <v>1</v>
      </c>
      <c r="Q264" s="125">
        <f>1</f>
        <v>1</v>
      </c>
      <c r="R264" s="125">
        <f>1</f>
        <v>1</v>
      </c>
      <c r="S264" s="125">
        <f>1</f>
        <v>1</v>
      </c>
      <c r="T264" s="125">
        <f>1</f>
        <v>1</v>
      </c>
      <c r="U264" s="125">
        <f>1</f>
        <v>1</v>
      </c>
      <c r="V264" s="125">
        <f>1</f>
        <v>1</v>
      </c>
      <c r="W264" s="125">
        <f>1</f>
        <v>1</v>
      </c>
      <c r="X264" s="125">
        <f>1</f>
        <v>1</v>
      </c>
      <c r="Y264" s="125">
        <f>1</f>
        <v>1</v>
      </c>
      <c r="Z264" s="125">
        <f>1</f>
        <v>1</v>
      </c>
      <c r="AA264" s="125">
        <f>1</f>
        <v>1</v>
      </c>
      <c r="AB264" s="125">
        <f>1</f>
        <v>1</v>
      </c>
      <c r="AC264" s="125">
        <f>1</f>
        <v>1</v>
      </c>
      <c r="AD264" s="125">
        <f>1</f>
        <v>1</v>
      </c>
      <c r="AE264" s="125">
        <f>1</f>
        <v>1</v>
      </c>
      <c r="AF264" s="125">
        <f>1</f>
        <v>1</v>
      </c>
      <c r="AG264" s="126">
        <f>1</f>
        <v>1</v>
      </c>
      <c r="AH264" s="22"/>
    </row>
    <row r="265" spans="1:34" x14ac:dyDescent="0.25">
      <c r="A265" s="112"/>
      <c r="B265" s="69" t="s">
        <v>260</v>
      </c>
      <c r="C265" s="133" t="s">
        <v>59</v>
      </c>
      <c r="D265" s="125">
        <f>2</f>
        <v>2</v>
      </c>
      <c r="E265" s="125">
        <f>2</f>
        <v>2</v>
      </c>
      <c r="F265" s="125">
        <f>2</f>
        <v>2</v>
      </c>
      <c r="G265" s="125">
        <f>2</f>
        <v>2</v>
      </c>
      <c r="H265" s="125">
        <f>2</f>
        <v>2</v>
      </c>
      <c r="I265" s="125">
        <f>2</f>
        <v>2</v>
      </c>
      <c r="J265" s="125">
        <f>2</f>
        <v>2</v>
      </c>
      <c r="K265" s="125">
        <f>2</f>
        <v>2</v>
      </c>
      <c r="L265" s="125">
        <f>2</f>
        <v>2</v>
      </c>
      <c r="M265" s="125">
        <f>2</f>
        <v>2</v>
      </c>
      <c r="N265" s="125">
        <f t="shared" ref="N265:W265" si="155">-0.005*$B$5^2 + 0.35*$B$5 - 1</f>
        <v>2</v>
      </c>
      <c r="O265" s="125">
        <f t="shared" si="155"/>
        <v>2</v>
      </c>
      <c r="P265" s="125">
        <f t="shared" si="155"/>
        <v>2</v>
      </c>
      <c r="Q265" s="125">
        <f t="shared" si="155"/>
        <v>2</v>
      </c>
      <c r="R265" s="125">
        <f t="shared" si="155"/>
        <v>2</v>
      </c>
      <c r="S265" s="125">
        <f t="shared" si="155"/>
        <v>2</v>
      </c>
      <c r="T265" s="125">
        <f t="shared" si="155"/>
        <v>2</v>
      </c>
      <c r="U265" s="125">
        <f t="shared" si="155"/>
        <v>2</v>
      </c>
      <c r="V265" s="125">
        <f t="shared" si="155"/>
        <v>2</v>
      </c>
      <c r="W265" s="125">
        <f t="shared" si="155"/>
        <v>2</v>
      </c>
      <c r="X265" s="125">
        <f>2</f>
        <v>2</v>
      </c>
      <c r="Y265" s="125">
        <f>2</f>
        <v>2</v>
      </c>
      <c r="Z265" s="125">
        <f>2</f>
        <v>2</v>
      </c>
      <c r="AA265" s="125">
        <f>2</f>
        <v>2</v>
      </c>
      <c r="AB265" s="125">
        <f>2</f>
        <v>2</v>
      </c>
      <c r="AC265" s="125">
        <f>2</f>
        <v>2</v>
      </c>
      <c r="AD265" s="125">
        <f>2</f>
        <v>2</v>
      </c>
      <c r="AE265" s="125">
        <f>2</f>
        <v>2</v>
      </c>
      <c r="AF265" s="125">
        <f>2</f>
        <v>2</v>
      </c>
      <c r="AG265" s="126">
        <f>2</f>
        <v>2</v>
      </c>
      <c r="AH265" s="22"/>
    </row>
    <row r="266" spans="1:34" x14ac:dyDescent="0.25">
      <c r="A266" s="112"/>
      <c r="B266" s="69" t="s">
        <v>261</v>
      </c>
      <c r="C266" s="133" t="s">
        <v>59</v>
      </c>
      <c r="D266" s="125">
        <f>5</f>
        <v>5</v>
      </c>
      <c r="E266" s="125">
        <f>5</f>
        <v>5</v>
      </c>
      <c r="F266" s="125">
        <f>5</f>
        <v>5</v>
      </c>
      <c r="G266" s="125">
        <f>5</f>
        <v>5</v>
      </c>
      <c r="H266" s="125">
        <f>5</f>
        <v>5</v>
      </c>
      <c r="I266" s="125">
        <f>5</f>
        <v>5</v>
      </c>
      <c r="J266" s="125">
        <f>5</f>
        <v>5</v>
      </c>
      <c r="K266" s="125">
        <f>5</f>
        <v>5</v>
      </c>
      <c r="L266" s="125">
        <f>5</f>
        <v>5</v>
      </c>
      <c r="M266" s="125">
        <f>5</f>
        <v>5</v>
      </c>
      <c r="N266" s="125">
        <f t="shared" ref="N266:W266" si="156">0.0017*$B$5^2 - 0.15*$B$5 + 8.3333</f>
        <v>7.0032999999999994</v>
      </c>
      <c r="O266" s="125">
        <f t="shared" si="156"/>
        <v>7.0032999999999994</v>
      </c>
      <c r="P266" s="125">
        <f t="shared" si="156"/>
        <v>7.0032999999999994</v>
      </c>
      <c r="Q266" s="125">
        <f t="shared" si="156"/>
        <v>7.0032999999999994</v>
      </c>
      <c r="R266" s="125">
        <f t="shared" si="156"/>
        <v>7.0032999999999994</v>
      </c>
      <c r="S266" s="125">
        <f t="shared" si="156"/>
        <v>7.0032999999999994</v>
      </c>
      <c r="T266" s="125">
        <f t="shared" si="156"/>
        <v>7.0032999999999994</v>
      </c>
      <c r="U266" s="125">
        <f t="shared" si="156"/>
        <v>7.0032999999999994</v>
      </c>
      <c r="V266" s="125">
        <f t="shared" si="156"/>
        <v>7.0032999999999994</v>
      </c>
      <c r="W266" s="125">
        <f t="shared" si="156"/>
        <v>7.0032999999999994</v>
      </c>
      <c r="X266" s="125">
        <f>7</f>
        <v>7</v>
      </c>
      <c r="Y266" s="125">
        <f>7</f>
        <v>7</v>
      </c>
      <c r="Z266" s="125">
        <f>7</f>
        <v>7</v>
      </c>
      <c r="AA266" s="125">
        <f>7</f>
        <v>7</v>
      </c>
      <c r="AB266" s="125">
        <f>7</f>
        <v>7</v>
      </c>
      <c r="AC266" s="125">
        <f>7</f>
        <v>7</v>
      </c>
      <c r="AD266" s="125">
        <f>7</f>
        <v>7</v>
      </c>
      <c r="AE266" s="125">
        <f>7</f>
        <v>7</v>
      </c>
      <c r="AF266" s="125">
        <f>7</f>
        <v>7</v>
      </c>
      <c r="AG266" s="126">
        <f>7</f>
        <v>7</v>
      </c>
      <c r="AH266" s="22"/>
    </row>
    <row r="267" spans="1:34" x14ac:dyDescent="0.25">
      <c r="A267" s="112"/>
      <c r="B267" s="69" t="s">
        <v>263</v>
      </c>
      <c r="C267" s="133" t="s">
        <v>59</v>
      </c>
      <c r="D267" s="125">
        <f>4</f>
        <v>4</v>
      </c>
      <c r="E267" s="125">
        <f>4</f>
        <v>4</v>
      </c>
      <c r="F267" s="125">
        <f>4</f>
        <v>4</v>
      </c>
      <c r="G267" s="125">
        <f>4</f>
        <v>4</v>
      </c>
      <c r="H267" s="125">
        <f>4</f>
        <v>4</v>
      </c>
      <c r="I267" s="125">
        <f>4</f>
        <v>4</v>
      </c>
      <c r="J267" s="125">
        <f>4</f>
        <v>4</v>
      </c>
      <c r="K267" s="125">
        <f>4</f>
        <v>4</v>
      </c>
      <c r="L267" s="125">
        <f>4</f>
        <v>4</v>
      </c>
      <c r="M267" s="125">
        <f>4</f>
        <v>4</v>
      </c>
      <c r="N267" s="125">
        <f t="shared" ref="N267:W267" si="157">0.0033*$B$5^2 - 0.2*$B$5 + 8.6667</f>
        <v>6.9967000000000006</v>
      </c>
      <c r="O267" s="125">
        <f t="shared" si="157"/>
        <v>6.9967000000000006</v>
      </c>
      <c r="P267" s="125">
        <f t="shared" si="157"/>
        <v>6.9967000000000006</v>
      </c>
      <c r="Q267" s="125">
        <f t="shared" si="157"/>
        <v>6.9967000000000006</v>
      </c>
      <c r="R267" s="125">
        <f t="shared" si="157"/>
        <v>6.9967000000000006</v>
      </c>
      <c r="S267" s="125">
        <f t="shared" si="157"/>
        <v>6.9967000000000006</v>
      </c>
      <c r="T267" s="125">
        <f t="shared" si="157"/>
        <v>6.9967000000000006</v>
      </c>
      <c r="U267" s="125">
        <f t="shared" si="157"/>
        <v>6.9967000000000006</v>
      </c>
      <c r="V267" s="125">
        <f t="shared" si="157"/>
        <v>6.9967000000000006</v>
      </c>
      <c r="W267" s="125">
        <f t="shared" si="157"/>
        <v>6.9967000000000006</v>
      </c>
      <c r="X267" s="125">
        <f>5</f>
        <v>5</v>
      </c>
      <c r="Y267" s="125">
        <f>5</f>
        <v>5</v>
      </c>
      <c r="Z267" s="125">
        <f>5</f>
        <v>5</v>
      </c>
      <c r="AA267" s="125">
        <f>5</f>
        <v>5</v>
      </c>
      <c r="AB267" s="125">
        <f>5</f>
        <v>5</v>
      </c>
      <c r="AC267" s="125">
        <f>5</f>
        <v>5</v>
      </c>
      <c r="AD267" s="125">
        <f>5</f>
        <v>5</v>
      </c>
      <c r="AE267" s="125">
        <f>5</f>
        <v>5</v>
      </c>
      <c r="AF267" s="125">
        <f>5</f>
        <v>5</v>
      </c>
      <c r="AG267" s="126">
        <f>5</f>
        <v>5</v>
      </c>
      <c r="AH267" s="22"/>
    </row>
    <row r="268" spans="1:34" x14ac:dyDescent="0.25">
      <c r="A268" s="112"/>
      <c r="B268" s="120" t="s">
        <v>555</v>
      </c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3"/>
      <c r="AH268" s="22"/>
    </row>
    <row r="269" spans="1:34" x14ac:dyDescent="0.25">
      <c r="A269" s="112"/>
      <c r="B269" s="69" t="s">
        <v>274</v>
      </c>
      <c r="C269" s="133" t="s">
        <v>64</v>
      </c>
      <c r="D269" s="125">
        <f t="shared" ref="D269:M269" si="158">-0.03*$B$5^2 + 2.1*$B$5 + 42</f>
        <v>60</v>
      </c>
      <c r="E269" s="125">
        <f t="shared" si="158"/>
        <v>60</v>
      </c>
      <c r="F269" s="125">
        <f t="shared" si="158"/>
        <v>60</v>
      </c>
      <c r="G269" s="125">
        <f t="shared" si="158"/>
        <v>60</v>
      </c>
      <c r="H269" s="125">
        <f t="shared" si="158"/>
        <v>60</v>
      </c>
      <c r="I269" s="125">
        <f t="shared" si="158"/>
        <v>60</v>
      </c>
      <c r="J269" s="125">
        <f t="shared" si="158"/>
        <v>60</v>
      </c>
      <c r="K269" s="125">
        <f t="shared" si="158"/>
        <v>60</v>
      </c>
      <c r="L269" s="125">
        <f t="shared" si="158"/>
        <v>60</v>
      </c>
      <c r="M269" s="125">
        <f t="shared" si="158"/>
        <v>60</v>
      </c>
      <c r="N269" s="125">
        <f t="shared" ref="N269:W269" si="159">-0.07*$B$5^2 + 4.5*$B$5 + 10</f>
        <v>48</v>
      </c>
      <c r="O269" s="125">
        <f t="shared" si="159"/>
        <v>48</v>
      </c>
      <c r="P269" s="125">
        <f t="shared" si="159"/>
        <v>48</v>
      </c>
      <c r="Q269" s="125">
        <f t="shared" si="159"/>
        <v>48</v>
      </c>
      <c r="R269" s="125">
        <f t="shared" si="159"/>
        <v>48</v>
      </c>
      <c r="S269" s="125">
        <f t="shared" si="159"/>
        <v>48</v>
      </c>
      <c r="T269" s="125">
        <f t="shared" si="159"/>
        <v>48</v>
      </c>
      <c r="U269" s="125">
        <f t="shared" si="159"/>
        <v>48</v>
      </c>
      <c r="V269" s="125">
        <f t="shared" si="159"/>
        <v>48</v>
      </c>
      <c r="W269" s="125">
        <f t="shared" si="159"/>
        <v>48</v>
      </c>
      <c r="X269" s="125">
        <f>0.01*$B$5^2 - 0.1*$B$5 + 48</f>
        <v>48</v>
      </c>
      <c r="Y269" s="125">
        <f>0.02*$B$5^2 - 0.6*$B$5 + 52</f>
        <v>48</v>
      </c>
      <c r="Z269" s="125">
        <f>0.02*$B$5^2 - 0.6*$B$5 + 52</f>
        <v>48</v>
      </c>
      <c r="AA269" s="125">
        <f>0.01*$B$5^2 - 0.1*$B$5 + 48</f>
        <v>48</v>
      </c>
      <c r="AB269" s="125">
        <f>0.02*$B$5^2 - 0.6*$B$5 + 52</f>
        <v>48</v>
      </c>
      <c r="AC269" s="125">
        <f>0.02*$B$5^2 - 0.6*$B$5 + 52</f>
        <v>48</v>
      </c>
      <c r="AD269" s="125">
        <f>0.01*$B$5^2 - 0.1*$B$5 + 48</f>
        <v>48</v>
      </c>
      <c r="AE269" s="125">
        <f>0.02*$B$5^2 - 0.6*$B$5 + 52</f>
        <v>48</v>
      </c>
      <c r="AF269" s="125">
        <f>0.01*$B$5^2 - 0.1*$B$5 + 48</f>
        <v>48</v>
      </c>
      <c r="AG269" s="126">
        <f>0.02*$B$5^2 - 0.6*$B$5 + 52</f>
        <v>48</v>
      </c>
      <c r="AH269" s="22"/>
    </row>
    <row r="270" spans="1:34" x14ac:dyDescent="0.25">
      <c r="A270" s="112"/>
      <c r="B270" s="69" t="s">
        <v>275</v>
      </c>
      <c r="C270" s="133" t="s">
        <v>59</v>
      </c>
      <c r="D270" s="125">
        <f>1</f>
        <v>1</v>
      </c>
      <c r="E270" s="125">
        <f>1</f>
        <v>1</v>
      </c>
      <c r="F270" s="125">
        <f>1</f>
        <v>1</v>
      </c>
      <c r="G270" s="125">
        <f>1</f>
        <v>1</v>
      </c>
      <c r="H270" s="125">
        <f>1</f>
        <v>1</v>
      </c>
      <c r="I270" s="125">
        <f>1</f>
        <v>1</v>
      </c>
      <c r="J270" s="125">
        <f>1</f>
        <v>1</v>
      </c>
      <c r="K270" s="125">
        <f>1</f>
        <v>1</v>
      </c>
      <c r="L270" s="125">
        <f>1</f>
        <v>1</v>
      </c>
      <c r="M270" s="125">
        <f>1</f>
        <v>1</v>
      </c>
      <c r="N270" s="125">
        <f>1</f>
        <v>1</v>
      </c>
      <c r="O270" s="125">
        <f>1</f>
        <v>1</v>
      </c>
      <c r="P270" s="125">
        <f>1</f>
        <v>1</v>
      </c>
      <c r="Q270" s="125">
        <f>1</f>
        <v>1</v>
      </c>
      <c r="R270" s="125">
        <f>1</f>
        <v>1</v>
      </c>
      <c r="S270" s="125">
        <f>1</f>
        <v>1</v>
      </c>
      <c r="T270" s="125">
        <f>1</f>
        <v>1</v>
      </c>
      <c r="U270" s="125">
        <f>1</f>
        <v>1</v>
      </c>
      <c r="V270" s="125">
        <f>1</f>
        <v>1</v>
      </c>
      <c r="W270" s="125">
        <f>1</f>
        <v>1</v>
      </c>
      <c r="X270" s="125">
        <f>1</f>
        <v>1</v>
      </c>
      <c r="Y270" s="125">
        <f>1</f>
        <v>1</v>
      </c>
      <c r="Z270" s="125">
        <f>1</f>
        <v>1</v>
      </c>
      <c r="AA270" s="125">
        <f>1</f>
        <v>1</v>
      </c>
      <c r="AB270" s="125">
        <f>1</f>
        <v>1</v>
      </c>
      <c r="AC270" s="125">
        <f>1</f>
        <v>1</v>
      </c>
      <c r="AD270" s="125">
        <f>1</f>
        <v>1</v>
      </c>
      <c r="AE270" s="125">
        <f>1</f>
        <v>1</v>
      </c>
      <c r="AF270" s="125">
        <f>1</f>
        <v>1</v>
      </c>
      <c r="AG270" s="126">
        <f>1</f>
        <v>1</v>
      </c>
      <c r="AH270" s="22"/>
    </row>
    <row r="271" spans="1:34" x14ac:dyDescent="0.25">
      <c r="A271" s="112"/>
      <c r="B271" s="69" t="s">
        <v>276</v>
      </c>
      <c r="C271" s="133" t="s">
        <v>59</v>
      </c>
      <c r="D271" s="125">
        <f>5</f>
        <v>5</v>
      </c>
      <c r="E271" s="125">
        <f>5</f>
        <v>5</v>
      </c>
      <c r="F271" s="125">
        <f>5</f>
        <v>5</v>
      </c>
      <c r="G271" s="125">
        <f>5</f>
        <v>5</v>
      </c>
      <c r="H271" s="125">
        <f>5</f>
        <v>5</v>
      </c>
      <c r="I271" s="125">
        <f>5</f>
        <v>5</v>
      </c>
      <c r="J271" s="125">
        <f>5</f>
        <v>5</v>
      </c>
      <c r="K271" s="125">
        <f>5</f>
        <v>5</v>
      </c>
      <c r="L271" s="125">
        <f>5</f>
        <v>5</v>
      </c>
      <c r="M271" s="125">
        <f>5</f>
        <v>5</v>
      </c>
      <c r="N271" s="125">
        <f>5</f>
        <v>5</v>
      </c>
      <c r="O271" s="125">
        <f>5</f>
        <v>5</v>
      </c>
      <c r="P271" s="125">
        <f>5</f>
        <v>5</v>
      </c>
      <c r="Q271" s="125">
        <f>5</f>
        <v>5</v>
      </c>
      <c r="R271" s="125">
        <f>5</f>
        <v>5</v>
      </c>
      <c r="S271" s="125">
        <f>5</f>
        <v>5</v>
      </c>
      <c r="T271" s="125">
        <f>5</f>
        <v>5</v>
      </c>
      <c r="U271" s="125">
        <f>5</f>
        <v>5</v>
      </c>
      <c r="V271" s="125">
        <f>5</f>
        <v>5</v>
      </c>
      <c r="W271" s="125">
        <f>5</f>
        <v>5</v>
      </c>
      <c r="X271" s="125">
        <f>5</f>
        <v>5</v>
      </c>
      <c r="Y271" s="125">
        <f>5</f>
        <v>5</v>
      </c>
      <c r="Z271" s="125">
        <f>5</f>
        <v>5</v>
      </c>
      <c r="AA271" s="125">
        <f>5</f>
        <v>5</v>
      </c>
      <c r="AB271" s="125">
        <f>5</f>
        <v>5</v>
      </c>
      <c r="AC271" s="125">
        <f>5</f>
        <v>5</v>
      </c>
      <c r="AD271" s="125">
        <f>5</f>
        <v>5</v>
      </c>
      <c r="AE271" s="125">
        <f>5</f>
        <v>5</v>
      </c>
      <c r="AF271" s="125">
        <f>5</f>
        <v>5</v>
      </c>
      <c r="AG271" s="126">
        <f>5</f>
        <v>5</v>
      </c>
      <c r="AH271" s="22"/>
    </row>
    <row r="272" spans="1:34" x14ac:dyDescent="0.25">
      <c r="A272" s="112"/>
      <c r="B272" s="120" t="s">
        <v>556</v>
      </c>
      <c r="C272" s="121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8"/>
      <c r="AH272" s="22"/>
    </row>
    <row r="273" spans="1:34" x14ac:dyDescent="0.25">
      <c r="A273" s="112"/>
      <c r="B273" s="69" t="s">
        <v>266</v>
      </c>
      <c r="C273" s="133" t="s">
        <v>64</v>
      </c>
      <c r="D273" s="125">
        <f>24</f>
        <v>24</v>
      </c>
      <c r="E273" s="125">
        <f>24</f>
        <v>24</v>
      </c>
      <c r="F273" s="125">
        <f>24</f>
        <v>24</v>
      </c>
      <c r="G273" s="125">
        <f>24</f>
        <v>24</v>
      </c>
      <c r="H273" s="125">
        <f>24</f>
        <v>24</v>
      </c>
      <c r="I273" s="125">
        <f>24</f>
        <v>24</v>
      </c>
      <c r="J273" s="125">
        <f>24</f>
        <v>24</v>
      </c>
      <c r="K273" s="125">
        <f>24</f>
        <v>24</v>
      </c>
      <c r="L273" s="125">
        <f>24</f>
        <v>24</v>
      </c>
      <c r="M273" s="125">
        <f>24</f>
        <v>24</v>
      </c>
      <c r="N273" s="125">
        <f t="shared" ref="N273:W273" si="160">0.06*$B$5^2 - 1.8*$B$5 + 36</f>
        <v>24</v>
      </c>
      <c r="O273" s="125">
        <f t="shared" si="160"/>
        <v>24</v>
      </c>
      <c r="P273" s="125">
        <f t="shared" si="160"/>
        <v>24</v>
      </c>
      <c r="Q273" s="125">
        <f t="shared" si="160"/>
        <v>24</v>
      </c>
      <c r="R273" s="125">
        <f t="shared" si="160"/>
        <v>24</v>
      </c>
      <c r="S273" s="125">
        <f t="shared" si="160"/>
        <v>24</v>
      </c>
      <c r="T273" s="125">
        <f t="shared" si="160"/>
        <v>24</v>
      </c>
      <c r="U273" s="125">
        <f t="shared" si="160"/>
        <v>24</v>
      </c>
      <c r="V273" s="125">
        <f t="shared" si="160"/>
        <v>24</v>
      </c>
      <c r="W273" s="125">
        <f t="shared" si="160"/>
        <v>24</v>
      </c>
      <c r="X273" s="125">
        <f>24</f>
        <v>24</v>
      </c>
      <c r="Y273" s="125">
        <f>24</f>
        <v>24</v>
      </c>
      <c r="Z273" s="125">
        <f>24</f>
        <v>24</v>
      </c>
      <c r="AA273" s="125">
        <f>24</f>
        <v>24</v>
      </c>
      <c r="AB273" s="125">
        <f>24</f>
        <v>24</v>
      </c>
      <c r="AC273" s="125">
        <f>24</f>
        <v>24</v>
      </c>
      <c r="AD273" s="125">
        <f>24</f>
        <v>24</v>
      </c>
      <c r="AE273" s="125">
        <f>24</f>
        <v>24</v>
      </c>
      <c r="AF273" s="125">
        <f>24</f>
        <v>24</v>
      </c>
      <c r="AG273" s="126">
        <f>24</f>
        <v>24</v>
      </c>
      <c r="AH273" s="22"/>
    </row>
    <row r="274" spans="1:34" x14ac:dyDescent="0.25">
      <c r="A274" s="112"/>
      <c r="B274" s="120" t="s">
        <v>557</v>
      </c>
      <c r="C274" s="121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8"/>
      <c r="AH274" s="22"/>
    </row>
    <row r="275" spans="1:34" x14ac:dyDescent="0.25">
      <c r="A275" s="112"/>
      <c r="B275" s="69" t="s">
        <v>267</v>
      </c>
      <c r="C275" s="133" t="s">
        <v>64</v>
      </c>
      <c r="D275" s="125">
        <f t="shared" ref="D275:W275" si="161">0.0167*$B$5^2 - 0.5*$B$5 + 73.333</f>
        <v>70.003</v>
      </c>
      <c r="E275" s="125">
        <f t="shared" si="161"/>
        <v>70.003</v>
      </c>
      <c r="F275" s="125">
        <f t="shared" si="161"/>
        <v>70.003</v>
      </c>
      <c r="G275" s="125">
        <f t="shared" si="161"/>
        <v>70.003</v>
      </c>
      <c r="H275" s="125">
        <f t="shared" si="161"/>
        <v>70.003</v>
      </c>
      <c r="I275" s="125">
        <f t="shared" si="161"/>
        <v>70.003</v>
      </c>
      <c r="J275" s="125">
        <f t="shared" si="161"/>
        <v>70.003</v>
      </c>
      <c r="K275" s="125">
        <f t="shared" si="161"/>
        <v>70.003</v>
      </c>
      <c r="L275" s="125">
        <f t="shared" si="161"/>
        <v>70.003</v>
      </c>
      <c r="M275" s="125">
        <f t="shared" si="161"/>
        <v>70.003</v>
      </c>
      <c r="N275" s="125">
        <f t="shared" si="161"/>
        <v>70.003</v>
      </c>
      <c r="O275" s="125">
        <f t="shared" si="161"/>
        <v>70.003</v>
      </c>
      <c r="P275" s="125">
        <f t="shared" si="161"/>
        <v>70.003</v>
      </c>
      <c r="Q275" s="125">
        <f t="shared" si="161"/>
        <v>70.003</v>
      </c>
      <c r="R275" s="125">
        <f t="shared" si="161"/>
        <v>70.003</v>
      </c>
      <c r="S275" s="125">
        <f t="shared" si="161"/>
        <v>70.003</v>
      </c>
      <c r="T275" s="125">
        <f t="shared" si="161"/>
        <v>70.003</v>
      </c>
      <c r="U275" s="125">
        <f t="shared" si="161"/>
        <v>70.003</v>
      </c>
      <c r="V275" s="125">
        <f t="shared" si="161"/>
        <v>70.003</v>
      </c>
      <c r="W275" s="125">
        <f t="shared" si="161"/>
        <v>70.003</v>
      </c>
      <c r="X275" s="125">
        <f t="shared" ref="X275:AG275" si="162">0.0167*$B$5^2 - 0.5*$B$5 + 63.333</f>
        <v>60.003</v>
      </c>
      <c r="Y275" s="125">
        <f t="shared" si="162"/>
        <v>60.003</v>
      </c>
      <c r="Z275" s="125">
        <f t="shared" si="162"/>
        <v>60.003</v>
      </c>
      <c r="AA275" s="125">
        <f t="shared" si="162"/>
        <v>60.003</v>
      </c>
      <c r="AB275" s="125">
        <f t="shared" si="162"/>
        <v>60.003</v>
      </c>
      <c r="AC275" s="125">
        <f t="shared" si="162"/>
        <v>60.003</v>
      </c>
      <c r="AD275" s="125">
        <f t="shared" si="162"/>
        <v>60.003</v>
      </c>
      <c r="AE275" s="125">
        <f t="shared" si="162"/>
        <v>60.003</v>
      </c>
      <c r="AF275" s="125">
        <f t="shared" si="162"/>
        <v>60.003</v>
      </c>
      <c r="AG275" s="126">
        <f t="shared" si="162"/>
        <v>60.003</v>
      </c>
      <c r="AH275" s="22"/>
    </row>
    <row r="276" spans="1:34" x14ac:dyDescent="0.25">
      <c r="A276" s="112"/>
      <c r="B276" s="120" t="s">
        <v>558</v>
      </c>
      <c r="C276" s="121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8"/>
      <c r="AH276" s="22"/>
    </row>
    <row r="277" spans="1:34" x14ac:dyDescent="0.25">
      <c r="A277" s="112"/>
      <c r="B277" s="69" t="s">
        <v>268</v>
      </c>
      <c r="C277" s="133" t="s">
        <v>59</v>
      </c>
      <c r="D277" s="125">
        <f t="shared" ref="D277:W277" si="163">-0.0033*$B$5^2 + 0.2*$B$5 + 0.3333</f>
        <v>2.0032999999999999</v>
      </c>
      <c r="E277" s="125">
        <f t="shared" si="163"/>
        <v>2.0032999999999999</v>
      </c>
      <c r="F277" s="125">
        <f t="shared" si="163"/>
        <v>2.0032999999999999</v>
      </c>
      <c r="G277" s="125">
        <f t="shared" si="163"/>
        <v>2.0032999999999999</v>
      </c>
      <c r="H277" s="125">
        <f t="shared" si="163"/>
        <v>2.0032999999999999</v>
      </c>
      <c r="I277" s="125">
        <f t="shared" si="163"/>
        <v>2.0032999999999999</v>
      </c>
      <c r="J277" s="125">
        <f t="shared" si="163"/>
        <v>2.0032999999999999</v>
      </c>
      <c r="K277" s="125">
        <f t="shared" si="163"/>
        <v>2.0032999999999999</v>
      </c>
      <c r="L277" s="125">
        <f t="shared" si="163"/>
        <v>2.0032999999999999</v>
      </c>
      <c r="M277" s="125">
        <f t="shared" si="163"/>
        <v>2.0032999999999999</v>
      </c>
      <c r="N277" s="125">
        <f t="shared" si="163"/>
        <v>2.0032999999999999</v>
      </c>
      <c r="O277" s="125">
        <f t="shared" si="163"/>
        <v>2.0032999999999999</v>
      </c>
      <c r="P277" s="125">
        <f t="shared" si="163"/>
        <v>2.0032999999999999</v>
      </c>
      <c r="Q277" s="125">
        <f t="shared" si="163"/>
        <v>2.0032999999999999</v>
      </c>
      <c r="R277" s="125">
        <f t="shared" si="163"/>
        <v>2.0032999999999999</v>
      </c>
      <c r="S277" s="125">
        <f t="shared" si="163"/>
        <v>2.0032999999999999</v>
      </c>
      <c r="T277" s="125">
        <f t="shared" si="163"/>
        <v>2.0032999999999999</v>
      </c>
      <c r="U277" s="125">
        <f t="shared" si="163"/>
        <v>2.0032999999999999</v>
      </c>
      <c r="V277" s="125">
        <f t="shared" si="163"/>
        <v>2.0032999999999999</v>
      </c>
      <c r="W277" s="125">
        <f t="shared" si="163"/>
        <v>2.0032999999999999</v>
      </c>
      <c r="X277" s="125">
        <f t="shared" ref="X277:AG277" si="164">-0.0067*$B$5^2 + 0.4*$B$5 - 2.3333</f>
        <v>0.99670000000000014</v>
      </c>
      <c r="Y277" s="125">
        <f t="shared" si="164"/>
        <v>0.99670000000000014</v>
      </c>
      <c r="Z277" s="125">
        <f t="shared" si="164"/>
        <v>0.99670000000000014</v>
      </c>
      <c r="AA277" s="125">
        <f t="shared" si="164"/>
        <v>0.99670000000000014</v>
      </c>
      <c r="AB277" s="125">
        <f t="shared" si="164"/>
        <v>0.99670000000000014</v>
      </c>
      <c r="AC277" s="125">
        <f t="shared" si="164"/>
        <v>0.99670000000000014</v>
      </c>
      <c r="AD277" s="125">
        <f t="shared" si="164"/>
        <v>0.99670000000000014</v>
      </c>
      <c r="AE277" s="125">
        <f t="shared" si="164"/>
        <v>0.99670000000000014</v>
      </c>
      <c r="AF277" s="125">
        <f t="shared" si="164"/>
        <v>0.99670000000000014</v>
      </c>
      <c r="AG277" s="126">
        <f t="shared" si="164"/>
        <v>0.99670000000000014</v>
      </c>
      <c r="AH277" s="22"/>
    </row>
    <row r="278" spans="1:34" x14ac:dyDescent="0.25">
      <c r="A278" s="112"/>
      <c r="B278" s="69" t="s">
        <v>269</v>
      </c>
      <c r="C278" s="133" t="s">
        <v>59</v>
      </c>
      <c r="D278" s="125">
        <f t="shared" ref="D278:M278" si="165">0.0033*$B$5^2 - 0.2*$B$5 + 3.6667</f>
        <v>1.9967000000000001</v>
      </c>
      <c r="E278" s="125">
        <f t="shared" si="165"/>
        <v>1.9967000000000001</v>
      </c>
      <c r="F278" s="125">
        <f t="shared" si="165"/>
        <v>1.9967000000000001</v>
      </c>
      <c r="G278" s="125">
        <f t="shared" si="165"/>
        <v>1.9967000000000001</v>
      </c>
      <c r="H278" s="125">
        <f t="shared" si="165"/>
        <v>1.9967000000000001</v>
      </c>
      <c r="I278" s="125">
        <f t="shared" si="165"/>
        <v>1.9967000000000001</v>
      </c>
      <c r="J278" s="125">
        <f t="shared" si="165"/>
        <v>1.9967000000000001</v>
      </c>
      <c r="K278" s="125">
        <f t="shared" si="165"/>
        <v>1.9967000000000001</v>
      </c>
      <c r="L278" s="125">
        <f t="shared" si="165"/>
        <v>1.9967000000000001</v>
      </c>
      <c r="M278" s="125">
        <f t="shared" si="165"/>
        <v>1.9967000000000001</v>
      </c>
      <c r="N278" s="125">
        <f t="shared" ref="N278:W278" si="166">-0.0067*$B$5^2 + 0.2*$B$5 + 4.6667</f>
        <v>5.9966999999999997</v>
      </c>
      <c r="O278" s="125">
        <f t="shared" si="166"/>
        <v>5.9966999999999997</v>
      </c>
      <c r="P278" s="125">
        <f t="shared" si="166"/>
        <v>5.9966999999999997</v>
      </c>
      <c r="Q278" s="125">
        <f t="shared" si="166"/>
        <v>5.9966999999999997</v>
      </c>
      <c r="R278" s="125">
        <f t="shared" si="166"/>
        <v>5.9966999999999997</v>
      </c>
      <c r="S278" s="125">
        <f t="shared" si="166"/>
        <v>5.9966999999999997</v>
      </c>
      <c r="T278" s="125">
        <f t="shared" si="166"/>
        <v>5.9966999999999997</v>
      </c>
      <c r="U278" s="125">
        <f t="shared" si="166"/>
        <v>5.9966999999999997</v>
      </c>
      <c r="V278" s="125">
        <f t="shared" si="166"/>
        <v>5.9966999999999997</v>
      </c>
      <c r="W278" s="125">
        <f t="shared" si="166"/>
        <v>5.9966999999999997</v>
      </c>
      <c r="X278" s="125">
        <f t="shared" ref="X278:AG278" si="167">0.0017*$B$5^2 - 0.15*$B$5 + 4.3333</f>
        <v>3.0033000000000003</v>
      </c>
      <c r="Y278" s="125">
        <f t="shared" si="167"/>
        <v>3.0033000000000003</v>
      </c>
      <c r="Z278" s="125">
        <f t="shared" si="167"/>
        <v>3.0033000000000003</v>
      </c>
      <c r="AA278" s="125">
        <f t="shared" si="167"/>
        <v>3.0033000000000003</v>
      </c>
      <c r="AB278" s="125">
        <f t="shared" si="167"/>
        <v>3.0033000000000003</v>
      </c>
      <c r="AC278" s="125">
        <f t="shared" si="167"/>
        <v>3.0033000000000003</v>
      </c>
      <c r="AD278" s="125">
        <f t="shared" si="167"/>
        <v>3.0033000000000003</v>
      </c>
      <c r="AE278" s="125">
        <f t="shared" si="167"/>
        <v>3.0033000000000003</v>
      </c>
      <c r="AF278" s="125">
        <f t="shared" si="167"/>
        <v>3.0033000000000003</v>
      </c>
      <c r="AG278" s="126">
        <f t="shared" si="167"/>
        <v>3.0033000000000003</v>
      </c>
      <c r="AH278" s="22"/>
    </row>
    <row r="279" spans="1:34" x14ac:dyDescent="0.25">
      <c r="A279" s="112"/>
      <c r="B279" s="69" t="s">
        <v>270</v>
      </c>
      <c r="C279" s="133" t="s">
        <v>59</v>
      </c>
      <c r="D279" s="125">
        <f t="shared" ref="D279:M279" si="168">-0.0233*$B$5^2 + 1.2*$B$5 - 6.6667</f>
        <v>3.0033000000000003</v>
      </c>
      <c r="E279" s="125">
        <f t="shared" si="168"/>
        <v>3.0033000000000003</v>
      </c>
      <c r="F279" s="125">
        <f t="shared" si="168"/>
        <v>3.0033000000000003</v>
      </c>
      <c r="G279" s="125">
        <f t="shared" si="168"/>
        <v>3.0033000000000003</v>
      </c>
      <c r="H279" s="125">
        <f t="shared" si="168"/>
        <v>3.0033000000000003</v>
      </c>
      <c r="I279" s="125">
        <f t="shared" si="168"/>
        <v>3.0033000000000003</v>
      </c>
      <c r="J279" s="125">
        <f t="shared" si="168"/>
        <v>3.0033000000000003</v>
      </c>
      <c r="K279" s="125">
        <f t="shared" si="168"/>
        <v>3.0033000000000003</v>
      </c>
      <c r="L279" s="125">
        <f t="shared" si="168"/>
        <v>3.0033000000000003</v>
      </c>
      <c r="M279" s="125">
        <f t="shared" si="168"/>
        <v>3.0033000000000003</v>
      </c>
      <c r="N279" s="125">
        <f t="shared" ref="N279:W279" si="169">-0.0133*$B$5^2 + 0.6*$B$5 + 1.3333</f>
        <v>6.0032999999999994</v>
      </c>
      <c r="O279" s="125">
        <f t="shared" si="169"/>
        <v>6.0032999999999994</v>
      </c>
      <c r="P279" s="125">
        <f t="shared" si="169"/>
        <v>6.0032999999999994</v>
      </c>
      <c r="Q279" s="125">
        <f t="shared" si="169"/>
        <v>6.0032999999999994</v>
      </c>
      <c r="R279" s="125">
        <f t="shared" si="169"/>
        <v>6.0032999999999994</v>
      </c>
      <c r="S279" s="125">
        <f t="shared" si="169"/>
        <v>6.0032999999999994</v>
      </c>
      <c r="T279" s="125">
        <f t="shared" si="169"/>
        <v>6.0032999999999994</v>
      </c>
      <c r="U279" s="125">
        <f t="shared" si="169"/>
        <v>6.0032999999999994</v>
      </c>
      <c r="V279" s="125">
        <f t="shared" si="169"/>
        <v>6.0032999999999994</v>
      </c>
      <c r="W279" s="125">
        <f t="shared" si="169"/>
        <v>6.0032999999999994</v>
      </c>
      <c r="X279" s="125">
        <f t="shared" ref="X279:AG279" si="170">-0.0217*$B$5^2 + 1.05*$B$5 - 6.3333</f>
        <v>1.9966999999999997</v>
      </c>
      <c r="Y279" s="125">
        <f t="shared" si="170"/>
        <v>1.9966999999999997</v>
      </c>
      <c r="Z279" s="125">
        <f t="shared" si="170"/>
        <v>1.9966999999999997</v>
      </c>
      <c r="AA279" s="125">
        <f t="shared" si="170"/>
        <v>1.9966999999999997</v>
      </c>
      <c r="AB279" s="125">
        <f t="shared" si="170"/>
        <v>1.9966999999999997</v>
      </c>
      <c r="AC279" s="125">
        <f t="shared" si="170"/>
        <v>1.9966999999999997</v>
      </c>
      <c r="AD279" s="125">
        <f t="shared" si="170"/>
        <v>1.9966999999999997</v>
      </c>
      <c r="AE279" s="125">
        <f t="shared" si="170"/>
        <v>1.9966999999999997</v>
      </c>
      <c r="AF279" s="125">
        <f t="shared" si="170"/>
        <v>1.9966999999999997</v>
      </c>
      <c r="AG279" s="126">
        <f t="shared" si="170"/>
        <v>1.9966999999999997</v>
      </c>
      <c r="AH279" s="22"/>
    </row>
    <row r="280" spans="1:34" x14ac:dyDescent="0.25">
      <c r="A280" s="112"/>
      <c r="B280" s="69" t="s">
        <v>271</v>
      </c>
      <c r="C280" s="133" t="s">
        <v>59</v>
      </c>
      <c r="D280" s="125">
        <f t="shared" ref="D280:M280" si="171">IF($B$5 &gt;= 15,0.1*$B$5 + 4,0)</f>
        <v>0</v>
      </c>
      <c r="E280" s="125">
        <f t="shared" si="171"/>
        <v>0</v>
      </c>
      <c r="F280" s="125">
        <f t="shared" si="171"/>
        <v>0</v>
      </c>
      <c r="G280" s="125">
        <f t="shared" si="171"/>
        <v>0</v>
      </c>
      <c r="H280" s="125">
        <f t="shared" si="171"/>
        <v>0</v>
      </c>
      <c r="I280" s="125">
        <f t="shared" si="171"/>
        <v>0</v>
      </c>
      <c r="J280" s="125">
        <f t="shared" si="171"/>
        <v>0</v>
      </c>
      <c r="K280" s="125">
        <f t="shared" si="171"/>
        <v>0</v>
      </c>
      <c r="L280" s="125">
        <f t="shared" si="171"/>
        <v>0</v>
      </c>
      <c r="M280" s="125">
        <f t="shared" si="171"/>
        <v>0</v>
      </c>
      <c r="N280" s="125">
        <f t="shared" ref="N280:W281" si="172">IF($B$5 &gt;= 30,4,0)</f>
        <v>0</v>
      </c>
      <c r="O280" s="125">
        <f t="shared" si="172"/>
        <v>0</v>
      </c>
      <c r="P280" s="125">
        <f t="shared" si="172"/>
        <v>0</v>
      </c>
      <c r="Q280" s="125">
        <f t="shared" si="172"/>
        <v>0</v>
      </c>
      <c r="R280" s="125">
        <f t="shared" si="172"/>
        <v>0</v>
      </c>
      <c r="S280" s="125">
        <f t="shared" si="172"/>
        <v>0</v>
      </c>
      <c r="T280" s="125">
        <f t="shared" si="172"/>
        <v>0</v>
      </c>
      <c r="U280" s="125">
        <f t="shared" si="172"/>
        <v>0</v>
      </c>
      <c r="V280" s="125">
        <f t="shared" si="172"/>
        <v>0</v>
      </c>
      <c r="W280" s="125">
        <f t="shared" si="172"/>
        <v>0</v>
      </c>
      <c r="X280" s="125">
        <f t="shared" ref="X280:AG281" si="173">IF($B$5 &gt;= 30,2,0)</f>
        <v>0</v>
      </c>
      <c r="Y280" s="125">
        <f t="shared" si="173"/>
        <v>0</v>
      </c>
      <c r="Z280" s="125">
        <f t="shared" si="173"/>
        <v>0</v>
      </c>
      <c r="AA280" s="125">
        <f t="shared" si="173"/>
        <v>0</v>
      </c>
      <c r="AB280" s="125">
        <f t="shared" si="173"/>
        <v>0</v>
      </c>
      <c r="AC280" s="125">
        <f t="shared" si="173"/>
        <v>0</v>
      </c>
      <c r="AD280" s="125">
        <f t="shared" si="173"/>
        <v>0</v>
      </c>
      <c r="AE280" s="125">
        <f t="shared" si="173"/>
        <v>0</v>
      </c>
      <c r="AF280" s="125">
        <f t="shared" si="173"/>
        <v>0</v>
      </c>
      <c r="AG280" s="126">
        <f t="shared" si="173"/>
        <v>0</v>
      </c>
      <c r="AH280" s="22"/>
    </row>
    <row r="281" spans="1:34" x14ac:dyDescent="0.25">
      <c r="A281" s="112"/>
      <c r="B281" s="69" t="s">
        <v>272</v>
      </c>
      <c r="C281" s="133" t="s">
        <v>59</v>
      </c>
      <c r="D281" s="125">
        <v>0</v>
      </c>
      <c r="E281" s="125">
        <v>0</v>
      </c>
      <c r="F281" s="125">
        <v>0</v>
      </c>
      <c r="G281" s="125">
        <v>0</v>
      </c>
      <c r="H281" s="125">
        <v>0</v>
      </c>
      <c r="I281" s="125">
        <v>0</v>
      </c>
      <c r="J281" s="125">
        <v>0</v>
      </c>
      <c r="K281" s="125">
        <v>0</v>
      </c>
      <c r="L281" s="125">
        <v>0</v>
      </c>
      <c r="M281" s="125">
        <v>0</v>
      </c>
      <c r="N281" s="125">
        <f t="shared" si="172"/>
        <v>0</v>
      </c>
      <c r="O281" s="125">
        <f t="shared" si="172"/>
        <v>0</v>
      </c>
      <c r="P281" s="125">
        <f t="shared" si="172"/>
        <v>0</v>
      </c>
      <c r="Q281" s="125">
        <f t="shared" si="172"/>
        <v>0</v>
      </c>
      <c r="R281" s="125">
        <f t="shared" si="172"/>
        <v>0</v>
      </c>
      <c r="S281" s="125">
        <f t="shared" si="172"/>
        <v>0</v>
      </c>
      <c r="T281" s="125">
        <f t="shared" si="172"/>
        <v>0</v>
      </c>
      <c r="U281" s="125">
        <f t="shared" si="172"/>
        <v>0</v>
      </c>
      <c r="V281" s="125">
        <f t="shared" si="172"/>
        <v>0</v>
      </c>
      <c r="W281" s="125">
        <f t="shared" si="172"/>
        <v>0</v>
      </c>
      <c r="X281" s="125">
        <f t="shared" si="173"/>
        <v>0</v>
      </c>
      <c r="Y281" s="125">
        <f t="shared" si="173"/>
        <v>0</v>
      </c>
      <c r="Z281" s="125">
        <f t="shared" si="173"/>
        <v>0</v>
      </c>
      <c r="AA281" s="125">
        <f t="shared" si="173"/>
        <v>0</v>
      </c>
      <c r="AB281" s="125">
        <f t="shared" si="173"/>
        <v>0</v>
      </c>
      <c r="AC281" s="125">
        <f t="shared" si="173"/>
        <v>0</v>
      </c>
      <c r="AD281" s="125">
        <f t="shared" si="173"/>
        <v>0</v>
      </c>
      <c r="AE281" s="125">
        <f t="shared" si="173"/>
        <v>0</v>
      </c>
      <c r="AF281" s="125">
        <f t="shared" si="173"/>
        <v>0</v>
      </c>
      <c r="AG281" s="126">
        <f t="shared" si="173"/>
        <v>0</v>
      </c>
      <c r="AH281" s="22"/>
    </row>
    <row r="282" spans="1:34" x14ac:dyDescent="0.25">
      <c r="A282" s="112"/>
      <c r="B282" s="120" t="s">
        <v>559</v>
      </c>
      <c r="C282" s="121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8"/>
      <c r="AH282" s="22"/>
    </row>
    <row r="283" spans="1:34" x14ac:dyDescent="0.25">
      <c r="A283" s="112"/>
      <c r="B283" s="69" t="s">
        <v>278</v>
      </c>
      <c r="C283" s="133" t="s">
        <v>59</v>
      </c>
      <c r="D283" s="125">
        <f>1</f>
        <v>1</v>
      </c>
      <c r="E283" s="125">
        <f>1</f>
        <v>1</v>
      </c>
      <c r="F283" s="125">
        <f>1</f>
        <v>1</v>
      </c>
      <c r="G283" s="125">
        <f>1</f>
        <v>1</v>
      </c>
      <c r="H283" s="125">
        <f>1</f>
        <v>1</v>
      </c>
      <c r="I283" s="125">
        <f>1</f>
        <v>1</v>
      </c>
      <c r="J283" s="125">
        <f>1</f>
        <v>1</v>
      </c>
      <c r="K283" s="125">
        <f>1</f>
        <v>1</v>
      </c>
      <c r="L283" s="125">
        <f>1</f>
        <v>1</v>
      </c>
      <c r="M283" s="125">
        <f>1</f>
        <v>1</v>
      </c>
      <c r="N283" s="125">
        <f>1</f>
        <v>1</v>
      </c>
      <c r="O283" s="125">
        <f>1</f>
        <v>1</v>
      </c>
      <c r="P283" s="125">
        <f>1</f>
        <v>1</v>
      </c>
      <c r="Q283" s="125">
        <f>1</f>
        <v>1</v>
      </c>
      <c r="R283" s="125">
        <f>1</f>
        <v>1</v>
      </c>
      <c r="S283" s="125">
        <f>1</f>
        <v>1</v>
      </c>
      <c r="T283" s="125">
        <f>1</f>
        <v>1</v>
      </c>
      <c r="U283" s="125">
        <f>1</f>
        <v>1</v>
      </c>
      <c r="V283" s="125">
        <f>1</f>
        <v>1</v>
      </c>
      <c r="W283" s="125">
        <f>1</f>
        <v>1</v>
      </c>
      <c r="X283" s="125">
        <f>1</f>
        <v>1</v>
      </c>
      <c r="Y283" s="125">
        <f>1</f>
        <v>1</v>
      </c>
      <c r="Z283" s="125">
        <f>1</f>
        <v>1</v>
      </c>
      <c r="AA283" s="125">
        <f>1</f>
        <v>1</v>
      </c>
      <c r="AB283" s="125">
        <f>1</f>
        <v>1</v>
      </c>
      <c r="AC283" s="125">
        <f>1</f>
        <v>1</v>
      </c>
      <c r="AD283" s="125">
        <f>1</f>
        <v>1</v>
      </c>
      <c r="AE283" s="125">
        <f>1</f>
        <v>1</v>
      </c>
      <c r="AF283" s="125">
        <f>1</f>
        <v>1</v>
      </c>
      <c r="AG283" s="126">
        <f>1</f>
        <v>1</v>
      </c>
      <c r="AH283" s="22"/>
    </row>
    <row r="284" spans="1:34" x14ac:dyDescent="0.25">
      <c r="A284" s="112"/>
      <c r="B284" s="69" t="s">
        <v>280</v>
      </c>
      <c r="C284" s="133" t="s">
        <v>59</v>
      </c>
      <c r="D284" s="125">
        <f t="shared" ref="D284:M284" si="174">IF($B$5 &lt; 30,1,0)</f>
        <v>1</v>
      </c>
      <c r="E284" s="125">
        <f t="shared" si="174"/>
        <v>1</v>
      </c>
      <c r="F284" s="125">
        <f t="shared" si="174"/>
        <v>1</v>
      </c>
      <c r="G284" s="125">
        <f t="shared" si="174"/>
        <v>1</v>
      </c>
      <c r="H284" s="125">
        <f t="shared" si="174"/>
        <v>1</v>
      </c>
      <c r="I284" s="125">
        <f t="shared" si="174"/>
        <v>1</v>
      </c>
      <c r="J284" s="125">
        <f t="shared" si="174"/>
        <v>1</v>
      </c>
      <c r="K284" s="125">
        <f t="shared" si="174"/>
        <v>1</v>
      </c>
      <c r="L284" s="125">
        <f t="shared" si="174"/>
        <v>1</v>
      </c>
      <c r="M284" s="125">
        <f t="shared" si="174"/>
        <v>1</v>
      </c>
      <c r="N284" s="125">
        <v>0</v>
      </c>
      <c r="O284" s="125">
        <v>0</v>
      </c>
      <c r="P284" s="125">
        <v>0</v>
      </c>
      <c r="Q284" s="125">
        <v>0</v>
      </c>
      <c r="R284" s="125">
        <v>0</v>
      </c>
      <c r="S284" s="125">
        <v>0</v>
      </c>
      <c r="T284" s="125">
        <v>0</v>
      </c>
      <c r="U284" s="125">
        <v>0</v>
      </c>
      <c r="V284" s="125">
        <v>0</v>
      </c>
      <c r="W284" s="125">
        <v>0</v>
      </c>
      <c r="X284" s="125">
        <v>0</v>
      </c>
      <c r="Y284" s="125">
        <v>0</v>
      </c>
      <c r="Z284" s="125">
        <v>0</v>
      </c>
      <c r="AA284" s="125">
        <v>0</v>
      </c>
      <c r="AB284" s="125">
        <v>0</v>
      </c>
      <c r="AC284" s="125">
        <v>0</v>
      </c>
      <c r="AD284" s="125">
        <v>0</v>
      </c>
      <c r="AE284" s="125">
        <v>0</v>
      </c>
      <c r="AF284" s="125">
        <v>0</v>
      </c>
      <c r="AG284" s="126">
        <v>0</v>
      </c>
      <c r="AH284" s="22"/>
    </row>
    <row r="285" spans="1:34" x14ac:dyDescent="0.25">
      <c r="A285" s="112"/>
      <c r="B285" s="69" t="s">
        <v>281</v>
      </c>
      <c r="C285" s="133" t="s">
        <v>59</v>
      </c>
      <c r="D285" s="125">
        <f t="shared" ref="D285:M285" si="175">IF($B$5 &gt;= 30,2,0)</f>
        <v>0</v>
      </c>
      <c r="E285" s="125">
        <f t="shared" si="175"/>
        <v>0</v>
      </c>
      <c r="F285" s="125">
        <f t="shared" si="175"/>
        <v>0</v>
      </c>
      <c r="G285" s="125">
        <f t="shared" si="175"/>
        <v>0</v>
      </c>
      <c r="H285" s="125">
        <f t="shared" si="175"/>
        <v>0</v>
      </c>
      <c r="I285" s="125">
        <f t="shared" si="175"/>
        <v>0</v>
      </c>
      <c r="J285" s="125">
        <f t="shared" si="175"/>
        <v>0</v>
      </c>
      <c r="K285" s="125">
        <f t="shared" si="175"/>
        <v>0</v>
      </c>
      <c r="L285" s="125">
        <f t="shared" si="175"/>
        <v>0</v>
      </c>
      <c r="M285" s="125">
        <f t="shared" si="175"/>
        <v>0</v>
      </c>
      <c r="N285" s="125">
        <f>2</f>
        <v>2</v>
      </c>
      <c r="O285" s="125">
        <f>2</f>
        <v>2</v>
      </c>
      <c r="P285" s="125">
        <f>2</f>
        <v>2</v>
      </c>
      <c r="Q285" s="125">
        <f>2</f>
        <v>2</v>
      </c>
      <c r="R285" s="125">
        <f>2</f>
        <v>2</v>
      </c>
      <c r="S285" s="125">
        <f>2</f>
        <v>2</v>
      </c>
      <c r="T285" s="125">
        <f>2</f>
        <v>2</v>
      </c>
      <c r="U285" s="125">
        <f>2</f>
        <v>2</v>
      </c>
      <c r="V285" s="125">
        <f>2</f>
        <v>2</v>
      </c>
      <c r="W285" s="125">
        <f>2</f>
        <v>2</v>
      </c>
      <c r="X285" s="125">
        <f t="shared" ref="X285:AG285" si="176">IF($B$5 &gt;= 15,1,0)</f>
        <v>0</v>
      </c>
      <c r="Y285" s="125">
        <f t="shared" si="176"/>
        <v>0</v>
      </c>
      <c r="Z285" s="125">
        <f t="shared" si="176"/>
        <v>0</v>
      </c>
      <c r="AA285" s="125">
        <f t="shared" si="176"/>
        <v>0</v>
      </c>
      <c r="AB285" s="125">
        <f t="shared" si="176"/>
        <v>0</v>
      </c>
      <c r="AC285" s="125">
        <f t="shared" si="176"/>
        <v>0</v>
      </c>
      <c r="AD285" s="125">
        <f t="shared" si="176"/>
        <v>0</v>
      </c>
      <c r="AE285" s="125">
        <f t="shared" si="176"/>
        <v>0</v>
      </c>
      <c r="AF285" s="125">
        <f t="shared" si="176"/>
        <v>0</v>
      </c>
      <c r="AG285" s="126">
        <f t="shared" si="176"/>
        <v>0</v>
      </c>
      <c r="AH285" s="22"/>
    </row>
    <row r="286" spans="1:34" x14ac:dyDescent="0.25">
      <c r="A286" s="112"/>
      <c r="B286" s="69" t="s">
        <v>282</v>
      </c>
      <c r="C286" s="133" t="s">
        <v>59</v>
      </c>
      <c r="D286" s="125">
        <v>0</v>
      </c>
      <c r="E286" s="125">
        <v>0</v>
      </c>
      <c r="F286" s="125">
        <v>0</v>
      </c>
      <c r="G286" s="125">
        <v>0</v>
      </c>
      <c r="H286" s="125">
        <v>0</v>
      </c>
      <c r="I286" s="125">
        <v>0</v>
      </c>
      <c r="J286" s="125">
        <v>0</v>
      </c>
      <c r="K286" s="125">
        <v>0</v>
      </c>
      <c r="L286" s="125">
        <v>0</v>
      </c>
      <c r="M286" s="125">
        <v>0</v>
      </c>
      <c r="N286" s="125">
        <v>0</v>
      </c>
      <c r="O286" s="125">
        <v>0</v>
      </c>
      <c r="P286" s="125">
        <v>0</v>
      </c>
      <c r="Q286" s="125">
        <v>0</v>
      </c>
      <c r="R286" s="125">
        <v>0</v>
      </c>
      <c r="S286" s="125">
        <v>0</v>
      </c>
      <c r="T286" s="125">
        <v>0</v>
      </c>
      <c r="U286" s="125">
        <v>0</v>
      </c>
      <c r="V286" s="125">
        <v>0</v>
      </c>
      <c r="W286" s="125">
        <v>0</v>
      </c>
      <c r="X286" s="125">
        <f t="shared" ref="X286:AG286" si="177">IF($B$5 &lt; 15,1,0)</f>
        <v>1</v>
      </c>
      <c r="Y286" s="125">
        <f t="shared" si="177"/>
        <v>1</v>
      </c>
      <c r="Z286" s="125">
        <f t="shared" si="177"/>
        <v>1</v>
      </c>
      <c r="AA286" s="125">
        <f t="shared" si="177"/>
        <v>1</v>
      </c>
      <c r="AB286" s="125">
        <f t="shared" si="177"/>
        <v>1</v>
      </c>
      <c r="AC286" s="125">
        <f t="shared" si="177"/>
        <v>1</v>
      </c>
      <c r="AD286" s="125">
        <f t="shared" si="177"/>
        <v>1</v>
      </c>
      <c r="AE286" s="125">
        <f t="shared" si="177"/>
        <v>1</v>
      </c>
      <c r="AF286" s="125">
        <f t="shared" si="177"/>
        <v>1</v>
      </c>
      <c r="AG286" s="126">
        <f t="shared" si="177"/>
        <v>1</v>
      </c>
      <c r="AH286" s="22"/>
    </row>
    <row r="287" spans="1:34" x14ac:dyDescent="0.25">
      <c r="A287" s="112"/>
      <c r="B287" s="120" t="s">
        <v>560</v>
      </c>
      <c r="C287" s="121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8"/>
      <c r="AH287" s="22"/>
    </row>
    <row r="288" spans="1:34" x14ac:dyDescent="0.25">
      <c r="A288" s="112"/>
      <c r="B288" s="69" t="s">
        <v>284</v>
      </c>
      <c r="C288" s="133" t="s">
        <v>59</v>
      </c>
      <c r="D288" s="125">
        <f>1</f>
        <v>1</v>
      </c>
      <c r="E288" s="125">
        <f>1</f>
        <v>1</v>
      </c>
      <c r="F288" s="125">
        <f>1</f>
        <v>1</v>
      </c>
      <c r="G288" s="125">
        <f>1</f>
        <v>1</v>
      </c>
      <c r="H288" s="125">
        <f>1</f>
        <v>1</v>
      </c>
      <c r="I288" s="125">
        <f>1</f>
        <v>1</v>
      </c>
      <c r="J288" s="125">
        <f>1</f>
        <v>1</v>
      </c>
      <c r="K288" s="125">
        <f>1</f>
        <v>1</v>
      </c>
      <c r="L288" s="125">
        <f>1</f>
        <v>1</v>
      </c>
      <c r="M288" s="125">
        <f>1</f>
        <v>1</v>
      </c>
      <c r="N288" s="125">
        <f>1</f>
        <v>1</v>
      </c>
      <c r="O288" s="125">
        <f>1</f>
        <v>1</v>
      </c>
      <c r="P288" s="125">
        <f>1</f>
        <v>1</v>
      </c>
      <c r="Q288" s="125">
        <f>1</f>
        <v>1</v>
      </c>
      <c r="R288" s="125">
        <f>1</f>
        <v>1</v>
      </c>
      <c r="S288" s="125">
        <f>1</f>
        <v>1</v>
      </c>
      <c r="T288" s="125">
        <f>1</f>
        <v>1</v>
      </c>
      <c r="U288" s="125">
        <f>1</f>
        <v>1</v>
      </c>
      <c r="V288" s="125">
        <f>1</f>
        <v>1</v>
      </c>
      <c r="W288" s="125">
        <f>1</f>
        <v>1</v>
      </c>
      <c r="X288" s="125">
        <f>1</f>
        <v>1</v>
      </c>
      <c r="Y288" s="125">
        <f>1</f>
        <v>1</v>
      </c>
      <c r="Z288" s="125">
        <f>1</f>
        <v>1</v>
      </c>
      <c r="AA288" s="125">
        <f>1</f>
        <v>1</v>
      </c>
      <c r="AB288" s="125">
        <f>1</f>
        <v>1</v>
      </c>
      <c r="AC288" s="125">
        <f>1</f>
        <v>1</v>
      </c>
      <c r="AD288" s="125">
        <f>1</f>
        <v>1</v>
      </c>
      <c r="AE288" s="125">
        <f>1</f>
        <v>1</v>
      </c>
      <c r="AF288" s="125">
        <f>1</f>
        <v>1</v>
      </c>
      <c r="AG288" s="126">
        <f>1</f>
        <v>1</v>
      </c>
      <c r="AH288" s="22"/>
    </row>
    <row r="289" spans="1:34" x14ac:dyDescent="0.25">
      <c r="A289" s="112"/>
      <c r="B289" s="69" t="s">
        <v>285</v>
      </c>
      <c r="C289" s="133" t="s">
        <v>59</v>
      </c>
      <c r="D289" s="125">
        <f>1</f>
        <v>1</v>
      </c>
      <c r="E289" s="125">
        <f>1</f>
        <v>1</v>
      </c>
      <c r="F289" s="125">
        <f>1</f>
        <v>1</v>
      </c>
      <c r="G289" s="125">
        <f>1</f>
        <v>1</v>
      </c>
      <c r="H289" s="125">
        <f>1</f>
        <v>1</v>
      </c>
      <c r="I289" s="125">
        <f>1</f>
        <v>1</v>
      </c>
      <c r="J289" s="125">
        <f>1</f>
        <v>1</v>
      </c>
      <c r="K289" s="125">
        <f>1</f>
        <v>1</v>
      </c>
      <c r="L289" s="125">
        <f>1</f>
        <v>1</v>
      </c>
      <c r="M289" s="125">
        <f>1</f>
        <v>1</v>
      </c>
      <c r="N289" s="125">
        <f>1</f>
        <v>1</v>
      </c>
      <c r="O289" s="125">
        <f>1</f>
        <v>1</v>
      </c>
      <c r="P289" s="125">
        <f>1</f>
        <v>1</v>
      </c>
      <c r="Q289" s="125">
        <f>1</f>
        <v>1</v>
      </c>
      <c r="R289" s="125">
        <f>1</f>
        <v>1</v>
      </c>
      <c r="S289" s="125">
        <f>1</f>
        <v>1</v>
      </c>
      <c r="T289" s="125">
        <f>1</f>
        <v>1</v>
      </c>
      <c r="U289" s="125">
        <f>1</f>
        <v>1</v>
      </c>
      <c r="V289" s="125">
        <f>1</f>
        <v>1</v>
      </c>
      <c r="W289" s="125">
        <f>1</f>
        <v>1</v>
      </c>
      <c r="X289" s="125">
        <f t="shared" ref="X289:AG289" si="178">0.0017*$B$5^2 - 0.05*$B$5 + 1.3333</f>
        <v>1.0032999999999999</v>
      </c>
      <c r="Y289" s="125">
        <f t="shared" si="178"/>
        <v>1.0032999999999999</v>
      </c>
      <c r="Z289" s="125">
        <f t="shared" si="178"/>
        <v>1.0032999999999999</v>
      </c>
      <c r="AA289" s="125">
        <f t="shared" si="178"/>
        <v>1.0032999999999999</v>
      </c>
      <c r="AB289" s="125">
        <f t="shared" si="178"/>
        <v>1.0032999999999999</v>
      </c>
      <c r="AC289" s="125">
        <f t="shared" si="178"/>
        <v>1.0032999999999999</v>
      </c>
      <c r="AD289" s="125">
        <f t="shared" si="178"/>
        <v>1.0032999999999999</v>
      </c>
      <c r="AE289" s="125">
        <f t="shared" si="178"/>
        <v>1.0032999999999999</v>
      </c>
      <c r="AF289" s="125">
        <f t="shared" si="178"/>
        <v>1.0032999999999999</v>
      </c>
      <c r="AG289" s="126">
        <f t="shared" si="178"/>
        <v>1.0032999999999999</v>
      </c>
      <c r="AH289" s="22"/>
    </row>
    <row r="290" spans="1:34" x14ac:dyDescent="0.25">
      <c r="A290" s="112"/>
      <c r="B290" s="69" t="s">
        <v>286</v>
      </c>
      <c r="C290" s="133" t="s">
        <v>59</v>
      </c>
      <c r="D290" s="125">
        <v>0</v>
      </c>
      <c r="E290" s="125">
        <v>0</v>
      </c>
      <c r="F290" s="125">
        <v>0</v>
      </c>
      <c r="G290" s="125">
        <v>0</v>
      </c>
      <c r="H290" s="125">
        <v>0</v>
      </c>
      <c r="I290" s="125">
        <v>0</v>
      </c>
      <c r="J290" s="125">
        <v>0</v>
      </c>
      <c r="K290" s="125">
        <v>0</v>
      </c>
      <c r="L290" s="125">
        <v>0</v>
      </c>
      <c r="M290" s="125">
        <v>0</v>
      </c>
      <c r="N290" s="125">
        <v>0</v>
      </c>
      <c r="O290" s="125">
        <v>0</v>
      </c>
      <c r="P290" s="125">
        <v>0</v>
      </c>
      <c r="Q290" s="125">
        <v>0</v>
      </c>
      <c r="R290" s="125">
        <v>0</v>
      </c>
      <c r="S290" s="125">
        <v>0</v>
      </c>
      <c r="T290" s="125">
        <v>0</v>
      </c>
      <c r="U290" s="125">
        <v>0</v>
      </c>
      <c r="V290" s="125">
        <v>0</v>
      </c>
      <c r="W290" s="125">
        <v>0</v>
      </c>
      <c r="X290" s="125">
        <f>1</f>
        <v>1</v>
      </c>
      <c r="Y290" s="125">
        <f>1</f>
        <v>1</v>
      </c>
      <c r="Z290" s="125">
        <f>1</f>
        <v>1</v>
      </c>
      <c r="AA290" s="125">
        <f>1</f>
        <v>1</v>
      </c>
      <c r="AB290" s="125">
        <f>1</f>
        <v>1</v>
      </c>
      <c r="AC290" s="125">
        <f>1</f>
        <v>1</v>
      </c>
      <c r="AD290" s="125">
        <f>1</f>
        <v>1</v>
      </c>
      <c r="AE290" s="125">
        <f>1</f>
        <v>1</v>
      </c>
      <c r="AF290" s="125">
        <f>1</f>
        <v>1</v>
      </c>
      <c r="AG290" s="126">
        <f>1</f>
        <v>1</v>
      </c>
      <c r="AH290" s="22"/>
    </row>
    <row r="291" spans="1:34" x14ac:dyDescent="0.25">
      <c r="A291" s="112"/>
      <c r="B291" s="69" t="s">
        <v>287</v>
      </c>
      <c r="C291" s="133" t="s">
        <v>59</v>
      </c>
      <c r="D291" s="125">
        <f t="shared" ref="D291:W291" si="179">-0.0033*$B$5^2 + 0.2*$B$5 - 0.6667</f>
        <v>1.0032999999999999</v>
      </c>
      <c r="E291" s="125">
        <f t="shared" si="179"/>
        <v>1.0032999999999999</v>
      </c>
      <c r="F291" s="125">
        <f t="shared" si="179"/>
        <v>1.0032999999999999</v>
      </c>
      <c r="G291" s="125">
        <f t="shared" si="179"/>
        <v>1.0032999999999999</v>
      </c>
      <c r="H291" s="125">
        <f t="shared" si="179"/>
        <v>1.0032999999999999</v>
      </c>
      <c r="I291" s="125">
        <f t="shared" si="179"/>
        <v>1.0032999999999999</v>
      </c>
      <c r="J291" s="125">
        <f t="shared" si="179"/>
        <v>1.0032999999999999</v>
      </c>
      <c r="K291" s="125">
        <f t="shared" si="179"/>
        <v>1.0032999999999999</v>
      </c>
      <c r="L291" s="125">
        <f t="shared" si="179"/>
        <v>1.0032999999999999</v>
      </c>
      <c r="M291" s="125">
        <f t="shared" si="179"/>
        <v>1.0032999999999999</v>
      </c>
      <c r="N291" s="125">
        <f t="shared" si="179"/>
        <v>1.0032999999999999</v>
      </c>
      <c r="O291" s="125">
        <f t="shared" si="179"/>
        <v>1.0032999999999999</v>
      </c>
      <c r="P291" s="125">
        <f t="shared" si="179"/>
        <v>1.0032999999999999</v>
      </c>
      <c r="Q291" s="125">
        <f t="shared" si="179"/>
        <v>1.0032999999999999</v>
      </c>
      <c r="R291" s="125">
        <f t="shared" si="179"/>
        <v>1.0032999999999999</v>
      </c>
      <c r="S291" s="125">
        <f t="shared" si="179"/>
        <v>1.0032999999999999</v>
      </c>
      <c r="T291" s="125">
        <f t="shared" si="179"/>
        <v>1.0032999999999999</v>
      </c>
      <c r="U291" s="125">
        <f t="shared" si="179"/>
        <v>1.0032999999999999</v>
      </c>
      <c r="V291" s="125">
        <f t="shared" si="179"/>
        <v>1.0032999999999999</v>
      </c>
      <c r="W291" s="125">
        <f t="shared" si="179"/>
        <v>1.0032999999999999</v>
      </c>
      <c r="X291" s="125">
        <v>0</v>
      </c>
      <c r="Y291" s="125">
        <v>0</v>
      </c>
      <c r="Z291" s="125">
        <v>0</v>
      </c>
      <c r="AA291" s="125">
        <v>0</v>
      </c>
      <c r="AB291" s="125">
        <v>0</v>
      </c>
      <c r="AC291" s="125">
        <v>0</v>
      </c>
      <c r="AD291" s="125">
        <v>0</v>
      </c>
      <c r="AE291" s="125">
        <v>0</v>
      </c>
      <c r="AF291" s="125">
        <v>0</v>
      </c>
      <c r="AG291" s="126">
        <v>0</v>
      </c>
      <c r="AH291" s="22"/>
    </row>
    <row r="292" spans="1:34" x14ac:dyDescent="0.25">
      <c r="A292" s="112"/>
      <c r="B292" s="69" t="s">
        <v>289</v>
      </c>
      <c r="C292" s="133" t="s">
        <v>59</v>
      </c>
      <c r="D292" s="125">
        <f>2</f>
        <v>2</v>
      </c>
      <c r="E292" s="125">
        <f>2</f>
        <v>2</v>
      </c>
      <c r="F292" s="125">
        <f>2</f>
        <v>2</v>
      </c>
      <c r="G292" s="125">
        <f>2</f>
        <v>2</v>
      </c>
      <c r="H292" s="125">
        <f>2</f>
        <v>2</v>
      </c>
      <c r="I292" s="125">
        <f>2</f>
        <v>2</v>
      </c>
      <c r="J292" s="125">
        <f>2</f>
        <v>2</v>
      </c>
      <c r="K292" s="125">
        <f>2</f>
        <v>2</v>
      </c>
      <c r="L292" s="125">
        <f>2</f>
        <v>2</v>
      </c>
      <c r="M292" s="125">
        <f>2</f>
        <v>2</v>
      </c>
      <c r="N292" s="125">
        <f>2</f>
        <v>2</v>
      </c>
      <c r="O292" s="125">
        <f>2</f>
        <v>2</v>
      </c>
      <c r="P292" s="125">
        <f>2</f>
        <v>2</v>
      </c>
      <c r="Q292" s="125">
        <f>2</f>
        <v>2</v>
      </c>
      <c r="R292" s="125">
        <f>2</f>
        <v>2</v>
      </c>
      <c r="S292" s="125">
        <f>2</f>
        <v>2</v>
      </c>
      <c r="T292" s="125">
        <f>2</f>
        <v>2</v>
      </c>
      <c r="U292" s="125">
        <f>2</f>
        <v>2</v>
      </c>
      <c r="V292" s="125">
        <f>2</f>
        <v>2</v>
      </c>
      <c r="W292" s="125">
        <f>2</f>
        <v>2</v>
      </c>
      <c r="X292" s="125">
        <f>2</f>
        <v>2</v>
      </c>
      <c r="Y292" s="125">
        <f>2</f>
        <v>2</v>
      </c>
      <c r="Z292" s="125">
        <f>2</f>
        <v>2</v>
      </c>
      <c r="AA292" s="125">
        <f>2</f>
        <v>2</v>
      </c>
      <c r="AB292" s="125">
        <f>2</f>
        <v>2</v>
      </c>
      <c r="AC292" s="125">
        <f>2</f>
        <v>2</v>
      </c>
      <c r="AD292" s="125">
        <f>2</f>
        <v>2</v>
      </c>
      <c r="AE292" s="125">
        <f>2</f>
        <v>2</v>
      </c>
      <c r="AF292" s="125">
        <f>2</f>
        <v>2</v>
      </c>
      <c r="AG292" s="126">
        <f>2</f>
        <v>2</v>
      </c>
      <c r="AH292" s="22"/>
    </row>
    <row r="293" spans="1:34" x14ac:dyDescent="0.25">
      <c r="A293" s="112"/>
      <c r="B293" s="120" t="s">
        <v>561</v>
      </c>
      <c r="C293" s="121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8"/>
      <c r="AH293" s="22"/>
    </row>
    <row r="294" spans="1:34" x14ac:dyDescent="0.25">
      <c r="A294" s="112"/>
      <c r="B294" s="120" t="s">
        <v>562</v>
      </c>
      <c r="C294" s="121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8"/>
      <c r="AH294" s="22"/>
    </row>
    <row r="295" spans="1:34" ht="38.25" x14ac:dyDescent="0.25">
      <c r="A295" s="112"/>
      <c r="B295" s="69" t="s">
        <v>310</v>
      </c>
      <c r="C295" s="133" t="s">
        <v>64</v>
      </c>
      <c r="D295" s="125">
        <f>0.01*$B$5^2 - 0.3*$B$5 + 32</f>
        <v>30</v>
      </c>
      <c r="E295" s="125">
        <v>0</v>
      </c>
      <c r="F295" s="125">
        <v>0</v>
      </c>
      <c r="G295" s="125">
        <f>0.01*$B$5^2 - 0.3*$B$5 + 32</f>
        <v>30</v>
      </c>
      <c r="H295" s="125">
        <v>0</v>
      </c>
      <c r="I295" s="125">
        <v>0</v>
      </c>
      <c r="J295" s="125">
        <f>0.01*$B$5^2 - 0.3*$B$5 + 32</f>
        <v>30</v>
      </c>
      <c r="K295" s="125">
        <v>0</v>
      </c>
      <c r="L295" s="125">
        <f>0.01*$B$5^2 - 0.3*$B$5 + 32</f>
        <v>30</v>
      </c>
      <c r="M295" s="125">
        <v>0</v>
      </c>
      <c r="N295" s="125">
        <f>0.01*$B$5^2 - 0.3*$B$5 + 32</f>
        <v>30</v>
      </c>
      <c r="O295" s="125">
        <v>0</v>
      </c>
      <c r="P295" s="125">
        <v>0</v>
      </c>
      <c r="Q295" s="125">
        <f>0.01*$B$5^2 - 0.3*$B$5 + 32</f>
        <v>30</v>
      </c>
      <c r="R295" s="125">
        <v>0</v>
      </c>
      <c r="S295" s="125">
        <v>0</v>
      </c>
      <c r="T295" s="125">
        <f>0.01*$B$5^2 - 0.3*$B$5 + 32</f>
        <v>30</v>
      </c>
      <c r="U295" s="125">
        <v>0</v>
      </c>
      <c r="V295" s="125">
        <f>0.01*$B$5^2 - 0.3*$B$5 + 32</f>
        <v>30</v>
      </c>
      <c r="W295" s="125">
        <v>0</v>
      </c>
      <c r="X295" s="125">
        <f>0.01*$B$5^2 - 0.3*$B$5 + 32</f>
        <v>30</v>
      </c>
      <c r="Y295" s="125">
        <v>0</v>
      </c>
      <c r="Z295" s="125">
        <v>0</v>
      </c>
      <c r="AA295" s="125">
        <f>0.01*$B$5^2 - 0.3*$B$5 + 32</f>
        <v>30</v>
      </c>
      <c r="AB295" s="125">
        <v>0</v>
      </c>
      <c r="AC295" s="125">
        <v>0</v>
      </c>
      <c r="AD295" s="125">
        <f>0.01*$B$5^2 - 0.3*$B$5 + 32</f>
        <v>30</v>
      </c>
      <c r="AE295" s="125">
        <v>0</v>
      </c>
      <c r="AF295" s="125">
        <f>0.01*$B$5^2 - 0.3*$B$5 + 32</f>
        <v>30</v>
      </c>
      <c r="AG295" s="126">
        <v>0</v>
      </c>
      <c r="AH295" s="22"/>
    </row>
    <row r="296" spans="1:34" ht="38.25" x14ac:dyDescent="0.25">
      <c r="A296" s="112"/>
      <c r="B296" s="69" t="s">
        <v>313</v>
      </c>
      <c r="C296" s="133" t="s">
        <v>64</v>
      </c>
      <c r="D296" s="125">
        <f>IF($B$5 &lt; 30,1.2*$B$5 + 12,0)</f>
        <v>24</v>
      </c>
      <c r="E296" s="125">
        <f>IF($B$5 &lt; 30,1.8*$B$5 + 18,0)</f>
        <v>36</v>
      </c>
      <c r="F296" s="125">
        <f>IF($B$5 &lt; 30,0.6*$B$5 + 12,0)</f>
        <v>18</v>
      </c>
      <c r="G296" s="125">
        <f>IF($B$5 &lt; 30,1.2*$B$5 + 12,0)</f>
        <v>24</v>
      </c>
      <c r="H296" s="125">
        <f>IF($B$5 &lt; 30,1.8*$B$5 + 18,0)</f>
        <v>36</v>
      </c>
      <c r="I296" s="125">
        <f>IF($B$5 &lt; 30,1.2*$B$5 + 6,0)</f>
        <v>18</v>
      </c>
      <c r="J296" s="125">
        <f>IF($B$5 &lt; 30,1.2*$B$5 + 12,0)</f>
        <v>24</v>
      </c>
      <c r="K296" s="125">
        <f>IF($B$5 &lt; 30,0.6*$B$5 + 12,0)</f>
        <v>18</v>
      </c>
      <c r="L296" s="125">
        <f>IF($B$5 &lt; 30,1.2*$B$5 + 12,0)</f>
        <v>24</v>
      </c>
      <c r="M296" s="125">
        <f>IF($B$5 &lt; 30,1.2*$B$5 + 6,0)</f>
        <v>18</v>
      </c>
      <c r="N296" s="125">
        <f>IF($B$5 &lt; 30,0.6*$B$5 + 12,0)</f>
        <v>18</v>
      </c>
      <c r="O296" s="125">
        <f>IF($B$5 &lt; 30,1.2*$B$5 + 12,0)</f>
        <v>24</v>
      </c>
      <c r="P296" s="125">
        <f>IF($B$5 &lt; 30,18,0)</f>
        <v>18</v>
      </c>
      <c r="Q296" s="125">
        <f>IF($B$5 &lt; 30,1.2*$B$5 + 6,0)</f>
        <v>18</v>
      </c>
      <c r="R296" s="125">
        <f>IF($B$5 &lt; 30,0.6*$B$5 + 24,0)</f>
        <v>30</v>
      </c>
      <c r="S296" s="125">
        <f>IF($B$5 &lt; 30,18,0)</f>
        <v>18</v>
      </c>
      <c r="T296" s="125">
        <f>IF($B$5 &lt; 30,0.6*$B$5 + 12,0)</f>
        <v>18</v>
      </c>
      <c r="U296" s="125">
        <f>IF($B$5 &lt; 30,18,0)</f>
        <v>18</v>
      </c>
      <c r="V296" s="125">
        <f>IF($B$5 &lt; 30,1.2*$B$5 + 6,0)</f>
        <v>18</v>
      </c>
      <c r="W296" s="125">
        <f>IF($B$5 &lt; 30,18,0)</f>
        <v>18</v>
      </c>
      <c r="X296" s="125">
        <f>IF($B$5 &lt; 30,0.6*$B$5 + 12,0)</f>
        <v>18</v>
      </c>
      <c r="Y296" s="125">
        <f>IF($B$5 &lt; 30,0.6*$B$5 + 18,0)</f>
        <v>24</v>
      </c>
      <c r="Z296" s="125">
        <f>IF($B$5 &lt; 30,12,0)</f>
        <v>12</v>
      </c>
      <c r="AA296" s="125">
        <f>IF($B$5 &lt; 30,0.6*$B$5 + 12,0)</f>
        <v>18</v>
      </c>
      <c r="AB296" s="125">
        <f>IF($B$5 &lt; 30,0.6*$B$5 + 18,0)</f>
        <v>24</v>
      </c>
      <c r="AC296" s="125">
        <f>IF($B$5 &lt; 30,12,0)</f>
        <v>12</v>
      </c>
      <c r="AD296" s="125">
        <f>IF($B$5 &lt; 30,0.6*$B$5 + 12,0)</f>
        <v>18</v>
      </c>
      <c r="AE296" s="125">
        <f>IF($B$5 &lt; 30,12,0)</f>
        <v>12</v>
      </c>
      <c r="AF296" s="125">
        <f>IF($B$5 &lt; 30,0.6*$B$5 + 12,0)</f>
        <v>18</v>
      </c>
      <c r="AG296" s="126">
        <f>IF($B$5 &lt; 30,12,0)</f>
        <v>12</v>
      </c>
      <c r="AH296" s="22"/>
    </row>
    <row r="297" spans="1:34" ht="38.25" x14ac:dyDescent="0.25">
      <c r="A297" s="112"/>
      <c r="B297" s="69" t="s">
        <v>315</v>
      </c>
      <c r="C297" s="133" t="s">
        <v>64</v>
      </c>
      <c r="D297" s="125">
        <f>IF($B$5 &gt;= 30,42,0)</f>
        <v>0</v>
      </c>
      <c r="E297" s="125">
        <f>IF($B$5 &gt;= 30,60,0)</f>
        <v>0</v>
      </c>
      <c r="F297" s="125">
        <f>IF($B$5 &gt;= 30,30,0)</f>
        <v>0</v>
      </c>
      <c r="G297" s="125">
        <f>IF($B$5 &gt;= 30,42,0)</f>
        <v>0</v>
      </c>
      <c r="H297" s="125">
        <f>IF($B$5 &gt;= 30,66,0)</f>
        <v>0</v>
      </c>
      <c r="I297" s="125">
        <f>IF($B$5 &gt;= 30,36,0)</f>
        <v>0</v>
      </c>
      <c r="J297" s="125">
        <f>IF($B$5 &gt;= 30,42,0)</f>
        <v>0</v>
      </c>
      <c r="K297" s="125">
        <f>IF($B$5 &gt;= 30,30,0)</f>
        <v>0</v>
      </c>
      <c r="L297" s="125">
        <f>IF($B$5 &gt;= 30,42,0)</f>
        <v>0</v>
      </c>
      <c r="M297" s="125">
        <f>IF($B$5 &gt;= 30,36,0)</f>
        <v>0</v>
      </c>
      <c r="N297" s="125">
        <f>IF($B$5 &gt;= 30,30,0)</f>
        <v>0</v>
      </c>
      <c r="O297" s="125">
        <f>IF($B$5 &gt;= 30,42,0)</f>
        <v>0</v>
      </c>
      <c r="P297" s="125">
        <f>IF($B$5 &gt;= 30,24,0)</f>
        <v>0</v>
      </c>
      <c r="Q297" s="125">
        <f>IF($B$5 &gt;= 30,30,0)</f>
        <v>0</v>
      </c>
      <c r="R297" s="125">
        <f>IF($B$5 &gt;= 30,42,0)</f>
        <v>0</v>
      </c>
      <c r="S297" s="125">
        <f>IF($B$5 &gt;= 30,24,0)</f>
        <v>0</v>
      </c>
      <c r="T297" s="125">
        <f>IF($B$5 &gt;= 30,30,0)</f>
        <v>0</v>
      </c>
      <c r="U297" s="125">
        <f>IF($B$5 &gt;= 30,24,0)</f>
        <v>0</v>
      </c>
      <c r="V297" s="125">
        <f>IF($B$5 &gt;= 30,30,0)</f>
        <v>0</v>
      </c>
      <c r="W297" s="125">
        <f>IF($B$5 &gt;= 30,24,0)</f>
        <v>0</v>
      </c>
      <c r="X297" s="125">
        <f>IF($B$5 &gt;= 30,24,0)</f>
        <v>0</v>
      </c>
      <c r="Y297" s="125">
        <f>IF($B$5 &gt;= 30,36,0)</f>
        <v>0</v>
      </c>
      <c r="Z297" s="125">
        <f>IF($B$5 &gt;= 30,18,0)</f>
        <v>0</v>
      </c>
      <c r="AA297" s="125">
        <f>IF($B$5 &gt;= 30,24,0)</f>
        <v>0</v>
      </c>
      <c r="AB297" s="125">
        <f>IF($B$5 &gt;= 30,42,0)</f>
        <v>0</v>
      </c>
      <c r="AC297" s="125">
        <f>IF($B$5 &gt;= 30,18,0)</f>
        <v>0</v>
      </c>
      <c r="AD297" s="125">
        <f>IF($B$5 &gt;= 30,24,0)</f>
        <v>0</v>
      </c>
      <c r="AE297" s="125">
        <f>IF($B$5 &gt;= 30,18,0)</f>
        <v>0</v>
      </c>
      <c r="AF297" s="125">
        <f>IF($B$5 &gt;= 30,24,0)</f>
        <v>0</v>
      </c>
      <c r="AG297" s="126">
        <f>IF($B$5 &gt;= 30,18,0)</f>
        <v>0</v>
      </c>
      <c r="AH297" s="22"/>
    </row>
    <row r="298" spans="1:34" x14ac:dyDescent="0.25">
      <c r="A298" s="112"/>
      <c r="B298" s="69" t="s">
        <v>234</v>
      </c>
      <c r="C298" s="133" t="s">
        <v>64</v>
      </c>
      <c r="D298" s="125">
        <f>0.01*$B$5^2 - 0.3*$B$5 + 32</f>
        <v>30</v>
      </c>
      <c r="E298" s="125">
        <v>0</v>
      </c>
      <c r="F298" s="125">
        <v>0</v>
      </c>
      <c r="G298" s="125">
        <f>0.01*$B$5^2 - 0.3*$B$5 + 32</f>
        <v>30</v>
      </c>
      <c r="H298" s="125">
        <v>0</v>
      </c>
      <c r="I298" s="125">
        <v>0</v>
      </c>
      <c r="J298" s="125">
        <f>0.01*$B$5^2 - 0.3*$B$5 + 32</f>
        <v>30</v>
      </c>
      <c r="K298" s="125">
        <v>0</v>
      </c>
      <c r="L298" s="125">
        <f>0.01*$B$5^2 - 0.3*$B$5 + 32</f>
        <v>30</v>
      </c>
      <c r="M298" s="125">
        <v>0</v>
      </c>
      <c r="N298" s="125">
        <f>0.01*$B$5^2 - 0.3*$B$5 + 32</f>
        <v>30</v>
      </c>
      <c r="O298" s="125">
        <v>0</v>
      </c>
      <c r="P298" s="125">
        <v>0</v>
      </c>
      <c r="Q298" s="125">
        <f>0.01*$B$5^2 - 0.3*$B$5 + 32</f>
        <v>30</v>
      </c>
      <c r="R298" s="125">
        <v>0</v>
      </c>
      <c r="S298" s="125">
        <v>0</v>
      </c>
      <c r="T298" s="125">
        <f>0.01*$B$5^2 - 0.3*$B$5 + 32</f>
        <v>30</v>
      </c>
      <c r="U298" s="125">
        <v>0</v>
      </c>
      <c r="V298" s="125">
        <f>0.01*$B$5^2 - 0.3*$B$5 + 32</f>
        <v>30</v>
      </c>
      <c r="W298" s="125">
        <v>0</v>
      </c>
      <c r="X298" s="125">
        <f>0.01*$B$5^2 - 0.3*$B$5 + 32</f>
        <v>30</v>
      </c>
      <c r="Y298" s="125">
        <v>0</v>
      </c>
      <c r="Z298" s="125">
        <v>0</v>
      </c>
      <c r="AA298" s="125">
        <f>0.01*$B$5^2 - 0.3*$B$5 + 32</f>
        <v>30</v>
      </c>
      <c r="AB298" s="125">
        <v>0</v>
      </c>
      <c r="AC298" s="125">
        <v>0</v>
      </c>
      <c r="AD298" s="125">
        <f>0.01*$B$5^2 - 0.3*$B$5 + 32</f>
        <v>30</v>
      </c>
      <c r="AE298" s="125">
        <v>0</v>
      </c>
      <c r="AF298" s="125">
        <f>0.01*$B$5^2 - 0.3*$B$5 + 32</f>
        <v>30</v>
      </c>
      <c r="AG298" s="126">
        <v>0</v>
      </c>
      <c r="AH298" s="22"/>
    </row>
    <row r="299" spans="1:34" x14ac:dyDescent="0.25">
      <c r="A299" s="112"/>
      <c r="B299" s="69" t="s">
        <v>237</v>
      </c>
      <c r="C299" s="133" t="s">
        <v>64</v>
      </c>
      <c r="D299" s="125">
        <f>IF($B$5 &lt; 30,1.2*$B$5 + 12,0)</f>
        <v>24</v>
      </c>
      <c r="E299" s="125">
        <f>IF($B$5 &lt; 30,1.8*$B$5 + 18,0)</f>
        <v>36</v>
      </c>
      <c r="F299" s="125">
        <f>IF($B$5 &lt; 30,0.6*$B$5 + 12,0)</f>
        <v>18</v>
      </c>
      <c r="G299" s="125">
        <f>IF($B$5 &lt; 30,1.2*$B$5 + 12,0)</f>
        <v>24</v>
      </c>
      <c r="H299" s="125">
        <f>IF($B$5 &lt; 30,1.8*$B$5 + 18,0)</f>
        <v>36</v>
      </c>
      <c r="I299" s="125">
        <f>IF($B$5 &lt; 30,1.2*$B$5 + 6,0)</f>
        <v>18</v>
      </c>
      <c r="J299" s="125">
        <f>IF($B$5 &lt; 30,1.2*$B$5 + 12,0)</f>
        <v>24</v>
      </c>
      <c r="K299" s="125">
        <f>IF($B$5 &lt; 30,0.6*$B$5 + 12,0)</f>
        <v>18</v>
      </c>
      <c r="L299" s="125">
        <f>IF($B$5 &lt; 30,1.2*$B$5 + 12,0)</f>
        <v>24</v>
      </c>
      <c r="M299" s="125">
        <f>IF($B$5 &lt; 30,1.2*$B$5 + 6,0)</f>
        <v>18</v>
      </c>
      <c r="N299" s="125">
        <f>IF($B$5 &lt; 30,0.6*$B$5 + 12,0)</f>
        <v>18</v>
      </c>
      <c r="O299" s="125">
        <f>IF($B$5 &lt; 30,1.2*$B$5 + 12,0)</f>
        <v>24</v>
      </c>
      <c r="P299" s="125">
        <f>IF($B$5 &lt; 30,18,0)</f>
        <v>18</v>
      </c>
      <c r="Q299" s="125">
        <f>IF($B$5 &lt; 30,1.2*$B$5 + 6,0)</f>
        <v>18</v>
      </c>
      <c r="R299" s="125">
        <f>IF($B$5 &lt; 30,0.6*$B$5 + 24,0)</f>
        <v>30</v>
      </c>
      <c r="S299" s="125">
        <f>IF($B$5 &lt; 30,18,0)</f>
        <v>18</v>
      </c>
      <c r="T299" s="125">
        <f>IF($B$5 &lt; 30,0.6*$B$5 + 12,0)</f>
        <v>18</v>
      </c>
      <c r="U299" s="125">
        <f>IF($B$5 &lt; 30,18,0)</f>
        <v>18</v>
      </c>
      <c r="V299" s="125">
        <f>IF($B$5 &lt; 30,1.2*$B$5 + 6,0)</f>
        <v>18</v>
      </c>
      <c r="W299" s="125">
        <f>IF($B$5 &lt; 30,18,0)</f>
        <v>18</v>
      </c>
      <c r="X299" s="125">
        <f>IF($B$5 &lt; 30,0.6*$B$5 + 12,0)</f>
        <v>18</v>
      </c>
      <c r="Y299" s="125">
        <f>IF($B$5 &lt; 30,0.6*$B$5 + 18,0)</f>
        <v>24</v>
      </c>
      <c r="Z299" s="125">
        <f>IF($B$5 &lt; 30,12,0)</f>
        <v>12</v>
      </c>
      <c r="AA299" s="125">
        <f>IF($B$5 &lt; 30,0.6*$B$5 + 12,0)</f>
        <v>18</v>
      </c>
      <c r="AB299" s="125">
        <f>IF($B$5 &lt; 30,0.6*$B$5 + 18,0)</f>
        <v>24</v>
      </c>
      <c r="AC299" s="125">
        <f>IF($B$5 &lt; 30,12,0)</f>
        <v>12</v>
      </c>
      <c r="AD299" s="125">
        <f>IF($B$5 &lt; 30,0.6*$B$5 + 12,0)</f>
        <v>18</v>
      </c>
      <c r="AE299" s="125">
        <f>IF($B$5 &lt; 30,12,0)</f>
        <v>12</v>
      </c>
      <c r="AF299" s="125">
        <f>IF($B$5 &lt; 30,0.6*$B$5 + 12,0)</f>
        <v>18</v>
      </c>
      <c r="AG299" s="126">
        <f>IF($B$5 &lt; 30,12,0)</f>
        <v>12</v>
      </c>
      <c r="AH299" s="22"/>
    </row>
    <row r="300" spans="1:34" x14ac:dyDescent="0.25">
      <c r="A300" s="112"/>
      <c r="B300" s="69" t="s">
        <v>239</v>
      </c>
      <c r="C300" s="133" t="s">
        <v>64</v>
      </c>
      <c r="D300" s="125">
        <f>IF($B$5 &gt;= 30,42,0)</f>
        <v>0</v>
      </c>
      <c r="E300" s="125">
        <f>IF($B$5 &gt;= 30,60,0)</f>
        <v>0</v>
      </c>
      <c r="F300" s="125">
        <f>IF($B$5 &gt;= 30,30,0)</f>
        <v>0</v>
      </c>
      <c r="G300" s="125">
        <f>IF($B$5 &gt;= 30,42,0)</f>
        <v>0</v>
      </c>
      <c r="H300" s="125">
        <f>IF($B$5 &gt;= 30,66,0)</f>
        <v>0</v>
      </c>
      <c r="I300" s="125">
        <f>IF($B$5 &gt;= 30,36,0)</f>
        <v>0</v>
      </c>
      <c r="J300" s="125">
        <f>IF($B$5 &gt;= 30,42,0)</f>
        <v>0</v>
      </c>
      <c r="K300" s="125">
        <f>IF($B$5 &gt;= 30,30,0)</f>
        <v>0</v>
      </c>
      <c r="L300" s="125">
        <f>IF($B$5 &gt;= 30,42,0)</f>
        <v>0</v>
      </c>
      <c r="M300" s="125">
        <f>IF($B$5 &gt;= 30,36,0)</f>
        <v>0</v>
      </c>
      <c r="N300" s="125">
        <f>IF($B$5 &gt;= 30,30,0)</f>
        <v>0</v>
      </c>
      <c r="O300" s="125">
        <f>IF($B$5 &gt;= 30,42,0)</f>
        <v>0</v>
      </c>
      <c r="P300" s="125">
        <f>IF($B$5 &gt;= 30,24,0)</f>
        <v>0</v>
      </c>
      <c r="Q300" s="125">
        <f>IF($B$5 &gt;= 30,30,0)</f>
        <v>0</v>
      </c>
      <c r="R300" s="125">
        <f>IF($B$5 &gt;= 30,42,0)</f>
        <v>0</v>
      </c>
      <c r="S300" s="125">
        <f>IF($B$5 &gt;= 30,24,0)</f>
        <v>0</v>
      </c>
      <c r="T300" s="125">
        <f>IF($B$5 &gt;= 30,30,0)</f>
        <v>0</v>
      </c>
      <c r="U300" s="125">
        <f>IF($B$5 &gt;= 30,24,0)</f>
        <v>0</v>
      </c>
      <c r="V300" s="125">
        <f>IF($B$5 &gt;= 30,30,0)</f>
        <v>0</v>
      </c>
      <c r="W300" s="125">
        <f>IF($B$5 &gt;= 30,24,0)</f>
        <v>0</v>
      </c>
      <c r="X300" s="125">
        <f>IF($B$5 &gt;= 30,24,0)</f>
        <v>0</v>
      </c>
      <c r="Y300" s="125">
        <f>IF($B$5 &gt;= 30,36,0)</f>
        <v>0</v>
      </c>
      <c r="Z300" s="125">
        <f>IF($B$5 &gt;= 30,18,0)</f>
        <v>0</v>
      </c>
      <c r="AA300" s="125">
        <f>IF($B$5 &gt;= 30,24,0)</f>
        <v>0</v>
      </c>
      <c r="AB300" s="125">
        <f>IF($B$5 &gt;= 30,42,0)</f>
        <v>0</v>
      </c>
      <c r="AC300" s="125">
        <f>IF($B$5 &gt;= 30,18,0)</f>
        <v>0</v>
      </c>
      <c r="AD300" s="125">
        <f>IF($B$5 &gt;= 30,24,0)</f>
        <v>0</v>
      </c>
      <c r="AE300" s="125">
        <f>IF($B$5 &gt;= 30,18,0)</f>
        <v>0</v>
      </c>
      <c r="AF300" s="125">
        <f>IF($B$5 &gt;= 30,24,0)</f>
        <v>0</v>
      </c>
      <c r="AG300" s="126">
        <f>IF($B$5 &gt;= 30,18,0)</f>
        <v>0</v>
      </c>
      <c r="AH300" s="22"/>
    </row>
    <row r="301" spans="1:34" x14ac:dyDescent="0.25">
      <c r="A301" s="112"/>
      <c r="B301" s="69" t="s">
        <v>193</v>
      </c>
      <c r="C301" s="133" t="s">
        <v>59</v>
      </c>
      <c r="D301" s="125">
        <f>1</f>
        <v>1</v>
      </c>
      <c r="E301" s="125">
        <v>0</v>
      </c>
      <c r="F301" s="125">
        <v>0</v>
      </c>
      <c r="G301" s="125">
        <f>1</f>
        <v>1</v>
      </c>
      <c r="H301" s="125">
        <v>0</v>
      </c>
      <c r="I301" s="125">
        <v>0</v>
      </c>
      <c r="J301" s="125">
        <f>1</f>
        <v>1</v>
      </c>
      <c r="K301" s="125">
        <v>0</v>
      </c>
      <c r="L301" s="125">
        <f>1</f>
        <v>1</v>
      </c>
      <c r="M301" s="125">
        <v>0</v>
      </c>
      <c r="N301" s="125">
        <f>1</f>
        <v>1</v>
      </c>
      <c r="O301" s="125">
        <v>0</v>
      </c>
      <c r="P301" s="125">
        <v>0</v>
      </c>
      <c r="Q301" s="125">
        <f>1</f>
        <v>1</v>
      </c>
      <c r="R301" s="125">
        <v>0</v>
      </c>
      <c r="S301" s="125">
        <v>0</v>
      </c>
      <c r="T301" s="125">
        <f>1</f>
        <v>1</v>
      </c>
      <c r="U301" s="125">
        <v>0</v>
      </c>
      <c r="V301" s="125">
        <f>1</f>
        <v>1</v>
      </c>
      <c r="W301" s="125">
        <v>0</v>
      </c>
      <c r="X301" s="125">
        <f>2</f>
        <v>2</v>
      </c>
      <c r="Y301" s="125">
        <v>0</v>
      </c>
      <c r="Z301" s="125">
        <v>0</v>
      </c>
      <c r="AA301" s="125">
        <f>2</f>
        <v>2</v>
      </c>
      <c r="AB301" s="125">
        <v>0</v>
      </c>
      <c r="AC301" s="125">
        <v>0</v>
      </c>
      <c r="AD301" s="125">
        <f>2</f>
        <v>2</v>
      </c>
      <c r="AE301" s="125">
        <v>0</v>
      </c>
      <c r="AF301" s="125">
        <f>2</f>
        <v>2</v>
      </c>
      <c r="AG301" s="126">
        <v>0</v>
      </c>
      <c r="AH301" s="22"/>
    </row>
    <row r="302" spans="1:34" x14ac:dyDescent="0.25">
      <c r="A302" s="112"/>
      <c r="B302" s="69" t="s">
        <v>194</v>
      </c>
      <c r="C302" s="133" t="s">
        <v>59</v>
      </c>
      <c r="D302" s="125">
        <f>2</f>
        <v>2</v>
      </c>
      <c r="E302" s="125">
        <v>0</v>
      </c>
      <c r="F302" s="125">
        <v>0</v>
      </c>
      <c r="G302" s="125">
        <f>2</f>
        <v>2</v>
      </c>
      <c r="H302" s="125">
        <v>0</v>
      </c>
      <c r="I302" s="125">
        <v>0</v>
      </c>
      <c r="J302" s="125">
        <f>2</f>
        <v>2</v>
      </c>
      <c r="K302" s="125">
        <v>0</v>
      </c>
      <c r="L302" s="125">
        <f>2</f>
        <v>2</v>
      </c>
      <c r="M302" s="125">
        <v>0</v>
      </c>
      <c r="N302" s="125">
        <f>2</f>
        <v>2</v>
      </c>
      <c r="O302" s="125">
        <v>0</v>
      </c>
      <c r="P302" s="125">
        <v>0</v>
      </c>
      <c r="Q302" s="125">
        <f>2</f>
        <v>2</v>
      </c>
      <c r="R302" s="125">
        <v>0</v>
      </c>
      <c r="S302" s="125">
        <v>0</v>
      </c>
      <c r="T302" s="125">
        <f>2</f>
        <v>2</v>
      </c>
      <c r="U302" s="125">
        <v>0</v>
      </c>
      <c r="V302" s="125">
        <f>2</f>
        <v>2</v>
      </c>
      <c r="W302" s="125">
        <v>0</v>
      </c>
      <c r="X302" s="125">
        <f>2</f>
        <v>2</v>
      </c>
      <c r="Y302" s="125">
        <v>0</v>
      </c>
      <c r="Z302" s="125">
        <v>0</v>
      </c>
      <c r="AA302" s="125">
        <f>2</f>
        <v>2</v>
      </c>
      <c r="AB302" s="125">
        <v>0</v>
      </c>
      <c r="AC302" s="125">
        <v>0</v>
      </c>
      <c r="AD302" s="125">
        <f>2</f>
        <v>2</v>
      </c>
      <c r="AE302" s="125">
        <v>0</v>
      </c>
      <c r="AF302" s="125">
        <f>2</f>
        <v>2</v>
      </c>
      <c r="AG302" s="126">
        <v>0</v>
      </c>
      <c r="AH302" s="22"/>
    </row>
    <row r="303" spans="1:34" x14ac:dyDescent="0.25">
      <c r="A303" s="112"/>
      <c r="B303" s="69" t="s">
        <v>197</v>
      </c>
      <c r="C303" s="133" t="s">
        <v>59</v>
      </c>
      <c r="D303" s="125">
        <f>IF($B$5 &lt; 30,0.2*$B$5 + 1,0)</f>
        <v>3</v>
      </c>
      <c r="E303" s="125">
        <f>IF($B$5 &lt; 30,0.2*$B$5 + 1,0)</f>
        <v>3</v>
      </c>
      <c r="F303" s="125">
        <f>IF($B$5 &lt; 30,0.2*$B$5,0)</f>
        <v>2</v>
      </c>
      <c r="G303" s="125">
        <f>IF($B$5 &lt; 30,0.2*$B$5 + 1,0)</f>
        <v>3</v>
      </c>
      <c r="H303" s="125">
        <f>IF($B$5 &lt; 30,0.2*$B$5 + 1,0)</f>
        <v>3</v>
      </c>
      <c r="I303" s="125">
        <f>IF($B$5 &lt; 30,0.2*$B$5,0)</f>
        <v>2</v>
      </c>
      <c r="J303" s="125">
        <f>IF($B$5 &lt; 30,0.2*$B$5 + 1,0)</f>
        <v>3</v>
      </c>
      <c r="K303" s="125">
        <f>IF($B$5 &lt; 30,0.2*$B$5,0)</f>
        <v>2</v>
      </c>
      <c r="L303" s="125">
        <f>IF($B$5 &lt; 30,0.2*$B$5 + 1,0)</f>
        <v>3</v>
      </c>
      <c r="M303" s="125">
        <f>IF($B$5 &lt; 30,0.2*$B$5,0)</f>
        <v>2</v>
      </c>
      <c r="N303" s="125">
        <f>IF($B$5 &lt; 30,0.4*$B$5 - 3,0)</f>
        <v>1</v>
      </c>
      <c r="O303" s="125">
        <f>IF($B$5 &lt; 30,0.2*$B$5 + 1,0)</f>
        <v>3</v>
      </c>
      <c r="P303" s="125">
        <f>IF($B$5 &lt; 30,0.1*$B$5 + 1,0)</f>
        <v>2</v>
      </c>
      <c r="Q303" s="125">
        <f>IF($B$5 &lt; 30,0.4*$B$5 - 3, 0)</f>
        <v>1</v>
      </c>
      <c r="R303" s="125">
        <f>IF($B$5 &lt; 30,0.2*$B$5 + 1,0)</f>
        <v>3</v>
      </c>
      <c r="S303" s="125">
        <f>IF($B$5 &lt; 30,0.1*$B$5 + 1,0)</f>
        <v>2</v>
      </c>
      <c r="T303" s="125">
        <f>IF($B$5 &lt; 30,0.4*$B$5 - 3, 0)</f>
        <v>1</v>
      </c>
      <c r="U303" s="125">
        <f>IF($B$5 &lt; 30,0.1*$B$5 + 1,0)</f>
        <v>2</v>
      </c>
      <c r="V303" s="125">
        <f>IF($B$5 &lt; 30,0.4*$B$5 - 3, 0)</f>
        <v>1</v>
      </c>
      <c r="W303" s="125">
        <f>IF($B$5 &lt; 30,0.1*$B$5 + 1,0)</f>
        <v>2</v>
      </c>
      <c r="X303" s="125">
        <f>IF($B$5 &lt; 30,1,0)</f>
        <v>1</v>
      </c>
      <c r="Y303" s="125">
        <f>IF($B$5 &lt; 30,0.2*$B$5 - 1,0)</f>
        <v>1</v>
      </c>
      <c r="Z303" s="125">
        <f>IF(AND($B$5 &gt;= 15,$B$5 &lt; 30),2,0)</f>
        <v>0</v>
      </c>
      <c r="AA303" s="125">
        <f>IF($B$5 &lt; 30,1,0)</f>
        <v>1</v>
      </c>
      <c r="AB303" s="125">
        <f>IF($B$5 &lt; 30,0.2*$B$5 - 1,0)</f>
        <v>1</v>
      </c>
      <c r="AC303" s="125">
        <f>IF(AND($B$5 &gt;= 15,$B$5 &lt; 30),2,0)</f>
        <v>0</v>
      </c>
      <c r="AD303" s="125">
        <f>IF($B$5 &lt; 30,1,0)</f>
        <v>1</v>
      </c>
      <c r="AE303" s="125">
        <f>IF(AND($B$5 &gt;= 15,$B$5 &lt; 30),2,0)</f>
        <v>0</v>
      </c>
      <c r="AF303" s="125">
        <f>IF($B$5 &lt; 30,1,0)</f>
        <v>1</v>
      </c>
      <c r="AG303" s="126">
        <f>IF(AND($B$5 &gt;= 15,$B$5 &lt; 30),2,0)</f>
        <v>0</v>
      </c>
      <c r="AH303" s="22"/>
    </row>
    <row r="304" spans="1:34" x14ac:dyDescent="0.25">
      <c r="A304" s="112"/>
      <c r="B304" s="69" t="s">
        <v>199</v>
      </c>
      <c r="C304" s="133" t="s">
        <v>59</v>
      </c>
      <c r="D304" s="125">
        <f>IF($B$5 &gt;= 30,5,0)</f>
        <v>0</v>
      </c>
      <c r="E304" s="125">
        <f>IF($B$5 &gt;= 30,5,0)</f>
        <v>0</v>
      </c>
      <c r="F304" s="125">
        <f>IF($B$5 &gt;= 30,3,0)</f>
        <v>0</v>
      </c>
      <c r="G304" s="125">
        <f>IF($B$5 &gt;= 30,5,0)</f>
        <v>0</v>
      </c>
      <c r="H304" s="125">
        <f>IF($B$5 &gt;= 30,5,0)</f>
        <v>0</v>
      </c>
      <c r="I304" s="125">
        <f>IF($B$5 &gt;= 30,3,0)</f>
        <v>0</v>
      </c>
      <c r="J304" s="125">
        <f>IF($B$5 &gt;= 30,5,0)</f>
        <v>0</v>
      </c>
      <c r="K304" s="125">
        <f>IF($B$5 &gt;= 30,3,0)</f>
        <v>0</v>
      </c>
      <c r="L304" s="125">
        <f>IF($B$5 &gt;= 30,5,0)</f>
        <v>0</v>
      </c>
      <c r="M304" s="125">
        <f>IF($B$5 &gt;= 30,3,0)</f>
        <v>0</v>
      </c>
      <c r="N304" s="125">
        <f>IF($B$5 &gt;= 30,5,0)</f>
        <v>0</v>
      </c>
      <c r="O304" s="125">
        <f>IF($B$5 &gt;= 30,5,0)</f>
        <v>0</v>
      </c>
      <c r="P304" s="125">
        <f>IF($B$5 &gt;= 30,3,0)</f>
        <v>0</v>
      </c>
      <c r="Q304" s="125">
        <f>IF($B$5 &gt;= 30,5,0)</f>
        <v>0</v>
      </c>
      <c r="R304" s="125">
        <f>IF($B$5 &gt;= 30,5,0)</f>
        <v>0</v>
      </c>
      <c r="S304" s="125">
        <f>IF($B$5 &gt;= 30,3,0)</f>
        <v>0</v>
      </c>
      <c r="T304" s="125">
        <f>IF($B$5 &gt;= 30,5,0)</f>
        <v>0</v>
      </c>
      <c r="U304" s="125">
        <f>IF($B$5 &gt;= 30,3,0)</f>
        <v>0</v>
      </c>
      <c r="V304" s="125">
        <f>IF($B$5 &gt;= 30,5,0)</f>
        <v>0</v>
      </c>
      <c r="W304" s="125">
        <f>IF($B$5 &gt;= 30,3,0)</f>
        <v>0</v>
      </c>
      <c r="X304" s="125">
        <f>IF($B$5 &gt;= 30,1,0)</f>
        <v>0</v>
      </c>
      <c r="Y304" s="125">
        <f>IF($B$5 &gt;= 30,3,0)</f>
        <v>0</v>
      </c>
      <c r="Z304" s="125">
        <f>IF($B$5 &gt;= 30,2,0)</f>
        <v>0</v>
      </c>
      <c r="AA304" s="125">
        <f>IF($B$5 &gt;= 30,1,0)</f>
        <v>0</v>
      </c>
      <c r="AB304" s="125">
        <f>IF($B$5 &gt;= 30,3,0)</f>
        <v>0</v>
      </c>
      <c r="AC304" s="125">
        <f>IF($B$5 &gt;= 30,2,0)</f>
        <v>0</v>
      </c>
      <c r="AD304" s="125">
        <f>IF($B$5 &gt;= 30,1,0)</f>
        <v>0</v>
      </c>
      <c r="AE304" s="125">
        <f>IF($B$5 &gt;= 30,2,0)</f>
        <v>0</v>
      </c>
      <c r="AF304" s="125">
        <f>IF($B$5 &gt;= 30,1,0)</f>
        <v>0</v>
      </c>
      <c r="AG304" s="126">
        <f>IF($B$5 &gt;= 30,2,0)</f>
        <v>0</v>
      </c>
      <c r="AH304" s="22"/>
    </row>
    <row r="305" spans="1:34" x14ac:dyDescent="0.25">
      <c r="A305" s="112"/>
      <c r="B305" s="69" t="s">
        <v>204</v>
      </c>
      <c r="C305" s="133" t="s">
        <v>59</v>
      </c>
      <c r="D305" s="125">
        <v>0</v>
      </c>
      <c r="E305" s="125">
        <v>0</v>
      </c>
      <c r="F305" s="125">
        <v>0</v>
      </c>
      <c r="G305" s="125">
        <v>0</v>
      </c>
      <c r="H305" s="125">
        <v>0</v>
      </c>
      <c r="I305" s="125">
        <v>0</v>
      </c>
      <c r="J305" s="125">
        <v>0</v>
      </c>
      <c r="K305" s="125">
        <v>0</v>
      </c>
      <c r="L305" s="125">
        <v>0</v>
      </c>
      <c r="M305" s="125">
        <v>0</v>
      </c>
      <c r="N305" s="125">
        <v>0</v>
      </c>
      <c r="O305" s="125">
        <v>0</v>
      </c>
      <c r="P305" s="125">
        <v>0</v>
      </c>
      <c r="Q305" s="125">
        <v>0</v>
      </c>
      <c r="R305" s="125">
        <v>0</v>
      </c>
      <c r="S305" s="125">
        <v>0</v>
      </c>
      <c r="T305" s="125">
        <v>0</v>
      </c>
      <c r="U305" s="125">
        <v>0</v>
      </c>
      <c r="V305" s="125">
        <v>0</v>
      </c>
      <c r="W305" s="125">
        <v>0</v>
      </c>
      <c r="X305" s="125">
        <v>0</v>
      </c>
      <c r="Y305" s="125">
        <v>0</v>
      </c>
      <c r="Z305" s="125">
        <f>IF($B$5 &lt; 15,1,0)</f>
        <v>1</v>
      </c>
      <c r="AA305" s="125">
        <v>0</v>
      </c>
      <c r="AB305" s="125">
        <v>0</v>
      </c>
      <c r="AC305" s="125">
        <f>IF($B$5 &lt; 15,1,0)</f>
        <v>1</v>
      </c>
      <c r="AD305" s="125">
        <v>0</v>
      </c>
      <c r="AE305" s="125">
        <f>IF($B$5 &lt; 15,1,0)</f>
        <v>1</v>
      </c>
      <c r="AF305" s="125">
        <v>0</v>
      </c>
      <c r="AG305" s="126">
        <f>IF($B$5 &lt; 15,1,0)</f>
        <v>1</v>
      </c>
      <c r="AH305" s="22"/>
    </row>
    <row r="306" spans="1:34" x14ac:dyDescent="0.25">
      <c r="A306" s="112"/>
      <c r="B306" s="69" t="s">
        <v>320</v>
      </c>
      <c r="C306" s="133" t="s">
        <v>59</v>
      </c>
      <c r="D306" s="125">
        <v>0</v>
      </c>
      <c r="E306" s="125">
        <v>0</v>
      </c>
      <c r="F306" s="125">
        <f>IF($B$5 &gt;= 30,1,0)</f>
        <v>0</v>
      </c>
      <c r="G306" s="125">
        <v>0</v>
      </c>
      <c r="H306" s="125">
        <v>0</v>
      </c>
      <c r="I306" s="125">
        <f>IF($B$5 &gt;= 30,1,0)</f>
        <v>0</v>
      </c>
      <c r="J306" s="125">
        <v>0</v>
      </c>
      <c r="K306" s="125">
        <f>IF($B$5 &gt;= 30,1,0)</f>
        <v>0</v>
      </c>
      <c r="L306" s="125">
        <v>0</v>
      </c>
      <c r="M306" s="125">
        <f>IF($B$5 &gt;= 30,1,0)</f>
        <v>0</v>
      </c>
      <c r="N306" s="125">
        <v>0</v>
      </c>
      <c r="O306" s="125">
        <v>0</v>
      </c>
      <c r="P306" s="125">
        <f>IF($B$5 &gt;= 30,1,0)</f>
        <v>0</v>
      </c>
      <c r="Q306" s="125">
        <v>0</v>
      </c>
      <c r="R306" s="125">
        <v>0</v>
      </c>
      <c r="S306" s="125">
        <f>IF($B$5 &gt;= 30,1,0)</f>
        <v>0</v>
      </c>
      <c r="T306" s="125">
        <v>0</v>
      </c>
      <c r="U306" s="125">
        <f>IF($B$5 &gt;= 30,1,0)</f>
        <v>0</v>
      </c>
      <c r="V306" s="125">
        <v>0</v>
      </c>
      <c r="W306" s="125">
        <f>IF($B$5 &gt;= 30,1,0)</f>
        <v>0</v>
      </c>
      <c r="X306" s="125">
        <v>0</v>
      </c>
      <c r="Y306" s="125">
        <v>0</v>
      </c>
      <c r="Z306" s="125">
        <v>0</v>
      </c>
      <c r="AA306" s="125">
        <v>0</v>
      </c>
      <c r="AB306" s="125">
        <v>0</v>
      </c>
      <c r="AC306" s="125">
        <v>0</v>
      </c>
      <c r="AD306" s="125">
        <v>0</v>
      </c>
      <c r="AE306" s="125">
        <v>0</v>
      </c>
      <c r="AF306" s="125">
        <v>0</v>
      </c>
      <c r="AG306" s="126">
        <v>0</v>
      </c>
      <c r="AH306" s="22"/>
    </row>
    <row r="307" spans="1:34" x14ac:dyDescent="0.25">
      <c r="A307" s="112"/>
      <c r="B307" s="69" t="s">
        <v>210</v>
      </c>
      <c r="C307" s="133" t="s">
        <v>59</v>
      </c>
      <c r="D307" s="125">
        <f>2</f>
        <v>2</v>
      </c>
      <c r="E307" s="125">
        <v>0</v>
      </c>
      <c r="F307" s="125">
        <v>0</v>
      </c>
      <c r="G307" s="125">
        <f>2</f>
        <v>2</v>
      </c>
      <c r="H307" s="125">
        <v>0</v>
      </c>
      <c r="I307" s="125">
        <v>0</v>
      </c>
      <c r="J307" s="125">
        <f>2</f>
        <v>2</v>
      </c>
      <c r="K307" s="125">
        <v>0</v>
      </c>
      <c r="L307" s="125">
        <f>2</f>
        <v>2</v>
      </c>
      <c r="M307" s="125">
        <v>0</v>
      </c>
      <c r="N307" s="125">
        <f>2</f>
        <v>2</v>
      </c>
      <c r="O307" s="125">
        <v>0</v>
      </c>
      <c r="P307" s="125">
        <v>0</v>
      </c>
      <c r="Q307" s="125">
        <f>2</f>
        <v>2</v>
      </c>
      <c r="R307" s="125">
        <v>0</v>
      </c>
      <c r="S307" s="125">
        <v>0</v>
      </c>
      <c r="T307" s="125">
        <f>2</f>
        <v>2</v>
      </c>
      <c r="U307" s="125">
        <v>0</v>
      </c>
      <c r="V307" s="125">
        <f>2</f>
        <v>2</v>
      </c>
      <c r="W307" s="125">
        <v>0</v>
      </c>
      <c r="X307" s="125">
        <f>2</f>
        <v>2</v>
      </c>
      <c r="Y307" s="125">
        <v>0</v>
      </c>
      <c r="Z307" s="125">
        <v>0</v>
      </c>
      <c r="AA307" s="125">
        <f>2</f>
        <v>2</v>
      </c>
      <c r="AB307" s="125">
        <v>0</v>
      </c>
      <c r="AC307" s="125">
        <v>0</v>
      </c>
      <c r="AD307" s="125">
        <f>2</f>
        <v>2</v>
      </c>
      <c r="AE307" s="125">
        <v>0</v>
      </c>
      <c r="AF307" s="125">
        <f>2</f>
        <v>2</v>
      </c>
      <c r="AG307" s="126">
        <v>0</v>
      </c>
      <c r="AH307" s="22"/>
    </row>
    <row r="308" spans="1:34" x14ac:dyDescent="0.25">
      <c r="A308" s="112"/>
      <c r="B308" s="69" t="s">
        <v>219</v>
      </c>
      <c r="C308" s="133" t="s">
        <v>59</v>
      </c>
      <c r="D308" s="125">
        <f>IF($B$5 &lt; 30,2,0)</f>
        <v>2</v>
      </c>
      <c r="E308" s="125">
        <v>0</v>
      </c>
      <c r="F308" s="125">
        <v>0</v>
      </c>
      <c r="G308" s="125">
        <f>IF($B$5 &lt; 30,2,0)</f>
        <v>2</v>
      </c>
      <c r="H308" s="125">
        <v>0</v>
      </c>
      <c r="I308" s="125">
        <v>0</v>
      </c>
      <c r="J308" s="125">
        <f>IF($B$5 &lt; 30,2,0)</f>
        <v>2</v>
      </c>
      <c r="K308" s="125">
        <v>0</v>
      </c>
      <c r="L308" s="125">
        <f>IF($B$5 &lt; 30,2,0)</f>
        <v>2</v>
      </c>
      <c r="M308" s="125">
        <v>0</v>
      </c>
      <c r="N308" s="125">
        <f>2</f>
        <v>2</v>
      </c>
      <c r="O308" s="125">
        <v>0</v>
      </c>
      <c r="P308" s="125">
        <v>0</v>
      </c>
      <c r="Q308" s="125">
        <f>2</f>
        <v>2</v>
      </c>
      <c r="R308" s="125">
        <v>0</v>
      </c>
      <c r="S308" s="125">
        <v>0</v>
      </c>
      <c r="T308" s="125">
        <f>2</f>
        <v>2</v>
      </c>
      <c r="U308" s="125">
        <v>0</v>
      </c>
      <c r="V308" s="125">
        <f>2</f>
        <v>2</v>
      </c>
      <c r="W308" s="125">
        <v>0</v>
      </c>
      <c r="X308" s="125">
        <f>IF($B$5 &lt; 30,2,0)</f>
        <v>2</v>
      </c>
      <c r="Y308" s="125">
        <f>IF($B$5 &lt; 15,2,0)</f>
        <v>2</v>
      </c>
      <c r="Z308" s="125">
        <v>0</v>
      </c>
      <c r="AA308" s="125">
        <f>IF($B$5 &lt; 30,2,0)</f>
        <v>2</v>
      </c>
      <c r="AB308" s="125">
        <f>IF($B$5 &lt; 15,2,0)</f>
        <v>2</v>
      </c>
      <c r="AC308" s="125">
        <v>0</v>
      </c>
      <c r="AD308" s="125">
        <f>IF($B$5 &lt; 30,2,0)</f>
        <v>2</v>
      </c>
      <c r="AE308" s="125">
        <v>0</v>
      </c>
      <c r="AF308" s="125">
        <f>IF($B$5 &lt; 30,2,0)</f>
        <v>2</v>
      </c>
      <c r="AG308" s="126">
        <v>0</v>
      </c>
      <c r="AH308" s="22"/>
    </row>
    <row r="309" spans="1:34" x14ac:dyDescent="0.25">
      <c r="A309" s="112"/>
      <c r="B309" s="69" t="s">
        <v>220</v>
      </c>
      <c r="C309" s="133" t="s">
        <v>59</v>
      </c>
      <c r="D309" s="125">
        <f>IF($B$5 &gt;= 30,2,0)</f>
        <v>0</v>
      </c>
      <c r="E309" s="125">
        <v>0</v>
      </c>
      <c r="F309" s="125">
        <v>0</v>
      </c>
      <c r="G309" s="125">
        <f>IF($B$5 &gt;= 30,2,0)</f>
        <v>0</v>
      </c>
      <c r="H309" s="125">
        <v>0</v>
      </c>
      <c r="I309" s="125">
        <v>0</v>
      </c>
      <c r="J309" s="125">
        <f>IF($B$5 &gt;= 30,2,0)</f>
        <v>0</v>
      </c>
      <c r="K309" s="125">
        <v>0</v>
      </c>
      <c r="L309" s="125">
        <f>IF($B$5 &gt;= 30,2,0)</f>
        <v>0</v>
      </c>
      <c r="M309" s="125">
        <v>0</v>
      </c>
      <c r="N309" s="125">
        <v>0</v>
      </c>
      <c r="O309" s="125">
        <v>0</v>
      </c>
      <c r="P309" s="125">
        <v>0</v>
      </c>
      <c r="Q309" s="125">
        <v>0</v>
      </c>
      <c r="R309" s="125">
        <v>0</v>
      </c>
      <c r="S309" s="125">
        <v>0</v>
      </c>
      <c r="T309" s="125">
        <v>0</v>
      </c>
      <c r="U309" s="125">
        <v>0</v>
      </c>
      <c r="V309" s="125">
        <v>0</v>
      </c>
      <c r="W309" s="125">
        <v>0</v>
      </c>
      <c r="X309" s="125">
        <f>IF($B$5 &gt;= 30,2,0)</f>
        <v>0</v>
      </c>
      <c r="Y309" s="125">
        <v>0</v>
      </c>
      <c r="Z309" s="125">
        <v>0</v>
      </c>
      <c r="AA309" s="125">
        <f>IF($B$5 &gt;= 30,2,0)</f>
        <v>0</v>
      </c>
      <c r="AB309" s="125">
        <v>0</v>
      </c>
      <c r="AC309" s="125">
        <v>0</v>
      </c>
      <c r="AD309" s="125">
        <f>IF($B$5 &gt;= 30,2,0)</f>
        <v>0</v>
      </c>
      <c r="AE309" s="125">
        <v>0</v>
      </c>
      <c r="AF309" s="125">
        <f>IF($B$5 &gt;= 30,2,0)</f>
        <v>0</v>
      </c>
      <c r="AG309" s="126">
        <v>0</v>
      </c>
      <c r="AH309" s="22"/>
    </row>
    <row r="310" spans="1:34" x14ac:dyDescent="0.25">
      <c r="A310" s="112"/>
      <c r="B310" s="69" t="s">
        <v>221</v>
      </c>
      <c r="C310" s="133" t="s">
        <v>59</v>
      </c>
      <c r="D310" s="125">
        <f>8</f>
        <v>8</v>
      </c>
      <c r="E310" s="125">
        <v>0</v>
      </c>
      <c r="F310" s="125">
        <f>IF($B$5 &lt; 15,3,0)</f>
        <v>3</v>
      </c>
      <c r="G310" s="125">
        <f>8</f>
        <v>8</v>
      </c>
      <c r="H310" s="125">
        <v>0</v>
      </c>
      <c r="I310" s="125">
        <f>IF($B$5 &lt; 15,3,0)</f>
        <v>3</v>
      </c>
      <c r="J310" s="125">
        <f>8</f>
        <v>8</v>
      </c>
      <c r="K310" s="125">
        <f>IF($B$5 &lt; 15,3,0)</f>
        <v>3</v>
      </c>
      <c r="L310" s="125">
        <f>8</f>
        <v>8</v>
      </c>
      <c r="M310" s="125">
        <f>IF($B$5 &lt; 15,3,0)</f>
        <v>3</v>
      </c>
      <c r="N310" s="125">
        <f>8</f>
        <v>8</v>
      </c>
      <c r="O310" s="125">
        <v>0</v>
      </c>
      <c r="P310" s="125">
        <f>IF($B$5 &lt; 15,3,0)</f>
        <v>3</v>
      </c>
      <c r="Q310" s="125">
        <f>8</f>
        <v>8</v>
      </c>
      <c r="R310" s="125">
        <v>0</v>
      </c>
      <c r="S310" s="125">
        <f>IF($B$5 &lt; 15,3,0)</f>
        <v>3</v>
      </c>
      <c r="T310" s="125">
        <f>8</f>
        <v>8</v>
      </c>
      <c r="U310" s="125">
        <f>IF($B$5 &lt; 15,3,0)</f>
        <v>3</v>
      </c>
      <c r="V310" s="125">
        <f>8</f>
        <v>8</v>
      </c>
      <c r="W310" s="125">
        <f>IF($B$5 &lt; 15,3,0)</f>
        <v>3</v>
      </c>
      <c r="X310" s="125">
        <f>8</f>
        <v>8</v>
      </c>
      <c r="Y310" s="125">
        <v>0</v>
      </c>
      <c r="Z310" s="125">
        <v>0</v>
      </c>
      <c r="AA310" s="125">
        <f>8</f>
        <v>8</v>
      </c>
      <c r="AB310" s="125">
        <v>0</v>
      </c>
      <c r="AC310" s="125">
        <v>0</v>
      </c>
      <c r="AD310" s="125">
        <f>8</f>
        <v>8</v>
      </c>
      <c r="AE310" s="125">
        <v>0</v>
      </c>
      <c r="AF310" s="125">
        <f>8</f>
        <v>8</v>
      </c>
      <c r="AG310" s="126">
        <v>0</v>
      </c>
      <c r="AH310" s="22"/>
    </row>
    <row r="311" spans="1:34" x14ac:dyDescent="0.25">
      <c r="A311" s="112"/>
      <c r="B311" s="69" t="s">
        <v>224</v>
      </c>
      <c r="C311" s="133" t="s">
        <v>59</v>
      </c>
      <c r="D311" s="125">
        <v>0</v>
      </c>
      <c r="E311" s="125">
        <f>IF($B$5 &lt; 30,3,0)</f>
        <v>3</v>
      </c>
      <c r="F311" s="125">
        <f>IF(AND($B$5 &gt;= 15,$B$5 &lt; 30),3,0)</f>
        <v>0</v>
      </c>
      <c r="G311" s="125">
        <v>0</v>
      </c>
      <c r="H311" s="125">
        <f>IF($B$5 &lt; 30,3,0)</f>
        <v>3</v>
      </c>
      <c r="I311" s="125">
        <f>IF(AND($B$5 &gt;= 15,$B$5 &lt; 30),3,0)</f>
        <v>0</v>
      </c>
      <c r="J311" s="125">
        <v>0</v>
      </c>
      <c r="K311" s="125">
        <f>IF(AND($B$5 &gt;= 15,$B$5 &lt; 30),3,0)</f>
        <v>0</v>
      </c>
      <c r="L311" s="125">
        <v>0</v>
      </c>
      <c r="M311" s="125">
        <f>IF(AND($B$5 &gt;= 15,$B$5 &lt; 30),3,0)</f>
        <v>0</v>
      </c>
      <c r="N311" s="125">
        <v>0</v>
      </c>
      <c r="O311" s="125">
        <f>IF($B$5 &lt; 30,3,0)</f>
        <v>3</v>
      </c>
      <c r="P311" s="125">
        <f>IF(AND($B$5 &gt;= 15,$B$5 &lt; 30),3,0)</f>
        <v>0</v>
      </c>
      <c r="Q311" s="125">
        <v>0</v>
      </c>
      <c r="R311" s="125">
        <f>IF($B$5 &lt; 30,3,0)</f>
        <v>3</v>
      </c>
      <c r="S311" s="125">
        <f>IF(AND($B$5 &gt;= 15,$B$5 &lt; 30),3,0)</f>
        <v>0</v>
      </c>
      <c r="T311" s="125">
        <v>0</v>
      </c>
      <c r="U311" s="125">
        <f>IF(AND($B$5 &gt;= 15,$B$5 &lt; 30),3,0)</f>
        <v>0</v>
      </c>
      <c r="V311" s="125">
        <v>0</v>
      </c>
      <c r="W311" s="125">
        <f>IF(AND($B$5 &gt;= 15,$B$5 &lt; 30),3,0)</f>
        <v>0</v>
      </c>
      <c r="X311" s="125">
        <v>0</v>
      </c>
      <c r="Y311" s="125">
        <f>IF($B$5 &lt; 30,0.2*$B$5 - 1,0)</f>
        <v>1</v>
      </c>
      <c r="Z311" s="125">
        <f>IF($B$5 &lt; 30,2,0)</f>
        <v>2</v>
      </c>
      <c r="AA311" s="125">
        <v>0</v>
      </c>
      <c r="AB311" s="125">
        <f>IF($B$5 &lt; 30,0.2*$B$5 - 1,0)</f>
        <v>1</v>
      </c>
      <c r="AC311" s="125">
        <f>IF($B$5 &lt; 30,2,0)</f>
        <v>2</v>
      </c>
      <c r="AD311" s="125">
        <v>0</v>
      </c>
      <c r="AE311" s="125">
        <f>IF($B$5 &lt; 30,2,0)</f>
        <v>2</v>
      </c>
      <c r="AF311" s="125">
        <v>0</v>
      </c>
      <c r="AG311" s="126">
        <f>IF($B$5 &lt; 30,2,0)</f>
        <v>2</v>
      </c>
      <c r="AH311" s="22"/>
    </row>
    <row r="312" spans="1:34" x14ac:dyDescent="0.25">
      <c r="A312" s="112"/>
      <c r="B312" s="69" t="s">
        <v>226</v>
      </c>
      <c r="C312" s="133" t="s">
        <v>59</v>
      </c>
      <c r="D312" s="125">
        <v>0</v>
      </c>
      <c r="E312" s="125">
        <f>IF($B$5 &gt;= 30,3,0)</f>
        <v>0</v>
      </c>
      <c r="F312" s="125">
        <f>IF($B$5 &gt;= 30,3,0)</f>
        <v>0</v>
      </c>
      <c r="G312" s="125">
        <v>0</v>
      </c>
      <c r="H312" s="125">
        <f>IF($B$5 &gt;= 30,3,0)</f>
        <v>0</v>
      </c>
      <c r="I312" s="125">
        <f>IF($B$5 &gt;= 30,3,0)</f>
        <v>0</v>
      </c>
      <c r="J312" s="125">
        <v>0</v>
      </c>
      <c r="K312" s="125">
        <f>IF($B$5 &gt;= 30,3,0)</f>
        <v>0</v>
      </c>
      <c r="L312" s="125">
        <v>0</v>
      </c>
      <c r="M312" s="125">
        <f>IF($B$5 &gt;= 30,3,0)</f>
        <v>0</v>
      </c>
      <c r="N312" s="125">
        <v>0</v>
      </c>
      <c r="O312" s="125">
        <f>IF($B$5 &gt;= 30,3,0)</f>
        <v>0</v>
      </c>
      <c r="P312" s="125">
        <f>IF($B$5 &gt;= 30,3,0)</f>
        <v>0</v>
      </c>
      <c r="Q312" s="125">
        <v>0</v>
      </c>
      <c r="R312" s="125">
        <f>IF($B$5 &gt;= 30,3,0)</f>
        <v>0</v>
      </c>
      <c r="S312" s="125">
        <f>IF($B$5 &gt;= 30,3,0)</f>
        <v>0</v>
      </c>
      <c r="T312" s="125">
        <v>0</v>
      </c>
      <c r="U312" s="125">
        <f>IF($B$5 &gt;= 30,3,0)</f>
        <v>0</v>
      </c>
      <c r="V312" s="125">
        <v>0</v>
      </c>
      <c r="W312" s="125">
        <f>IF($B$5 &gt;= 30,3,0)</f>
        <v>0</v>
      </c>
      <c r="X312" s="125">
        <v>0</v>
      </c>
      <c r="Y312" s="125">
        <f>IF($B$5 &gt;= 30,3,0)</f>
        <v>0</v>
      </c>
      <c r="Z312" s="125">
        <f>IF($B$5 &gt;= 30,2,0)</f>
        <v>0</v>
      </c>
      <c r="AA312" s="125">
        <v>0</v>
      </c>
      <c r="AB312" s="125">
        <f>IF($B$5 &gt;= 30,3,0)</f>
        <v>0</v>
      </c>
      <c r="AC312" s="125">
        <f>IF($B$5 &gt;= 30,2,0)</f>
        <v>0</v>
      </c>
      <c r="AD312" s="125">
        <v>0</v>
      </c>
      <c r="AE312" s="125">
        <f>IF($B$5 &gt;= 30,2,0)</f>
        <v>0</v>
      </c>
      <c r="AF312" s="125">
        <v>0</v>
      </c>
      <c r="AG312" s="126">
        <f>IF($B$5 &gt;= 30,2,0)</f>
        <v>0</v>
      </c>
      <c r="AH312" s="22"/>
    </row>
    <row r="313" spans="1:34" x14ac:dyDescent="0.25">
      <c r="A313" s="112"/>
      <c r="B313" s="69" t="s">
        <v>227</v>
      </c>
      <c r="C313" s="133" t="s">
        <v>59</v>
      </c>
      <c r="D313" s="125">
        <f>2</f>
        <v>2</v>
      </c>
      <c r="E313" s="125">
        <v>0</v>
      </c>
      <c r="F313" s="125">
        <v>0</v>
      </c>
      <c r="G313" s="125">
        <f>2</f>
        <v>2</v>
      </c>
      <c r="H313" s="125">
        <v>0</v>
      </c>
      <c r="I313" s="125">
        <v>0</v>
      </c>
      <c r="J313" s="125">
        <f>2</f>
        <v>2</v>
      </c>
      <c r="K313" s="125">
        <v>0</v>
      </c>
      <c r="L313" s="125">
        <f>2</f>
        <v>2</v>
      </c>
      <c r="M313" s="125">
        <v>0</v>
      </c>
      <c r="N313" s="125">
        <f>2</f>
        <v>2</v>
      </c>
      <c r="O313" s="125">
        <v>0</v>
      </c>
      <c r="P313" s="125">
        <v>0</v>
      </c>
      <c r="Q313" s="125">
        <f>2</f>
        <v>2</v>
      </c>
      <c r="R313" s="125">
        <v>0</v>
      </c>
      <c r="S313" s="125">
        <v>0</v>
      </c>
      <c r="T313" s="125">
        <f>2</f>
        <v>2</v>
      </c>
      <c r="U313" s="125">
        <v>0</v>
      </c>
      <c r="V313" s="125">
        <f>2</f>
        <v>2</v>
      </c>
      <c r="W313" s="125">
        <v>0</v>
      </c>
      <c r="X313" s="125">
        <f>2</f>
        <v>2</v>
      </c>
      <c r="Y313" s="125">
        <v>0</v>
      </c>
      <c r="Z313" s="125">
        <v>0</v>
      </c>
      <c r="AA313" s="125">
        <f>2</f>
        <v>2</v>
      </c>
      <c r="AB313" s="125">
        <v>0</v>
      </c>
      <c r="AC313" s="125">
        <v>0</v>
      </c>
      <c r="AD313" s="125">
        <f>2</f>
        <v>2</v>
      </c>
      <c r="AE313" s="125">
        <v>0</v>
      </c>
      <c r="AF313" s="125">
        <f>2</f>
        <v>2</v>
      </c>
      <c r="AG313" s="126">
        <v>0</v>
      </c>
      <c r="AH313" s="22"/>
    </row>
    <row r="314" spans="1:34" x14ac:dyDescent="0.25">
      <c r="A314" s="112"/>
      <c r="B314" s="69" t="s">
        <v>228</v>
      </c>
      <c r="C314" s="133" t="s">
        <v>59</v>
      </c>
      <c r="D314" s="125">
        <f>0.0033*$B$5^2 - 0.1*$B$5 + 6.6667</f>
        <v>5.9966999999999997</v>
      </c>
      <c r="E314" s="125">
        <v>0</v>
      </c>
      <c r="F314" s="125">
        <v>0</v>
      </c>
      <c r="G314" s="125">
        <f>0.0033*$B$5^2 - 0.1*$B$5 + 6.6667</f>
        <v>5.9966999999999997</v>
      </c>
      <c r="H314" s="125">
        <v>0</v>
      </c>
      <c r="I314" s="125">
        <v>0</v>
      </c>
      <c r="J314" s="125">
        <f>0.0033*$B$5^2 - 0.1*$B$5 + 6.6667</f>
        <v>5.9966999999999997</v>
      </c>
      <c r="K314" s="125">
        <v>0</v>
      </c>
      <c r="L314" s="125">
        <f>0.0033*$B$5^2 - 0.1*$B$5 + 6.6667</f>
        <v>5.9966999999999997</v>
      </c>
      <c r="M314" s="125">
        <v>0</v>
      </c>
      <c r="N314" s="125">
        <f>8</f>
        <v>8</v>
      </c>
      <c r="O314" s="125">
        <v>0</v>
      </c>
      <c r="P314" s="125">
        <v>0</v>
      </c>
      <c r="Q314" s="125">
        <f>8</f>
        <v>8</v>
      </c>
      <c r="R314" s="125">
        <v>0</v>
      </c>
      <c r="S314" s="125">
        <v>0</v>
      </c>
      <c r="T314" s="125">
        <f>8</f>
        <v>8</v>
      </c>
      <c r="U314" s="125">
        <v>0</v>
      </c>
      <c r="V314" s="125">
        <f>8</f>
        <v>8</v>
      </c>
      <c r="W314" s="125">
        <v>0</v>
      </c>
      <c r="X314" s="125">
        <f>8</f>
        <v>8</v>
      </c>
      <c r="Y314" s="125">
        <v>0</v>
      </c>
      <c r="Z314" s="125">
        <v>0</v>
      </c>
      <c r="AA314" s="125">
        <f>8</f>
        <v>8</v>
      </c>
      <c r="AB314" s="125">
        <v>0</v>
      </c>
      <c r="AC314" s="125">
        <v>0</v>
      </c>
      <c r="AD314" s="125">
        <f>8</f>
        <v>8</v>
      </c>
      <c r="AE314" s="125">
        <v>0</v>
      </c>
      <c r="AF314" s="125">
        <f>8</f>
        <v>8</v>
      </c>
      <c r="AG314" s="126">
        <v>0</v>
      </c>
      <c r="AH314" s="22"/>
    </row>
    <row r="315" spans="1:34" x14ac:dyDescent="0.25">
      <c r="A315" s="112"/>
      <c r="B315" s="69" t="s">
        <v>231</v>
      </c>
      <c r="C315" s="133" t="s">
        <v>59</v>
      </c>
      <c r="D315" s="125">
        <f>IF($B$5 &lt; 30,8,0)</f>
        <v>8</v>
      </c>
      <c r="E315" s="125">
        <f>IF($B$5 &lt; 30,8,0)</f>
        <v>8</v>
      </c>
      <c r="F315" s="125">
        <f>IF($B$5 &lt; 30,-0.2*$B$5 + 8,0)</f>
        <v>6</v>
      </c>
      <c r="G315" s="125">
        <f>IF($B$5 &lt; 30,8,0)</f>
        <v>8</v>
      </c>
      <c r="H315" s="125">
        <f>IF($B$5 &lt; 30,8,0)</f>
        <v>8</v>
      </c>
      <c r="I315" s="125">
        <f>IF($B$5 &lt; 30,-0.2*$B$5 + 8,0)</f>
        <v>6</v>
      </c>
      <c r="J315" s="125">
        <f>IF($B$5 &lt; 30,8,0)</f>
        <v>8</v>
      </c>
      <c r="K315" s="125">
        <f>IF($B$5 &lt; 30,-0.2*$B$5 + 8,0)</f>
        <v>6</v>
      </c>
      <c r="L315" s="125">
        <f>IF($B$5 &lt; 30,8,0)</f>
        <v>8</v>
      </c>
      <c r="M315" s="125">
        <f>IF($B$5 &lt; 30,-0.2*$B$5 + 8,0)</f>
        <v>6</v>
      </c>
      <c r="N315" s="125">
        <f>IF($B$5 &lt; 30,0.2*$B$5 + 4,0)</f>
        <v>6</v>
      </c>
      <c r="O315" s="125">
        <f>IF($B$5 &lt; 30,0.2*$B$5 + 4,0)</f>
        <v>6</v>
      </c>
      <c r="P315" s="125">
        <f>IF($B$5 &lt; 30,-0.2*$B$5 + 8,0)</f>
        <v>6</v>
      </c>
      <c r="Q315" s="125">
        <f>IF($B$5 &lt; 30,0.2*$B$5 + 4,0)</f>
        <v>6</v>
      </c>
      <c r="R315" s="125">
        <f>IF($B$5 &lt; 30,0.2*$B$5 + 4,0)</f>
        <v>6</v>
      </c>
      <c r="S315" s="125">
        <f>IF($B$5 &lt; 30,-0.2*$B$5 + 8,0)</f>
        <v>6</v>
      </c>
      <c r="T315" s="125">
        <f>IF($B$5 &lt; 30,0.2*$B$5 + 4,0)</f>
        <v>6</v>
      </c>
      <c r="U315" s="125">
        <f>IF($B$5 &lt; 30,-0.2*$B$5 + 8,0)</f>
        <v>6</v>
      </c>
      <c r="V315" s="125">
        <f>IF($B$5 &lt; 30,0.2*$B$5 + 4,0)</f>
        <v>6</v>
      </c>
      <c r="W315" s="125">
        <f>IF($B$5 &lt; 30,-0.2*$B$5 + 8,0)</f>
        <v>6</v>
      </c>
      <c r="X315" s="125">
        <f t="shared" ref="X315:AG315" si="180">IF($B$5 &lt; 30,6,0)</f>
        <v>6</v>
      </c>
      <c r="Y315" s="125">
        <f t="shared" si="180"/>
        <v>6</v>
      </c>
      <c r="Z315" s="125">
        <f t="shared" si="180"/>
        <v>6</v>
      </c>
      <c r="AA315" s="125">
        <f t="shared" si="180"/>
        <v>6</v>
      </c>
      <c r="AB315" s="125">
        <f t="shared" si="180"/>
        <v>6</v>
      </c>
      <c r="AC315" s="125">
        <f t="shared" si="180"/>
        <v>6</v>
      </c>
      <c r="AD315" s="125">
        <f t="shared" si="180"/>
        <v>6</v>
      </c>
      <c r="AE315" s="125">
        <f t="shared" si="180"/>
        <v>6</v>
      </c>
      <c r="AF315" s="125">
        <f t="shared" si="180"/>
        <v>6</v>
      </c>
      <c r="AG315" s="126">
        <f t="shared" si="180"/>
        <v>6</v>
      </c>
      <c r="AH315" s="22"/>
    </row>
    <row r="316" spans="1:34" x14ac:dyDescent="0.25">
      <c r="A316" s="112"/>
      <c r="B316" s="69" t="s">
        <v>233</v>
      </c>
      <c r="C316" s="133" t="s">
        <v>59</v>
      </c>
      <c r="D316" s="125">
        <f>IF($B$5 &gt;= 30,8,0)</f>
        <v>0</v>
      </c>
      <c r="E316" s="125">
        <f>IF($B$5 &gt;= 30,8,0)</f>
        <v>0</v>
      </c>
      <c r="F316" s="125">
        <f>IF($B$5 &gt;= 30,4,0)</f>
        <v>0</v>
      </c>
      <c r="G316" s="125">
        <f>IF($B$5 &gt;= 30,8,0)</f>
        <v>0</v>
      </c>
      <c r="H316" s="125">
        <f>IF($B$5 &gt;= 30,8,0)</f>
        <v>0</v>
      </c>
      <c r="I316" s="125">
        <f>IF($B$5 &gt;= 30,4,0)</f>
        <v>0</v>
      </c>
      <c r="J316" s="125">
        <f>IF($B$5 &gt;= 30,8,0)</f>
        <v>0</v>
      </c>
      <c r="K316" s="125">
        <f>IF($B$5 &gt;= 30,4,0)</f>
        <v>0</v>
      </c>
      <c r="L316" s="125">
        <f>IF($B$5 &gt;= 30,8,0)</f>
        <v>0</v>
      </c>
      <c r="M316" s="125">
        <f>IF($B$5 &gt;= 30,4,0)</f>
        <v>0</v>
      </c>
      <c r="N316" s="125">
        <f>IF($B$5 &gt;= 30,8,0)</f>
        <v>0</v>
      </c>
      <c r="O316" s="125">
        <f>IF($B$5 &gt;= 30,8,0)</f>
        <v>0</v>
      </c>
      <c r="P316" s="125">
        <f>IF($B$5 &gt;= 30,4,0)</f>
        <v>0</v>
      </c>
      <c r="Q316" s="125">
        <f>IF($B$5 &gt;= 30,8,0)</f>
        <v>0</v>
      </c>
      <c r="R316" s="125">
        <f>IF($B$5 &gt;= 30,8,0)</f>
        <v>0</v>
      </c>
      <c r="S316" s="125">
        <f>IF($B$5 &gt;= 30,4,0)</f>
        <v>0</v>
      </c>
      <c r="T316" s="125">
        <f>IF($B$5 &gt;= 30,8,0)</f>
        <v>0</v>
      </c>
      <c r="U316" s="125">
        <f>IF($B$5 &gt;= 30,4,0)</f>
        <v>0</v>
      </c>
      <c r="V316" s="125">
        <f>IF($B$5 &gt;= 30,8,0)</f>
        <v>0</v>
      </c>
      <c r="W316" s="125">
        <f>IF($B$5 &gt;= 30,4,0)</f>
        <v>0</v>
      </c>
      <c r="X316" s="125">
        <f t="shared" ref="X316:AG316" si="181">IF($B$5 &gt;= 30,6,0)</f>
        <v>0</v>
      </c>
      <c r="Y316" s="125">
        <f t="shared" si="181"/>
        <v>0</v>
      </c>
      <c r="Z316" s="125">
        <f t="shared" si="181"/>
        <v>0</v>
      </c>
      <c r="AA316" s="125">
        <f t="shared" si="181"/>
        <v>0</v>
      </c>
      <c r="AB316" s="125">
        <f t="shared" si="181"/>
        <v>0</v>
      </c>
      <c r="AC316" s="125">
        <f t="shared" si="181"/>
        <v>0</v>
      </c>
      <c r="AD316" s="125">
        <f t="shared" si="181"/>
        <v>0</v>
      </c>
      <c r="AE316" s="125">
        <f t="shared" si="181"/>
        <v>0</v>
      </c>
      <c r="AF316" s="125">
        <f t="shared" si="181"/>
        <v>0</v>
      </c>
      <c r="AG316" s="126">
        <f t="shared" si="181"/>
        <v>0</v>
      </c>
      <c r="AH316" s="22"/>
    </row>
    <row r="317" spans="1:34" x14ac:dyDescent="0.25">
      <c r="A317" s="112"/>
      <c r="B317" s="120" t="s">
        <v>563</v>
      </c>
      <c r="C317" s="121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8"/>
      <c r="AH317" s="22"/>
    </row>
    <row r="318" spans="1:34" x14ac:dyDescent="0.25">
      <c r="A318" s="112"/>
      <c r="B318" s="69" t="s">
        <v>241</v>
      </c>
      <c r="C318" s="133" t="s">
        <v>64</v>
      </c>
      <c r="D318" s="125">
        <f>0.03*$B$5^2 - 1.5*$B$5 + 30</f>
        <v>18</v>
      </c>
      <c r="E318" s="125">
        <v>0</v>
      </c>
      <c r="F318" s="125">
        <v>0</v>
      </c>
      <c r="G318" s="125">
        <f>0.03*$B$5^2 - 1.5*$B$5 + 30</f>
        <v>18</v>
      </c>
      <c r="H318" s="125">
        <v>0</v>
      </c>
      <c r="I318" s="125">
        <v>0</v>
      </c>
      <c r="J318" s="125">
        <f>0.03*$B$5^2 - 1.5*$B$5 + 30</f>
        <v>18</v>
      </c>
      <c r="K318" s="125">
        <v>0</v>
      </c>
      <c r="L318" s="125">
        <f>0.03*$B$5^2 - 1.5*$B$5 + 30</f>
        <v>18</v>
      </c>
      <c r="M318" s="125">
        <v>0</v>
      </c>
      <c r="N318" s="125">
        <f>18</f>
        <v>18</v>
      </c>
      <c r="O318" s="125">
        <v>0</v>
      </c>
      <c r="P318" s="125">
        <v>0</v>
      </c>
      <c r="Q318" s="125">
        <f>18</f>
        <v>18</v>
      </c>
      <c r="R318" s="125">
        <v>0</v>
      </c>
      <c r="S318" s="125">
        <v>0</v>
      </c>
      <c r="T318" s="125">
        <f>18</f>
        <v>18</v>
      </c>
      <c r="U318" s="125">
        <v>0</v>
      </c>
      <c r="V318" s="125">
        <f>18</f>
        <v>18</v>
      </c>
      <c r="W318" s="125">
        <v>0</v>
      </c>
      <c r="X318" s="125">
        <f>18</f>
        <v>18</v>
      </c>
      <c r="Y318" s="125">
        <v>0</v>
      </c>
      <c r="Z318" s="125">
        <v>0</v>
      </c>
      <c r="AA318" s="125">
        <f>18</f>
        <v>18</v>
      </c>
      <c r="AB318" s="125">
        <v>0</v>
      </c>
      <c r="AC318" s="125">
        <v>0</v>
      </c>
      <c r="AD318" s="125">
        <f>18</f>
        <v>18</v>
      </c>
      <c r="AE318" s="125">
        <v>0</v>
      </c>
      <c r="AF318" s="125">
        <f>18</f>
        <v>18</v>
      </c>
      <c r="AG318" s="126">
        <v>0</v>
      </c>
      <c r="AH318" s="22"/>
    </row>
    <row r="319" spans="1:34" x14ac:dyDescent="0.25">
      <c r="A319" s="112"/>
      <c r="B319" s="69" t="s">
        <v>242</v>
      </c>
      <c r="C319" s="133" t="s">
        <v>64</v>
      </c>
      <c r="D319" s="125">
        <v>0</v>
      </c>
      <c r="E319" s="125">
        <v>0</v>
      </c>
      <c r="F319" s="125">
        <f>IF($B$5 &lt; 15,12,0)</f>
        <v>12</v>
      </c>
      <c r="G319" s="125">
        <v>0</v>
      </c>
      <c r="H319" s="125">
        <v>0</v>
      </c>
      <c r="I319" s="125">
        <f>IF($B$5 &lt; 15,12,0)</f>
        <v>12</v>
      </c>
      <c r="J319" s="125">
        <v>0</v>
      </c>
      <c r="K319" s="125">
        <f>IF($B$5 &lt; 15,12,0)</f>
        <v>12</v>
      </c>
      <c r="L319" s="125">
        <v>0</v>
      </c>
      <c r="M319" s="125">
        <f>IF($B$5 &lt; 15,12,0)</f>
        <v>12</v>
      </c>
      <c r="N319" s="125">
        <v>0</v>
      </c>
      <c r="O319" s="125">
        <v>0</v>
      </c>
      <c r="P319" s="125">
        <f>IF($B$5 &lt; 15,18,0)</f>
        <v>18</v>
      </c>
      <c r="Q319" s="125">
        <v>0</v>
      </c>
      <c r="R319" s="125">
        <v>0</v>
      </c>
      <c r="S319" s="125">
        <f>IF($B$5 &lt; 15,18,0)</f>
        <v>18</v>
      </c>
      <c r="T319" s="125">
        <v>0</v>
      </c>
      <c r="U319" s="125">
        <f>IF($B$5 &lt; 15,18,0)</f>
        <v>18</v>
      </c>
      <c r="V319" s="125">
        <v>0</v>
      </c>
      <c r="W319" s="125">
        <f>IF($B$5 &lt; 15,18,0)</f>
        <v>18</v>
      </c>
      <c r="X319" s="125">
        <v>0</v>
      </c>
      <c r="Y319" s="125">
        <v>0</v>
      </c>
      <c r="Z319" s="125">
        <f>IF($B$5 &lt; 30,4.2*$B$5 - 30,0)</f>
        <v>12</v>
      </c>
      <c r="AA319" s="125">
        <v>0</v>
      </c>
      <c r="AB319" s="125">
        <v>0</v>
      </c>
      <c r="AC319" s="125">
        <f>IF($B$5 &lt; 30,4.2*$B$5 - 30,0)</f>
        <v>12</v>
      </c>
      <c r="AD319" s="125">
        <v>0</v>
      </c>
      <c r="AE319" s="125">
        <f>IF($B$5 &lt; 30,4.2*$B$5 - 30,0)</f>
        <v>12</v>
      </c>
      <c r="AF319" s="125">
        <v>0</v>
      </c>
      <c r="AG319" s="126">
        <f>IF($B$5 &lt; 30,4.2*$B$5 - 30,0)</f>
        <v>12</v>
      </c>
      <c r="AH319" s="22"/>
    </row>
    <row r="320" spans="1:34" x14ac:dyDescent="0.25">
      <c r="A320" s="112"/>
      <c r="B320" s="69" t="s">
        <v>243</v>
      </c>
      <c r="C320" s="133" t="s">
        <v>64</v>
      </c>
      <c r="D320" s="125">
        <f>IF($B$5 &lt; 15,66,0)</f>
        <v>66</v>
      </c>
      <c r="E320" s="125">
        <v>0</v>
      </c>
      <c r="F320" s="125">
        <f>IF($B$5 &gt;= 15,18,0)</f>
        <v>0</v>
      </c>
      <c r="G320" s="125">
        <f>IF($B$5 &lt; 15,66,0)</f>
        <v>66</v>
      </c>
      <c r="H320" s="125">
        <v>0</v>
      </c>
      <c r="I320" s="125">
        <f>IF($B$5 &gt;= 15,18,0)</f>
        <v>0</v>
      </c>
      <c r="J320" s="125">
        <f>IF($B$5 &lt; 15,66,0)</f>
        <v>66</v>
      </c>
      <c r="K320" s="125">
        <f>IF($B$5 &gt;= 15,18,0)</f>
        <v>0</v>
      </c>
      <c r="L320" s="125">
        <f>IF($B$5 &lt; 15,66,0)</f>
        <v>66</v>
      </c>
      <c r="M320" s="125">
        <f>IF($B$5 &gt;= 15,18,0)</f>
        <v>0</v>
      </c>
      <c r="N320" s="125">
        <v>0</v>
      </c>
      <c r="O320" s="125">
        <v>0</v>
      </c>
      <c r="P320" s="125">
        <f>IF($B$5 &gt;= 15,18,0)</f>
        <v>0</v>
      </c>
      <c r="Q320" s="125">
        <v>0</v>
      </c>
      <c r="R320" s="125">
        <v>0</v>
      </c>
      <c r="S320" s="125">
        <f>IF($B$5 &gt;= 15,18,0)</f>
        <v>0</v>
      </c>
      <c r="T320" s="125">
        <v>0</v>
      </c>
      <c r="U320" s="125">
        <f>IF($B$5 &gt;= 15,18,0)</f>
        <v>0</v>
      </c>
      <c r="V320" s="125">
        <v>0</v>
      </c>
      <c r="W320" s="125">
        <f>IF($B$5 &gt;= 15,18,0)</f>
        <v>0</v>
      </c>
      <c r="X320" s="125">
        <f>0.6*$B$5 + 42</f>
        <v>48</v>
      </c>
      <c r="Y320" s="125">
        <v>0</v>
      </c>
      <c r="Z320" s="125">
        <f>IF($B$5 &gt;= 30,18,0)</f>
        <v>0</v>
      </c>
      <c r="AA320" s="125">
        <f>0.6*$B$5 + 42</f>
        <v>48</v>
      </c>
      <c r="AB320" s="125">
        <v>0</v>
      </c>
      <c r="AC320" s="125">
        <f>IF($B$5 &gt;= 30,18,0)</f>
        <v>0</v>
      </c>
      <c r="AD320" s="125">
        <f>0.6*$B$5 + 42</f>
        <v>48</v>
      </c>
      <c r="AE320" s="125">
        <f>IF($B$5 &gt;= 30,18,0)</f>
        <v>0</v>
      </c>
      <c r="AF320" s="125">
        <f>0.6*$B$5 + 42</f>
        <v>48</v>
      </c>
      <c r="AG320" s="126">
        <f>IF($B$5 &gt;= 30,18,0)</f>
        <v>0</v>
      </c>
      <c r="AH320" s="22"/>
    </row>
    <row r="321" spans="1:34" x14ac:dyDescent="0.25">
      <c r="A321" s="112"/>
      <c r="B321" s="69" t="s">
        <v>244</v>
      </c>
      <c r="C321" s="133" t="s">
        <v>64</v>
      </c>
      <c r="D321" s="125">
        <f>IF(AND($B$5 &gt;= 15,$B$5 &lt; 30),60,0)</f>
        <v>0</v>
      </c>
      <c r="E321" s="125">
        <f>-0.02*$B$5^2 + 1.2*$B$5 + 20</f>
        <v>30</v>
      </c>
      <c r="F321" s="125">
        <v>0</v>
      </c>
      <c r="G321" s="125">
        <f>IF(AND($B$5 &gt;= 15,$B$5 &lt; 30),60,0)</f>
        <v>0</v>
      </c>
      <c r="H321" s="125">
        <f>-0.02*$B$5^2 + 1.2*$B$5 + 20</f>
        <v>30</v>
      </c>
      <c r="I321" s="125">
        <v>0</v>
      </c>
      <c r="J321" s="125">
        <f>IF(AND($B$5 &gt;= 15,$B$5 &lt; 30),60,0)</f>
        <v>0</v>
      </c>
      <c r="K321" s="125">
        <v>0</v>
      </c>
      <c r="L321" s="125">
        <f>IF(AND($B$5 &gt;= 15,$B$5 &lt; 30),60,0)</f>
        <v>0</v>
      </c>
      <c r="M321" s="125">
        <v>0</v>
      </c>
      <c r="N321" s="125">
        <f>-0.03*$B$5^2 + 2.1*$B$5 + 30</f>
        <v>48</v>
      </c>
      <c r="O321" s="125">
        <f>30</f>
        <v>30</v>
      </c>
      <c r="P321" s="125">
        <v>0</v>
      </c>
      <c r="Q321" s="125">
        <f>-0.03*$B$5^2 + 2.1*$B$5 + 30</f>
        <v>48</v>
      </c>
      <c r="R321" s="125">
        <f>30</f>
        <v>30</v>
      </c>
      <c r="S321" s="125">
        <v>0</v>
      </c>
      <c r="T321" s="125">
        <f>-0.03*$B$5^2 + 2.1*$B$5 + 30</f>
        <v>48</v>
      </c>
      <c r="U321" s="125">
        <v>0</v>
      </c>
      <c r="V321" s="125">
        <f>-0.03*$B$5^2 + 2.1*$B$5 + 30</f>
        <v>48</v>
      </c>
      <c r="W321" s="125">
        <v>0</v>
      </c>
      <c r="X321" s="125">
        <v>0</v>
      </c>
      <c r="Y321" s="125">
        <f>-0.04*$B$5^2 + 1.8*$B$5 + 10</f>
        <v>24</v>
      </c>
      <c r="Z321" s="125">
        <v>0</v>
      </c>
      <c r="AA321" s="125">
        <v>0</v>
      </c>
      <c r="AB321" s="125">
        <f>-0.04*$B$5^2 + 1.8*$B$5 + 10</f>
        <v>24</v>
      </c>
      <c r="AC321" s="125">
        <v>0</v>
      </c>
      <c r="AD321" s="125">
        <v>0</v>
      </c>
      <c r="AE321" s="125">
        <v>0</v>
      </c>
      <c r="AF321" s="125">
        <v>0</v>
      </c>
      <c r="AG321" s="126">
        <v>0</v>
      </c>
      <c r="AH321" s="22"/>
    </row>
    <row r="322" spans="1:34" x14ac:dyDescent="0.25">
      <c r="A322" s="112"/>
      <c r="B322" s="69" t="s">
        <v>245</v>
      </c>
      <c r="C322" s="133" t="s">
        <v>64</v>
      </c>
      <c r="D322" s="125">
        <f>IF($B$5 &gt;= 30,60,0)</f>
        <v>0</v>
      </c>
      <c r="E322" s="125">
        <v>0</v>
      </c>
      <c r="F322" s="125">
        <v>0</v>
      </c>
      <c r="G322" s="125">
        <f>IF($B$5 &gt;= 30,60,0)</f>
        <v>0</v>
      </c>
      <c r="H322" s="125">
        <v>0</v>
      </c>
      <c r="I322" s="125">
        <v>0</v>
      </c>
      <c r="J322" s="125">
        <f>IF($B$5 &gt;= 30,60,0)</f>
        <v>0</v>
      </c>
      <c r="K322" s="125">
        <v>0</v>
      </c>
      <c r="L322" s="125">
        <f>IF($B$5 &gt;= 30,60,0)</f>
        <v>0</v>
      </c>
      <c r="M322" s="125">
        <v>0</v>
      </c>
      <c r="N322" s="125">
        <v>0</v>
      </c>
      <c r="O322" s="125">
        <v>0</v>
      </c>
      <c r="P322" s="125">
        <v>0</v>
      </c>
      <c r="Q322" s="125">
        <v>0</v>
      </c>
      <c r="R322" s="125">
        <v>0</v>
      </c>
      <c r="S322" s="125">
        <v>0</v>
      </c>
      <c r="T322" s="125">
        <v>0</v>
      </c>
      <c r="U322" s="125">
        <v>0</v>
      </c>
      <c r="V322" s="125">
        <v>0</v>
      </c>
      <c r="W322" s="125">
        <v>0</v>
      </c>
      <c r="X322" s="125">
        <v>0</v>
      </c>
      <c r="Y322" s="125">
        <v>0</v>
      </c>
      <c r="Z322" s="125">
        <v>0</v>
      </c>
      <c r="AA322" s="125">
        <v>0</v>
      </c>
      <c r="AB322" s="125">
        <v>0</v>
      </c>
      <c r="AC322" s="125">
        <v>0</v>
      </c>
      <c r="AD322" s="125">
        <v>0</v>
      </c>
      <c r="AE322" s="125">
        <v>0</v>
      </c>
      <c r="AF322" s="125">
        <v>0</v>
      </c>
      <c r="AG322" s="126">
        <v>0</v>
      </c>
      <c r="AH322" s="22"/>
    </row>
    <row r="323" spans="1:34" x14ac:dyDescent="0.25">
      <c r="A323" s="112"/>
      <c r="B323" s="69" t="s">
        <v>246</v>
      </c>
      <c r="C323" s="133" t="s">
        <v>59</v>
      </c>
      <c r="D323" s="125">
        <v>0</v>
      </c>
      <c r="E323" s="125">
        <v>0</v>
      </c>
      <c r="F323" s="125">
        <f>IF($B$5 &lt; 15,1,0)</f>
        <v>1</v>
      </c>
      <c r="G323" s="125">
        <v>0</v>
      </c>
      <c r="H323" s="125">
        <v>0</v>
      </c>
      <c r="I323" s="125">
        <f>IF($B$5 &lt; 15,1,0)</f>
        <v>1</v>
      </c>
      <c r="J323" s="125">
        <v>0</v>
      </c>
      <c r="K323" s="125">
        <f>IF($B$5 &lt; 15,1,0)</f>
        <v>1</v>
      </c>
      <c r="L323" s="125">
        <v>0</v>
      </c>
      <c r="M323" s="125">
        <f>IF($B$5 &lt; 15,1,0)</f>
        <v>1</v>
      </c>
      <c r="N323" s="125">
        <v>0</v>
      </c>
      <c r="O323" s="125">
        <v>0</v>
      </c>
      <c r="P323" s="125">
        <f>IF($B$5 &lt; 15,12,0)</f>
        <v>12</v>
      </c>
      <c r="Q323" s="125">
        <v>0</v>
      </c>
      <c r="R323" s="125">
        <v>0</v>
      </c>
      <c r="S323" s="125">
        <f>IF($B$5 &lt; 15,12,0)</f>
        <v>12</v>
      </c>
      <c r="T323" s="125">
        <v>0</v>
      </c>
      <c r="U323" s="125">
        <f>IF($B$5 &lt; 15,12,0)</f>
        <v>12</v>
      </c>
      <c r="V323" s="125">
        <v>0</v>
      </c>
      <c r="W323" s="125">
        <f>IF($B$5 &lt; 15,12,0)</f>
        <v>12</v>
      </c>
      <c r="X323" s="125">
        <v>0</v>
      </c>
      <c r="Y323" s="125">
        <v>0</v>
      </c>
      <c r="Z323" s="125">
        <f>IF($B$5 &lt; 30,0.7*$B$5 - 6,0)</f>
        <v>1</v>
      </c>
      <c r="AA323" s="125">
        <v>0</v>
      </c>
      <c r="AB323" s="125">
        <v>0</v>
      </c>
      <c r="AC323" s="125">
        <f>IF($B$5 &lt; 30,0.7*$B$5 - 6,0)</f>
        <v>1</v>
      </c>
      <c r="AD323" s="125">
        <v>0</v>
      </c>
      <c r="AE323" s="125">
        <f>IF($B$5 &lt; 30,0.7*$B$5 - 6,0)</f>
        <v>1</v>
      </c>
      <c r="AF323" s="125">
        <v>0</v>
      </c>
      <c r="AG323" s="126">
        <f>IF($B$5 &lt; 30,0.7*$B$5 - 6,0)</f>
        <v>1</v>
      </c>
      <c r="AH323" s="22"/>
    </row>
    <row r="324" spans="1:34" x14ac:dyDescent="0.25">
      <c r="A324" s="112"/>
      <c r="B324" s="69" t="s">
        <v>247</v>
      </c>
      <c r="C324" s="133" t="s">
        <v>59</v>
      </c>
      <c r="D324" s="125">
        <f>IF($B$5 &lt; 15,12,0)</f>
        <v>12</v>
      </c>
      <c r="E324" s="125">
        <v>0</v>
      </c>
      <c r="F324" s="125">
        <f>IF($B$5 &gt;= 15,1,0)</f>
        <v>0</v>
      </c>
      <c r="G324" s="125">
        <f>IF($B$5 &lt; 15,12,0)</f>
        <v>12</v>
      </c>
      <c r="H324" s="125">
        <v>0</v>
      </c>
      <c r="I324" s="125">
        <f>IF($B$5 &gt;= 15,1,0)</f>
        <v>0</v>
      </c>
      <c r="J324" s="125">
        <f>IF($B$5 &lt; 15,12,0)</f>
        <v>12</v>
      </c>
      <c r="K324" s="125">
        <f>IF($B$5 &gt;= 15,1,0)</f>
        <v>0</v>
      </c>
      <c r="L324" s="125">
        <f>IF($B$5 &lt; 15,12,0)</f>
        <v>12</v>
      </c>
      <c r="M324" s="125">
        <f>IF($B$5 &gt;= 15,1,0)</f>
        <v>0</v>
      </c>
      <c r="N324" s="125">
        <v>0</v>
      </c>
      <c r="O324" s="125">
        <v>0</v>
      </c>
      <c r="P324" s="125">
        <f>IF($B$5 &gt;= 15,1,0)</f>
        <v>0</v>
      </c>
      <c r="Q324" s="125">
        <v>0</v>
      </c>
      <c r="R324" s="125">
        <v>0</v>
      </c>
      <c r="S324" s="125">
        <f>IF($B$5 &gt;= 15,1,0)</f>
        <v>0</v>
      </c>
      <c r="T324" s="125">
        <v>0</v>
      </c>
      <c r="U324" s="125">
        <f>IF($B$5 &gt;= 15,1,0)</f>
        <v>0</v>
      </c>
      <c r="V324" s="125">
        <v>0</v>
      </c>
      <c r="W324" s="125">
        <f>IF($B$5 &gt;= 15,1,0)</f>
        <v>0</v>
      </c>
      <c r="X324" s="125">
        <f>8</f>
        <v>8</v>
      </c>
      <c r="Y324" s="125">
        <v>0</v>
      </c>
      <c r="Z324" s="125">
        <f>IF($B$5 &gt;= 30,1,0)</f>
        <v>0</v>
      </c>
      <c r="AA324" s="125">
        <f>8</f>
        <v>8</v>
      </c>
      <c r="AB324" s="125">
        <v>0</v>
      </c>
      <c r="AC324" s="125">
        <f>IF($B$5 &gt;= 30,1,0)</f>
        <v>0</v>
      </c>
      <c r="AD324" s="125">
        <f>8</f>
        <v>8</v>
      </c>
      <c r="AE324" s="125">
        <f>IF($B$5 &gt;= 30,1,0)</f>
        <v>0</v>
      </c>
      <c r="AF324" s="125">
        <f>8</f>
        <v>8</v>
      </c>
      <c r="AG324" s="126">
        <f>IF($B$5 &gt;= 30,1,0)</f>
        <v>0</v>
      </c>
      <c r="AH324" s="22"/>
    </row>
    <row r="325" spans="1:34" x14ac:dyDescent="0.25">
      <c r="A325" s="112"/>
      <c r="B325" s="69" t="s">
        <v>248</v>
      </c>
      <c r="C325" s="133" t="s">
        <v>59</v>
      </c>
      <c r="D325" s="125">
        <f>IF(AND($B$5 &gt;= 15,$B$5 &lt; 30),12,0)</f>
        <v>0</v>
      </c>
      <c r="E325" s="125">
        <f>0.005*$B$5^2 - 0.25*$B$5 + 4</f>
        <v>2</v>
      </c>
      <c r="F325" s="125">
        <v>0</v>
      </c>
      <c r="G325" s="125">
        <f>IF(AND($B$5 &gt;= 15,$B$5 &lt; 30),12,0)</f>
        <v>0</v>
      </c>
      <c r="H325" s="125">
        <f>0.005*$B$5^2 - 0.25*$B$5 + 4</f>
        <v>2</v>
      </c>
      <c r="I325" s="125">
        <v>0</v>
      </c>
      <c r="J325" s="125">
        <f>IF(AND($B$5 &gt;= 15,$B$5 &lt; 30),12,0)</f>
        <v>0</v>
      </c>
      <c r="K325" s="125">
        <v>0</v>
      </c>
      <c r="L325" s="125">
        <f>IF(AND($B$5 &gt;= 15,$B$5 &lt; 30),12,0)</f>
        <v>0</v>
      </c>
      <c r="M325" s="125">
        <v>0</v>
      </c>
      <c r="N325" s="125">
        <f>12</f>
        <v>12</v>
      </c>
      <c r="O325" s="125">
        <f>0.005*$B$5^2 - 0.25*$B$5 + 4</f>
        <v>2</v>
      </c>
      <c r="P325" s="125">
        <v>0</v>
      </c>
      <c r="Q325" s="125">
        <f>12</f>
        <v>12</v>
      </c>
      <c r="R325" s="125">
        <f>0.005*$B$5^2 - 0.25*$B$5 + 4</f>
        <v>2</v>
      </c>
      <c r="S325" s="125">
        <v>0</v>
      </c>
      <c r="T325" s="125">
        <f>12</f>
        <v>12</v>
      </c>
      <c r="U325" s="125">
        <v>0</v>
      </c>
      <c r="V325" s="125">
        <f>12</f>
        <v>12</v>
      </c>
      <c r="W325" s="125">
        <v>0</v>
      </c>
      <c r="X325" s="125">
        <v>0</v>
      </c>
      <c r="Y325" s="125">
        <f>IF(AND($B$5 &gt;= 15,$B$5 &lt; 30),0,2)</f>
        <v>2</v>
      </c>
      <c r="Z325" s="125">
        <v>0</v>
      </c>
      <c r="AA325" s="125">
        <v>0</v>
      </c>
      <c r="AB325" s="125">
        <f>IF(AND($B$5 &gt;= 15,$B$5 &lt; 30),0,2)</f>
        <v>2</v>
      </c>
      <c r="AC325" s="125">
        <v>0</v>
      </c>
      <c r="AD325" s="125">
        <v>0</v>
      </c>
      <c r="AE325" s="125">
        <v>0</v>
      </c>
      <c r="AF325" s="125">
        <v>0</v>
      </c>
      <c r="AG325" s="126">
        <v>0</v>
      </c>
      <c r="AH325" s="22"/>
    </row>
    <row r="326" spans="1:34" x14ac:dyDescent="0.25">
      <c r="A326" s="112"/>
      <c r="B326" s="69" t="s">
        <v>249</v>
      </c>
      <c r="C326" s="133" t="s">
        <v>59</v>
      </c>
      <c r="D326" s="125">
        <f>IF($B$5 &gt;= 30,12,0)</f>
        <v>0</v>
      </c>
      <c r="E326" s="125">
        <v>0</v>
      </c>
      <c r="F326" s="125">
        <v>0</v>
      </c>
      <c r="G326" s="125">
        <f>IF($B$5 &gt;= 30,12,0)</f>
        <v>0</v>
      </c>
      <c r="H326" s="125">
        <v>0</v>
      </c>
      <c r="I326" s="125">
        <v>0</v>
      </c>
      <c r="J326" s="125">
        <f>IF($B$5 &gt;= 30,12,0)</f>
        <v>0</v>
      </c>
      <c r="K326" s="125">
        <v>0</v>
      </c>
      <c r="L326" s="125">
        <f>IF($B$5 &gt;= 30,12,0)</f>
        <v>0</v>
      </c>
      <c r="M326" s="125">
        <v>0</v>
      </c>
      <c r="N326" s="125">
        <v>0</v>
      </c>
      <c r="O326" s="125">
        <v>0</v>
      </c>
      <c r="P326" s="125">
        <v>0</v>
      </c>
      <c r="Q326" s="125">
        <v>0</v>
      </c>
      <c r="R326" s="125">
        <v>0</v>
      </c>
      <c r="S326" s="125">
        <v>0</v>
      </c>
      <c r="T326" s="125">
        <v>0</v>
      </c>
      <c r="U326" s="125">
        <v>0</v>
      </c>
      <c r="V326" s="125">
        <v>0</v>
      </c>
      <c r="W326" s="125">
        <v>0</v>
      </c>
      <c r="X326" s="125">
        <v>0</v>
      </c>
      <c r="Y326" s="125">
        <v>0</v>
      </c>
      <c r="Z326" s="125">
        <v>0</v>
      </c>
      <c r="AA326" s="125">
        <v>0</v>
      </c>
      <c r="AB326" s="125">
        <v>0</v>
      </c>
      <c r="AC326" s="125">
        <v>0</v>
      </c>
      <c r="AD326" s="125">
        <v>0</v>
      </c>
      <c r="AE326" s="125">
        <v>0</v>
      </c>
      <c r="AF326" s="125">
        <v>0</v>
      </c>
      <c r="AG326" s="126">
        <v>0</v>
      </c>
      <c r="AH326" s="22"/>
    </row>
    <row r="327" spans="1:34" x14ac:dyDescent="0.25">
      <c r="A327" s="112"/>
      <c r="B327" s="69" t="s">
        <v>251</v>
      </c>
      <c r="C327" s="133" t="s">
        <v>59</v>
      </c>
      <c r="D327" s="125">
        <v>0</v>
      </c>
      <c r="E327" s="125">
        <v>0</v>
      </c>
      <c r="F327" s="125">
        <v>0</v>
      </c>
      <c r="G327" s="125">
        <v>0</v>
      </c>
      <c r="H327" s="125"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>
        <v>0</v>
      </c>
      <c r="R327" s="125">
        <v>0</v>
      </c>
      <c r="S327" s="125">
        <v>0</v>
      </c>
      <c r="T327" s="125">
        <v>0</v>
      </c>
      <c r="U327" s="125">
        <v>0</v>
      </c>
      <c r="V327" s="125">
        <v>0</v>
      </c>
      <c r="W327" s="125">
        <v>0</v>
      </c>
      <c r="X327" s="125">
        <f>1</f>
        <v>1</v>
      </c>
      <c r="Y327" s="125">
        <v>0</v>
      </c>
      <c r="Z327" s="125">
        <v>0</v>
      </c>
      <c r="AA327" s="125">
        <f>1</f>
        <v>1</v>
      </c>
      <c r="AB327" s="125">
        <v>0</v>
      </c>
      <c r="AC327" s="125">
        <v>0</v>
      </c>
      <c r="AD327" s="125">
        <f>1</f>
        <v>1</v>
      </c>
      <c r="AE327" s="125">
        <v>0</v>
      </c>
      <c r="AF327" s="125">
        <f>1</f>
        <v>1</v>
      </c>
      <c r="AG327" s="126">
        <v>0</v>
      </c>
      <c r="AH327" s="22"/>
    </row>
    <row r="328" spans="1:34" x14ac:dyDescent="0.25">
      <c r="A328" s="112"/>
      <c r="B328" s="69" t="s">
        <v>253</v>
      </c>
      <c r="C328" s="133" t="s">
        <v>59</v>
      </c>
      <c r="D328" s="125">
        <v>0</v>
      </c>
      <c r="E328" s="125">
        <v>0</v>
      </c>
      <c r="F328" s="125">
        <f>IF(AND($B$5 &gt;= 15,$B$5 &lt; 30),0,1)</f>
        <v>1</v>
      </c>
      <c r="G328" s="125">
        <v>0</v>
      </c>
      <c r="H328" s="125">
        <v>0</v>
      </c>
      <c r="I328" s="125">
        <f>IF(AND($B$5 &gt;= 15,$B$5 &lt; 30),0,1)</f>
        <v>1</v>
      </c>
      <c r="J328" s="125">
        <v>0</v>
      </c>
      <c r="K328" s="125">
        <f>IF(AND($B$5 &gt;= 15,$B$5 &lt; 30),0,1)</f>
        <v>1</v>
      </c>
      <c r="L328" s="125">
        <v>0</v>
      </c>
      <c r="M328" s="125">
        <f>IF(AND($B$5 &gt;= 15,$B$5 &lt; 30),0,1)</f>
        <v>1</v>
      </c>
      <c r="N328" s="125">
        <v>0</v>
      </c>
      <c r="O328" s="125">
        <v>0</v>
      </c>
      <c r="P328" s="125">
        <f>1</f>
        <v>1</v>
      </c>
      <c r="Q328" s="125">
        <v>0</v>
      </c>
      <c r="R328" s="125">
        <v>0</v>
      </c>
      <c r="S328" s="125">
        <f>1</f>
        <v>1</v>
      </c>
      <c r="T328" s="125">
        <v>0</v>
      </c>
      <c r="U328" s="125">
        <f>1</f>
        <v>1</v>
      </c>
      <c r="V328" s="125">
        <v>0</v>
      </c>
      <c r="W328" s="125">
        <f>1</f>
        <v>1</v>
      </c>
      <c r="X328" s="125">
        <v>0</v>
      </c>
      <c r="Y328" s="125">
        <v>0</v>
      </c>
      <c r="Z328" s="125">
        <f>1</f>
        <v>1</v>
      </c>
      <c r="AA328" s="125">
        <v>0</v>
      </c>
      <c r="AB328" s="125">
        <v>0</v>
      </c>
      <c r="AC328" s="125">
        <f>1</f>
        <v>1</v>
      </c>
      <c r="AD328" s="125">
        <v>0</v>
      </c>
      <c r="AE328" s="125">
        <f>1</f>
        <v>1</v>
      </c>
      <c r="AF328" s="125">
        <v>0</v>
      </c>
      <c r="AG328" s="126">
        <f>1</f>
        <v>1</v>
      </c>
      <c r="AH328" s="22"/>
    </row>
    <row r="329" spans="1:34" x14ac:dyDescent="0.25">
      <c r="A329" s="112"/>
      <c r="B329" s="69" t="s">
        <v>252</v>
      </c>
      <c r="C329" s="133" t="s">
        <v>59</v>
      </c>
      <c r="D329" s="125">
        <v>0</v>
      </c>
      <c r="E329" s="125">
        <v>0</v>
      </c>
      <c r="F329" s="125">
        <v>0</v>
      </c>
      <c r="G329" s="125">
        <v>0</v>
      </c>
      <c r="H329" s="125">
        <v>0</v>
      </c>
      <c r="I329" s="125">
        <v>0</v>
      </c>
      <c r="J329" s="125">
        <v>0</v>
      </c>
      <c r="K329" s="125">
        <v>0</v>
      </c>
      <c r="L329" s="125">
        <v>0</v>
      </c>
      <c r="M329" s="125">
        <v>0</v>
      </c>
      <c r="N329" s="125">
        <v>0</v>
      </c>
      <c r="O329" s="125">
        <v>0</v>
      </c>
      <c r="P329" s="125">
        <v>0</v>
      </c>
      <c r="Q329" s="125">
        <v>0</v>
      </c>
      <c r="R329" s="125">
        <v>0</v>
      </c>
      <c r="S329" s="125">
        <v>0</v>
      </c>
      <c r="T329" s="125">
        <v>0</v>
      </c>
      <c r="U329" s="125">
        <v>0</v>
      </c>
      <c r="V329" s="125">
        <v>0</v>
      </c>
      <c r="W329" s="125">
        <v>0</v>
      </c>
      <c r="X329" s="125">
        <v>0</v>
      </c>
      <c r="Y329" s="125">
        <f>IF($B$5 &lt; 15,1,0)</f>
        <v>1</v>
      </c>
      <c r="Z329" s="125">
        <v>0</v>
      </c>
      <c r="AA329" s="125">
        <v>0</v>
      </c>
      <c r="AB329" s="125">
        <f>IF($B$5 &lt; 15,1,0)</f>
        <v>1</v>
      </c>
      <c r="AC329" s="125">
        <v>0</v>
      </c>
      <c r="AD329" s="125">
        <v>0</v>
      </c>
      <c r="AE329" s="125">
        <v>0</v>
      </c>
      <c r="AF329" s="125">
        <v>0</v>
      </c>
      <c r="AG329" s="126">
        <v>0</v>
      </c>
      <c r="AH329" s="22"/>
    </row>
    <row r="330" spans="1:34" x14ac:dyDescent="0.25">
      <c r="A330" s="112"/>
      <c r="B330" s="69" t="s">
        <v>254</v>
      </c>
      <c r="C330" s="133" t="s">
        <v>59</v>
      </c>
      <c r="D330" s="125">
        <v>0</v>
      </c>
      <c r="E330" s="125">
        <v>0</v>
      </c>
      <c r="F330" s="125">
        <v>0</v>
      </c>
      <c r="G330" s="125">
        <v>0</v>
      </c>
      <c r="H330" s="125">
        <v>0</v>
      </c>
      <c r="I330" s="125">
        <v>0</v>
      </c>
      <c r="J330" s="125">
        <v>0</v>
      </c>
      <c r="K330" s="125">
        <v>0</v>
      </c>
      <c r="L330" s="125">
        <v>0</v>
      </c>
      <c r="M330" s="125">
        <v>0</v>
      </c>
      <c r="N330" s="125">
        <v>0</v>
      </c>
      <c r="O330" s="125">
        <f>IF($B$5 &lt; 15,1,0)</f>
        <v>1</v>
      </c>
      <c r="P330" s="125">
        <v>0</v>
      </c>
      <c r="Q330" s="125">
        <v>0</v>
      </c>
      <c r="R330" s="125">
        <f>IF($B$5 &lt; 15,1,0)</f>
        <v>1</v>
      </c>
      <c r="S330" s="125">
        <v>0</v>
      </c>
      <c r="T330" s="125">
        <v>0</v>
      </c>
      <c r="U330" s="125">
        <v>0</v>
      </c>
      <c r="V330" s="125">
        <v>0</v>
      </c>
      <c r="W330" s="125">
        <v>0</v>
      </c>
      <c r="X330" s="125">
        <v>0</v>
      </c>
      <c r="Y330" s="125">
        <f>IF($B$5 &gt;= 15,1,0)</f>
        <v>0</v>
      </c>
      <c r="Z330" s="125">
        <v>0</v>
      </c>
      <c r="AA330" s="125">
        <v>0</v>
      </c>
      <c r="AB330" s="125">
        <f>IF($B$5 &gt;= 15,1,0)</f>
        <v>0</v>
      </c>
      <c r="AC330" s="125">
        <v>0</v>
      </c>
      <c r="AD330" s="125">
        <v>0</v>
      </c>
      <c r="AE330" s="125">
        <v>0</v>
      </c>
      <c r="AF330" s="125">
        <v>0</v>
      </c>
      <c r="AG330" s="126">
        <v>0</v>
      </c>
      <c r="AH330" s="22"/>
    </row>
    <row r="331" spans="1:34" x14ac:dyDescent="0.25">
      <c r="A331" s="112"/>
      <c r="B331" s="69" t="s">
        <v>255</v>
      </c>
      <c r="C331" s="133" t="s">
        <v>59</v>
      </c>
      <c r="D331" s="125">
        <v>0</v>
      </c>
      <c r="E331" s="125">
        <f>IF($B$5 &lt; 15,1,0)</f>
        <v>1</v>
      </c>
      <c r="F331" s="125">
        <v>0</v>
      </c>
      <c r="G331" s="125">
        <v>0</v>
      </c>
      <c r="H331" s="125">
        <f>IF($B$5 &lt; 15,1,0)</f>
        <v>1</v>
      </c>
      <c r="I331" s="125">
        <v>0</v>
      </c>
      <c r="J331" s="125">
        <v>0</v>
      </c>
      <c r="K331" s="125">
        <v>0</v>
      </c>
      <c r="L331" s="125">
        <v>0</v>
      </c>
      <c r="M331" s="125">
        <v>0</v>
      </c>
      <c r="N331" s="125">
        <v>0</v>
      </c>
      <c r="O331" s="125">
        <v>0</v>
      </c>
      <c r="P331" s="125">
        <v>0</v>
      </c>
      <c r="Q331" s="125">
        <v>0</v>
      </c>
      <c r="R331" s="125">
        <v>0</v>
      </c>
      <c r="S331" s="125">
        <v>0</v>
      </c>
      <c r="T331" s="125">
        <v>0</v>
      </c>
      <c r="U331" s="125">
        <v>0</v>
      </c>
      <c r="V331" s="125">
        <v>0</v>
      </c>
      <c r="W331" s="125">
        <v>0</v>
      </c>
      <c r="X331" s="125">
        <v>0</v>
      </c>
      <c r="Y331" s="125">
        <v>0</v>
      </c>
      <c r="Z331" s="125">
        <v>0</v>
      </c>
      <c r="AA331" s="125">
        <v>0</v>
      </c>
      <c r="AB331" s="125">
        <v>0</v>
      </c>
      <c r="AC331" s="125">
        <v>0</v>
      </c>
      <c r="AD331" s="125">
        <v>0</v>
      </c>
      <c r="AE331" s="125">
        <v>0</v>
      </c>
      <c r="AF331" s="125">
        <v>0</v>
      </c>
      <c r="AG331" s="126">
        <v>0</v>
      </c>
      <c r="AH331" s="22"/>
    </row>
    <row r="332" spans="1:34" x14ac:dyDescent="0.25">
      <c r="A332" s="112"/>
      <c r="B332" s="69" t="s">
        <v>257</v>
      </c>
      <c r="C332" s="133" t="s">
        <v>59</v>
      </c>
      <c r="D332" s="125">
        <f>IF($B$5 &lt; 15,2,0)</f>
        <v>2</v>
      </c>
      <c r="E332" s="125">
        <v>0</v>
      </c>
      <c r="F332" s="125">
        <v>0</v>
      </c>
      <c r="G332" s="125">
        <f>IF($B$5 &lt; 15,2,0)</f>
        <v>2</v>
      </c>
      <c r="H332" s="125">
        <v>0</v>
      </c>
      <c r="I332" s="125">
        <v>0</v>
      </c>
      <c r="J332" s="125">
        <f>IF($B$5 &lt; 15,2,0)</f>
        <v>2</v>
      </c>
      <c r="K332" s="125">
        <v>0</v>
      </c>
      <c r="L332" s="125">
        <f>IF($B$5 &lt; 15,2,0)</f>
        <v>2</v>
      </c>
      <c r="M332" s="125">
        <v>0</v>
      </c>
      <c r="N332" s="125">
        <v>0</v>
      </c>
      <c r="O332" s="125">
        <v>0</v>
      </c>
      <c r="P332" s="125">
        <v>0</v>
      </c>
      <c r="Q332" s="125">
        <v>0</v>
      </c>
      <c r="R332" s="125">
        <v>0</v>
      </c>
      <c r="S332" s="125">
        <v>0</v>
      </c>
      <c r="T332" s="125">
        <v>0</v>
      </c>
      <c r="U332" s="125">
        <v>0</v>
      </c>
      <c r="V332" s="125">
        <v>0</v>
      </c>
      <c r="W332" s="125">
        <v>0</v>
      </c>
      <c r="X332" s="125">
        <f>0.0033*$B$5^2 - 0.2*$B$5 + 4.6667</f>
        <v>2.9966999999999997</v>
      </c>
      <c r="Y332" s="125">
        <v>0</v>
      </c>
      <c r="Z332" s="125">
        <v>0</v>
      </c>
      <c r="AA332" s="125">
        <f>0.0033*$B$5^2 - 0.2*$B$5 + 4.6667</f>
        <v>2.9966999999999997</v>
      </c>
      <c r="AB332" s="125">
        <v>0</v>
      </c>
      <c r="AC332" s="125">
        <v>0</v>
      </c>
      <c r="AD332" s="125">
        <f>0.0033*$B$5^2 - 0.2*$B$5 + 4.6667</f>
        <v>2.9966999999999997</v>
      </c>
      <c r="AE332" s="125">
        <v>0</v>
      </c>
      <c r="AF332" s="125">
        <f>0.0033*$B$5^2 - 0.2*$B$5 + 4.6667</f>
        <v>2.9966999999999997</v>
      </c>
      <c r="AG332" s="126">
        <v>0</v>
      </c>
      <c r="AH332" s="22"/>
    </row>
    <row r="333" spans="1:34" x14ac:dyDescent="0.25">
      <c r="A333" s="112"/>
      <c r="B333" s="69" t="s">
        <v>258</v>
      </c>
      <c r="C333" s="133" t="s">
        <v>59</v>
      </c>
      <c r="D333" s="125">
        <f>IF(AND($B$5 &gt;= 15,$B$5 &lt; 30),2,0)</f>
        <v>0</v>
      </c>
      <c r="E333" s="125">
        <f>0.0017*$B$5^2 - 0.05*$B$5 + 2.3333</f>
        <v>2.0032999999999999</v>
      </c>
      <c r="F333" s="125">
        <v>0</v>
      </c>
      <c r="G333" s="125">
        <f>IF(AND($B$5 &gt;= 15,$B$5 &lt; 30),2,0)</f>
        <v>0</v>
      </c>
      <c r="H333" s="125">
        <f>0.0017*$B$5^2 - 0.05*$B$5 + 2.3333</f>
        <v>2.0032999999999999</v>
      </c>
      <c r="I333" s="125">
        <v>0</v>
      </c>
      <c r="J333" s="125">
        <f>IF(AND($B$5 &gt;= 15,$B$5 &lt; 30),2,0)</f>
        <v>0</v>
      </c>
      <c r="K333" s="125">
        <v>0</v>
      </c>
      <c r="L333" s="125">
        <f>IF(AND($B$5 &gt;= 15,$B$5 &lt; 30),2,0)</f>
        <v>0</v>
      </c>
      <c r="M333" s="125">
        <v>0</v>
      </c>
      <c r="N333" s="125">
        <f>2</f>
        <v>2</v>
      </c>
      <c r="O333" s="125">
        <f>0.005*$B$5^2 - 0.25*$B$5 + 5</f>
        <v>3</v>
      </c>
      <c r="P333" s="125">
        <v>0</v>
      </c>
      <c r="Q333" s="125">
        <f>2</f>
        <v>2</v>
      </c>
      <c r="R333" s="125">
        <f>0.005*$B$5^2 - 0.25*$B$5 + 5</f>
        <v>3</v>
      </c>
      <c r="S333" s="125">
        <v>0</v>
      </c>
      <c r="T333" s="125">
        <f>2</f>
        <v>2</v>
      </c>
      <c r="U333" s="125">
        <v>0</v>
      </c>
      <c r="V333" s="125">
        <f>2</f>
        <v>2</v>
      </c>
      <c r="W333" s="125">
        <v>0</v>
      </c>
      <c r="X333" s="125">
        <v>0</v>
      </c>
      <c r="Y333" s="125">
        <f>0.005*$B$5^2 - 0.25*$B$5 + 5</f>
        <v>3</v>
      </c>
      <c r="Z333" s="125">
        <v>0</v>
      </c>
      <c r="AA333" s="125">
        <v>0</v>
      </c>
      <c r="AB333" s="125">
        <f>0.005*$B$5^2 - 0.25*$B$5 + 5</f>
        <v>3</v>
      </c>
      <c r="AC333" s="125">
        <v>0</v>
      </c>
      <c r="AD333" s="125">
        <v>0</v>
      </c>
      <c r="AE333" s="125">
        <v>0</v>
      </c>
      <c r="AF333" s="125">
        <v>0</v>
      </c>
      <c r="AG333" s="126">
        <v>0</v>
      </c>
      <c r="AH333" s="22"/>
    </row>
    <row r="334" spans="1:34" x14ac:dyDescent="0.25">
      <c r="A334" s="112"/>
      <c r="B334" s="69" t="s">
        <v>259</v>
      </c>
      <c r="C334" s="133" t="s">
        <v>59</v>
      </c>
      <c r="D334" s="125">
        <f>IF($B$5 &gt;= 30,2,0)</f>
        <v>0</v>
      </c>
      <c r="E334" s="125">
        <v>0</v>
      </c>
      <c r="F334" s="125">
        <v>0</v>
      </c>
      <c r="G334" s="125">
        <f>IF($B$5 &gt;= 30,2,0)</f>
        <v>0</v>
      </c>
      <c r="H334" s="125">
        <v>0</v>
      </c>
      <c r="I334" s="125">
        <v>0</v>
      </c>
      <c r="J334" s="125">
        <f>IF($B$5 &gt;= 30,2,0)</f>
        <v>0</v>
      </c>
      <c r="K334" s="125">
        <v>0</v>
      </c>
      <c r="L334" s="125">
        <f>IF($B$5 &gt;= 30,2,0)</f>
        <v>0</v>
      </c>
      <c r="M334" s="125">
        <v>0</v>
      </c>
      <c r="N334" s="125">
        <v>0</v>
      </c>
      <c r="O334" s="125">
        <v>0</v>
      </c>
      <c r="P334" s="125">
        <v>0</v>
      </c>
      <c r="Q334" s="125">
        <v>0</v>
      </c>
      <c r="R334" s="125">
        <v>0</v>
      </c>
      <c r="S334" s="125">
        <v>0</v>
      </c>
      <c r="T334" s="125">
        <v>0</v>
      </c>
      <c r="U334" s="125">
        <v>0</v>
      </c>
      <c r="V334" s="125">
        <v>0</v>
      </c>
      <c r="W334" s="125">
        <v>0</v>
      </c>
      <c r="X334" s="125">
        <v>0</v>
      </c>
      <c r="Y334" s="125">
        <v>0</v>
      </c>
      <c r="Z334" s="125">
        <v>0</v>
      </c>
      <c r="AA334" s="125">
        <v>0</v>
      </c>
      <c r="AB334" s="125">
        <v>0</v>
      </c>
      <c r="AC334" s="125">
        <v>0</v>
      </c>
      <c r="AD334" s="125">
        <v>0</v>
      </c>
      <c r="AE334" s="125">
        <v>0</v>
      </c>
      <c r="AF334" s="125">
        <v>0</v>
      </c>
      <c r="AG334" s="126">
        <v>0</v>
      </c>
      <c r="AH334" s="22"/>
    </row>
    <row r="335" spans="1:34" x14ac:dyDescent="0.25">
      <c r="A335" s="112"/>
      <c r="B335" s="69" t="s">
        <v>260</v>
      </c>
      <c r="C335" s="133" t="s">
        <v>59</v>
      </c>
      <c r="D335" s="125">
        <f>1</f>
        <v>1</v>
      </c>
      <c r="E335" s="125">
        <v>0</v>
      </c>
      <c r="F335" s="125">
        <v>0</v>
      </c>
      <c r="G335" s="125">
        <f>1</f>
        <v>1</v>
      </c>
      <c r="H335" s="125">
        <v>0</v>
      </c>
      <c r="I335" s="125">
        <v>0</v>
      </c>
      <c r="J335" s="125">
        <f>1</f>
        <v>1</v>
      </c>
      <c r="K335" s="125">
        <v>0</v>
      </c>
      <c r="L335" s="125">
        <f>1</f>
        <v>1</v>
      </c>
      <c r="M335" s="125">
        <v>0</v>
      </c>
      <c r="N335" s="125">
        <f>1</f>
        <v>1</v>
      </c>
      <c r="O335" s="125">
        <v>0</v>
      </c>
      <c r="P335" s="125">
        <v>0</v>
      </c>
      <c r="Q335" s="125">
        <f>1</f>
        <v>1</v>
      </c>
      <c r="R335" s="125">
        <v>0</v>
      </c>
      <c r="S335" s="125">
        <v>0</v>
      </c>
      <c r="T335" s="125">
        <f>1</f>
        <v>1</v>
      </c>
      <c r="U335" s="125">
        <v>0</v>
      </c>
      <c r="V335" s="125">
        <f>1</f>
        <v>1</v>
      </c>
      <c r="W335" s="125">
        <v>0</v>
      </c>
      <c r="X335" s="125">
        <f>-0.0033*$B$5^2 + 0.2*$B$5 + 0.3333</f>
        <v>2.0032999999999999</v>
      </c>
      <c r="Y335" s="125">
        <v>0</v>
      </c>
      <c r="Z335" s="125">
        <v>0</v>
      </c>
      <c r="AA335" s="125">
        <f>-0.0033*$B$5^2 + 0.2*$B$5 + 0.3333</f>
        <v>2.0032999999999999</v>
      </c>
      <c r="AB335" s="125">
        <v>0</v>
      </c>
      <c r="AC335" s="125">
        <v>0</v>
      </c>
      <c r="AD335" s="125">
        <f>-0.0033*$B$5^2 + 0.2*$B$5 + 0.3333</f>
        <v>2.0032999999999999</v>
      </c>
      <c r="AE335" s="125">
        <v>0</v>
      </c>
      <c r="AF335" s="125">
        <f>-0.0033*$B$5^2 + 0.2*$B$5 + 0.3333</f>
        <v>2.0032999999999999</v>
      </c>
      <c r="AG335" s="126">
        <v>0</v>
      </c>
      <c r="AH335" s="22"/>
    </row>
    <row r="336" spans="1:34" x14ac:dyDescent="0.25">
      <c r="A336" s="112"/>
      <c r="B336" s="69" t="s">
        <v>261</v>
      </c>
      <c r="C336" s="133" t="s">
        <v>59</v>
      </c>
      <c r="D336" s="125">
        <v>0</v>
      </c>
      <c r="E336" s="125">
        <v>0</v>
      </c>
      <c r="F336" s="125">
        <f>IF($B$5 &lt; 15,3,0)</f>
        <v>3</v>
      </c>
      <c r="G336" s="125">
        <v>0</v>
      </c>
      <c r="H336" s="125">
        <v>0</v>
      </c>
      <c r="I336" s="125">
        <f>IF($B$5 &lt; 15,3,0)</f>
        <v>3</v>
      </c>
      <c r="J336" s="125">
        <v>0</v>
      </c>
      <c r="K336" s="125">
        <f>IF($B$5 &lt; 15,3,0)</f>
        <v>3</v>
      </c>
      <c r="L336" s="125">
        <v>0</v>
      </c>
      <c r="M336" s="125">
        <f>IF($B$5 &lt; 15,3,0)</f>
        <v>3</v>
      </c>
      <c r="N336" s="125">
        <v>0</v>
      </c>
      <c r="O336" s="125">
        <v>0</v>
      </c>
      <c r="P336" s="125">
        <f>IF($B$5 &lt; 15,1,0)</f>
        <v>1</v>
      </c>
      <c r="Q336" s="125">
        <v>0</v>
      </c>
      <c r="R336" s="125">
        <v>0</v>
      </c>
      <c r="S336" s="125">
        <f>IF($B$5 &lt; 15,1,0)</f>
        <v>1</v>
      </c>
      <c r="T336" s="125">
        <v>0</v>
      </c>
      <c r="U336" s="125">
        <f>IF($B$5 &lt; 15,1,0)</f>
        <v>1</v>
      </c>
      <c r="V336" s="125">
        <v>0</v>
      </c>
      <c r="W336" s="125">
        <f>IF($B$5 &lt; 15,1,0)</f>
        <v>1</v>
      </c>
      <c r="X336" s="125">
        <v>0</v>
      </c>
      <c r="Y336" s="125">
        <v>0</v>
      </c>
      <c r="Z336" s="125">
        <f>IF($B$5 &lt; 30,0.1*$B$5,0)</f>
        <v>1</v>
      </c>
      <c r="AA336" s="125">
        <v>0</v>
      </c>
      <c r="AB336" s="125">
        <v>0</v>
      </c>
      <c r="AC336" s="125">
        <f>IF($B$5 &lt; 30,0.1*$B$5,0)</f>
        <v>1</v>
      </c>
      <c r="AD336" s="125">
        <v>0</v>
      </c>
      <c r="AE336" s="125">
        <f>IF($B$5 &lt; 30,0.1*$B$5,0)</f>
        <v>1</v>
      </c>
      <c r="AF336" s="125">
        <v>0</v>
      </c>
      <c r="AG336" s="126">
        <f>IF($B$5 &lt; 30,0.1*$B$5,0)</f>
        <v>1</v>
      </c>
      <c r="AH336" s="22"/>
    </row>
    <row r="337" spans="1:34" x14ac:dyDescent="0.25">
      <c r="A337" s="112"/>
      <c r="B337" s="69" t="s">
        <v>262</v>
      </c>
      <c r="C337" s="133" t="s">
        <v>59</v>
      </c>
      <c r="D337" s="125">
        <f>IF($B$5 &lt; 15,18,0)</f>
        <v>18</v>
      </c>
      <c r="E337" s="125">
        <v>0</v>
      </c>
      <c r="F337" s="125">
        <f>IF($B$5 &gt;= 15,-0.1*$B$5 + 5,0)</f>
        <v>0</v>
      </c>
      <c r="G337" s="125">
        <f>IF($B$5 &lt; 15,18,0)</f>
        <v>18</v>
      </c>
      <c r="H337" s="125">
        <v>0</v>
      </c>
      <c r="I337" s="125">
        <f>IF($B$5 &gt;= 15,-0.1*$B$5 + 5,0)</f>
        <v>0</v>
      </c>
      <c r="J337" s="125">
        <f>IF($B$5 &lt; 15,18,0)</f>
        <v>18</v>
      </c>
      <c r="K337" s="125">
        <f>IF($B$5 &gt;= 15,-0.1*$B$5 + 5,0)</f>
        <v>0</v>
      </c>
      <c r="L337" s="125">
        <f>IF($B$5 &lt; 15,18,0)</f>
        <v>18</v>
      </c>
      <c r="M337" s="125">
        <f>IF($B$5 &gt;= 15,-0.1*$B$5 + 5,0)</f>
        <v>0</v>
      </c>
      <c r="N337" s="125">
        <v>0</v>
      </c>
      <c r="O337" s="125">
        <v>0</v>
      </c>
      <c r="P337" s="125">
        <f>IF($B$5 &gt;= 15,1,0)</f>
        <v>0</v>
      </c>
      <c r="Q337" s="125">
        <v>0</v>
      </c>
      <c r="R337" s="125">
        <v>0</v>
      </c>
      <c r="S337" s="125">
        <f>IF($B$5 &gt;= 15,1,0)</f>
        <v>0</v>
      </c>
      <c r="T337" s="125">
        <v>0</v>
      </c>
      <c r="U337" s="125">
        <f>IF($B$5 &gt;= 15,1,0)</f>
        <v>0</v>
      </c>
      <c r="V337" s="125">
        <v>0</v>
      </c>
      <c r="W337" s="125">
        <f>IF($B$5 &gt;= 15,1,0)</f>
        <v>0</v>
      </c>
      <c r="X337" s="125">
        <f>0.0067*$B$5^2 - 0.4*$B$5 + 7.3333</f>
        <v>4.0033000000000003</v>
      </c>
      <c r="Y337" s="125">
        <v>0</v>
      </c>
      <c r="Z337" s="125">
        <f>IF($B$5 &gt;= 30,1,0)</f>
        <v>0</v>
      </c>
      <c r="AA337" s="125">
        <f>0.0067*$B$5^2 - 0.4*$B$5 + 7.3333</f>
        <v>4.0033000000000003</v>
      </c>
      <c r="AB337" s="125">
        <v>0</v>
      </c>
      <c r="AC337" s="125">
        <f>IF($B$5 &gt;= 30,1,0)</f>
        <v>0</v>
      </c>
      <c r="AD337" s="125">
        <f>0.0067*$B$5^2 - 0.4*$B$5 + 7.3333</f>
        <v>4.0033000000000003</v>
      </c>
      <c r="AE337" s="125">
        <f>IF($B$5 &gt;= 30,1,0)</f>
        <v>0</v>
      </c>
      <c r="AF337" s="125">
        <f>0.0067*$B$5^2 - 0.4*$B$5 + 7.3333</f>
        <v>4.0033000000000003</v>
      </c>
      <c r="AG337" s="126">
        <f>IF($B$5 &gt;= 30,1,0)</f>
        <v>0</v>
      </c>
      <c r="AH337" s="22"/>
    </row>
    <row r="338" spans="1:34" x14ac:dyDescent="0.25">
      <c r="A338" s="112"/>
      <c r="B338" s="69" t="s">
        <v>263</v>
      </c>
      <c r="C338" s="133" t="s">
        <v>59</v>
      </c>
      <c r="D338" s="125">
        <f>IF(AND($B$5 &gt;= 15,$B$5 &lt; 30),18,0)</f>
        <v>0</v>
      </c>
      <c r="E338" s="125">
        <f>0.0117*$B$5^2 - 0.65*$B$5 + 9.3333</f>
        <v>4.0032999999999994</v>
      </c>
      <c r="F338" s="125">
        <v>0</v>
      </c>
      <c r="G338" s="125">
        <f>IF(AND($B$5 &gt;= 15,$B$5 &lt; 30),18,0)</f>
        <v>0</v>
      </c>
      <c r="H338" s="125">
        <f>0.0117*$B$5^2 - 0.65*$B$5 + 9.3333</f>
        <v>4.0032999999999994</v>
      </c>
      <c r="I338" s="125">
        <v>0</v>
      </c>
      <c r="J338" s="125">
        <f>IF(AND($B$5 &gt;= 15,$B$5 &lt; 30),18,0)</f>
        <v>0</v>
      </c>
      <c r="K338" s="125">
        <v>0</v>
      </c>
      <c r="L338" s="125">
        <f>IF(AND($B$5 &gt;= 15,$B$5 &lt; 30),18,0)</f>
        <v>0</v>
      </c>
      <c r="M338" s="125">
        <v>0</v>
      </c>
      <c r="N338" s="125">
        <f>18</f>
        <v>18</v>
      </c>
      <c r="O338" s="125">
        <f>0.005*$B$5^2 - 0.25*$B$5 + 4</f>
        <v>2</v>
      </c>
      <c r="P338" s="125">
        <v>0</v>
      </c>
      <c r="Q338" s="125">
        <f>18</f>
        <v>18</v>
      </c>
      <c r="R338" s="125">
        <f>0.005*$B$5^2 - 0.25*$B$5 + 4</f>
        <v>2</v>
      </c>
      <c r="S338" s="125">
        <v>0</v>
      </c>
      <c r="T338" s="125">
        <f>18</f>
        <v>18</v>
      </c>
      <c r="U338" s="125">
        <v>0</v>
      </c>
      <c r="V338" s="125">
        <f>18</f>
        <v>18</v>
      </c>
      <c r="W338" s="125">
        <v>0</v>
      </c>
      <c r="X338" s="125">
        <v>0</v>
      </c>
      <c r="Y338" s="125">
        <f>-0.005*$B$5^2 + 0.25*$B$5 - 7*10^-15</f>
        <v>1.9999999999999929</v>
      </c>
      <c r="Z338" s="125">
        <v>0</v>
      </c>
      <c r="AA338" s="125">
        <v>0</v>
      </c>
      <c r="AB338" s="125">
        <f>-0.005*$B$5^2 + 0.25*$B$5 - 7*10^-15</f>
        <v>1.9999999999999929</v>
      </c>
      <c r="AC338" s="125">
        <v>0</v>
      </c>
      <c r="AD338" s="125">
        <v>0</v>
      </c>
      <c r="AE338" s="125">
        <v>0</v>
      </c>
      <c r="AF338" s="125">
        <v>0</v>
      </c>
      <c r="AG338" s="126">
        <v>0</v>
      </c>
      <c r="AH338" s="22"/>
    </row>
    <row r="339" spans="1:34" x14ac:dyDescent="0.25">
      <c r="A339" s="112"/>
      <c r="B339" s="69" t="s">
        <v>264</v>
      </c>
      <c r="C339" s="133" t="s">
        <v>59</v>
      </c>
      <c r="D339" s="125">
        <f>IF($B$5 &gt;= 30,18,0)</f>
        <v>0</v>
      </c>
      <c r="E339" s="125">
        <v>0</v>
      </c>
      <c r="F339" s="125">
        <v>0</v>
      </c>
      <c r="G339" s="125">
        <f>IF($B$5 &gt;= 30,18,0)</f>
        <v>0</v>
      </c>
      <c r="H339" s="125">
        <v>0</v>
      </c>
      <c r="I339" s="125">
        <v>0</v>
      </c>
      <c r="J339" s="125">
        <f>IF($B$5 &gt;= 30,18,0)</f>
        <v>0</v>
      </c>
      <c r="K339" s="125">
        <v>0</v>
      </c>
      <c r="L339" s="125">
        <f>IF($B$5 &gt;= 30,18,0)</f>
        <v>0</v>
      </c>
      <c r="M339" s="125">
        <v>0</v>
      </c>
      <c r="N339" s="125">
        <v>0</v>
      </c>
      <c r="O339" s="125">
        <v>0</v>
      </c>
      <c r="P339" s="125">
        <v>0</v>
      </c>
      <c r="Q339" s="125">
        <v>0</v>
      </c>
      <c r="R339" s="125">
        <v>0</v>
      </c>
      <c r="S339" s="125">
        <v>0</v>
      </c>
      <c r="T339" s="125">
        <v>0</v>
      </c>
      <c r="U339" s="125">
        <v>0</v>
      </c>
      <c r="V339" s="125">
        <v>0</v>
      </c>
      <c r="W339" s="125">
        <v>0</v>
      </c>
      <c r="X339" s="125">
        <v>0</v>
      </c>
      <c r="Y339" s="125">
        <v>0</v>
      </c>
      <c r="Z339" s="125">
        <v>0</v>
      </c>
      <c r="AA339" s="125">
        <v>0</v>
      </c>
      <c r="AB339" s="125">
        <v>0</v>
      </c>
      <c r="AC339" s="125">
        <v>0</v>
      </c>
      <c r="AD339" s="125">
        <v>0</v>
      </c>
      <c r="AE339" s="125">
        <v>0</v>
      </c>
      <c r="AF339" s="125">
        <v>0</v>
      </c>
      <c r="AG339" s="126">
        <v>0</v>
      </c>
      <c r="AH339" s="22"/>
    </row>
    <row r="340" spans="1:34" x14ac:dyDescent="0.25">
      <c r="A340" s="112"/>
      <c r="B340" s="120" t="s">
        <v>564</v>
      </c>
      <c r="C340" s="121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8"/>
      <c r="AH340" s="22"/>
    </row>
    <row r="341" spans="1:34" x14ac:dyDescent="0.25">
      <c r="A341" s="112"/>
      <c r="B341" s="69" t="s">
        <v>265</v>
      </c>
      <c r="C341" s="133" t="s">
        <v>64</v>
      </c>
      <c r="D341" s="125">
        <f>-0.01*$B$5^2 + 1.5*$B$5 + 22</f>
        <v>36</v>
      </c>
      <c r="E341" s="125">
        <f>-0.01*$B$5^2 + 0.9*$B$5 + 10</f>
        <v>18</v>
      </c>
      <c r="F341" s="125">
        <f>0.01*$B$5^2 - 0.3*$B$5 + 8</f>
        <v>6</v>
      </c>
      <c r="G341" s="125">
        <f>-0.01*$B$5^2 + 1.5*$B$5 + 22</f>
        <v>36</v>
      </c>
      <c r="H341" s="125">
        <f>-0.01*$B$5^2 + 0.9*$B$5 + 10</f>
        <v>18</v>
      </c>
      <c r="I341" s="125">
        <f>0.01*$B$5^2 - 0.3*$B$5 + 8</f>
        <v>6</v>
      </c>
      <c r="J341" s="125">
        <f>-0.01*$B$5^2 + 1.5*$B$5 + 22</f>
        <v>36</v>
      </c>
      <c r="K341" s="125">
        <f>0.01*$B$5^2 - 0.3*$B$5 + 8</f>
        <v>6</v>
      </c>
      <c r="L341" s="125">
        <f>-0.01*$B$5^2 + 1.5*$B$5 + 22</f>
        <v>36</v>
      </c>
      <c r="M341" s="125">
        <f>0.01*$B$5^2 - 0.3*$B$5 + 8</f>
        <v>6</v>
      </c>
      <c r="N341" s="125">
        <f>-0.11*$B$5^2 + 5.7*$B$5 - 10</f>
        <v>36</v>
      </c>
      <c r="O341" s="125">
        <f>-0.08*$B$5^2 + 3.6*$B$5 + 8</f>
        <v>36</v>
      </c>
      <c r="P341" s="125">
        <f>-0.09*$B$5^2 + 3.9*$B$5 - 6</f>
        <v>24</v>
      </c>
      <c r="Q341" s="125">
        <f>-0.11*$B$5^2 + 5.7*$B$5 - 10</f>
        <v>36</v>
      </c>
      <c r="R341" s="125">
        <f>-0.08*$B$5^2 + 3.6*$B$5 + 8</f>
        <v>36</v>
      </c>
      <c r="S341" s="125">
        <f>-0.09*$B$5^2 + 3.9*$B$5 - 6</f>
        <v>24</v>
      </c>
      <c r="T341" s="125">
        <f>-0.11*$B$5^2 + 5.7*$B$5 - 10</f>
        <v>36</v>
      </c>
      <c r="U341" s="125">
        <f>-0.09*$B$5^2 + 3.9*$B$5 - 6</f>
        <v>24</v>
      </c>
      <c r="V341" s="125">
        <f>-0.11*$B$5^2 + 5.7*$B$5 - 10</f>
        <v>36</v>
      </c>
      <c r="W341" s="125">
        <f>-0.09*$B$5^2 + 3.9*$B$5 - 6</f>
        <v>24</v>
      </c>
      <c r="X341" s="125">
        <f>-2*10^-16*$B$5^2 + 0.6*$B$5 + 12</f>
        <v>17.999999999999979</v>
      </c>
      <c r="Y341" s="125">
        <f>18</f>
        <v>18</v>
      </c>
      <c r="Z341" s="125">
        <v>0</v>
      </c>
      <c r="AA341" s="125">
        <f>-2*10^-16*$B$5^2 + 0.6*$B$5 + 12</f>
        <v>17.999999999999979</v>
      </c>
      <c r="AB341" s="125">
        <f>18</f>
        <v>18</v>
      </c>
      <c r="AC341" s="125">
        <v>0</v>
      </c>
      <c r="AD341" s="125">
        <f>-2*10^-16*$B$5^2 + 0.6*$B$5 + 12</f>
        <v>17.999999999999979</v>
      </c>
      <c r="AE341" s="125">
        <v>0</v>
      </c>
      <c r="AF341" s="125">
        <f>-2*10^-16*$B$5^2 + 0.6*$B$5 + 12</f>
        <v>17.999999999999979</v>
      </c>
      <c r="AG341" s="126">
        <v>0</v>
      </c>
      <c r="AH341" s="22"/>
    </row>
    <row r="342" spans="1:34" x14ac:dyDescent="0.25">
      <c r="A342" s="112"/>
      <c r="B342" s="120" t="s">
        <v>565</v>
      </c>
      <c r="C342" s="121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8"/>
      <c r="AH342" s="22"/>
    </row>
    <row r="343" spans="1:34" x14ac:dyDescent="0.25">
      <c r="A343" s="112"/>
      <c r="B343" s="69" t="s">
        <v>268</v>
      </c>
      <c r="C343" s="133" t="s">
        <v>59</v>
      </c>
      <c r="D343" s="125">
        <f>2</f>
        <v>2</v>
      </c>
      <c r="E343" s="125">
        <v>0</v>
      </c>
      <c r="F343" s="125">
        <v>0</v>
      </c>
      <c r="G343" s="125">
        <f>2</f>
        <v>2</v>
      </c>
      <c r="H343" s="125">
        <v>0</v>
      </c>
      <c r="I343" s="125">
        <v>0</v>
      </c>
      <c r="J343" s="125">
        <f>2</f>
        <v>2</v>
      </c>
      <c r="K343" s="125">
        <v>0</v>
      </c>
      <c r="L343" s="125">
        <f>2</f>
        <v>2</v>
      </c>
      <c r="M343" s="125">
        <v>0</v>
      </c>
      <c r="N343" s="125">
        <f>2</f>
        <v>2</v>
      </c>
      <c r="O343" s="125">
        <v>0</v>
      </c>
      <c r="P343" s="125">
        <v>0</v>
      </c>
      <c r="Q343" s="125">
        <f>2</f>
        <v>2</v>
      </c>
      <c r="R343" s="125">
        <v>0</v>
      </c>
      <c r="S343" s="125">
        <v>0</v>
      </c>
      <c r="T343" s="125">
        <f>2</f>
        <v>2</v>
      </c>
      <c r="U343" s="125">
        <v>0</v>
      </c>
      <c r="V343" s="125">
        <f>2</f>
        <v>2</v>
      </c>
      <c r="W343" s="125">
        <v>0</v>
      </c>
      <c r="X343" s="125">
        <f>2</f>
        <v>2</v>
      </c>
      <c r="Y343" s="125">
        <v>0</v>
      </c>
      <c r="Z343" s="125">
        <v>0</v>
      </c>
      <c r="AA343" s="125">
        <f>2</f>
        <v>2</v>
      </c>
      <c r="AB343" s="125">
        <v>0</v>
      </c>
      <c r="AC343" s="125">
        <v>0</v>
      </c>
      <c r="AD343" s="125">
        <f>2</f>
        <v>2</v>
      </c>
      <c r="AE343" s="125">
        <v>0</v>
      </c>
      <c r="AF343" s="125">
        <f>2</f>
        <v>2</v>
      </c>
      <c r="AG343" s="126">
        <v>0</v>
      </c>
      <c r="AH343" s="22"/>
    </row>
    <row r="344" spans="1:34" x14ac:dyDescent="0.25">
      <c r="A344" s="112"/>
      <c r="B344" s="69" t="s">
        <v>271</v>
      </c>
      <c r="C344" s="133" t="s">
        <v>59</v>
      </c>
      <c r="D344" s="125">
        <f>IF($B$5 &lt; 30,0.1*$B$5 + 2,0)</f>
        <v>3</v>
      </c>
      <c r="E344" s="125">
        <f>IF($B$5 &lt; 30,0.1*$B$5 + 2,0)</f>
        <v>3</v>
      </c>
      <c r="F344" s="125">
        <f>IF($B$5 &lt; 30,0.1*$B$5,0)</f>
        <v>1</v>
      </c>
      <c r="G344" s="125">
        <f>IF($B$5 &lt; 30,0.1*$B$5 + 2,0)</f>
        <v>3</v>
      </c>
      <c r="H344" s="125">
        <f>IF($B$5 &lt; 30,0.1*$B$5 + 2,0)</f>
        <v>3</v>
      </c>
      <c r="I344" s="125">
        <f>IF($B$5 &lt; 30,0.1*$B$5,0)</f>
        <v>1</v>
      </c>
      <c r="J344" s="125">
        <f>IF($B$5 &lt; 30,0.1*$B$5 + 2,0)</f>
        <v>3</v>
      </c>
      <c r="K344" s="125">
        <f>IF($B$5 &lt; 30,0.1*$B$5,0)</f>
        <v>1</v>
      </c>
      <c r="L344" s="125">
        <f>IF($B$5 &lt; 30,0.1*$B$5 + 2,0)</f>
        <v>3</v>
      </c>
      <c r="M344" s="125">
        <f>IF($B$5 &lt; 30,0.1*$B$5,0)</f>
        <v>1</v>
      </c>
      <c r="N344" s="125">
        <f>IF($B$5 &lt; 30,0.1*$B$5 + 2,0)</f>
        <v>3</v>
      </c>
      <c r="O344" s="125">
        <f>IF($B$5 &lt; 30,0.1*$B$5 + 2,0)</f>
        <v>3</v>
      </c>
      <c r="P344" s="125">
        <f>IF($B$5 &lt; 30,0.1*$B$5,0)</f>
        <v>1</v>
      </c>
      <c r="Q344" s="125">
        <f>IF($B$5 &lt; 30,0.1*$B$5 + 2,0)</f>
        <v>3</v>
      </c>
      <c r="R344" s="125">
        <f>IF($B$5 &lt; 30,0.1*$B$5 + 2,0)</f>
        <v>3</v>
      </c>
      <c r="S344" s="125">
        <f>IF($B$5 &lt; 30,0.1*$B$5,0)</f>
        <v>1</v>
      </c>
      <c r="T344" s="125">
        <f>IF($B$5 &lt; 30,0.1*$B$5 + 2,0)</f>
        <v>3</v>
      </c>
      <c r="U344" s="125">
        <f>IF($B$5 &lt; 30,0.1*$B$5,0)</f>
        <v>1</v>
      </c>
      <c r="V344" s="125">
        <f>IF($B$5 &lt; 30,0.1*$B$5 + 2,0)</f>
        <v>3</v>
      </c>
      <c r="W344" s="125">
        <f>IF($B$5 &lt; 30,0.1*$B$5,0)</f>
        <v>1</v>
      </c>
      <c r="X344" s="125">
        <f>IF($B$5 &lt; 30,0.1*$B$5 + 2,0)</f>
        <v>3</v>
      </c>
      <c r="Y344" s="125">
        <f>IF($B$5 &lt; 30,0.2*$B$5,0)</f>
        <v>2</v>
      </c>
      <c r="Z344" s="125">
        <f>IF($B$5 &lt; 30,0.1*$B$5,0)</f>
        <v>1</v>
      </c>
      <c r="AA344" s="125">
        <f>IF($B$5 &lt; 30,0.1*$B$5 + 2,0)</f>
        <v>3</v>
      </c>
      <c r="AB344" s="125">
        <f>IF($B$5 &lt; 30,0.2*$B$5,0)</f>
        <v>2</v>
      </c>
      <c r="AC344" s="125">
        <f>IF($B$5 &lt; 30,0.1*$B$5,0)</f>
        <v>1</v>
      </c>
      <c r="AD344" s="125">
        <f>IF($B$5 &lt; 30,0.1*$B$5 + 2,0)</f>
        <v>3</v>
      </c>
      <c r="AE344" s="125">
        <f>IF($B$5 &lt; 30,0.1*$B$5,0)</f>
        <v>1</v>
      </c>
      <c r="AF344" s="125">
        <f>IF($B$5 &lt; 30,0.1*$B$5 + 2,0)</f>
        <v>3</v>
      </c>
      <c r="AG344" s="126">
        <f>IF($B$5 &lt; 30,0.1*$B$5,0)</f>
        <v>1</v>
      </c>
      <c r="AH344" s="22"/>
    </row>
    <row r="345" spans="1:34" x14ac:dyDescent="0.25">
      <c r="A345" s="112"/>
      <c r="B345" s="69" t="s">
        <v>273</v>
      </c>
      <c r="C345" s="133" t="s">
        <v>59</v>
      </c>
      <c r="D345" s="125">
        <f>IF($B$5 &gt;= 30,6,0)</f>
        <v>0</v>
      </c>
      <c r="E345" s="125">
        <f>IF($B$5 &gt;= 30,4,0)</f>
        <v>0</v>
      </c>
      <c r="F345" s="125">
        <f>IF($B$5 &gt;= 30,2,0)</f>
        <v>0</v>
      </c>
      <c r="G345" s="125">
        <f>IF($B$5 &gt;= 30,6,0)</f>
        <v>0</v>
      </c>
      <c r="H345" s="125">
        <f>IF($B$5 &gt;= 30,4,0)</f>
        <v>0</v>
      </c>
      <c r="I345" s="125">
        <f>IF($B$5 &gt;= 30,2,0)</f>
        <v>0</v>
      </c>
      <c r="J345" s="125">
        <f>IF($B$5 &gt;= 30,6,0)</f>
        <v>0</v>
      </c>
      <c r="K345" s="125">
        <f>IF($B$5 &gt;= 30,2,0)</f>
        <v>0</v>
      </c>
      <c r="L345" s="125">
        <f>IF($B$5 &gt;= 30,6,0)</f>
        <v>0</v>
      </c>
      <c r="M345" s="125">
        <f>IF($B$5 &gt;= 30,2,0)</f>
        <v>0</v>
      </c>
      <c r="N345" s="125">
        <f>IF($B$5 &gt;= 30,4,0)</f>
        <v>0</v>
      </c>
      <c r="O345" s="125">
        <f>IF($B$5 &gt;= 30,4,0)</f>
        <v>0</v>
      </c>
      <c r="P345" s="125">
        <f>IF($B$5 &gt;= 30,2,0)</f>
        <v>0</v>
      </c>
      <c r="Q345" s="125">
        <f>IF($B$5 &gt;= 30,4,0)</f>
        <v>0</v>
      </c>
      <c r="R345" s="125">
        <f>IF($B$5 &gt;= 30,4,0)</f>
        <v>0</v>
      </c>
      <c r="S345" s="125">
        <f>IF($B$5 &gt;= 30,2,0)</f>
        <v>0</v>
      </c>
      <c r="T345" s="125">
        <f>IF($B$5 &gt;= 30,4,0)</f>
        <v>0</v>
      </c>
      <c r="U345" s="125">
        <f>IF($B$5 &gt;= 30,2,0)</f>
        <v>0</v>
      </c>
      <c r="V345" s="125">
        <f>IF($B$5 &gt;= 30,4,0)</f>
        <v>0</v>
      </c>
      <c r="W345" s="125">
        <f>IF($B$5 &gt;= 30,2,0)</f>
        <v>0</v>
      </c>
      <c r="X345" s="125">
        <f>IF($B$5 &gt;= 30,4,0)</f>
        <v>0</v>
      </c>
      <c r="Y345" s="125">
        <f>IF($B$5 &gt;= 30,4,0)</f>
        <v>0</v>
      </c>
      <c r="Z345" s="125">
        <f>IF($B$5 &gt;= 30,2,0)</f>
        <v>0</v>
      </c>
      <c r="AA345" s="125">
        <f>IF($B$5 &gt;= 30,4,0)</f>
        <v>0</v>
      </c>
      <c r="AB345" s="125">
        <f>IF($B$5 &gt;= 30,4,0)</f>
        <v>0</v>
      </c>
      <c r="AC345" s="125">
        <f>IF($B$5 &gt;= 30,2,0)</f>
        <v>0</v>
      </c>
      <c r="AD345" s="125">
        <f>IF($B$5 &gt;= 30,4,0)</f>
        <v>0</v>
      </c>
      <c r="AE345" s="125">
        <f>IF($B$5 &gt;= 30,2,0)</f>
        <v>0</v>
      </c>
      <c r="AF345" s="125">
        <f>IF($B$5 &gt;= 30,4,0)</f>
        <v>0</v>
      </c>
      <c r="AG345" s="126">
        <f>IF($B$5 &gt;= 30,2,0)</f>
        <v>0</v>
      </c>
      <c r="AH345" s="22"/>
    </row>
    <row r="346" spans="1:34" x14ac:dyDescent="0.25">
      <c r="A346" s="112"/>
      <c r="B346" s="120" t="s">
        <v>566</v>
      </c>
      <c r="C346" s="121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8"/>
      <c r="AH346" s="22"/>
    </row>
    <row r="347" spans="1:34" x14ac:dyDescent="0.25">
      <c r="A347" s="112"/>
      <c r="B347" s="69" t="s">
        <v>277</v>
      </c>
      <c r="C347" s="133" t="s">
        <v>59</v>
      </c>
      <c r="D347" s="125">
        <v>0</v>
      </c>
      <c r="E347" s="125">
        <v>0</v>
      </c>
      <c r="F347" s="125">
        <v>0</v>
      </c>
      <c r="G347" s="125">
        <v>0</v>
      </c>
      <c r="H347" s="125">
        <v>0</v>
      </c>
      <c r="I347" s="125">
        <v>0</v>
      </c>
      <c r="J347" s="125">
        <v>0</v>
      </c>
      <c r="K347" s="125">
        <v>0</v>
      </c>
      <c r="L347" s="125">
        <v>0</v>
      </c>
      <c r="M347" s="125">
        <v>0</v>
      </c>
      <c r="N347" s="125">
        <v>0</v>
      </c>
      <c r="O347" s="125">
        <v>0</v>
      </c>
      <c r="P347" s="125">
        <v>0</v>
      </c>
      <c r="Q347" s="125">
        <v>0</v>
      </c>
      <c r="R347" s="125">
        <v>0</v>
      </c>
      <c r="S347" s="125">
        <v>0</v>
      </c>
      <c r="T347" s="125">
        <v>0</v>
      </c>
      <c r="U347" s="125">
        <v>0</v>
      </c>
      <c r="V347" s="125">
        <v>0</v>
      </c>
      <c r="W347" s="125">
        <v>0</v>
      </c>
      <c r="X347" s="125">
        <f>1</f>
        <v>1</v>
      </c>
      <c r="Y347" s="125">
        <v>0</v>
      </c>
      <c r="Z347" s="125">
        <v>0</v>
      </c>
      <c r="AA347" s="125">
        <f>1</f>
        <v>1</v>
      </c>
      <c r="AB347" s="125">
        <v>0</v>
      </c>
      <c r="AC347" s="125">
        <v>0</v>
      </c>
      <c r="AD347" s="125">
        <f>1</f>
        <v>1</v>
      </c>
      <c r="AE347" s="125">
        <v>0</v>
      </c>
      <c r="AF347" s="125">
        <f>1</f>
        <v>1</v>
      </c>
      <c r="AG347" s="126">
        <v>0</v>
      </c>
      <c r="AH347" s="22"/>
    </row>
    <row r="348" spans="1:34" x14ac:dyDescent="0.25">
      <c r="A348" s="112"/>
      <c r="B348" s="69" t="s">
        <v>278</v>
      </c>
      <c r="C348" s="133" t="s">
        <v>59</v>
      </c>
      <c r="D348" s="125">
        <f>IF($B$5 &lt; 30,1,0)</f>
        <v>1</v>
      </c>
      <c r="E348" s="125">
        <v>0</v>
      </c>
      <c r="F348" s="125">
        <v>0</v>
      </c>
      <c r="G348" s="125">
        <f>IF($B$5 &lt; 30,1,0)</f>
        <v>1</v>
      </c>
      <c r="H348" s="125">
        <v>0</v>
      </c>
      <c r="I348" s="125">
        <v>0</v>
      </c>
      <c r="J348" s="125">
        <f>IF($B$5 &lt; 30,1,0)</f>
        <v>1</v>
      </c>
      <c r="K348" s="125">
        <v>0</v>
      </c>
      <c r="L348" s="125">
        <f>IF($B$5 &lt; 30,1,0)</f>
        <v>1</v>
      </c>
      <c r="M348" s="125">
        <v>0</v>
      </c>
      <c r="N348" s="125">
        <f>1</f>
        <v>1</v>
      </c>
      <c r="O348" s="125">
        <v>0</v>
      </c>
      <c r="P348" s="125">
        <v>0</v>
      </c>
      <c r="Q348" s="125">
        <f>1</f>
        <v>1</v>
      </c>
      <c r="R348" s="125">
        <v>0</v>
      </c>
      <c r="S348" s="125">
        <v>0</v>
      </c>
      <c r="T348" s="125">
        <f>1</f>
        <v>1</v>
      </c>
      <c r="U348" s="125">
        <v>0</v>
      </c>
      <c r="V348" s="125">
        <f>1</f>
        <v>1</v>
      </c>
      <c r="W348" s="125">
        <v>0</v>
      </c>
      <c r="X348" s="125">
        <v>0</v>
      </c>
      <c r="Y348" s="125">
        <v>0</v>
      </c>
      <c r="Z348" s="125">
        <v>0</v>
      </c>
      <c r="AA348" s="125">
        <v>0</v>
      </c>
      <c r="AB348" s="125">
        <v>0</v>
      </c>
      <c r="AC348" s="125">
        <v>0</v>
      </c>
      <c r="AD348" s="125">
        <v>0</v>
      </c>
      <c r="AE348" s="125">
        <v>0</v>
      </c>
      <c r="AF348" s="125">
        <v>0</v>
      </c>
      <c r="AG348" s="126">
        <v>0</v>
      </c>
      <c r="AH348" s="22"/>
    </row>
    <row r="349" spans="1:34" x14ac:dyDescent="0.25">
      <c r="A349" s="112"/>
      <c r="B349" s="69" t="s">
        <v>279</v>
      </c>
      <c r="C349" s="133" t="s">
        <v>59</v>
      </c>
      <c r="D349" s="125">
        <f>IF($B$5 &gt;= 30,1,0)</f>
        <v>0</v>
      </c>
      <c r="E349" s="125">
        <v>0</v>
      </c>
      <c r="F349" s="125">
        <v>0</v>
      </c>
      <c r="G349" s="125">
        <f>IF($B$5 &gt;= 30,1,0)</f>
        <v>0</v>
      </c>
      <c r="H349" s="125">
        <v>0</v>
      </c>
      <c r="I349" s="125">
        <v>0</v>
      </c>
      <c r="J349" s="125">
        <f>IF($B$5 &gt;= 30,1,0)</f>
        <v>0</v>
      </c>
      <c r="K349" s="125">
        <v>0</v>
      </c>
      <c r="L349" s="125">
        <f>IF($B$5 &gt;= 30,1,0)</f>
        <v>0</v>
      </c>
      <c r="M349" s="125">
        <v>0</v>
      </c>
      <c r="N349" s="125">
        <v>0</v>
      </c>
      <c r="O349" s="125">
        <v>0</v>
      </c>
      <c r="P349" s="125">
        <v>0</v>
      </c>
      <c r="Q349" s="125">
        <v>0</v>
      </c>
      <c r="R349" s="125">
        <v>0</v>
      </c>
      <c r="S349" s="125">
        <v>0</v>
      </c>
      <c r="T349" s="125">
        <v>0</v>
      </c>
      <c r="U349" s="125">
        <v>0</v>
      </c>
      <c r="V349" s="125">
        <v>0</v>
      </c>
      <c r="W349" s="125">
        <v>0</v>
      </c>
      <c r="X349" s="125">
        <v>0</v>
      </c>
      <c r="Y349" s="125">
        <v>0</v>
      </c>
      <c r="Z349" s="125">
        <v>0</v>
      </c>
      <c r="AA349" s="125">
        <v>0</v>
      </c>
      <c r="AB349" s="125">
        <v>0</v>
      </c>
      <c r="AC349" s="125">
        <v>0</v>
      </c>
      <c r="AD349" s="125">
        <v>0</v>
      </c>
      <c r="AE349" s="125">
        <v>0</v>
      </c>
      <c r="AF349" s="125">
        <v>0</v>
      </c>
      <c r="AG349" s="126">
        <v>0</v>
      </c>
      <c r="AH349" s="22"/>
    </row>
    <row r="350" spans="1:34" x14ac:dyDescent="0.25">
      <c r="A350" s="112"/>
      <c r="B350" s="69" t="s">
        <v>283</v>
      </c>
      <c r="C350" s="133" t="s">
        <v>59</v>
      </c>
      <c r="D350" s="125">
        <v>0</v>
      </c>
      <c r="E350" s="125">
        <f>2</f>
        <v>2</v>
      </c>
      <c r="F350" s="125">
        <v>0</v>
      </c>
      <c r="G350" s="125">
        <v>0</v>
      </c>
      <c r="H350" s="125">
        <f>2</f>
        <v>2</v>
      </c>
      <c r="I350" s="125">
        <v>0</v>
      </c>
      <c r="J350" s="125">
        <v>0</v>
      </c>
      <c r="K350" s="125">
        <v>0</v>
      </c>
      <c r="L350" s="125">
        <v>0</v>
      </c>
      <c r="M350" s="125">
        <v>0</v>
      </c>
      <c r="N350" s="125">
        <v>0</v>
      </c>
      <c r="O350" s="125">
        <f>2</f>
        <v>2</v>
      </c>
      <c r="P350" s="125">
        <v>0</v>
      </c>
      <c r="Q350" s="125">
        <v>0</v>
      </c>
      <c r="R350" s="125">
        <f>2</f>
        <v>2</v>
      </c>
      <c r="S350" s="125">
        <v>0</v>
      </c>
      <c r="T350" s="125">
        <v>0</v>
      </c>
      <c r="U350" s="125">
        <v>0</v>
      </c>
      <c r="V350" s="125">
        <v>0</v>
      </c>
      <c r="W350" s="125">
        <v>0</v>
      </c>
      <c r="X350" s="125">
        <v>0</v>
      </c>
      <c r="Y350" s="125">
        <f>-0.0017*$B$5^2 + 0.05*$B$5 + 1.6667</f>
        <v>1.9967000000000001</v>
      </c>
      <c r="Z350" s="125">
        <v>0</v>
      </c>
      <c r="AA350" s="125">
        <v>0</v>
      </c>
      <c r="AB350" s="125">
        <f>-0.0017*$B$5^2 + 0.05*$B$5 + 1.6667</f>
        <v>1.9967000000000001</v>
      </c>
      <c r="AC350" s="125">
        <v>0</v>
      </c>
      <c r="AD350" s="125">
        <v>0</v>
      </c>
      <c r="AE350" s="125">
        <v>0</v>
      </c>
      <c r="AF350" s="125">
        <v>0</v>
      </c>
      <c r="AG350" s="126">
        <v>0</v>
      </c>
      <c r="AH350" s="22"/>
    </row>
    <row r="351" spans="1:34" x14ac:dyDescent="0.25">
      <c r="A351" s="112"/>
      <c r="B351" s="120" t="s">
        <v>567</v>
      </c>
      <c r="C351" s="121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8"/>
      <c r="AH351" s="22"/>
    </row>
    <row r="352" spans="1:34" x14ac:dyDescent="0.25">
      <c r="A352" s="112"/>
      <c r="B352" s="69" t="s">
        <v>286</v>
      </c>
      <c r="C352" s="133" t="s">
        <v>59</v>
      </c>
      <c r="D352" s="125">
        <v>0</v>
      </c>
      <c r="E352" s="125">
        <v>0</v>
      </c>
      <c r="F352" s="125">
        <v>0</v>
      </c>
      <c r="G352" s="125">
        <v>0</v>
      </c>
      <c r="H352" s="125">
        <v>0</v>
      </c>
      <c r="I352" s="125">
        <v>0</v>
      </c>
      <c r="J352" s="125">
        <v>0</v>
      </c>
      <c r="K352" s="125">
        <v>0</v>
      </c>
      <c r="L352" s="125">
        <v>0</v>
      </c>
      <c r="M352" s="125">
        <v>0</v>
      </c>
      <c r="N352" s="125">
        <v>0</v>
      </c>
      <c r="O352" s="125">
        <v>0</v>
      </c>
      <c r="P352" s="125">
        <v>0</v>
      </c>
      <c r="Q352" s="125">
        <v>0</v>
      </c>
      <c r="R352" s="125">
        <v>0</v>
      </c>
      <c r="S352" s="125">
        <v>0</v>
      </c>
      <c r="T352" s="125">
        <v>0</v>
      </c>
      <c r="U352" s="125">
        <v>0</v>
      </c>
      <c r="V352" s="125">
        <v>0</v>
      </c>
      <c r="W352" s="125">
        <v>0</v>
      </c>
      <c r="X352" s="125">
        <f>8</f>
        <v>8</v>
      </c>
      <c r="Y352" s="125">
        <v>0</v>
      </c>
      <c r="Z352" s="125">
        <v>0</v>
      </c>
      <c r="AA352" s="125">
        <f>8</f>
        <v>8</v>
      </c>
      <c r="AB352" s="125">
        <v>0</v>
      </c>
      <c r="AC352" s="125">
        <v>0</v>
      </c>
      <c r="AD352" s="125">
        <f>8</f>
        <v>8</v>
      </c>
      <c r="AE352" s="125">
        <v>0</v>
      </c>
      <c r="AF352" s="125">
        <f>8</f>
        <v>8</v>
      </c>
      <c r="AG352" s="126">
        <v>0</v>
      </c>
      <c r="AH352" s="22"/>
    </row>
    <row r="353" spans="1:34" x14ac:dyDescent="0.25">
      <c r="A353" s="112"/>
      <c r="B353" s="69" t="s">
        <v>287</v>
      </c>
      <c r="C353" s="133" t="s">
        <v>59</v>
      </c>
      <c r="D353" s="125">
        <f>IF($B$5 &lt; 30,12,0)</f>
        <v>12</v>
      </c>
      <c r="E353" s="125">
        <f>0.0033*$B$5^2 - 0.2*$B$5 + 3.6667</f>
        <v>1.9967000000000001</v>
      </c>
      <c r="F353" s="125">
        <v>0</v>
      </c>
      <c r="G353" s="125">
        <f>IF($B$5 &lt; 30,12,0)</f>
        <v>12</v>
      </c>
      <c r="H353" s="125">
        <f>0.0033*$B$5^2 - 0.2*$B$5 + 3.6667</f>
        <v>1.9967000000000001</v>
      </c>
      <c r="I353" s="125">
        <v>0</v>
      </c>
      <c r="J353" s="125">
        <f>IF($B$5 &lt; 30,12,0)</f>
        <v>12</v>
      </c>
      <c r="K353" s="125">
        <v>0</v>
      </c>
      <c r="L353" s="125">
        <f>IF($B$5 &lt; 30,12,0)</f>
        <v>12</v>
      </c>
      <c r="M353" s="125">
        <v>0</v>
      </c>
      <c r="N353" s="125">
        <f>12</f>
        <v>12</v>
      </c>
      <c r="O353" s="125">
        <f>1</f>
        <v>1</v>
      </c>
      <c r="P353" s="125">
        <v>0</v>
      </c>
      <c r="Q353" s="125">
        <f>12</f>
        <v>12</v>
      </c>
      <c r="R353" s="125">
        <f>1</f>
        <v>1</v>
      </c>
      <c r="S353" s="125">
        <v>0</v>
      </c>
      <c r="T353" s="125">
        <f>12</f>
        <v>12</v>
      </c>
      <c r="U353" s="125">
        <v>0</v>
      </c>
      <c r="V353" s="125">
        <f>12</f>
        <v>12</v>
      </c>
      <c r="W353" s="125">
        <v>0</v>
      </c>
      <c r="X353" s="125">
        <v>0</v>
      </c>
      <c r="Y353" s="125">
        <f>IF($B$5 &gt;= 15,1,0)</f>
        <v>0</v>
      </c>
      <c r="Z353" s="125">
        <v>0</v>
      </c>
      <c r="AA353" s="125">
        <v>0</v>
      </c>
      <c r="AB353" s="125">
        <f>IF($B$5 &gt;= 15,1,0)</f>
        <v>0</v>
      </c>
      <c r="AC353" s="125">
        <v>0</v>
      </c>
      <c r="AD353" s="125">
        <v>0</v>
      </c>
      <c r="AE353" s="125">
        <v>0</v>
      </c>
      <c r="AF353" s="125">
        <v>0</v>
      </c>
      <c r="AG353" s="126">
        <v>0</v>
      </c>
      <c r="AH353" s="22"/>
    </row>
    <row r="354" spans="1:34" x14ac:dyDescent="0.25">
      <c r="A354" s="112"/>
      <c r="B354" s="69" t="s">
        <v>288</v>
      </c>
      <c r="C354" s="133" t="s">
        <v>59</v>
      </c>
      <c r="D354" s="125">
        <f>IF($B$5 &gt;= 30,12,0)</f>
        <v>0</v>
      </c>
      <c r="E354" s="125">
        <v>0</v>
      </c>
      <c r="F354" s="125">
        <v>0</v>
      </c>
      <c r="G354" s="125">
        <f>IF($B$5 &gt;= 30,12,0)</f>
        <v>0</v>
      </c>
      <c r="H354" s="125">
        <v>0</v>
      </c>
      <c r="I354" s="125">
        <v>0</v>
      </c>
      <c r="J354" s="125">
        <f>IF($B$5 &gt;= 30,12,0)</f>
        <v>0</v>
      </c>
      <c r="K354" s="125">
        <v>0</v>
      </c>
      <c r="L354" s="125">
        <f>IF($B$5 &gt;= 30,12,0)</f>
        <v>0</v>
      </c>
      <c r="M354" s="125">
        <v>0</v>
      </c>
      <c r="N354" s="125">
        <v>0</v>
      </c>
      <c r="O354" s="125">
        <v>0</v>
      </c>
      <c r="P354" s="125">
        <v>0</v>
      </c>
      <c r="Q354" s="125">
        <v>0</v>
      </c>
      <c r="R354" s="125">
        <v>0</v>
      </c>
      <c r="S354" s="125">
        <v>0</v>
      </c>
      <c r="T354" s="125">
        <v>0</v>
      </c>
      <c r="U354" s="125">
        <v>0</v>
      </c>
      <c r="V354" s="125">
        <v>0</v>
      </c>
      <c r="W354" s="125">
        <v>0</v>
      </c>
      <c r="X354" s="125">
        <v>0</v>
      </c>
      <c r="Y354" s="125">
        <v>0</v>
      </c>
      <c r="Z354" s="125">
        <v>0</v>
      </c>
      <c r="AA354" s="125">
        <v>0</v>
      </c>
      <c r="AB354" s="125">
        <v>0</v>
      </c>
      <c r="AC354" s="125">
        <v>0</v>
      </c>
      <c r="AD354" s="125">
        <v>0</v>
      </c>
      <c r="AE354" s="125">
        <v>0</v>
      </c>
      <c r="AF354" s="125">
        <v>0</v>
      </c>
      <c r="AG354" s="126">
        <v>0</v>
      </c>
      <c r="AH354" s="22"/>
    </row>
    <row r="355" spans="1:34" x14ac:dyDescent="0.25">
      <c r="A355" s="112"/>
      <c r="B355" s="120" t="s">
        <v>569</v>
      </c>
      <c r="C355" s="121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3"/>
      <c r="AH355" s="22"/>
    </row>
    <row r="356" spans="1:34" x14ac:dyDescent="0.25">
      <c r="A356" s="112"/>
      <c r="B356" s="120" t="s">
        <v>570</v>
      </c>
      <c r="C356" s="121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3"/>
      <c r="AH356" s="22"/>
    </row>
    <row r="357" spans="1:34" x14ac:dyDescent="0.25">
      <c r="A357" s="112"/>
      <c r="B357" s="27" t="s">
        <v>78</v>
      </c>
      <c r="C357" s="67" t="s">
        <v>59</v>
      </c>
      <c r="D357" s="125">
        <f>1</f>
        <v>1</v>
      </c>
      <c r="E357" s="125">
        <f>1</f>
        <v>1</v>
      </c>
      <c r="F357" s="125">
        <f>1</f>
        <v>1</v>
      </c>
      <c r="G357" s="125">
        <f>1</f>
        <v>1</v>
      </c>
      <c r="H357" s="125">
        <f>1</f>
        <v>1</v>
      </c>
      <c r="I357" s="125">
        <f>1</f>
        <v>1</v>
      </c>
      <c r="J357" s="125">
        <f>1</f>
        <v>1</v>
      </c>
      <c r="K357" s="125">
        <f>1</f>
        <v>1</v>
      </c>
      <c r="L357" s="125">
        <f>1</f>
        <v>1</v>
      </c>
      <c r="M357" s="125">
        <f>1</f>
        <v>1</v>
      </c>
      <c r="N357" s="125">
        <f>1</f>
        <v>1</v>
      </c>
      <c r="O357" s="125">
        <f>1</f>
        <v>1</v>
      </c>
      <c r="P357" s="125">
        <f>1</f>
        <v>1</v>
      </c>
      <c r="Q357" s="125">
        <f>1</f>
        <v>1</v>
      </c>
      <c r="R357" s="125">
        <f>1</f>
        <v>1</v>
      </c>
      <c r="S357" s="125">
        <f>1</f>
        <v>1</v>
      </c>
      <c r="T357" s="125">
        <f>1</f>
        <v>1</v>
      </c>
      <c r="U357" s="125">
        <f>1</f>
        <v>1</v>
      </c>
      <c r="V357" s="125">
        <f>1</f>
        <v>1</v>
      </c>
      <c r="W357" s="125">
        <f>1</f>
        <v>1</v>
      </c>
      <c r="X357" s="125">
        <f>1</f>
        <v>1</v>
      </c>
      <c r="Y357" s="125">
        <f>1</f>
        <v>1</v>
      </c>
      <c r="Z357" s="125">
        <f>1</f>
        <v>1</v>
      </c>
      <c r="AA357" s="125">
        <f>1</f>
        <v>1</v>
      </c>
      <c r="AB357" s="125">
        <f>1</f>
        <v>1</v>
      </c>
      <c r="AC357" s="125">
        <f>1</f>
        <v>1</v>
      </c>
      <c r="AD357" s="125">
        <f>1</f>
        <v>1</v>
      </c>
      <c r="AE357" s="125">
        <f>1</f>
        <v>1</v>
      </c>
      <c r="AF357" s="125">
        <f>1</f>
        <v>1</v>
      </c>
      <c r="AG357" s="126">
        <f>1</f>
        <v>1</v>
      </c>
      <c r="AH357" s="22"/>
    </row>
    <row r="358" spans="1:34" x14ac:dyDescent="0.25">
      <c r="A358" s="112"/>
      <c r="B358" s="27" t="s">
        <v>79</v>
      </c>
      <c r="C358" s="67" t="s">
        <v>59</v>
      </c>
      <c r="D358" s="125">
        <f>1</f>
        <v>1</v>
      </c>
      <c r="E358" s="125">
        <f>1</f>
        <v>1</v>
      </c>
      <c r="F358" s="125">
        <f>1</f>
        <v>1</v>
      </c>
      <c r="G358" s="125">
        <f>1</f>
        <v>1</v>
      </c>
      <c r="H358" s="125">
        <f>1</f>
        <v>1</v>
      </c>
      <c r="I358" s="125">
        <f>1</f>
        <v>1</v>
      </c>
      <c r="J358" s="125">
        <f>1</f>
        <v>1</v>
      </c>
      <c r="K358" s="125">
        <f>1</f>
        <v>1</v>
      </c>
      <c r="L358" s="125">
        <f>1</f>
        <v>1</v>
      </c>
      <c r="M358" s="125">
        <f>1</f>
        <v>1</v>
      </c>
      <c r="N358" s="125">
        <f>1</f>
        <v>1</v>
      </c>
      <c r="O358" s="125">
        <f>1</f>
        <v>1</v>
      </c>
      <c r="P358" s="125">
        <f>1</f>
        <v>1</v>
      </c>
      <c r="Q358" s="125">
        <f>1</f>
        <v>1</v>
      </c>
      <c r="R358" s="125">
        <f>1</f>
        <v>1</v>
      </c>
      <c r="S358" s="125">
        <f>1</f>
        <v>1</v>
      </c>
      <c r="T358" s="125">
        <f>1</f>
        <v>1</v>
      </c>
      <c r="U358" s="125">
        <f>1</f>
        <v>1</v>
      </c>
      <c r="V358" s="125">
        <f>1</f>
        <v>1</v>
      </c>
      <c r="W358" s="125">
        <f>1</f>
        <v>1</v>
      </c>
      <c r="X358" s="125">
        <f>1</f>
        <v>1</v>
      </c>
      <c r="Y358" s="125">
        <f>1</f>
        <v>1</v>
      </c>
      <c r="Z358" s="125">
        <f>1</f>
        <v>1</v>
      </c>
      <c r="AA358" s="125">
        <f>1</f>
        <v>1</v>
      </c>
      <c r="AB358" s="125">
        <f>1</f>
        <v>1</v>
      </c>
      <c r="AC358" s="125">
        <f>1</f>
        <v>1</v>
      </c>
      <c r="AD358" s="125">
        <f>1</f>
        <v>1</v>
      </c>
      <c r="AE358" s="125">
        <f>1</f>
        <v>1</v>
      </c>
      <c r="AF358" s="125">
        <f>1</f>
        <v>1</v>
      </c>
      <c r="AG358" s="126">
        <f>1</f>
        <v>1</v>
      </c>
      <c r="AH358" s="22"/>
    </row>
    <row r="359" spans="1:34" x14ac:dyDescent="0.25">
      <c r="A359" s="112"/>
      <c r="B359" s="27" t="s">
        <v>80</v>
      </c>
      <c r="C359" s="67" t="s">
        <v>59</v>
      </c>
      <c r="D359" s="125">
        <f>1</f>
        <v>1</v>
      </c>
      <c r="E359" s="125">
        <f>1</f>
        <v>1</v>
      </c>
      <c r="F359" s="125">
        <f>1</f>
        <v>1</v>
      </c>
      <c r="G359" s="125">
        <f>1</f>
        <v>1</v>
      </c>
      <c r="H359" s="125">
        <f>1</f>
        <v>1</v>
      </c>
      <c r="I359" s="125">
        <f>1</f>
        <v>1</v>
      </c>
      <c r="J359" s="125">
        <f>1</f>
        <v>1</v>
      </c>
      <c r="K359" s="125">
        <f>1</f>
        <v>1</v>
      </c>
      <c r="L359" s="125">
        <f>1</f>
        <v>1</v>
      </c>
      <c r="M359" s="125">
        <f>1</f>
        <v>1</v>
      </c>
      <c r="N359" s="125">
        <f>1</f>
        <v>1</v>
      </c>
      <c r="O359" s="125">
        <f>1</f>
        <v>1</v>
      </c>
      <c r="P359" s="125">
        <f>1</f>
        <v>1</v>
      </c>
      <c r="Q359" s="125">
        <f>1</f>
        <v>1</v>
      </c>
      <c r="R359" s="125">
        <f>1</f>
        <v>1</v>
      </c>
      <c r="S359" s="125">
        <f>1</f>
        <v>1</v>
      </c>
      <c r="T359" s="125">
        <f>1</f>
        <v>1</v>
      </c>
      <c r="U359" s="125">
        <f>1</f>
        <v>1</v>
      </c>
      <c r="V359" s="125">
        <f>1</f>
        <v>1</v>
      </c>
      <c r="W359" s="125">
        <f>1</f>
        <v>1</v>
      </c>
      <c r="X359" s="125">
        <f>1</f>
        <v>1</v>
      </c>
      <c r="Y359" s="125">
        <f>1</f>
        <v>1</v>
      </c>
      <c r="Z359" s="125">
        <f>1</f>
        <v>1</v>
      </c>
      <c r="AA359" s="125">
        <f>1</f>
        <v>1</v>
      </c>
      <c r="AB359" s="125">
        <f>1</f>
        <v>1</v>
      </c>
      <c r="AC359" s="125">
        <f>1</f>
        <v>1</v>
      </c>
      <c r="AD359" s="125">
        <f>1</f>
        <v>1</v>
      </c>
      <c r="AE359" s="125">
        <f>1</f>
        <v>1</v>
      </c>
      <c r="AF359" s="125">
        <f>1</f>
        <v>1</v>
      </c>
      <c r="AG359" s="126">
        <f>1</f>
        <v>1</v>
      </c>
      <c r="AH359" s="22"/>
    </row>
    <row r="360" spans="1:34" x14ac:dyDescent="0.25">
      <c r="A360" s="112"/>
      <c r="B360" s="27" t="s">
        <v>568</v>
      </c>
      <c r="C360" s="67" t="s">
        <v>59</v>
      </c>
      <c r="D360" s="125">
        <f>1</f>
        <v>1</v>
      </c>
      <c r="E360" s="125">
        <f>1</f>
        <v>1</v>
      </c>
      <c r="F360" s="125">
        <f>1</f>
        <v>1</v>
      </c>
      <c r="G360" s="125">
        <f>1</f>
        <v>1</v>
      </c>
      <c r="H360" s="125">
        <f>1</f>
        <v>1</v>
      </c>
      <c r="I360" s="125">
        <f>1</f>
        <v>1</v>
      </c>
      <c r="J360" s="125">
        <f>1</f>
        <v>1</v>
      </c>
      <c r="K360" s="125">
        <f>1</f>
        <v>1</v>
      </c>
      <c r="L360" s="125">
        <f>1</f>
        <v>1</v>
      </c>
      <c r="M360" s="125">
        <f>1</f>
        <v>1</v>
      </c>
      <c r="N360" s="125">
        <f>1</f>
        <v>1</v>
      </c>
      <c r="O360" s="125">
        <f>1</f>
        <v>1</v>
      </c>
      <c r="P360" s="125">
        <f>1</f>
        <v>1</v>
      </c>
      <c r="Q360" s="125">
        <f>1</f>
        <v>1</v>
      </c>
      <c r="R360" s="125">
        <f>1</f>
        <v>1</v>
      </c>
      <c r="S360" s="125">
        <f>1</f>
        <v>1</v>
      </c>
      <c r="T360" s="125">
        <f>1</f>
        <v>1</v>
      </c>
      <c r="U360" s="125">
        <f>1</f>
        <v>1</v>
      </c>
      <c r="V360" s="125">
        <f>1</f>
        <v>1</v>
      </c>
      <c r="W360" s="125">
        <f>1</f>
        <v>1</v>
      </c>
      <c r="X360" s="125">
        <f>1</f>
        <v>1</v>
      </c>
      <c r="Y360" s="125">
        <f>1</f>
        <v>1</v>
      </c>
      <c r="Z360" s="125">
        <f>1</f>
        <v>1</v>
      </c>
      <c r="AA360" s="125">
        <f>1</f>
        <v>1</v>
      </c>
      <c r="AB360" s="125">
        <f>1</f>
        <v>1</v>
      </c>
      <c r="AC360" s="125">
        <f>1</f>
        <v>1</v>
      </c>
      <c r="AD360" s="125">
        <f>1</f>
        <v>1</v>
      </c>
      <c r="AE360" s="125">
        <f>1</f>
        <v>1</v>
      </c>
      <c r="AF360" s="125">
        <f>1</f>
        <v>1</v>
      </c>
      <c r="AG360" s="126">
        <f>1</f>
        <v>1</v>
      </c>
      <c r="AH360" s="22"/>
    </row>
    <row r="361" spans="1:34" ht="25.5" x14ac:dyDescent="0.25">
      <c r="A361" s="112"/>
      <c r="B361" s="27" t="s">
        <v>81</v>
      </c>
      <c r="C361" s="67" t="s">
        <v>59</v>
      </c>
      <c r="D361" s="125">
        <f>1</f>
        <v>1</v>
      </c>
      <c r="E361" s="125">
        <f>1</f>
        <v>1</v>
      </c>
      <c r="F361" s="125">
        <f>1</f>
        <v>1</v>
      </c>
      <c r="G361" s="125">
        <f>1</f>
        <v>1</v>
      </c>
      <c r="H361" s="125">
        <f>1</f>
        <v>1</v>
      </c>
      <c r="I361" s="125">
        <f>1</f>
        <v>1</v>
      </c>
      <c r="J361" s="125">
        <f>1</f>
        <v>1</v>
      </c>
      <c r="K361" s="125">
        <f>1</f>
        <v>1</v>
      </c>
      <c r="L361" s="125">
        <f>1</f>
        <v>1</v>
      </c>
      <c r="M361" s="125">
        <f>1</f>
        <v>1</v>
      </c>
      <c r="N361" s="125">
        <f>1</f>
        <v>1</v>
      </c>
      <c r="O361" s="125">
        <f>1</f>
        <v>1</v>
      </c>
      <c r="P361" s="125">
        <f>1</f>
        <v>1</v>
      </c>
      <c r="Q361" s="125">
        <f>1</f>
        <v>1</v>
      </c>
      <c r="R361" s="125">
        <f>1</f>
        <v>1</v>
      </c>
      <c r="S361" s="125">
        <f>1</f>
        <v>1</v>
      </c>
      <c r="T361" s="125">
        <f>1</f>
        <v>1</v>
      </c>
      <c r="U361" s="125">
        <f>1</f>
        <v>1</v>
      </c>
      <c r="V361" s="125">
        <f>1</f>
        <v>1</v>
      </c>
      <c r="W361" s="125">
        <f>1</f>
        <v>1</v>
      </c>
      <c r="X361" s="125">
        <f>1</f>
        <v>1</v>
      </c>
      <c r="Y361" s="125">
        <f>1</f>
        <v>1</v>
      </c>
      <c r="Z361" s="125">
        <f>1</f>
        <v>1</v>
      </c>
      <c r="AA361" s="125">
        <f>1</f>
        <v>1</v>
      </c>
      <c r="AB361" s="125">
        <f>1</f>
        <v>1</v>
      </c>
      <c r="AC361" s="125">
        <f>1</f>
        <v>1</v>
      </c>
      <c r="AD361" s="125">
        <f>1</f>
        <v>1</v>
      </c>
      <c r="AE361" s="125">
        <f>1</f>
        <v>1</v>
      </c>
      <c r="AF361" s="125">
        <f>1</f>
        <v>1</v>
      </c>
      <c r="AG361" s="126">
        <f>1</f>
        <v>1</v>
      </c>
      <c r="AH361" s="22"/>
    </row>
    <row r="362" spans="1:34" x14ac:dyDescent="0.25">
      <c r="A362" s="112"/>
      <c r="B362" s="27" t="s">
        <v>82</v>
      </c>
      <c r="C362" s="67" t="s">
        <v>59</v>
      </c>
      <c r="D362" s="125">
        <f>1</f>
        <v>1</v>
      </c>
      <c r="E362" s="125">
        <f>1</f>
        <v>1</v>
      </c>
      <c r="F362" s="125">
        <f>1</f>
        <v>1</v>
      </c>
      <c r="G362" s="125">
        <f>1</f>
        <v>1</v>
      </c>
      <c r="H362" s="125">
        <f>1</f>
        <v>1</v>
      </c>
      <c r="I362" s="125">
        <f>1</f>
        <v>1</v>
      </c>
      <c r="J362" s="125">
        <f>1</f>
        <v>1</v>
      </c>
      <c r="K362" s="125">
        <f>1</f>
        <v>1</v>
      </c>
      <c r="L362" s="125">
        <f>1</f>
        <v>1</v>
      </c>
      <c r="M362" s="125">
        <f>1</f>
        <v>1</v>
      </c>
      <c r="N362" s="125">
        <f>1</f>
        <v>1</v>
      </c>
      <c r="O362" s="125">
        <f>1</f>
        <v>1</v>
      </c>
      <c r="P362" s="125">
        <f>1</f>
        <v>1</v>
      </c>
      <c r="Q362" s="125">
        <f>1</f>
        <v>1</v>
      </c>
      <c r="R362" s="125">
        <f>1</f>
        <v>1</v>
      </c>
      <c r="S362" s="125">
        <f>1</f>
        <v>1</v>
      </c>
      <c r="T362" s="125">
        <f>1</f>
        <v>1</v>
      </c>
      <c r="U362" s="125">
        <f>1</f>
        <v>1</v>
      </c>
      <c r="V362" s="125">
        <f>1</f>
        <v>1</v>
      </c>
      <c r="W362" s="125">
        <f>1</f>
        <v>1</v>
      </c>
      <c r="X362" s="125">
        <f>1</f>
        <v>1</v>
      </c>
      <c r="Y362" s="125">
        <f>1</f>
        <v>1</v>
      </c>
      <c r="Z362" s="125">
        <f>1</f>
        <v>1</v>
      </c>
      <c r="AA362" s="125">
        <f>1</f>
        <v>1</v>
      </c>
      <c r="AB362" s="125">
        <f>1</f>
        <v>1</v>
      </c>
      <c r="AC362" s="125">
        <f>1</f>
        <v>1</v>
      </c>
      <c r="AD362" s="125">
        <f>1</f>
        <v>1</v>
      </c>
      <c r="AE362" s="125">
        <f>1</f>
        <v>1</v>
      </c>
      <c r="AF362" s="125">
        <f>1</f>
        <v>1</v>
      </c>
      <c r="AG362" s="126">
        <f>1</f>
        <v>1</v>
      </c>
      <c r="AH362" s="22"/>
    </row>
    <row r="363" spans="1:34" ht="25.5" x14ac:dyDescent="0.25">
      <c r="A363" s="112"/>
      <c r="B363" s="27" t="s">
        <v>83</v>
      </c>
      <c r="C363" s="67" t="s">
        <v>59</v>
      </c>
      <c r="D363" s="125">
        <f>1</f>
        <v>1</v>
      </c>
      <c r="E363" s="125">
        <f>1</f>
        <v>1</v>
      </c>
      <c r="F363" s="125">
        <f>1</f>
        <v>1</v>
      </c>
      <c r="G363" s="125">
        <f>1</f>
        <v>1</v>
      </c>
      <c r="H363" s="125">
        <f>1</f>
        <v>1</v>
      </c>
      <c r="I363" s="125">
        <f>1</f>
        <v>1</v>
      </c>
      <c r="J363" s="125">
        <f>1</f>
        <v>1</v>
      </c>
      <c r="K363" s="125">
        <f>1</f>
        <v>1</v>
      </c>
      <c r="L363" s="125">
        <f>1</f>
        <v>1</v>
      </c>
      <c r="M363" s="125">
        <f>1</f>
        <v>1</v>
      </c>
      <c r="N363" s="125">
        <f>1</f>
        <v>1</v>
      </c>
      <c r="O363" s="125">
        <f>1</f>
        <v>1</v>
      </c>
      <c r="P363" s="125">
        <f>1</f>
        <v>1</v>
      </c>
      <c r="Q363" s="125">
        <f>1</f>
        <v>1</v>
      </c>
      <c r="R363" s="125">
        <f>1</f>
        <v>1</v>
      </c>
      <c r="S363" s="125">
        <f>1</f>
        <v>1</v>
      </c>
      <c r="T363" s="125">
        <f>1</f>
        <v>1</v>
      </c>
      <c r="U363" s="125">
        <f>1</f>
        <v>1</v>
      </c>
      <c r="V363" s="125">
        <f>1</f>
        <v>1</v>
      </c>
      <c r="W363" s="125">
        <f>1</f>
        <v>1</v>
      </c>
      <c r="X363" s="125">
        <f>1</f>
        <v>1</v>
      </c>
      <c r="Y363" s="125">
        <f>1</f>
        <v>1</v>
      </c>
      <c r="Z363" s="125">
        <f>1</f>
        <v>1</v>
      </c>
      <c r="AA363" s="125">
        <f>1</f>
        <v>1</v>
      </c>
      <c r="AB363" s="125">
        <f>1</f>
        <v>1</v>
      </c>
      <c r="AC363" s="125">
        <f>1</f>
        <v>1</v>
      </c>
      <c r="AD363" s="125">
        <f>1</f>
        <v>1</v>
      </c>
      <c r="AE363" s="125">
        <f>1</f>
        <v>1</v>
      </c>
      <c r="AF363" s="125">
        <f>1</f>
        <v>1</v>
      </c>
      <c r="AG363" s="126">
        <f>1</f>
        <v>1</v>
      </c>
      <c r="AH363" s="22"/>
    </row>
    <row r="364" spans="1:34" x14ac:dyDescent="0.25">
      <c r="A364" s="112"/>
      <c r="B364" s="27" t="s">
        <v>446</v>
      </c>
      <c r="C364" s="67" t="s">
        <v>59</v>
      </c>
      <c r="D364" s="125">
        <f>1</f>
        <v>1</v>
      </c>
      <c r="E364" s="125">
        <f>1</f>
        <v>1</v>
      </c>
      <c r="F364" s="125">
        <f>1</f>
        <v>1</v>
      </c>
      <c r="G364" s="125">
        <f>1</f>
        <v>1</v>
      </c>
      <c r="H364" s="125">
        <f>1</f>
        <v>1</v>
      </c>
      <c r="I364" s="125">
        <f>1</f>
        <v>1</v>
      </c>
      <c r="J364" s="125">
        <f>1</f>
        <v>1</v>
      </c>
      <c r="K364" s="125">
        <f>1</f>
        <v>1</v>
      </c>
      <c r="L364" s="125">
        <f>1</f>
        <v>1</v>
      </c>
      <c r="M364" s="125">
        <f>1</f>
        <v>1</v>
      </c>
      <c r="N364" s="125">
        <f>1</f>
        <v>1</v>
      </c>
      <c r="O364" s="125">
        <f>1</f>
        <v>1</v>
      </c>
      <c r="P364" s="125">
        <f>1</f>
        <v>1</v>
      </c>
      <c r="Q364" s="125">
        <f>1</f>
        <v>1</v>
      </c>
      <c r="R364" s="125">
        <f>1</f>
        <v>1</v>
      </c>
      <c r="S364" s="125">
        <f>1</f>
        <v>1</v>
      </c>
      <c r="T364" s="125">
        <f>1</f>
        <v>1</v>
      </c>
      <c r="U364" s="125">
        <f>1</f>
        <v>1</v>
      </c>
      <c r="V364" s="125">
        <f>1</f>
        <v>1</v>
      </c>
      <c r="W364" s="125">
        <f>1</f>
        <v>1</v>
      </c>
      <c r="X364" s="125">
        <f>1</f>
        <v>1</v>
      </c>
      <c r="Y364" s="125">
        <f>1</f>
        <v>1</v>
      </c>
      <c r="Z364" s="125">
        <f>1</f>
        <v>1</v>
      </c>
      <c r="AA364" s="125">
        <f>1</f>
        <v>1</v>
      </c>
      <c r="AB364" s="125">
        <f>1</f>
        <v>1</v>
      </c>
      <c r="AC364" s="125">
        <f>1</f>
        <v>1</v>
      </c>
      <c r="AD364" s="125">
        <f>1</f>
        <v>1</v>
      </c>
      <c r="AE364" s="125">
        <f>1</f>
        <v>1</v>
      </c>
      <c r="AF364" s="125">
        <f>1</f>
        <v>1</v>
      </c>
      <c r="AG364" s="126">
        <f>1</f>
        <v>1</v>
      </c>
      <c r="AH364" s="22"/>
    </row>
    <row r="365" spans="1:34" x14ac:dyDescent="0.25">
      <c r="A365" s="112"/>
      <c r="B365" s="27" t="s">
        <v>84</v>
      </c>
      <c r="C365" s="67" t="s">
        <v>59</v>
      </c>
      <c r="D365" s="125">
        <f>1</f>
        <v>1</v>
      </c>
      <c r="E365" s="125">
        <f>1</f>
        <v>1</v>
      </c>
      <c r="F365" s="125">
        <f>1</f>
        <v>1</v>
      </c>
      <c r="G365" s="125">
        <f>1</f>
        <v>1</v>
      </c>
      <c r="H365" s="125">
        <f>1</f>
        <v>1</v>
      </c>
      <c r="I365" s="125">
        <f>1</f>
        <v>1</v>
      </c>
      <c r="J365" s="125">
        <f>1</f>
        <v>1</v>
      </c>
      <c r="K365" s="125">
        <f>1</f>
        <v>1</v>
      </c>
      <c r="L365" s="125">
        <f>1</f>
        <v>1</v>
      </c>
      <c r="M365" s="125">
        <f>1</f>
        <v>1</v>
      </c>
      <c r="N365" s="125">
        <f>1</f>
        <v>1</v>
      </c>
      <c r="O365" s="125">
        <f>1</f>
        <v>1</v>
      </c>
      <c r="P365" s="125">
        <f>1</f>
        <v>1</v>
      </c>
      <c r="Q365" s="125">
        <f>1</f>
        <v>1</v>
      </c>
      <c r="R365" s="125">
        <f>1</f>
        <v>1</v>
      </c>
      <c r="S365" s="125">
        <f>1</f>
        <v>1</v>
      </c>
      <c r="T365" s="125">
        <f>1</f>
        <v>1</v>
      </c>
      <c r="U365" s="125">
        <f>1</f>
        <v>1</v>
      </c>
      <c r="V365" s="125">
        <f>1</f>
        <v>1</v>
      </c>
      <c r="W365" s="125">
        <f>1</f>
        <v>1</v>
      </c>
      <c r="X365" s="125">
        <f>1</f>
        <v>1</v>
      </c>
      <c r="Y365" s="125">
        <f>1</f>
        <v>1</v>
      </c>
      <c r="Z365" s="125">
        <f>1</f>
        <v>1</v>
      </c>
      <c r="AA365" s="125">
        <f>1</f>
        <v>1</v>
      </c>
      <c r="AB365" s="125">
        <f>1</f>
        <v>1</v>
      </c>
      <c r="AC365" s="125">
        <f>1</f>
        <v>1</v>
      </c>
      <c r="AD365" s="125">
        <f>1</f>
        <v>1</v>
      </c>
      <c r="AE365" s="125">
        <f>1</f>
        <v>1</v>
      </c>
      <c r="AF365" s="125">
        <f>1</f>
        <v>1</v>
      </c>
      <c r="AG365" s="126">
        <f>1</f>
        <v>1</v>
      </c>
      <c r="AH365" s="22"/>
    </row>
    <row r="366" spans="1:34" x14ac:dyDescent="0.25">
      <c r="A366" s="112"/>
      <c r="B366" s="27" t="s">
        <v>85</v>
      </c>
      <c r="C366" s="67" t="s">
        <v>59</v>
      </c>
      <c r="D366" s="125">
        <f>1</f>
        <v>1</v>
      </c>
      <c r="E366" s="125">
        <f>1</f>
        <v>1</v>
      </c>
      <c r="F366" s="125">
        <f>1</f>
        <v>1</v>
      </c>
      <c r="G366" s="125">
        <f>1</f>
        <v>1</v>
      </c>
      <c r="H366" s="125">
        <f>1</f>
        <v>1</v>
      </c>
      <c r="I366" s="125">
        <f>1</f>
        <v>1</v>
      </c>
      <c r="J366" s="125">
        <f>1</f>
        <v>1</v>
      </c>
      <c r="K366" s="125">
        <f>1</f>
        <v>1</v>
      </c>
      <c r="L366" s="125">
        <f>1</f>
        <v>1</v>
      </c>
      <c r="M366" s="125">
        <f>1</f>
        <v>1</v>
      </c>
      <c r="N366" s="125">
        <f>1</f>
        <v>1</v>
      </c>
      <c r="O366" s="125">
        <f>1</f>
        <v>1</v>
      </c>
      <c r="P366" s="125">
        <f>1</f>
        <v>1</v>
      </c>
      <c r="Q366" s="125">
        <f>1</f>
        <v>1</v>
      </c>
      <c r="R366" s="125">
        <f>1</f>
        <v>1</v>
      </c>
      <c r="S366" s="125">
        <f>1</f>
        <v>1</v>
      </c>
      <c r="T366" s="125">
        <f>1</f>
        <v>1</v>
      </c>
      <c r="U366" s="125">
        <f>1</f>
        <v>1</v>
      </c>
      <c r="V366" s="125">
        <f>1</f>
        <v>1</v>
      </c>
      <c r="W366" s="125">
        <f>1</f>
        <v>1</v>
      </c>
      <c r="X366" s="125">
        <f>1</f>
        <v>1</v>
      </c>
      <c r="Y366" s="125">
        <f>1</f>
        <v>1</v>
      </c>
      <c r="Z366" s="125">
        <f>1</f>
        <v>1</v>
      </c>
      <c r="AA366" s="125">
        <f>1</f>
        <v>1</v>
      </c>
      <c r="AB366" s="125">
        <f>1</f>
        <v>1</v>
      </c>
      <c r="AC366" s="125">
        <f>1</f>
        <v>1</v>
      </c>
      <c r="AD366" s="125">
        <f>1</f>
        <v>1</v>
      </c>
      <c r="AE366" s="125">
        <f>1</f>
        <v>1</v>
      </c>
      <c r="AF366" s="125">
        <f>1</f>
        <v>1</v>
      </c>
      <c r="AG366" s="126">
        <f>1</f>
        <v>1</v>
      </c>
      <c r="AH366" s="22"/>
    </row>
    <row r="367" spans="1:34" x14ac:dyDescent="0.25">
      <c r="A367" s="112"/>
      <c r="B367" s="27" t="s">
        <v>86</v>
      </c>
      <c r="C367" s="67" t="s">
        <v>59</v>
      </c>
      <c r="D367" s="125">
        <f>1</f>
        <v>1</v>
      </c>
      <c r="E367" s="125">
        <f>1</f>
        <v>1</v>
      </c>
      <c r="F367" s="125">
        <f>1</f>
        <v>1</v>
      </c>
      <c r="G367" s="125">
        <f>1</f>
        <v>1</v>
      </c>
      <c r="H367" s="125">
        <f>1</f>
        <v>1</v>
      </c>
      <c r="I367" s="125">
        <f>1</f>
        <v>1</v>
      </c>
      <c r="J367" s="125">
        <f>1</f>
        <v>1</v>
      </c>
      <c r="K367" s="125">
        <f>1</f>
        <v>1</v>
      </c>
      <c r="L367" s="125">
        <f>1</f>
        <v>1</v>
      </c>
      <c r="M367" s="125">
        <f>1</f>
        <v>1</v>
      </c>
      <c r="N367" s="125">
        <f>1</f>
        <v>1</v>
      </c>
      <c r="O367" s="125">
        <f>1</f>
        <v>1</v>
      </c>
      <c r="P367" s="125">
        <f>1</f>
        <v>1</v>
      </c>
      <c r="Q367" s="125">
        <f>1</f>
        <v>1</v>
      </c>
      <c r="R367" s="125">
        <f>1</f>
        <v>1</v>
      </c>
      <c r="S367" s="125">
        <f>1</f>
        <v>1</v>
      </c>
      <c r="T367" s="125">
        <f>1</f>
        <v>1</v>
      </c>
      <c r="U367" s="125">
        <f>1</f>
        <v>1</v>
      </c>
      <c r="V367" s="125">
        <f>1</f>
        <v>1</v>
      </c>
      <c r="W367" s="125">
        <f>1</f>
        <v>1</v>
      </c>
      <c r="X367" s="125">
        <f>1</f>
        <v>1</v>
      </c>
      <c r="Y367" s="125">
        <f>1</f>
        <v>1</v>
      </c>
      <c r="Z367" s="125">
        <f>1</f>
        <v>1</v>
      </c>
      <c r="AA367" s="125">
        <f>1</f>
        <v>1</v>
      </c>
      <c r="AB367" s="125">
        <f>1</f>
        <v>1</v>
      </c>
      <c r="AC367" s="125">
        <f>1</f>
        <v>1</v>
      </c>
      <c r="AD367" s="125">
        <f>1</f>
        <v>1</v>
      </c>
      <c r="AE367" s="125">
        <f>1</f>
        <v>1</v>
      </c>
      <c r="AF367" s="125">
        <f>1</f>
        <v>1</v>
      </c>
      <c r="AG367" s="126">
        <f>1</f>
        <v>1</v>
      </c>
      <c r="AH367" s="22"/>
    </row>
    <row r="368" spans="1:34" x14ac:dyDescent="0.25">
      <c r="A368" s="112"/>
      <c r="B368" s="27" t="s">
        <v>87</v>
      </c>
      <c r="C368" s="67" t="s">
        <v>59</v>
      </c>
      <c r="D368" s="125">
        <f>1</f>
        <v>1</v>
      </c>
      <c r="E368" s="125">
        <f>1</f>
        <v>1</v>
      </c>
      <c r="F368" s="125">
        <f>1</f>
        <v>1</v>
      </c>
      <c r="G368" s="125">
        <f>1</f>
        <v>1</v>
      </c>
      <c r="H368" s="125">
        <f>1</f>
        <v>1</v>
      </c>
      <c r="I368" s="125">
        <f>1</f>
        <v>1</v>
      </c>
      <c r="J368" s="125">
        <f>1</f>
        <v>1</v>
      </c>
      <c r="K368" s="125">
        <f>1</f>
        <v>1</v>
      </c>
      <c r="L368" s="125">
        <f>1</f>
        <v>1</v>
      </c>
      <c r="M368" s="125">
        <f>1</f>
        <v>1</v>
      </c>
      <c r="N368" s="125">
        <f>1</f>
        <v>1</v>
      </c>
      <c r="O368" s="125">
        <f>1</f>
        <v>1</v>
      </c>
      <c r="P368" s="125">
        <f>1</f>
        <v>1</v>
      </c>
      <c r="Q368" s="125">
        <f>1</f>
        <v>1</v>
      </c>
      <c r="R368" s="125">
        <f>1</f>
        <v>1</v>
      </c>
      <c r="S368" s="125">
        <f>1</f>
        <v>1</v>
      </c>
      <c r="T368" s="125">
        <f>1</f>
        <v>1</v>
      </c>
      <c r="U368" s="125">
        <f>1</f>
        <v>1</v>
      </c>
      <c r="V368" s="125">
        <f>1</f>
        <v>1</v>
      </c>
      <c r="W368" s="125">
        <f>1</f>
        <v>1</v>
      </c>
      <c r="X368" s="125">
        <f>1</f>
        <v>1</v>
      </c>
      <c r="Y368" s="125">
        <f>1</f>
        <v>1</v>
      </c>
      <c r="Z368" s="125">
        <f>1</f>
        <v>1</v>
      </c>
      <c r="AA368" s="125">
        <f>1</f>
        <v>1</v>
      </c>
      <c r="AB368" s="125">
        <f>1</f>
        <v>1</v>
      </c>
      <c r="AC368" s="125">
        <f>1</f>
        <v>1</v>
      </c>
      <c r="AD368" s="125">
        <f>1</f>
        <v>1</v>
      </c>
      <c r="AE368" s="125">
        <f>1</f>
        <v>1</v>
      </c>
      <c r="AF368" s="125">
        <f>1</f>
        <v>1</v>
      </c>
      <c r="AG368" s="126">
        <f>1</f>
        <v>1</v>
      </c>
      <c r="AH368" s="22"/>
    </row>
    <row r="369" spans="1:34" x14ac:dyDescent="0.25">
      <c r="A369" s="112"/>
      <c r="B369" s="27" t="s">
        <v>88</v>
      </c>
      <c r="C369" s="67" t="s">
        <v>59</v>
      </c>
      <c r="D369" s="125">
        <f>1</f>
        <v>1</v>
      </c>
      <c r="E369" s="125">
        <f>1</f>
        <v>1</v>
      </c>
      <c r="F369" s="125">
        <f>1</f>
        <v>1</v>
      </c>
      <c r="G369" s="125">
        <f>1</f>
        <v>1</v>
      </c>
      <c r="H369" s="125">
        <f>1</f>
        <v>1</v>
      </c>
      <c r="I369" s="125">
        <f>1</f>
        <v>1</v>
      </c>
      <c r="J369" s="125">
        <f>1</f>
        <v>1</v>
      </c>
      <c r="K369" s="125">
        <f>1</f>
        <v>1</v>
      </c>
      <c r="L369" s="125">
        <f>1</f>
        <v>1</v>
      </c>
      <c r="M369" s="125">
        <f>1</f>
        <v>1</v>
      </c>
      <c r="N369" s="125">
        <f>1</f>
        <v>1</v>
      </c>
      <c r="O369" s="125">
        <f>1</f>
        <v>1</v>
      </c>
      <c r="P369" s="125">
        <f>1</f>
        <v>1</v>
      </c>
      <c r="Q369" s="125">
        <f>1</f>
        <v>1</v>
      </c>
      <c r="R369" s="125">
        <f>1</f>
        <v>1</v>
      </c>
      <c r="S369" s="125">
        <f>1</f>
        <v>1</v>
      </c>
      <c r="T369" s="125">
        <f>1</f>
        <v>1</v>
      </c>
      <c r="U369" s="125">
        <f>1</f>
        <v>1</v>
      </c>
      <c r="V369" s="125">
        <f>1</f>
        <v>1</v>
      </c>
      <c r="W369" s="125">
        <f>1</f>
        <v>1</v>
      </c>
      <c r="X369" s="125">
        <f>1</f>
        <v>1</v>
      </c>
      <c r="Y369" s="125">
        <f>1</f>
        <v>1</v>
      </c>
      <c r="Z369" s="125">
        <f>1</f>
        <v>1</v>
      </c>
      <c r="AA369" s="125">
        <f>1</f>
        <v>1</v>
      </c>
      <c r="AB369" s="125">
        <f>1</f>
        <v>1</v>
      </c>
      <c r="AC369" s="125">
        <f>1</f>
        <v>1</v>
      </c>
      <c r="AD369" s="125">
        <f>1</f>
        <v>1</v>
      </c>
      <c r="AE369" s="125">
        <f>1</f>
        <v>1</v>
      </c>
      <c r="AF369" s="125">
        <f>1</f>
        <v>1</v>
      </c>
      <c r="AG369" s="126">
        <f>1</f>
        <v>1</v>
      </c>
      <c r="AH369" s="22"/>
    </row>
    <row r="370" spans="1:34" ht="25.5" x14ac:dyDescent="0.25">
      <c r="A370" s="112"/>
      <c r="B370" s="27" t="s">
        <v>89</v>
      </c>
      <c r="C370" s="67" t="s">
        <v>59</v>
      </c>
      <c r="D370" s="125">
        <f>1</f>
        <v>1</v>
      </c>
      <c r="E370" s="125">
        <f>1</f>
        <v>1</v>
      </c>
      <c r="F370" s="125">
        <f>1</f>
        <v>1</v>
      </c>
      <c r="G370" s="125">
        <f>1</f>
        <v>1</v>
      </c>
      <c r="H370" s="125">
        <f>1</f>
        <v>1</v>
      </c>
      <c r="I370" s="125">
        <f>1</f>
        <v>1</v>
      </c>
      <c r="J370" s="125">
        <f>1</f>
        <v>1</v>
      </c>
      <c r="K370" s="125">
        <f>1</f>
        <v>1</v>
      </c>
      <c r="L370" s="125">
        <f>1</f>
        <v>1</v>
      </c>
      <c r="M370" s="125">
        <f>1</f>
        <v>1</v>
      </c>
      <c r="N370" s="125">
        <f>1</f>
        <v>1</v>
      </c>
      <c r="O370" s="125">
        <f>1</f>
        <v>1</v>
      </c>
      <c r="P370" s="125">
        <f>1</f>
        <v>1</v>
      </c>
      <c r="Q370" s="125">
        <f>1</f>
        <v>1</v>
      </c>
      <c r="R370" s="125">
        <f>1</f>
        <v>1</v>
      </c>
      <c r="S370" s="125">
        <f>1</f>
        <v>1</v>
      </c>
      <c r="T370" s="125">
        <f>1</f>
        <v>1</v>
      </c>
      <c r="U370" s="125">
        <f>1</f>
        <v>1</v>
      </c>
      <c r="V370" s="125">
        <f>1</f>
        <v>1</v>
      </c>
      <c r="W370" s="125">
        <f>1</f>
        <v>1</v>
      </c>
      <c r="X370" s="125">
        <f>1</f>
        <v>1</v>
      </c>
      <c r="Y370" s="125">
        <f>1</f>
        <v>1</v>
      </c>
      <c r="Z370" s="125">
        <f>1</f>
        <v>1</v>
      </c>
      <c r="AA370" s="125">
        <f>1</f>
        <v>1</v>
      </c>
      <c r="AB370" s="125">
        <f>1</f>
        <v>1</v>
      </c>
      <c r="AC370" s="125">
        <f>1</f>
        <v>1</v>
      </c>
      <c r="AD370" s="125">
        <f>1</f>
        <v>1</v>
      </c>
      <c r="AE370" s="125">
        <f>1</f>
        <v>1</v>
      </c>
      <c r="AF370" s="125">
        <f>1</f>
        <v>1</v>
      </c>
      <c r="AG370" s="126">
        <f>1</f>
        <v>1</v>
      </c>
      <c r="AH370" s="22"/>
    </row>
    <row r="371" spans="1:34" ht="25.5" x14ac:dyDescent="0.25">
      <c r="A371" s="112"/>
      <c r="B371" s="27" t="s">
        <v>447</v>
      </c>
      <c r="C371" s="67" t="s">
        <v>59</v>
      </c>
      <c r="D371" s="125">
        <f>1</f>
        <v>1</v>
      </c>
      <c r="E371" s="125">
        <f>1</f>
        <v>1</v>
      </c>
      <c r="F371" s="125">
        <f>1</f>
        <v>1</v>
      </c>
      <c r="G371" s="125">
        <f>1</f>
        <v>1</v>
      </c>
      <c r="H371" s="125">
        <f>1</f>
        <v>1</v>
      </c>
      <c r="I371" s="125">
        <f>1</f>
        <v>1</v>
      </c>
      <c r="J371" s="125">
        <f>1</f>
        <v>1</v>
      </c>
      <c r="K371" s="125">
        <f>1</f>
        <v>1</v>
      </c>
      <c r="L371" s="125">
        <f>1</f>
        <v>1</v>
      </c>
      <c r="M371" s="125">
        <f>1</f>
        <v>1</v>
      </c>
      <c r="N371" s="125">
        <f>1</f>
        <v>1</v>
      </c>
      <c r="O371" s="125">
        <f>1</f>
        <v>1</v>
      </c>
      <c r="P371" s="125">
        <f>1</f>
        <v>1</v>
      </c>
      <c r="Q371" s="125">
        <f>1</f>
        <v>1</v>
      </c>
      <c r="R371" s="125">
        <f>1</f>
        <v>1</v>
      </c>
      <c r="S371" s="125">
        <f>1</f>
        <v>1</v>
      </c>
      <c r="T371" s="125">
        <f>1</f>
        <v>1</v>
      </c>
      <c r="U371" s="125">
        <f>1</f>
        <v>1</v>
      </c>
      <c r="V371" s="125">
        <f>1</f>
        <v>1</v>
      </c>
      <c r="W371" s="125">
        <f>1</f>
        <v>1</v>
      </c>
      <c r="X371" s="125">
        <f>1</f>
        <v>1</v>
      </c>
      <c r="Y371" s="125">
        <f>1</f>
        <v>1</v>
      </c>
      <c r="Z371" s="125">
        <f>1</f>
        <v>1</v>
      </c>
      <c r="AA371" s="125">
        <f>1</f>
        <v>1</v>
      </c>
      <c r="AB371" s="125">
        <f>1</f>
        <v>1</v>
      </c>
      <c r="AC371" s="125">
        <f>1</f>
        <v>1</v>
      </c>
      <c r="AD371" s="125">
        <f>1</f>
        <v>1</v>
      </c>
      <c r="AE371" s="125">
        <f>1</f>
        <v>1</v>
      </c>
      <c r="AF371" s="125">
        <f>1</f>
        <v>1</v>
      </c>
      <c r="AG371" s="126">
        <f>1</f>
        <v>1</v>
      </c>
      <c r="AH371" s="22"/>
    </row>
    <row r="372" spans="1:34" x14ac:dyDescent="0.25">
      <c r="A372" s="112"/>
      <c r="B372" s="27" t="s">
        <v>90</v>
      </c>
      <c r="C372" s="67" t="s">
        <v>59</v>
      </c>
      <c r="D372" s="125">
        <f>1</f>
        <v>1</v>
      </c>
      <c r="E372" s="125">
        <f>1</f>
        <v>1</v>
      </c>
      <c r="F372" s="125">
        <f>1</f>
        <v>1</v>
      </c>
      <c r="G372" s="125">
        <f>1</f>
        <v>1</v>
      </c>
      <c r="H372" s="125">
        <f>1</f>
        <v>1</v>
      </c>
      <c r="I372" s="125">
        <f>1</f>
        <v>1</v>
      </c>
      <c r="J372" s="125">
        <f>1</f>
        <v>1</v>
      </c>
      <c r="K372" s="125">
        <f>1</f>
        <v>1</v>
      </c>
      <c r="L372" s="125">
        <f>1</f>
        <v>1</v>
      </c>
      <c r="M372" s="125">
        <f>1</f>
        <v>1</v>
      </c>
      <c r="N372" s="125">
        <f>1</f>
        <v>1</v>
      </c>
      <c r="O372" s="125">
        <f>1</f>
        <v>1</v>
      </c>
      <c r="P372" s="125">
        <f>1</f>
        <v>1</v>
      </c>
      <c r="Q372" s="125">
        <f>1</f>
        <v>1</v>
      </c>
      <c r="R372" s="125">
        <f>1</f>
        <v>1</v>
      </c>
      <c r="S372" s="125">
        <f>1</f>
        <v>1</v>
      </c>
      <c r="T372" s="125">
        <f>1</f>
        <v>1</v>
      </c>
      <c r="U372" s="125">
        <f>1</f>
        <v>1</v>
      </c>
      <c r="V372" s="125">
        <f>1</f>
        <v>1</v>
      </c>
      <c r="W372" s="125">
        <f>1</f>
        <v>1</v>
      </c>
      <c r="X372" s="125">
        <f>1</f>
        <v>1</v>
      </c>
      <c r="Y372" s="125">
        <f>1</f>
        <v>1</v>
      </c>
      <c r="Z372" s="125">
        <f>1</f>
        <v>1</v>
      </c>
      <c r="AA372" s="125">
        <f>1</f>
        <v>1</v>
      </c>
      <c r="AB372" s="125">
        <f>1</f>
        <v>1</v>
      </c>
      <c r="AC372" s="125">
        <f>1</f>
        <v>1</v>
      </c>
      <c r="AD372" s="125">
        <f>1</f>
        <v>1</v>
      </c>
      <c r="AE372" s="125">
        <f>1</f>
        <v>1</v>
      </c>
      <c r="AF372" s="125">
        <f>1</f>
        <v>1</v>
      </c>
      <c r="AG372" s="126">
        <f>1</f>
        <v>1</v>
      </c>
      <c r="AH372" s="22"/>
    </row>
    <row r="373" spans="1:34" x14ac:dyDescent="0.25">
      <c r="A373" s="112"/>
      <c r="B373" s="27" t="s">
        <v>91</v>
      </c>
      <c r="C373" s="67" t="s">
        <v>59</v>
      </c>
      <c r="D373" s="125">
        <f>1</f>
        <v>1</v>
      </c>
      <c r="E373" s="125">
        <f>1</f>
        <v>1</v>
      </c>
      <c r="F373" s="125">
        <f>1</f>
        <v>1</v>
      </c>
      <c r="G373" s="125">
        <f>1</f>
        <v>1</v>
      </c>
      <c r="H373" s="125">
        <f>1</f>
        <v>1</v>
      </c>
      <c r="I373" s="125">
        <f>1</f>
        <v>1</v>
      </c>
      <c r="J373" s="125">
        <f>1</f>
        <v>1</v>
      </c>
      <c r="K373" s="125">
        <f>1</f>
        <v>1</v>
      </c>
      <c r="L373" s="125">
        <f>1</f>
        <v>1</v>
      </c>
      <c r="M373" s="125">
        <f>1</f>
        <v>1</v>
      </c>
      <c r="N373" s="125">
        <f>1</f>
        <v>1</v>
      </c>
      <c r="O373" s="125">
        <f>1</f>
        <v>1</v>
      </c>
      <c r="P373" s="125">
        <f>1</f>
        <v>1</v>
      </c>
      <c r="Q373" s="125">
        <f>1</f>
        <v>1</v>
      </c>
      <c r="R373" s="125">
        <f>1</f>
        <v>1</v>
      </c>
      <c r="S373" s="125">
        <f>1</f>
        <v>1</v>
      </c>
      <c r="T373" s="125">
        <f>1</f>
        <v>1</v>
      </c>
      <c r="U373" s="125">
        <f>1</f>
        <v>1</v>
      </c>
      <c r="V373" s="125">
        <f>1</f>
        <v>1</v>
      </c>
      <c r="W373" s="125">
        <f>1</f>
        <v>1</v>
      </c>
      <c r="X373" s="125">
        <f>1</f>
        <v>1</v>
      </c>
      <c r="Y373" s="125">
        <f>1</f>
        <v>1</v>
      </c>
      <c r="Z373" s="125">
        <f>1</f>
        <v>1</v>
      </c>
      <c r="AA373" s="125">
        <f>1</f>
        <v>1</v>
      </c>
      <c r="AB373" s="125">
        <f>1</f>
        <v>1</v>
      </c>
      <c r="AC373" s="125">
        <f>1</f>
        <v>1</v>
      </c>
      <c r="AD373" s="125">
        <f>1</f>
        <v>1</v>
      </c>
      <c r="AE373" s="125">
        <f>1</f>
        <v>1</v>
      </c>
      <c r="AF373" s="125">
        <f>1</f>
        <v>1</v>
      </c>
      <c r="AG373" s="126">
        <f>1</f>
        <v>1</v>
      </c>
      <c r="AH373" s="22"/>
    </row>
    <row r="374" spans="1:34" x14ac:dyDescent="0.25">
      <c r="A374" s="112"/>
      <c r="B374" s="120" t="s">
        <v>571</v>
      </c>
      <c r="C374" s="121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8"/>
      <c r="AH374" s="22"/>
    </row>
    <row r="375" spans="1:34" x14ac:dyDescent="0.25">
      <c r="A375" s="112"/>
      <c r="B375" s="27" t="s">
        <v>92</v>
      </c>
      <c r="C375" s="67" t="s">
        <v>59</v>
      </c>
      <c r="D375" s="125">
        <f>1</f>
        <v>1</v>
      </c>
      <c r="E375" s="125">
        <f>1</f>
        <v>1</v>
      </c>
      <c r="F375" s="125">
        <f>1</f>
        <v>1</v>
      </c>
      <c r="G375" s="125">
        <f>1</f>
        <v>1</v>
      </c>
      <c r="H375" s="125">
        <f>1</f>
        <v>1</v>
      </c>
      <c r="I375" s="125">
        <f>1</f>
        <v>1</v>
      </c>
      <c r="J375" s="125">
        <f>1</f>
        <v>1</v>
      </c>
      <c r="K375" s="125">
        <f>1</f>
        <v>1</v>
      </c>
      <c r="L375" s="125">
        <f>1</f>
        <v>1</v>
      </c>
      <c r="M375" s="125">
        <f>1</f>
        <v>1</v>
      </c>
      <c r="N375" s="125">
        <f>1</f>
        <v>1</v>
      </c>
      <c r="O375" s="125">
        <f>1</f>
        <v>1</v>
      </c>
      <c r="P375" s="125">
        <f>1</f>
        <v>1</v>
      </c>
      <c r="Q375" s="125">
        <f>1</f>
        <v>1</v>
      </c>
      <c r="R375" s="125">
        <f>1</f>
        <v>1</v>
      </c>
      <c r="S375" s="125">
        <f>1</f>
        <v>1</v>
      </c>
      <c r="T375" s="125">
        <f>1</f>
        <v>1</v>
      </c>
      <c r="U375" s="125">
        <f>1</f>
        <v>1</v>
      </c>
      <c r="V375" s="125">
        <f>1</f>
        <v>1</v>
      </c>
      <c r="W375" s="125">
        <f>1</f>
        <v>1</v>
      </c>
      <c r="X375" s="125">
        <f>1</f>
        <v>1</v>
      </c>
      <c r="Y375" s="125">
        <f>1</f>
        <v>1</v>
      </c>
      <c r="Z375" s="125">
        <f>1</f>
        <v>1</v>
      </c>
      <c r="AA375" s="125">
        <f>1</f>
        <v>1</v>
      </c>
      <c r="AB375" s="125">
        <f>1</f>
        <v>1</v>
      </c>
      <c r="AC375" s="125">
        <f>1</f>
        <v>1</v>
      </c>
      <c r="AD375" s="125">
        <f>1</f>
        <v>1</v>
      </c>
      <c r="AE375" s="125">
        <f>1</f>
        <v>1</v>
      </c>
      <c r="AF375" s="125">
        <f>1</f>
        <v>1</v>
      </c>
      <c r="AG375" s="126">
        <f>1</f>
        <v>1</v>
      </c>
      <c r="AH375" s="22"/>
    </row>
    <row r="376" spans="1:34" x14ac:dyDescent="0.25">
      <c r="A376" s="112"/>
      <c r="B376" s="27" t="s">
        <v>93</v>
      </c>
      <c r="C376" s="67" t="s">
        <v>59</v>
      </c>
      <c r="D376" s="125">
        <f>1</f>
        <v>1</v>
      </c>
      <c r="E376" s="125">
        <f>1</f>
        <v>1</v>
      </c>
      <c r="F376" s="125">
        <f>1</f>
        <v>1</v>
      </c>
      <c r="G376" s="125">
        <f>1</f>
        <v>1</v>
      </c>
      <c r="H376" s="125">
        <f>1</f>
        <v>1</v>
      </c>
      <c r="I376" s="125">
        <f>1</f>
        <v>1</v>
      </c>
      <c r="J376" s="125">
        <f>1</f>
        <v>1</v>
      </c>
      <c r="K376" s="125">
        <f>1</f>
        <v>1</v>
      </c>
      <c r="L376" s="125">
        <f>1</f>
        <v>1</v>
      </c>
      <c r="M376" s="125">
        <f>1</f>
        <v>1</v>
      </c>
      <c r="N376" s="125">
        <f>1</f>
        <v>1</v>
      </c>
      <c r="O376" s="125">
        <f>1</f>
        <v>1</v>
      </c>
      <c r="P376" s="125">
        <f>1</f>
        <v>1</v>
      </c>
      <c r="Q376" s="125">
        <f>1</f>
        <v>1</v>
      </c>
      <c r="R376" s="125">
        <f>1</f>
        <v>1</v>
      </c>
      <c r="S376" s="125">
        <f>1</f>
        <v>1</v>
      </c>
      <c r="T376" s="125">
        <f>1</f>
        <v>1</v>
      </c>
      <c r="U376" s="125">
        <f>1</f>
        <v>1</v>
      </c>
      <c r="V376" s="125">
        <f>1</f>
        <v>1</v>
      </c>
      <c r="W376" s="125">
        <f>1</f>
        <v>1</v>
      </c>
      <c r="X376" s="125">
        <f>1</f>
        <v>1</v>
      </c>
      <c r="Y376" s="125">
        <f>1</f>
        <v>1</v>
      </c>
      <c r="Z376" s="125">
        <f>1</f>
        <v>1</v>
      </c>
      <c r="AA376" s="125">
        <f>1</f>
        <v>1</v>
      </c>
      <c r="AB376" s="125">
        <f>1</f>
        <v>1</v>
      </c>
      <c r="AC376" s="125">
        <f>1</f>
        <v>1</v>
      </c>
      <c r="AD376" s="125">
        <f>1</f>
        <v>1</v>
      </c>
      <c r="AE376" s="125">
        <f>1</f>
        <v>1</v>
      </c>
      <c r="AF376" s="125">
        <f>1</f>
        <v>1</v>
      </c>
      <c r="AG376" s="126">
        <f>1</f>
        <v>1</v>
      </c>
      <c r="AH376" s="22"/>
    </row>
    <row r="377" spans="1:34" x14ac:dyDescent="0.25">
      <c r="A377" s="112"/>
      <c r="B377" s="27" t="s">
        <v>94</v>
      </c>
      <c r="C377" s="67" t="s">
        <v>59</v>
      </c>
      <c r="D377" s="125">
        <f>1</f>
        <v>1</v>
      </c>
      <c r="E377" s="125">
        <f>1</f>
        <v>1</v>
      </c>
      <c r="F377" s="125">
        <f>1</f>
        <v>1</v>
      </c>
      <c r="G377" s="125">
        <f>1</f>
        <v>1</v>
      </c>
      <c r="H377" s="125">
        <f>1</f>
        <v>1</v>
      </c>
      <c r="I377" s="125">
        <f>1</f>
        <v>1</v>
      </c>
      <c r="J377" s="125">
        <f>1</f>
        <v>1</v>
      </c>
      <c r="K377" s="125">
        <f>1</f>
        <v>1</v>
      </c>
      <c r="L377" s="125">
        <f>1</f>
        <v>1</v>
      </c>
      <c r="M377" s="125">
        <f>1</f>
        <v>1</v>
      </c>
      <c r="N377" s="125">
        <f>1</f>
        <v>1</v>
      </c>
      <c r="O377" s="125">
        <f>1</f>
        <v>1</v>
      </c>
      <c r="P377" s="125">
        <f>1</f>
        <v>1</v>
      </c>
      <c r="Q377" s="125">
        <f>1</f>
        <v>1</v>
      </c>
      <c r="R377" s="125">
        <f>1</f>
        <v>1</v>
      </c>
      <c r="S377" s="125">
        <f>1</f>
        <v>1</v>
      </c>
      <c r="T377" s="125">
        <f>1</f>
        <v>1</v>
      </c>
      <c r="U377" s="125">
        <f>1</f>
        <v>1</v>
      </c>
      <c r="V377" s="125">
        <f>1</f>
        <v>1</v>
      </c>
      <c r="W377" s="125">
        <f>1</f>
        <v>1</v>
      </c>
      <c r="X377" s="125">
        <f>1</f>
        <v>1</v>
      </c>
      <c r="Y377" s="125">
        <f>1</f>
        <v>1</v>
      </c>
      <c r="Z377" s="125">
        <f>1</f>
        <v>1</v>
      </c>
      <c r="AA377" s="125">
        <f>1</f>
        <v>1</v>
      </c>
      <c r="AB377" s="125">
        <f>1</f>
        <v>1</v>
      </c>
      <c r="AC377" s="125">
        <f>1</f>
        <v>1</v>
      </c>
      <c r="AD377" s="125">
        <f>1</f>
        <v>1</v>
      </c>
      <c r="AE377" s="125">
        <f>1</f>
        <v>1</v>
      </c>
      <c r="AF377" s="125">
        <f>1</f>
        <v>1</v>
      </c>
      <c r="AG377" s="126">
        <f>1</f>
        <v>1</v>
      </c>
      <c r="AH377" s="22"/>
    </row>
    <row r="378" spans="1:34" x14ac:dyDescent="0.25">
      <c r="A378" s="112"/>
      <c r="B378" s="27" t="s">
        <v>95</v>
      </c>
      <c r="C378" s="67" t="s">
        <v>59</v>
      </c>
      <c r="D378" s="125">
        <f>1</f>
        <v>1</v>
      </c>
      <c r="E378" s="125">
        <f>1</f>
        <v>1</v>
      </c>
      <c r="F378" s="125">
        <f>1</f>
        <v>1</v>
      </c>
      <c r="G378" s="125">
        <f>1</f>
        <v>1</v>
      </c>
      <c r="H378" s="125">
        <f>1</f>
        <v>1</v>
      </c>
      <c r="I378" s="125">
        <f>1</f>
        <v>1</v>
      </c>
      <c r="J378" s="125">
        <f>1</f>
        <v>1</v>
      </c>
      <c r="K378" s="125">
        <f>1</f>
        <v>1</v>
      </c>
      <c r="L378" s="125">
        <f>1</f>
        <v>1</v>
      </c>
      <c r="M378" s="125">
        <f>1</f>
        <v>1</v>
      </c>
      <c r="N378" s="125">
        <f>1</f>
        <v>1</v>
      </c>
      <c r="O378" s="125">
        <f>1</f>
        <v>1</v>
      </c>
      <c r="P378" s="125">
        <f>1</f>
        <v>1</v>
      </c>
      <c r="Q378" s="125">
        <f>1</f>
        <v>1</v>
      </c>
      <c r="R378" s="125">
        <f>1</f>
        <v>1</v>
      </c>
      <c r="S378" s="125">
        <f>1</f>
        <v>1</v>
      </c>
      <c r="T378" s="125">
        <f>1</f>
        <v>1</v>
      </c>
      <c r="U378" s="125">
        <f>1</f>
        <v>1</v>
      </c>
      <c r="V378" s="125">
        <f>1</f>
        <v>1</v>
      </c>
      <c r="W378" s="125">
        <f>1</f>
        <v>1</v>
      </c>
      <c r="X378" s="125">
        <f>1</f>
        <v>1</v>
      </c>
      <c r="Y378" s="125">
        <f>1</f>
        <v>1</v>
      </c>
      <c r="Z378" s="125">
        <f>1</f>
        <v>1</v>
      </c>
      <c r="AA378" s="125">
        <f>1</f>
        <v>1</v>
      </c>
      <c r="AB378" s="125">
        <f>1</f>
        <v>1</v>
      </c>
      <c r="AC378" s="125">
        <f>1</f>
        <v>1</v>
      </c>
      <c r="AD378" s="125">
        <f>1</f>
        <v>1</v>
      </c>
      <c r="AE378" s="125">
        <f>1</f>
        <v>1</v>
      </c>
      <c r="AF378" s="125">
        <f>1</f>
        <v>1</v>
      </c>
      <c r="AG378" s="126">
        <f>1</f>
        <v>1</v>
      </c>
      <c r="AH378" s="22"/>
    </row>
    <row r="379" spans="1:34" x14ac:dyDescent="0.25">
      <c r="A379" s="112"/>
      <c r="B379" s="27" t="s">
        <v>96</v>
      </c>
      <c r="C379" s="67" t="s">
        <v>59</v>
      </c>
      <c r="D379" s="125">
        <f>1</f>
        <v>1</v>
      </c>
      <c r="E379" s="125">
        <f>1</f>
        <v>1</v>
      </c>
      <c r="F379" s="125">
        <f>1</f>
        <v>1</v>
      </c>
      <c r="G379" s="125">
        <f>1</f>
        <v>1</v>
      </c>
      <c r="H379" s="125">
        <f>1</f>
        <v>1</v>
      </c>
      <c r="I379" s="125">
        <f>1</f>
        <v>1</v>
      </c>
      <c r="J379" s="125">
        <f>1</f>
        <v>1</v>
      </c>
      <c r="K379" s="125">
        <f>1</f>
        <v>1</v>
      </c>
      <c r="L379" s="125">
        <f>1</f>
        <v>1</v>
      </c>
      <c r="M379" s="125">
        <f>1</f>
        <v>1</v>
      </c>
      <c r="N379" s="125">
        <f>1</f>
        <v>1</v>
      </c>
      <c r="O379" s="125">
        <f>1</f>
        <v>1</v>
      </c>
      <c r="P379" s="125">
        <f>1</f>
        <v>1</v>
      </c>
      <c r="Q379" s="125">
        <f>1</f>
        <v>1</v>
      </c>
      <c r="R379" s="125">
        <f>1</f>
        <v>1</v>
      </c>
      <c r="S379" s="125">
        <f>1</f>
        <v>1</v>
      </c>
      <c r="T379" s="125">
        <f>1</f>
        <v>1</v>
      </c>
      <c r="U379" s="125">
        <f>1</f>
        <v>1</v>
      </c>
      <c r="V379" s="125">
        <f>1</f>
        <v>1</v>
      </c>
      <c r="W379" s="125">
        <f>1</f>
        <v>1</v>
      </c>
      <c r="X379" s="125">
        <f>1</f>
        <v>1</v>
      </c>
      <c r="Y379" s="125">
        <f>1</f>
        <v>1</v>
      </c>
      <c r="Z379" s="125">
        <f>1</f>
        <v>1</v>
      </c>
      <c r="AA379" s="125">
        <f>1</f>
        <v>1</v>
      </c>
      <c r="AB379" s="125">
        <f>1</f>
        <v>1</v>
      </c>
      <c r="AC379" s="125">
        <f>1</f>
        <v>1</v>
      </c>
      <c r="AD379" s="125">
        <f>1</f>
        <v>1</v>
      </c>
      <c r="AE379" s="125">
        <f>1</f>
        <v>1</v>
      </c>
      <c r="AF379" s="125">
        <f>1</f>
        <v>1</v>
      </c>
      <c r="AG379" s="126">
        <f>1</f>
        <v>1</v>
      </c>
      <c r="AH379" s="22"/>
    </row>
    <row r="380" spans="1:34" ht="25.5" x14ac:dyDescent="0.25">
      <c r="A380" s="112"/>
      <c r="B380" s="27" t="s">
        <v>83</v>
      </c>
      <c r="C380" s="67" t="s">
        <v>59</v>
      </c>
      <c r="D380" s="125">
        <f>1</f>
        <v>1</v>
      </c>
      <c r="E380" s="125">
        <f>1</f>
        <v>1</v>
      </c>
      <c r="F380" s="125">
        <f>1</f>
        <v>1</v>
      </c>
      <c r="G380" s="125">
        <f>1</f>
        <v>1</v>
      </c>
      <c r="H380" s="125">
        <f>1</f>
        <v>1</v>
      </c>
      <c r="I380" s="125">
        <f>1</f>
        <v>1</v>
      </c>
      <c r="J380" s="125">
        <f>1</f>
        <v>1</v>
      </c>
      <c r="K380" s="125">
        <f>1</f>
        <v>1</v>
      </c>
      <c r="L380" s="125">
        <f>1</f>
        <v>1</v>
      </c>
      <c r="M380" s="125">
        <f>1</f>
        <v>1</v>
      </c>
      <c r="N380" s="125">
        <f>1</f>
        <v>1</v>
      </c>
      <c r="O380" s="125">
        <f>1</f>
        <v>1</v>
      </c>
      <c r="P380" s="125">
        <f>1</f>
        <v>1</v>
      </c>
      <c r="Q380" s="125">
        <f>1</f>
        <v>1</v>
      </c>
      <c r="R380" s="125">
        <f>1</f>
        <v>1</v>
      </c>
      <c r="S380" s="125">
        <f>1</f>
        <v>1</v>
      </c>
      <c r="T380" s="125">
        <f>1</f>
        <v>1</v>
      </c>
      <c r="U380" s="125">
        <f>1</f>
        <v>1</v>
      </c>
      <c r="V380" s="125">
        <f>1</f>
        <v>1</v>
      </c>
      <c r="W380" s="125">
        <f>1</f>
        <v>1</v>
      </c>
      <c r="X380" s="125">
        <f>1</f>
        <v>1</v>
      </c>
      <c r="Y380" s="125">
        <f>1</f>
        <v>1</v>
      </c>
      <c r="Z380" s="125">
        <f>1</f>
        <v>1</v>
      </c>
      <c r="AA380" s="125">
        <f>1</f>
        <v>1</v>
      </c>
      <c r="AB380" s="125">
        <f>1</f>
        <v>1</v>
      </c>
      <c r="AC380" s="125">
        <f>1</f>
        <v>1</v>
      </c>
      <c r="AD380" s="125">
        <f>1</f>
        <v>1</v>
      </c>
      <c r="AE380" s="125">
        <f>1</f>
        <v>1</v>
      </c>
      <c r="AF380" s="125">
        <f>1</f>
        <v>1</v>
      </c>
      <c r="AG380" s="126">
        <f>1</f>
        <v>1</v>
      </c>
      <c r="AH380" s="22"/>
    </row>
    <row r="381" spans="1:34" x14ac:dyDescent="0.25">
      <c r="A381" s="112"/>
      <c r="B381" s="27" t="s">
        <v>97</v>
      </c>
      <c r="C381" s="67" t="s">
        <v>59</v>
      </c>
      <c r="D381" s="125">
        <f>1</f>
        <v>1</v>
      </c>
      <c r="E381" s="125">
        <f>1</f>
        <v>1</v>
      </c>
      <c r="F381" s="125">
        <f>1</f>
        <v>1</v>
      </c>
      <c r="G381" s="125">
        <f>1</f>
        <v>1</v>
      </c>
      <c r="H381" s="125">
        <f>1</f>
        <v>1</v>
      </c>
      <c r="I381" s="125">
        <f>1</f>
        <v>1</v>
      </c>
      <c r="J381" s="125">
        <f>1</f>
        <v>1</v>
      </c>
      <c r="K381" s="125">
        <f>1</f>
        <v>1</v>
      </c>
      <c r="L381" s="125">
        <f>1</f>
        <v>1</v>
      </c>
      <c r="M381" s="125">
        <f>1</f>
        <v>1</v>
      </c>
      <c r="N381" s="125">
        <f>1</f>
        <v>1</v>
      </c>
      <c r="O381" s="125">
        <f>1</f>
        <v>1</v>
      </c>
      <c r="P381" s="125">
        <f>1</f>
        <v>1</v>
      </c>
      <c r="Q381" s="125">
        <f>1</f>
        <v>1</v>
      </c>
      <c r="R381" s="125">
        <f>1</f>
        <v>1</v>
      </c>
      <c r="S381" s="125">
        <f>1</f>
        <v>1</v>
      </c>
      <c r="T381" s="125">
        <f>1</f>
        <v>1</v>
      </c>
      <c r="U381" s="125">
        <f>1</f>
        <v>1</v>
      </c>
      <c r="V381" s="125">
        <f>1</f>
        <v>1</v>
      </c>
      <c r="W381" s="125">
        <f>1</f>
        <v>1</v>
      </c>
      <c r="X381" s="125">
        <f>1</f>
        <v>1</v>
      </c>
      <c r="Y381" s="125">
        <f>1</f>
        <v>1</v>
      </c>
      <c r="Z381" s="125">
        <f>1</f>
        <v>1</v>
      </c>
      <c r="AA381" s="125">
        <f>1</f>
        <v>1</v>
      </c>
      <c r="AB381" s="125">
        <f>1</f>
        <v>1</v>
      </c>
      <c r="AC381" s="125">
        <f>1</f>
        <v>1</v>
      </c>
      <c r="AD381" s="125">
        <f>1</f>
        <v>1</v>
      </c>
      <c r="AE381" s="125">
        <f>1</f>
        <v>1</v>
      </c>
      <c r="AF381" s="125">
        <f>1</f>
        <v>1</v>
      </c>
      <c r="AG381" s="126">
        <f>1</f>
        <v>1</v>
      </c>
      <c r="AH381" s="22"/>
    </row>
    <row r="382" spans="1:34" x14ac:dyDescent="0.25">
      <c r="A382" s="112"/>
      <c r="B382" s="27" t="s">
        <v>98</v>
      </c>
      <c r="C382" s="67" t="s">
        <v>59</v>
      </c>
      <c r="D382" s="125">
        <f>1</f>
        <v>1</v>
      </c>
      <c r="E382" s="125">
        <f>1</f>
        <v>1</v>
      </c>
      <c r="F382" s="125">
        <f>1</f>
        <v>1</v>
      </c>
      <c r="G382" s="125">
        <f>1</f>
        <v>1</v>
      </c>
      <c r="H382" s="125">
        <f>1</f>
        <v>1</v>
      </c>
      <c r="I382" s="125">
        <f>1</f>
        <v>1</v>
      </c>
      <c r="J382" s="125">
        <f>1</f>
        <v>1</v>
      </c>
      <c r="K382" s="125">
        <f>1</f>
        <v>1</v>
      </c>
      <c r="L382" s="125">
        <f>1</f>
        <v>1</v>
      </c>
      <c r="M382" s="125">
        <f>1</f>
        <v>1</v>
      </c>
      <c r="N382" s="125">
        <f>1</f>
        <v>1</v>
      </c>
      <c r="O382" s="125">
        <f>1</f>
        <v>1</v>
      </c>
      <c r="P382" s="125">
        <f>1</f>
        <v>1</v>
      </c>
      <c r="Q382" s="125">
        <f>1</f>
        <v>1</v>
      </c>
      <c r="R382" s="125">
        <f>1</f>
        <v>1</v>
      </c>
      <c r="S382" s="125">
        <f>1</f>
        <v>1</v>
      </c>
      <c r="T382" s="125">
        <f>1</f>
        <v>1</v>
      </c>
      <c r="U382" s="125">
        <f>1</f>
        <v>1</v>
      </c>
      <c r="V382" s="125">
        <f>1</f>
        <v>1</v>
      </c>
      <c r="W382" s="125">
        <f>1</f>
        <v>1</v>
      </c>
      <c r="X382" s="125">
        <f>1</f>
        <v>1</v>
      </c>
      <c r="Y382" s="125">
        <f>1</f>
        <v>1</v>
      </c>
      <c r="Z382" s="125">
        <f>1</f>
        <v>1</v>
      </c>
      <c r="AA382" s="125">
        <f>1</f>
        <v>1</v>
      </c>
      <c r="AB382" s="125">
        <f>1</f>
        <v>1</v>
      </c>
      <c r="AC382" s="125">
        <f>1</f>
        <v>1</v>
      </c>
      <c r="AD382" s="125">
        <f>1</f>
        <v>1</v>
      </c>
      <c r="AE382" s="125">
        <f>1</f>
        <v>1</v>
      </c>
      <c r="AF382" s="125">
        <f>1</f>
        <v>1</v>
      </c>
      <c r="AG382" s="126">
        <f>1</f>
        <v>1</v>
      </c>
      <c r="AH382" s="22"/>
    </row>
    <row r="383" spans="1:34" ht="25.5" x14ac:dyDescent="0.25">
      <c r="A383" s="112"/>
      <c r="B383" s="27" t="s">
        <v>81</v>
      </c>
      <c r="C383" s="67" t="s">
        <v>59</v>
      </c>
      <c r="D383" s="125">
        <f>1</f>
        <v>1</v>
      </c>
      <c r="E383" s="125">
        <f>1</f>
        <v>1</v>
      </c>
      <c r="F383" s="125">
        <f>1</f>
        <v>1</v>
      </c>
      <c r="G383" s="125">
        <f>1</f>
        <v>1</v>
      </c>
      <c r="H383" s="125">
        <f>1</f>
        <v>1</v>
      </c>
      <c r="I383" s="125">
        <f>1</f>
        <v>1</v>
      </c>
      <c r="J383" s="125">
        <f>1</f>
        <v>1</v>
      </c>
      <c r="K383" s="125">
        <f>1</f>
        <v>1</v>
      </c>
      <c r="L383" s="125">
        <f>1</f>
        <v>1</v>
      </c>
      <c r="M383" s="125">
        <f>1</f>
        <v>1</v>
      </c>
      <c r="N383" s="125">
        <f>1</f>
        <v>1</v>
      </c>
      <c r="O383" s="125">
        <f>1</f>
        <v>1</v>
      </c>
      <c r="P383" s="125">
        <f>1</f>
        <v>1</v>
      </c>
      <c r="Q383" s="125">
        <f>1</f>
        <v>1</v>
      </c>
      <c r="R383" s="125">
        <f>1</f>
        <v>1</v>
      </c>
      <c r="S383" s="125">
        <f>1</f>
        <v>1</v>
      </c>
      <c r="T383" s="125">
        <f>1</f>
        <v>1</v>
      </c>
      <c r="U383" s="125">
        <f>1</f>
        <v>1</v>
      </c>
      <c r="V383" s="125">
        <f>1</f>
        <v>1</v>
      </c>
      <c r="W383" s="125">
        <f>1</f>
        <v>1</v>
      </c>
      <c r="X383" s="125">
        <f>1</f>
        <v>1</v>
      </c>
      <c r="Y383" s="125">
        <f>1</f>
        <v>1</v>
      </c>
      <c r="Z383" s="125">
        <f>1</f>
        <v>1</v>
      </c>
      <c r="AA383" s="125">
        <f>1</f>
        <v>1</v>
      </c>
      <c r="AB383" s="125">
        <f>1</f>
        <v>1</v>
      </c>
      <c r="AC383" s="125">
        <f>1</f>
        <v>1</v>
      </c>
      <c r="AD383" s="125">
        <f>1</f>
        <v>1</v>
      </c>
      <c r="AE383" s="125">
        <f>1</f>
        <v>1</v>
      </c>
      <c r="AF383" s="125">
        <f>1</f>
        <v>1</v>
      </c>
      <c r="AG383" s="126">
        <f>1</f>
        <v>1</v>
      </c>
      <c r="AH383" s="22"/>
    </row>
    <row r="384" spans="1:34" x14ac:dyDescent="0.25">
      <c r="A384" s="112"/>
      <c r="B384" s="27" t="s">
        <v>82</v>
      </c>
      <c r="C384" s="67" t="s">
        <v>59</v>
      </c>
      <c r="D384" s="125">
        <f>1</f>
        <v>1</v>
      </c>
      <c r="E384" s="125">
        <f>1</f>
        <v>1</v>
      </c>
      <c r="F384" s="125">
        <f>1</f>
        <v>1</v>
      </c>
      <c r="G384" s="125">
        <f>1</f>
        <v>1</v>
      </c>
      <c r="H384" s="125">
        <f>1</f>
        <v>1</v>
      </c>
      <c r="I384" s="125">
        <f>1</f>
        <v>1</v>
      </c>
      <c r="J384" s="125">
        <f>1</f>
        <v>1</v>
      </c>
      <c r="K384" s="125">
        <f>1</f>
        <v>1</v>
      </c>
      <c r="L384" s="125">
        <f>1</f>
        <v>1</v>
      </c>
      <c r="M384" s="125">
        <f>1</f>
        <v>1</v>
      </c>
      <c r="N384" s="125">
        <f>1</f>
        <v>1</v>
      </c>
      <c r="O384" s="125">
        <f>1</f>
        <v>1</v>
      </c>
      <c r="P384" s="125">
        <f>1</f>
        <v>1</v>
      </c>
      <c r="Q384" s="125">
        <f>1</f>
        <v>1</v>
      </c>
      <c r="R384" s="125">
        <f>1</f>
        <v>1</v>
      </c>
      <c r="S384" s="125">
        <f>1</f>
        <v>1</v>
      </c>
      <c r="T384" s="125">
        <f>1</f>
        <v>1</v>
      </c>
      <c r="U384" s="125">
        <f>1</f>
        <v>1</v>
      </c>
      <c r="V384" s="125">
        <f>1</f>
        <v>1</v>
      </c>
      <c r="W384" s="125">
        <f>1</f>
        <v>1</v>
      </c>
      <c r="X384" s="125">
        <f>1</f>
        <v>1</v>
      </c>
      <c r="Y384" s="125">
        <f>1</f>
        <v>1</v>
      </c>
      <c r="Z384" s="125">
        <f>1</f>
        <v>1</v>
      </c>
      <c r="AA384" s="125">
        <f>1</f>
        <v>1</v>
      </c>
      <c r="AB384" s="125">
        <f>1</f>
        <v>1</v>
      </c>
      <c r="AC384" s="125">
        <f>1</f>
        <v>1</v>
      </c>
      <c r="AD384" s="125">
        <f>1</f>
        <v>1</v>
      </c>
      <c r="AE384" s="125">
        <f>1</f>
        <v>1</v>
      </c>
      <c r="AF384" s="125">
        <f>1</f>
        <v>1</v>
      </c>
      <c r="AG384" s="126">
        <f>1</f>
        <v>1</v>
      </c>
      <c r="AH384" s="22"/>
    </row>
    <row r="385" spans="1:34" x14ac:dyDescent="0.25">
      <c r="A385" s="112"/>
      <c r="B385" s="27" t="s">
        <v>568</v>
      </c>
      <c r="C385" s="67" t="s">
        <v>59</v>
      </c>
      <c r="D385" s="125">
        <f>1</f>
        <v>1</v>
      </c>
      <c r="E385" s="125">
        <f>1</f>
        <v>1</v>
      </c>
      <c r="F385" s="125">
        <f>1</f>
        <v>1</v>
      </c>
      <c r="G385" s="125">
        <f>1</f>
        <v>1</v>
      </c>
      <c r="H385" s="125">
        <f>1</f>
        <v>1</v>
      </c>
      <c r="I385" s="125">
        <f>1</f>
        <v>1</v>
      </c>
      <c r="J385" s="125">
        <f>1</f>
        <v>1</v>
      </c>
      <c r="K385" s="125">
        <f>1</f>
        <v>1</v>
      </c>
      <c r="L385" s="125">
        <f>1</f>
        <v>1</v>
      </c>
      <c r="M385" s="125">
        <f>1</f>
        <v>1</v>
      </c>
      <c r="N385" s="125">
        <f>1</f>
        <v>1</v>
      </c>
      <c r="O385" s="125">
        <f>1</f>
        <v>1</v>
      </c>
      <c r="P385" s="125">
        <f>1</f>
        <v>1</v>
      </c>
      <c r="Q385" s="125">
        <f>1</f>
        <v>1</v>
      </c>
      <c r="R385" s="125">
        <f>1</f>
        <v>1</v>
      </c>
      <c r="S385" s="125">
        <f>1</f>
        <v>1</v>
      </c>
      <c r="T385" s="125">
        <f>1</f>
        <v>1</v>
      </c>
      <c r="U385" s="125">
        <f>1</f>
        <v>1</v>
      </c>
      <c r="V385" s="125">
        <f>1</f>
        <v>1</v>
      </c>
      <c r="W385" s="125">
        <f>1</f>
        <v>1</v>
      </c>
      <c r="X385" s="125">
        <f>1</f>
        <v>1</v>
      </c>
      <c r="Y385" s="125">
        <f>1</f>
        <v>1</v>
      </c>
      <c r="Z385" s="125">
        <f>1</f>
        <v>1</v>
      </c>
      <c r="AA385" s="125">
        <f>1</f>
        <v>1</v>
      </c>
      <c r="AB385" s="125">
        <f>1</f>
        <v>1</v>
      </c>
      <c r="AC385" s="125">
        <f>1</f>
        <v>1</v>
      </c>
      <c r="AD385" s="125">
        <f>1</f>
        <v>1</v>
      </c>
      <c r="AE385" s="125">
        <f>1</f>
        <v>1</v>
      </c>
      <c r="AF385" s="125">
        <f>1</f>
        <v>1</v>
      </c>
      <c r="AG385" s="126">
        <f>1</f>
        <v>1</v>
      </c>
      <c r="AH385" s="22"/>
    </row>
    <row r="386" spans="1:34" x14ac:dyDescent="0.25">
      <c r="A386" s="112"/>
      <c r="B386" s="120" t="s">
        <v>575</v>
      </c>
      <c r="C386" s="121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8"/>
      <c r="AH386" s="22"/>
    </row>
    <row r="387" spans="1:34" x14ac:dyDescent="0.25">
      <c r="A387" s="112"/>
      <c r="B387" s="120" t="s">
        <v>576</v>
      </c>
      <c r="C387" s="121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8"/>
      <c r="AH387" s="22"/>
    </row>
    <row r="388" spans="1:34" ht="25.5" x14ac:dyDescent="0.25">
      <c r="A388" s="112"/>
      <c r="B388" s="136" t="s">
        <v>99</v>
      </c>
      <c r="C388" s="67" t="s">
        <v>59</v>
      </c>
      <c r="D388" s="125">
        <f>1</f>
        <v>1</v>
      </c>
      <c r="E388" s="125">
        <f>1</f>
        <v>1</v>
      </c>
      <c r="F388" s="125">
        <f>1</f>
        <v>1</v>
      </c>
      <c r="G388" s="125">
        <f>1</f>
        <v>1</v>
      </c>
      <c r="H388" s="125">
        <f>1</f>
        <v>1</v>
      </c>
      <c r="I388" s="125">
        <f>1</f>
        <v>1</v>
      </c>
      <c r="J388" s="125">
        <f>1</f>
        <v>1</v>
      </c>
      <c r="K388" s="125">
        <f>1</f>
        <v>1</v>
      </c>
      <c r="L388" s="125">
        <f>1</f>
        <v>1</v>
      </c>
      <c r="M388" s="125">
        <f>1</f>
        <v>1</v>
      </c>
      <c r="N388" s="125">
        <f>1</f>
        <v>1</v>
      </c>
      <c r="O388" s="125">
        <f>1</f>
        <v>1</v>
      </c>
      <c r="P388" s="125">
        <f>1</f>
        <v>1</v>
      </c>
      <c r="Q388" s="125">
        <f>1</f>
        <v>1</v>
      </c>
      <c r="R388" s="125">
        <f>1</f>
        <v>1</v>
      </c>
      <c r="S388" s="125">
        <f>1</f>
        <v>1</v>
      </c>
      <c r="T388" s="125">
        <f>1</f>
        <v>1</v>
      </c>
      <c r="U388" s="125">
        <f>1</f>
        <v>1</v>
      </c>
      <c r="V388" s="125">
        <f>1</f>
        <v>1</v>
      </c>
      <c r="W388" s="125">
        <f>1</f>
        <v>1</v>
      </c>
      <c r="X388" s="125">
        <f>1</f>
        <v>1</v>
      </c>
      <c r="Y388" s="125">
        <f>1</f>
        <v>1</v>
      </c>
      <c r="Z388" s="125">
        <f>1</f>
        <v>1</v>
      </c>
      <c r="AA388" s="125">
        <f>1</f>
        <v>1</v>
      </c>
      <c r="AB388" s="125">
        <f>1</f>
        <v>1</v>
      </c>
      <c r="AC388" s="125">
        <f>1</f>
        <v>1</v>
      </c>
      <c r="AD388" s="125">
        <f>1</f>
        <v>1</v>
      </c>
      <c r="AE388" s="125">
        <f>1</f>
        <v>1</v>
      </c>
      <c r="AF388" s="125">
        <f>1</f>
        <v>1</v>
      </c>
      <c r="AG388" s="126">
        <f>1</f>
        <v>1</v>
      </c>
      <c r="AH388" s="22"/>
    </row>
    <row r="389" spans="1:34" x14ac:dyDescent="0.25">
      <c r="A389" s="112"/>
      <c r="B389" s="136" t="s">
        <v>448</v>
      </c>
      <c r="C389" s="67" t="s">
        <v>59</v>
      </c>
      <c r="D389" s="125">
        <f>2</f>
        <v>2</v>
      </c>
      <c r="E389" s="125">
        <f>2</f>
        <v>2</v>
      </c>
      <c r="F389" s="125">
        <f>2</f>
        <v>2</v>
      </c>
      <c r="G389" s="125">
        <f>2</f>
        <v>2</v>
      </c>
      <c r="H389" s="125">
        <f>2</f>
        <v>2</v>
      </c>
      <c r="I389" s="125">
        <f>2</f>
        <v>2</v>
      </c>
      <c r="J389" s="125">
        <f>2</f>
        <v>2</v>
      </c>
      <c r="K389" s="125">
        <f>2</f>
        <v>2</v>
      </c>
      <c r="L389" s="125">
        <f>2</f>
        <v>2</v>
      </c>
      <c r="M389" s="125">
        <f>2</f>
        <v>2</v>
      </c>
      <c r="N389" s="125">
        <f>2</f>
        <v>2</v>
      </c>
      <c r="O389" s="125">
        <f>2</f>
        <v>2</v>
      </c>
      <c r="P389" s="125">
        <f>2</f>
        <v>2</v>
      </c>
      <c r="Q389" s="125">
        <f>2</f>
        <v>2</v>
      </c>
      <c r="R389" s="125">
        <f>2</f>
        <v>2</v>
      </c>
      <c r="S389" s="125">
        <f>2</f>
        <v>2</v>
      </c>
      <c r="T389" s="125">
        <f>2</f>
        <v>2</v>
      </c>
      <c r="U389" s="125">
        <f>2</f>
        <v>2</v>
      </c>
      <c r="V389" s="125">
        <f>2</f>
        <v>2</v>
      </c>
      <c r="W389" s="125">
        <f>2</f>
        <v>2</v>
      </c>
      <c r="X389" s="125">
        <f>2</f>
        <v>2</v>
      </c>
      <c r="Y389" s="125">
        <f>2</f>
        <v>2</v>
      </c>
      <c r="Z389" s="125">
        <f>2</f>
        <v>2</v>
      </c>
      <c r="AA389" s="125">
        <f>2</f>
        <v>2</v>
      </c>
      <c r="AB389" s="125">
        <f>2</f>
        <v>2</v>
      </c>
      <c r="AC389" s="125">
        <f>2</f>
        <v>2</v>
      </c>
      <c r="AD389" s="125">
        <f>2</f>
        <v>2</v>
      </c>
      <c r="AE389" s="125">
        <f>2</f>
        <v>2</v>
      </c>
      <c r="AF389" s="125">
        <f>2</f>
        <v>2</v>
      </c>
      <c r="AG389" s="126">
        <f>2</f>
        <v>2</v>
      </c>
      <c r="AH389" s="22"/>
    </row>
    <row r="390" spans="1:34" x14ac:dyDescent="0.25">
      <c r="A390" s="112"/>
      <c r="B390" s="136" t="s">
        <v>100</v>
      </c>
      <c r="C390" s="67" t="s">
        <v>59</v>
      </c>
      <c r="D390" s="125">
        <f>2</f>
        <v>2</v>
      </c>
      <c r="E390" s="125">
        <f>2</f>
        <v>2</v>
      </c>
      <c r="F390" s="125">
        <f>2</f>
        <v>2</v>
      </c>
      <c r="G390" s="125">
        <f>2</f>
        <v>2</v>
      </c>
      <c r="H390" s="125">
        <f>2</f>
        <v>2</v>
      </c>
      <c r="I390" s="125">
        <f>2</f>
        <v>2</v>
      </c>
      <c r="J390" s="125">
        <f>2</f>
        <v>2</v>
      </c>
      <c r="K390" s="125">
        <f>2</f>
        <v>2</v>
      </c>
      <c r="L390" s="125">
        <f>2</f>
        <v>2</v>
      </c>
      <c r="M390" s="125">
        <f>2</f>
        <v>2</v>
      </c>
      <c r="N390" s="125">
        <f>2</f>
        <v>2</v>
      </c>
      <c r="O390" s="125">
        <f>2</f>
        <v>2</v>
      </c>
      <c r="P390" s="125">
        <f>2</f>
        <v>2</v>
      </c>
      <c r="Q390" s="125">
        <f>2</f>
        <v>2</v>
      </c>
      <c r="R390" s="125">
        <f>2</f>
        <v>2</v>
      </c>
      <c r="S390" s="125">
        <f>2</f>
        <v>2</v>
      </c>
      <c r="T390" s="125">
        <f>2</f>
        <v>2</v>
      </c>
      <c r="U390" s="125">
        <f>2</f>
        <v>2</v>
      </c>
      <c r="V390" s="125">
        <f>2</f>
        <v>2</v>
      </c>
      <c r="W390" s="125">
        <f>2</f>
        <v>2</v>
      </c>
      <c r="X390" s="125">
        <f>2</f>
        <v>2</v>
      </c>
      <c r="Y390" s="125">
        <f>2</f>
        <v>2</v>
      </c>
      <c r="Z390" s="125">
        <f>2</f>
        <v>2</v>
      </c>
      <c r="AA390" s="125">
        <f>2</f>
        <v>2</v>
      </c>
      <c r="AB390" s="125">
        <f>2</f>
        <v>2</v>
      </c>
      <c r="AC390" s="125">
        <f>2</f>
        <v>2</v>
      </c>
      <c r="AD390" s="125">
        <f>2</f>
        <v>2</v>
      </c>
      <c r="AE390" s="125">
        <f>2</f>
        <v>2</v>
      </c>
      <c r="AF390" s="125">
        <f>2</f>
        <v>2</v>
      </c>
      <c r="AG390" s="126">
        <f>2</f>
        <v>2</v>
      </c>
      <c r="AH390" s="22"/>
    </row>
    <row r="391" spans="1:34" x14ac:dyDescent="0.25">
      <c r="A391" s="112"/>
      <c r="B391" s="136" t="s">
        <v>101</v>
      </c>
      <c r="C391" s="67" t="s">
        <v>59</v>
      </c>
      <c r="D391" s="125">
        <f>2</f>
        <v>2</v>
      </c>
      <c r="E391" s="125">
        <f>2</f>
        <v>2</v>
      </c>
      <c r="F391" s="125">
        <f>2</f>
        <v>2</v>
      </c>
      <c r="G391" s="125">
        <f>2</f>
        <v>2</v>
      </c>
      <c r="H391" s="125">
        <f>2</f>
        <v>2</v>
      </c>
      <c r="I391" s="125">
        <f>2</f>
        <v>2</v>
      </c>
      <c r="J391" s="125">
        <f>2</f>
        <v>2</v>
      </c>
      <c r="K391" s="125">
        <f>2</f>
        <v>2</v>
      </c>
      <c r="L391" s="125">
        <f>2</f>
        <v>2</v>
      </c>
      <c r="M391" s="125">
        <f>2</f>
        <v>2</v>
      </c>
      <c r="N391" s="125">
        <f>2</f>
        <v>2</v>
      </c>
      <c r="O391" s="125">
        <f>2</f>
        <v>2</v>
      </c>
      <c r="P391" s="125">
        <f>2</f>
        <v>2</v>
      </c>
      <c r="Q391" s="125">
        <f>2</f>
        <v>2</v>
      </c>
      <c r="R391" s="125">
        <f>2</f>
        <v>2</v>
      </c>
      <c r="S391" s="125">
        <f>2</f>
        <v>2</v>
      </c>
      <c r="T391" s="125">
        <f>2</f>
        <v>2</v>
      </c>
      <c r="U391" s="125">
        <f>2</f>
        <v>2</v>
      </c>
      <c r="V391" s="125">
        <f>2</f>
        <v>2</v>
      </c>
      <c r="W391" s="125">
        <f>2</f>
        <v>2</v>
      </c>
      <c r="X391" s="125">
        <f>2</f>
        <v>2</v>
      </c>
      <c r="Y391" s="125">
        <f>2</f>
        <v>2</v>
      </c>
      <c r="Z391" s="125">
        <f>2</f>
        <v>2</v>
      </c>
      <c r="AA391" s="125">
        <f>2</f>
        <v>2</v>
      </c>
      <c r="AB391" s="125">
        <f>2</f>
        <v>2</v>
      </c>
      <c r="AC391" s="125">
        <f>2</f>
        <v>2</v>
      </c>
      <c r="AD391" s="125">
        <f>2</f>
        <v>2</v>
      </c>
      <c r="AE391" s="125">
        <f>2</f>
        <v>2</v>
      </c>
      <c r="AF391" s="125">
        <f>2</f>
        <v>2</v>
      </c>
      <c r="AG391" s="126">
        <f>2</f>
        <v>2</v>
      </c>
      <c r="AH391" s="22"/>
    </row>
    <row r="392" spans="1:34" x14ac:dyDescent="0.25">
      <c r="A392" s="112"/>
      <c r="B392" s="136" t="s">
        <v>102</v>
      </c>
      <c r="C392" s="67" t="s">
        <v>59</v>
      </c>
      <c r="D392" s="125">
        <f>2</f>
        <v>2</v>
      </c>
      <c r="E392" s="125">
        <f>2</f>
        <v>2</v>
      </c>
      <c r="F392" s="125">
        <f>2</f>
        <v>2</v>
      </c>
      <c r="G392" s="125">
        <f>2</f>
        <v>2</v>
      </c>
      <c r="H392" s="125">
        <f>2</f>
        <v>2</v>
      </c>
      <c r="I392" s="125">
        <f>2</f>
        <v>2</v>
      </c>
      <c r="J392" s="125">
        <f>2</f>
        <v>2</v>
      </c>
      <c r="K392" s="125">
        <f>2</f>
        <v>2</v>
      </c>
      <c r="L392" s="125">
        <f>2</f>
        <v>2</v>
      </c>
      <c r="M392" s="125">
        <f>2</f>
        <v>2</v>
      </c>
      <c r="N392" s="125">
        <f>2</f>
        <v>2</v>
      </c>
      <c r="O392" s="125">
        <f>2</f>
        <v>2</v>
      </c>
      <c r="P392" s="125">
        <f>2</f>
        <v>2</v>
      </c>
      <c r="Q392" s="125">
        <f>2</f>
        <v>2</v>
      </c>
      <c r="R392" s="125">
        <f>2</f>
        <v>2</v>
      </c>
      <c r="S392" s="125">
        <f>2</f>
        <v>2</v>
      </c>
      <c r="T392" s="125">
        <f>2</f>
        <v>2</v>
      </c>
      <c r="U392" s="125">
        <f>2</f>
        <v>2</v>
      </c>
      <c r="V392" s="125">
        <f>2</f>
        <v>2</v>
      </c>
      <c r="W392" s="125">
        <f>2</f>
        <v>2</v>
      </c>
      <c r="X392" s="125">
        <f>2</f>
        <v>2</v>
      </c>
      <c r="Y392" s="125">
        <f>2</f>
        <v>2</v>
      </c>
      <c r="Z392" s="125">
        <f>2</f>
        <v>2</v>
      </c>
      <c r="AA392" s="125">
        <f>2</f>
        <v>2</v>
      </c>
      <c r="AB392" s="125">
        <f>2</f>
        <v>2</v>
      </c>
      <c r="AC392" s="125">
        <f>2</f>
        <v>2</v>
      </c>
      <c r="AD392" s="125">
        <f>2</f>
        <v>2</v>
      </c>
      <c r="AE392" s="125">
        <f>2</f>
        <v>2</v>
      </c>
      <c r="AF392" s="125">
        <f>2</f>
        <v>2</v>
      </c>
      <c r="AG392" s="126">
        <f>2</f>
        <v>2</v>
      </c>
      <c r="AH392" s="22"/>
    </row>
    <row r="393" spans="1:34" x14ac:dyDescent="0.25">
      <c r="A393" s="112"/>
      <c r="B393" s="136" t="s">
        <v>103</v>
      </c>
      <c r="C393" s="67" t="s">
        <v>59</v>
      </c>
      <c r="D393" s="125">
        <f>2</f>
        <v>2</v>
      </c>
      <c r="E393" s="125">
        <f>2</f>
        <v>2</v>
      </c>
      <c r="F393" s="125">
        <f>2</f>
        <v>2</v>
      </c>
      <c r="G393" s="125">
        <f>2</f>
        <v>2</v>
      </c>
      <c r="H393" s="125">
        <f>2</f>
        <v>2</v>
      </c>
      <c r="I393" s="125">
        <f>2</f>
        <v>2</v>
      </c>
      <c r="J393" s="125">
        <f>2</f>
        <v>2</v>
      </c>
      <c r="K393" s="125">
        <f>2</f>
        <v>2</v>
      </c>
      <c r="L393" s="125">
        <f>2</f>
        <v>2</v>
      </c>
      <c r="M393" s="125">
        <f>2</f>
        <v>2</v>
      </c>
      <c r="N393" s="125">
        <f>2</f>
        <v>2</v>
      </c>
      <c r="O393" s="125">
        <f>2</f>
        <v>2</v>
      </c>
      <c r="P393" s="125">
        <f>2</f>
        <v>2</v>
      </c>
      <c r="Q393" s="125">
        <f>2</f>
        <v>2</v>
      </c>
      <c r="R393" s="125">
        <f>2</f>
        <v>2</v>
      </c>
      <c r="S393" s="125">
        <f>2</f>
        <v>2</v>
      </c>
      <c r="T393" s="125">
        <f>2</f>
        <v>2</v>
      </c>
      <c r="U393" s="125">
        <f>2</f>
        <v>2</v>
      </c>
      <c r="V393" s="125">
        <f>2</f>
        <v>2</v>
      </c>
      <c r="W393" s="125">
        <f>2</f>
        <v>2</v>
      </c>
      <c r="X393" s="125">
        <f>2</f>
        <v>2</v>
      </c>
      <c r="Y393" s="125">
        <f>2</f>
        <v>2</v>
      </c>
      <c r="Z393" s="125">
        <f>2</f>
        <v>2</v>
      </c>
      <c r="AA393" s="125">
        <f>2</f>
        <v>2</v>
      </c>
      <c r="AB393" s="125">
        <f>2</f>
        <v>2</v>
      </c>
      <c r="AC393" s="125">
        <f>2</f>
        <v>2</v>
      </c>
      <c r="AD393" s="125">
        <f>2</f>
        <v>2</v>
      </c>
      <c r="AE393" s="125">
        <f>2</f>
        <v>2</v>
      </c>
      <c r="AF393" s="125">
        <f>2</f>
        <v>2</v>
      </c>
      <c r="AG393" s="126">
        <f>2</f>
        <v>2</v>
      </c>
      <c r="AH393" s="22"/>
    </row>
    <row r="394" spans="1:34" x14ac:dyDescent="0.25">
      <c r="A394" s="112"/>
      <c r="B394" s="136" t="s">
        <v>104</v>
      </c>
      <c r="C394" s="67" t="s">
        <v>59</v>
      </c>
      <c r="D394" s="125">
        <f>2</f>
        <v>2</v>
      </c>
      <c r="E394" s="125">
        <f>2</f>
        <v>2</v>
      </c>
      <c r="F394" s="125">
        <f>2</f>
        <v>2</v>
      </c>
      <c r="G394" s="125">
        <f>2</f>
        <v>2</v>
      </c>
      <c r="H394" s="125">
        <f>2</f>
        <v>2</v>
      </c>
      <c r="I394" s="125">
        <f>2</f>
        <v>2</v>
      </c>
      <c r="J394" s="125">
        <f>2</f>
        <v>2</v>
      </c>
      <c r="K394" s="125">
        <f>2</f>
        <v>2</v>
      </c>
      <c r="L394" s="125">
        <f>2</f>
        <v>2</v>
      </c>
      <c r="M394" s="125">
        <f>2</f>
        <v>2</v>
      </c>
      <c r="N394" s="125">
        <f>2</f>
        <v>2</v>
      </c>
      <c r="O394" s="125">
        <f>2</f>
        <v>2</v>
      </c>
      <c r="P394" s="125">
        <f>2</f>
        <v>2</v>
      </c>
      <c r="Q394" s="125">
        <f>2</f>
        <v>2</v>
      </c>
      <c r="R394" s="125">
        <f>2</f>
        <v>2</v>
      </c>
      <c r="S394" s="125">
        <f>2</f>
        <v>2</v>
      </c>
      <c r="T394" s="125">
        <f>2</f>
        <v>2</v>
      </c>
      <c r="U394" s="125">
        <f>2</f>
        <v>2</v>
      </c>
      <c r="V394" s="125">
        <f>2</f>
        <v>2</v>
      </c>
      <c r="W394" s="125">
        <f>2</f>
        <v>2</v>
      </c>
      <c r="X394" s="125">
        <f>2</f>
        <v>2</v>
      </c>
      <c r="Y394" s="125">
        <f>2</f>
        <v>2</v>
      </c>
      <c r="Z394" s="125">
        <f>2</f>
        <v>2</v>
      </c>
      <c r="AA394" s="125">
        <f>2</f>
        <v>2</v>
      </c>
      <c r="AB394" s="125">
        <f>2</f>
        <v>2</v>
      </c>
      <c r="AC394" s="125">
        <f>2</f>
        <v>2</v>
      </c>
      <c r="AD394" s="125">
        <f>2</f>
        <v>2</v>
      </c>
      <c r="AE394" s="125">
        <f>2</f>
        <v>2</v>
      </c>
      <c r="AF394" s="125">
        <f>2</f>
        <v>2</v>
      </c>
      <c r="AG394" s="126">
        <f>2</f>
        <v>2</v>
      </c>
      <c r="AH394" s="22"/>
    </row>
    <row r="395" spans="1:34" x14ac:dyDescent="0.25">
      <c r="A395" s="112"/>
      <c r="B395" s="136" t="s">
        <v>105</v>
      </c>
      <c r="C395" s="67" t="s">
        <v>59</v>
      </c>
      <c r="D395" s="125">
        <f>2</f>
        <v>2</v>
      </c>
      <c r="E395" s="125">
        <f>2</f>
        <v>2</v>
      </c>
      <c r="F395" s="125">
        <f>2</f>
        <v>2</v>
      </c>
      <c r="G395" s="125">
        <f>2</f>
        <v>2</v>
      </c>
      <c r="H395" s="125">
        <f>2</f>
        <v>2</v>
      </c>
      <c r="I395" s="125">
        <f>2</f>
        <v>2</v>
      </c>
      <c r="J395" s="125">
        <f>2</f>
        <v>2</v>
      </c>
      <c r="K395" s="125">
        <f>2</f>
        <v>2</v>
      </c>
      <c r="L395" s="125">
        <f>2</f>
        <v>2</v>
      </c>
      <c r="M395" s="125">
        <f>2</f>
        <v>2</v>
      </c>
      <c r="N395" s="125">
        <f>2</f>
        <v>2</v>
      </c>
      <c r="O395" s="125">
        <f>2</f>
        <v>2</v>
      </c>
      <c r="P395" s="125">
        <f>2</f>
        <v>2</v>
      </c>
      <c r="Q395" s="125">
        <f>2</f>
        <v>2</v>
      </c>
      <c r="R395" s="125">
        <f>2</f>
        <v>2</v>
      </c>
      <c r="S395" s="125">
        <f>2</f>
        <v>2</v>
      </c>
      <c r="T395" s="125">
        <f>2</f>
        <v>2</v>
      </c>
      <c r="U395" s="125">
        <f>2</f>
        <v>2</v>
      </c>
      <c r="V395" s="125">
        <f>2</f>
        <v>2</v>
      </c>
      <c r="W395" s="125">
        <f>2</f>
        <v>2</v>
      </c>
      <c r="X395" s="125">
        <f>2</f>
        <v>2</v>
      </c>
      <c r="Y395" s="125">
        <f>2</f>
        <v>2</v>
      </c>
      <c r="Z395" s="125">
        <f>2</f>
        <v>2</v>
      </c>
      <c r="AA395" s="125">
        <f>2</f>
        <v>2</v>
      </c>
      <c r="AB395" s="125">
        <f>2</f>
        <v>2</v>
      </c>
      <c r="AC395" s="125">
        <f>2</f>
        <v>2</v>
      </c>
      <c r="AD395" s="125">
        <f>2</f>
        <v>2</v>
      </c>
      <c r="AE395" s="125">
        <f>2</f>
        <v>2</v>
      </c>
      <c r="AF395" s="125">
        <f>2</f>
        <v>2</v>
      </c>
      <c r="AG395" s="126">
        <f>2</f>
        <v>2</v>
      </c>
      <c r="AH395" s="22"/>
    </row>
    <row r="396" spans="1:34" x14ac:dyDescent="0.25">
      <c r="A396" s="112"/>
      <c r="B396" s="136" t="s">
        <v>106</v>
      </c>
      <c r="C396" s="67" t="s">
        <v>59</v>
      </c>
      <c r="D396" s="125">
        <f>2</f>
        <v>2</v>
      </c>
      <c r="E396" s="125">
        <f>2</f>
        <v>2</v>
      </c>
      <c r="F396" s="125">
        <f>2</f>
        <v>2</v>
      </c>
      <c r="G396" s="125">
        <f>2</f>
        <v>2</v>
      </c>
      <c r="H396" s="125">
        <f>2</f>
        <v>2</v>
      </c>
      <c r="I396" s="125">
        <f>2</f>
        <v>2</v>
      </c>
      <c r="J396" s="125">
        <f>2</f>
        <v>2</v>
      </c>
      <c r="K396" s="125">
        <f>2</f>
        <v>2</v>
      </c>
      <c r="L396" s="125">
        <f>2</f>
        <v>2</v>
      </c>
      <c r="M396" s="125">
        <f>2</f>
        <v>2</v>
      </c>
      <c r="N396" s="125">
        <f>2</f>
        <v>2</v>
      </c>
      <c r="O396" s="125">
        <f>2</f>
        <v>2</v>
      </c>
      <c r="P396" s="125">
        <f>2</f>
        <v>2</v>
      </c>
      <c r="Q396" s="125">
        <f>2</f>
        <v>2</v>
      </c>
      <c r="R396" s="125">
        <f>2</f>
        <v>2</v>
      </c>
      <c r="S396" s="125">
        <f>2</f>
        <v>2</v>
      </c>
      <c r="T396" s="125">
        <f>2</f>
        <v>2</v>
      </c>
      <c r="U396" s="125">
        <f>2</f>
        <v>2</v>
      </c>
      <c r="V396" s="125">
        <f>2</f>
        <v>2</v>
      </c>
      <c r="W396" s="125">
        <f>2</f>
        <v>2</v>
      </c>
      <c r="X396" s="125">
        <f>2</f>
        <v>2</v>
      </c>
      <c r="Y396" s="125">
        <f>2</f>
        <v>2</v>
      </c>
      <c r="Z396" s="125">
        <f>2</f>
        <v>2</v>
      </c>
      <c r="AA396" s="125">
        <f>2</f>
        <v>2</v>
      </c>
      <c r="AB396" s="125">
        <f>2</f>
        <v>2</v>
      </c>
      <c r="AC396" s="125">
        <f>2</f>
        <v>2</v>
      </c>
      <c r="AD396" s="125">
        <f>2</f>
        <v>2</v>
      </c>
      <c r="AE396" s="125">
        <f>2</f>
        <v>2</v>
      </c>
      <c r="AF396" s="125">
        <f>2</f>
        <v>2</v>
      </c>
      <c r="AG396" s="126">
        <f>2</f>
        <v>2</v>
      </c>
      <c r="AH396" s="22"/>
    </row>
    <row r="397" spans="1:34" x14ac:dyDescent="0.25">
      <c r="A397" s="112"/>
      <c r="B397" s="136" t="s">
        <v>107</v>
      </c>
      <c r="C397" s="67" t="s">
        <v>59</v>
      </c>
      <c r="D397" s="125">
        <f>2</f>
        <v>2</v>
      </c>
      <c r="E397" s="125">
        <f>2</f>
        <v>2</v>
      </c>
      <c r="F397" s="125">
        <f>2</f>
        <v>2</v>
      </c>
      <c r="G397" s="125">
        <f>2</f>
        <v>2</v>
      </c>
      <c r="H397" s="125">
        <f>2</f>
        <v>2</v>
      </c>
      <c r="I397" s="125">
        <f>2</f>
        <v>2</v>
      </c>
      <c r="J397" s="125">
        <f>2</f>
        <v>2</v>
      </c>
      <c r="K397" s="125">
        <f>2</f>
        <v>2</v>
      </c>
      <c r="L397" s="125">
        <f>2</f>
        <v>2</v>
      </c>
      <c r="M397" s="125">
        <f>2</f>
        <v>2</v>
      </c>
      <c r="N397" s="125">
        <f>2</f>
        <v>2</v>
      </c>
      <c r="O397" s="125">
        <f>2</f>
        <v>2</v>
      </c>
      <c r="P397" s="125">
        <f>2</f>
        <v>2</v>
      </c>
      <c r="Q397" s="125">
        <f>2</f>
        <v>2</v>
      </c>
      <c r="R397" s="125">
        <f>2</f>
        <v>2</v>
      </c>
      <c r="S397" s="125">
        <f>2</f>
        <v>2</v>
      </c>
      <c r="T397" s="125">
        <f>2</f>
        <v>2</v>
      </c>
      <c r="U397" s="125">
        <f>2</f>
        <v>2</v>
      </c>
      <c r="V397" s="125">
        <f>2</f>
        <v>2</v>
      </c>
      <c r="W397" s="125">
        <f>2</f>
        <v>2</v>
      </c>
      <c r="X397" s="125">
        <f>2</f>
        <v>2</v>
      </c>
      <c r="Y397" s="125">
        <f>2</f>
        <v>2</v>
      </c>
      <c r="Z397" s="125">
        <f>2</f>
        <v>2</v>
      </c>
      <c r="AA397" s="125">
        <f>2</f>
        <v>2</v>
      </c>
      <c r="AB397" s="125">
        <f>2</f>
        <v>2</v>
      </c>
      <c r="AC397" s="125">
        <f>2</f>
        <v>2</v>
      </c>
      <c r="AD397" s="125">
        <f>2</f>
        <v>2</v>
      </c>
      <c r="AE397" s="125">
        <f>2</f>
        <v>2</v>
      </c>
      <c r="AF397" s="125">
        <f>2</f>
        <v>2</v>
      </c>
      <c r="AG397" s="126">
        <f>2</f>
        <v>2</v>
      </c>
      <c r="AH397" s="22"/>
    </row>
    <row r="398" spans="1:34" x14ac:dyDescent="0.25">
      <c r="A398" s="112"/>
      <c r="B398" s="136" t="s">
        <v>108</v>
      </c>
      <c r="C398" s="67" t="s">
        <v>59</v>
      </c>
      <c r="D398" s="125">
        <f>2</f>
        <v>2</v>
      </c>
      <c r="E398" s="125">
        <f>2</f>
        <v>2</v>
      </c>
      <c r="F398" s="125">
        <f>2</f>
        <v>2</v>
      </c>
      <c r="G398" s="125">
        <f>2</f>
        <v>2</v>
      </c>
      <c r="H398" s="125">
        <f>2</f>
        <v>2</v>
      </c>
      <c r="I398" s="125">
        <f>2</f>
        <v>2</v>
      </c>
      <c r="J398" s="125">
        <f>2</f>
        <v>2</v>
      </c>
      <c r="K398" s="125">
        <f>2</f>
        <v>2</v>
      </c>
      <c r="L398" s="125">
        <f>2</f>
        <v>2</v>
      </c>
      <c r="M398" s="125">
        <f>2</f>
        <v>2</v>
      </c>
      <c r="N398" s="125">
        <f>2</f>
        <v>2</v>
      </c>
      <c r="O398" s="125">
        <f>2</f>
        <v>2</v>
      </c>
      <c r="P398" s="125">
        <f>2</f>
        <v>2</v>
      </c>
      <c r="Q398" s="125">
        <f>2</f>
        <v>2</v>
      </c>
      <c r="R398" s="125">
        <f>2</f>
        <v>2</v>
      </c>
      <c r="S398" s="125">
        <f>2</f>
        <v>2</v>
      </c>
      <c r="T398" s="125">
        <f>2</f>
        <v>2</v>
      </c>
      <c r="U398" s="125">
        <f>2</f>
        <v>2</v>
      </c>
      <c r="V398" s="125">
        <f>2</f>
        <v>2</v>
      </c>
      <c r="W398" s="125">
        <f>2</f>
        <v>2</v>
      </c>
      <c r="X398" s="125">
        <f>2</f>
        <v>2</v>
      </c>
      <c r="Y398" s="125">
        <f>2</f>
        <v>2</v>
      </c>
      <c r="Z398" s="125">
        <f>2</f>
        <v>2</v>
      </c>
      <c r="AA398" s="125">
        <f>2</f>
        <v>2</v>
      </c>
      <c r="AB398" s="125">
        <f>2</f>
        <v>2</v>
      </c>
      <c r="AC398" s="125">
        <f>2</f>
        <v>2</v>
      </c>
      <c r="AD398" s="125">
        <f>2</f>
        <v>2</v>
      </c>
      <c r="AE398" s="125">
        <f>2</f>
        <v>2</v>
      </c>
      <c r="AF398" s="125">
        <f>2</f>
        <v>2</v>
      </c>
      <c r="AG398" s="126">
        <f>2</f>
        <v>2</v>
      </c>
      <c r="AH398" s="22"/>
    </row>
    <row r="399" spans="1:34" x14ac:dyDescent="0.25">
      <c r="A399" s="112"/>
      <c r="B399" s="136" t="s">
        <v>109</v>
      </c>
      <c r="C399" s="67" t="s">
        <v>59</v>
      </c>
      <c r="D399" s="125">
        <f>2</f>
        <v>2</v>
      </c>
      <c r="E399" s="125">
        <f>2</f>
        <v>2</v>
      </c>
      <c r="F399" s="125">
        <f>2</f>
        <v>2</v>
      </c>
      <c r="G399" s="125">
        <f>2</f>
        <v>2</v>
      </c>
      <c r="H399" s="125">
        <f>2</f>
        <v>2</v>
      </c>
      <c r="I399" s="125">
        <f>2</f>
        <v>2</v>
      </c>
      <c r="J399" s="125">
        <f>2</f>
        <v>2</v>
      </c>
      <c r="K399" s="125">
        <f>2</f>
        <v>2</v>
      </c>
      <c r="L399" s="125">
        <f>2</f>
        <v>2</v>
      </c>
      <c r="M399" s="125">
        <f>2</f>
        <v>2</v>
      </c>
      <c r="N399" s="125">
        <f>2</f>
        <v>2</v>
      </c>
      <c r="O399" s="125">
        <f>2</f>
        <v>2</v>
      </c>
      <c r="P399" s="125">
        <f>2</f>
        <v>2</v>
      </c>
      <c r="Q399" s="125">
        <f>2</f>
        <v>2</v>
      </c>
      <c r="R399" s="125">
        <f>2</f>
        <v>2</v>
      </c>
      <c r="S399" s="125">
        <f>2</f>
        <v>2</v>
      </c>
      <c r="T399" s="125">
        <f>2</f>
        <v>2</v>
      </c>
      <c r="U399" s="125">
        <f>2</f>
        <v>2</v>
      </c>
      <c r="V399" s="125">
        <f>2</f>
        <v>2</v>
      </c>
      <c r="W399" s="125">
        <f>2</f>
        <v>2</v>
      </c>
      <c r="X399" s="125">
        <f>2</f>
        <v>2</v>
      </c>
      <c r="Y399" s="125">
        <f>2</f>
        <v>2</v>
      </c>
      <c r="Z399" s="125">
        <f>2</f>
        <v>2</v>
      </c>
      <c r="AA399" s="125">
        <f>2</f>
        <v>2</v>
      </c>
      <c r="AB399" s="125">
        <f>2</f>
        <v>2</v>
      </c>
      <c r="AC399" s="125">
        <f>2</f>
        <v>2</v>
      </c>
      <c r="AD399" s="125">
        <f>2</f>
        <v>2</v>
      </c>
      <c r="AE399" s="125">
        <f>2</f>
        <v>2</v>
      </c>
      <c r="AF399" s="125">
        <f>2</f>
        <v>2</v>
      </c>
      <c r="AG399" s="126">
        <f>2</f>
        <v>2</v>
      </c>
      <c r="AH399" s="22"/>
    </row>
    <row r="400" spans="1:34" x14ac:dyDescent="0.25">
      <c r="A400" s="112"/>
      <c r="B400" s="136" t="s">
        <v>449</v>
      </c>
      <c r="C400" s="67" t="s">
        <v>59</v>
      </c>
      <c r="D400" s="125">
        <f>2</f>
        <v>2</v>
      </c>
      <c r="E400" s="125">
        <f>2</f>
        <v>2</v>
      </c>
      <c r="F400" s="125">
        <f>2</f>
        <v>2</v>
      </c>
      <c r="G400" s="125">
        <f>2</f>
        <v>2</v>
      </c>
      <c r="H400" s="125">
        <f>2</f>
        <v>2</v>
      </c>
      <c r="I400" s="125">
        <f>2</f>
        <v>2</v>
      </c>
      <c r="J400" s="125">
        <f>2</f>
        <v>2</v>
      </c>
      <c r="K400" s="125">
        <f>2</f>
        <v>2</v>
      </c>
      <c r="L400" s="125">
        <f>2</f>
        <v>2</v>
      </c>
      <c r="M400" s="125">
        <f>2</f>
        <v>2</v>
      </c>
      <c r="N400" s="125">
        <f>2</f>
        <v>2</v>
      </c>
      <c r="O400" s="125">
        <f>2</f>
        <v>2</v>
      </c>
      <c r="P400" s="125">
        <f>2</f>
        <v>2</v>
      </c>
      <c r="Q400" s="125">
        <f>2</f>
        <v>2</v>
      </c>
      <c r="R400" s="125">
        <f>2</f>
        <v>2</v>
      </c>
      <c r="S400" s="125">
        <f>2</f>
        <v>2</v>
      </c>
      <c r="T400" s="125">
        <f>2</f>
        <v>2</v>
      </c>
      <c r="U400" s="125">
        <f>2</f>
        <v>2</v>
      </c>
      <c r="V400" s="125">
        <f>2</f>
        <v>2</v>
      </c>
      <c r="W400" s="125">
        <f>2</f>
        <v>2</v>
      </c>
      <c r="X400" s="125">
        <f>2</f>
        <v>2</v>
      </c>
      <c r="Y400" s="125">
        <f>2</f>
        <v>2</v>
      </c>
      <c r="Z400" s="125">
        <f>2</f>
        <v>2</v>
      </c>
      <c r="AA400" s="125">
        <f>2</f>
        <v>2</v>
      </c>
      <c r="AB400" s="125">
        <f>2</f>
        <v>2</v>
      </c>
      <c r="AC400" s="125">
        <f>2</f>
        <v>2</v>
      </c>
      <c r="AD400" s="125">
        <f>2</f>
        <v>2</v>
      </c>
      <c r="AE400" s="125">
        <f>2</f>
        <v>2</v>
      </c>
      <c r="AF400" s="125">
        <f>2</f>
        <v>2</v>
      </c>
      <c r="AG400" s="126">
        <f>2</f>
        <v>2</v>
      </c>
      <c r="AH400" s="22"/>
    </row>
    <row r="401" spans="1:34" x14ac:dyDescent="0.25">
      <c r="A401" s="112"/>
      <c r="B401" s="136" t="s">
        <v>110</v>
      </c>
      <c r="C401" s="67" t="s">
        <v>59</v>
      </c>
      <c r="D401" s="125">
        <f>2</f>
        <v>2</v>
      </c>
      <c r="E401" s="125">
        <f>2</f>
        <v>2</v>
      </c>
      <c r="F401" s="125">
        <f>2</f>
        <v>2</v>
      </c>
      <c r="G401" s="125">
        <f>2</f>
        <v>2</v>
      </c>
      <c r="H401" s="125">
        <f>2</f>
        <v>2</v>
      </c>
      <c r="I401" s="125">
        <f>2</f>
        <v>2</v>
      </c>
      <c r="J401" s="125">
        <f>2</f>
        <v>2</v>
      </c>
      <c r="K401" s="125">
        <f>2</f>
        <v>2</v>
      </c>
      <c r="L401" s="125">
        <f>2</f>
        <v>2</v>
      </c>
      <c r="M401" s="125">
        <f>2</f>
        <v>2</v>
      </c>
      <c r="N401" s="125">
        <f>2</f>
        <v>2</v>
      </c>
      <c r="O401" s="125">
        <f>2</f>
        <v>2</v>
      </c>
      <c r="P401" s="125">
        <f>2</f>
        <v>2</v>
      </c>
      <c r="Q401" s="125">
        <f>2</f>
        <v>2</v>
      </c>
      <c r="R401" s="125">
        <f>2</f>
        <v>2</v>
      </c>
      <c r="S401" s="125">
        <f>2</f>
        <v>2</v>
      </c>
      <c r="T401" s="125">
        <f>2</f>
        <v>2</v>
      </c>
      <c r="U401" s="125">
        <f>2</f>
        <v>2</v>
      </c>
      <c r="V401" s="125">
        <f>2</f>
        <v>2</v>
      </c>
      <c r="W401" s="125">
        <f>2</f>
        <v>2</v>
      </c>
      <c r="X401" s="125">
        <f>2</f>
        <v>2</v>
      </c>
      <c r="Y401" s="125">
        <f>2</f>
        <v>2</v>
      </c>
      <c r="Z401" s="125">
        <f>2</f>
        <v>2</v>
      </c>
      <c r="AA401" s="125">
        <f>2</f>
        <v>2</v>
      </c>
      <c r="AB401" s="125">
        <f>2</f>
        <v>2</v>
      </c>
      <c r="AC401" s="125">
        <f>2</f>
        <v>2</v>
      </c>
      <c r="AD401" s="125">
        <f>2</f>
        <v>2</v>
      </c>
      <c r="AE401" s="125">
        <f>2</f>
        <v>2</v>
      </c>
      <c r="AF401" s="125">
        <f>2</f>
        <v>2</v>
      </c>
      <c r="AG401" s="126">
        <f>2</f>
        <v>2</v>
      </c>
      <c r="AH401" s="22"/>
    </row>
    <row r="402" spans="1:34" x14ac:dyDescent="0.25">
      <c r="A402" s="112"/>
      <c r="B402" s="136" t="s">
        <v>450</v>
      </c>
      <c r="C402" s="67" t="s">
        <v>59</v>
      </c>
      <c r="D402" s="125">
        <f>2</f>
        <v>2</v>
      </c>
      <c r="E402" s="125">
        <f>2</f>
        <v>2</v>
      </c>
      <c r="F402" s="125">
        <f>2</f>
        <v>2</v>
      </c>
      <c r="G402" s="125">
        <f>2</f>
        <v>2</v>
      </c>
      <c r="H402" s="125">
        <f>2</f>
        <v>2</v>
      </c>
      <c r="I402" s="125">
        <f>2</f>
        <v>2</v>
      </c>
      <c r="J402" s="125">
        <f>2</f>
        <v>2</v>
      </c>
      <c r="K402" s="125">
        <f>2</f>
        <v>2</v>
      </c>
      <c r="L402" s="125">
        <f>2</f>
        <v>2</v>
      </c>
      <c r="M402" s="125">
        <f>2</f>
        <v>2</v>
      </c>
      <c r="N402" s="125">
        <f>2</f>
        <v>2</v>
      </c>
      <c r="O402" s="125">
        <f>2</f>
        <v>2</v>
      </c>
      <c r="P402" s="125">
        <f>2</f>
        <v>2</v>
      </c>
      <c r="Q402" s="125">
        <f>2</f>
        <v>2</v>
      </c>
      <c r="R402" s="125">
        <f>2</f>
        <v>2</v>
      </c>
      <c r="S402" s="125">
        <f>2</f>
        <v>2</v>
      </c>
      <c r="T402" s="125">
        <f>2</f>
        <v>2</v>
      </c>
      <c r="U402" s="125">
        <f>2</f>
        <v>2</v>
      </c>
      <c r="V402" s="125">
        <f>2</f>
        <v>2</v>
      </c>
      <c r="W402" s="125">
        <f>2</f>
        <v>2</v>
      </c>
      <c r="X402" s="125">
        <f>2</f>
        <v>2</v>
      </c>
      <c r="Y402" s="125">
        <f>2</f>
        <v>2</v>
      </c>
      <c r="Z402" s="125">
        <f>2</f>
        <v>2</v>
      </c>
      <c r="AA402" s="125">
        <f>2</f>
        <v>2</v>
      </c>
      <c r="AB402" s="125">
        <f>2</f>
        <v>2</v>
      </c>
      <c r="AC402" s="125">
        <f>2</f>
        <v>2</v>
      </c>
      <c r="AD402" s="125">
        <f>2</f>
        <v>2</v>
      </c>
      <c r="AE402" s="125">
        <f>2</f>
        <v>2</v>
      </c>
      <c r="AF402" s="125">
        <f>2</f>
        <v>2</v>
      </c>
      <c r="AG402" s="126">
        <f>2</f>
        <v>2</v>
      </c>
      <c r="AH402" s="22"/>
    </row>
    <row r="403" spans="1:34" x14ac:dyDescent="0.25">
      <c r="A403" s="112"/>
      <c r="B403" s="136" t="s">
        <v>111</v>
      </c>
      <c r="C403" s="67" t="s">
        <v>59</v>
      </c>
      <c r="D403" s="125">
        <f>1</f>
        <v>1</v>
      </c>
      <c r="E403" s="125">
        <f>1</f>
        <v>1</v>
      </c>
      <c r="F403" s="125">
        <f>1</f>
        <v>1</v>
      </c>
      <c r="G403" s="125">
        <f>1</f>
        <v>1</v>
      </c>
      <c r="H403" s="125">
        <f>1</f>
        <v>1</v>
      </c>
      <c r="I403" s="125">
        <f>1</f>
        <v>1</v>
      </c>
      <c r="J403" s="125">
        <f>1</f>
        <v>1</v>
      </c>
      <c r="K403" s="125">
        <f>1</f>
        <v>1</v>
      </c>
      <c r="L403" s="125">
        <f>1</f>
        <v>1</v>
      </c>
      <c r="M403" s="125">
        <f>1</f>
        <v>1</v>
      </c>
      <c r="N403" s="125">
        <f>1</f>
        <v>1</v>
      </c>
      <c r="O403" s="125">
        <f>1</f>
        <v>1</v>
      </c>
      <c r="P403" s="125">
        <f>1</f>
        <v>1</v>
      </c>
      <c r="Q403" s="125">
        <f>1</f>
        <v>1</v>
      </c>
      <c r="R403" s="125">
        <f>1</f>
        <v>1</v>
      </c>
      <c r="S403" s="125">
        <f>1</f>
        <v>1</v>
      </c>
      <c r="T403" s="125">
        <f>1</f>
        <v>1</v>
      </c>
      <c r="U403" s="125">
        <f>1</f>
        <v>1</v>
      </c>
      <c r="V403" s="125">
        <f>1</f>
        <v>1</v>
      </c>
      <c r="W403" s="125">
        <f>1</f>
        <v>1</v>
      </c>
      <c r="X403" s="125">
        <f>1</f>
        <v>1</v>
      </c>
      <c r="Y403" s="125">
        <f>1</f>
        <v>1</v>
      </c>
      <c r="Z403" s="125">
        <f>1</f>
        <v>1</v>
      </c>
      <c r="AA403" s="125">
        <f>1</f>
        <v>1</v>
      </c>
      <c r="AB403" s="125">
        <f>1</f>
        <v>1</v>
      </c>
      <c r="AC403" s="125">
        <f>1</f>
        <v>1</v>
      </c>
      <c r="AD403" s="125">
        <f>1</f>
        <v>1</v>
      </c>
      <c r="AE403" s="125">
        <f>1</f>
        <v>1</v>
      </c>
      <c r="AF403" s="125">
        <f>1</f>
        <v>1</v>
      </c>
      <c r="AG403" s="126">
        <f>1</f>
        <v>1</v>
      </c>
      <c r="AH403" s="22"/>
    </row>
    <row r="404" spans="1:34" x14ac:dyDescent="0.25">
      <c r="A404" s="112"/>
      <c r="B404" s="136" t="s">
        <v>112</v>
      </c>
      <c r="C404" s="67" t="s">
        <v>59</v>
      </c>
      <c r="D404" s="125">
        <f>1</f>
        <v>1</v>
      </c>
      <c r="E404" s="125">
        <f>1</f>
        <v>1</v>
      </c>
      <c r="F404" s="125">
        <f>1</f>
        <v>1</v>
      </c>
      <c r="G404" s="125">
        <f>1</f>
        <v>1</v>
      </c>
      <c r="H404" s="125">
        <f>1</f>
        <v>1</v>
      </c>
      <c r="I404" s="125">
        <f>1</f>
        <v>1</v>
      </c>
      <c r="J404" s="125">
        <f>1</f>
        <v>1</v>
      </c>
      <c r="K404" s="125">
        <f>1</f>
        <v>1</v>
      </c>
      <c r="L404" s="125">
        <f>1</f>
        <v>1</v>
      </c>
      <c r="M404" s="125">
        <f>1</f>
        <v>1</v>
      </c>
      <c r="N404" s="125">
        <f>1</f>
        <v>1</v>
      </c>
      <c r="O404" s="125">
        <f>1</f>
        <v>1</v>
      </c>
      <c r="P404" s="125">
        <f>1</f>
        <v>1</v>
      </c>
      <c r="Q404" s="125">
        <f>1</f>
        <v>1</v>
      </c>
      <c r="R404" s="125">
        <f>1</f>
        <v>1</v>
      </c>
      <c r="S404" s="125">
        <f>1</f>
        <v>1</v>
      </c>
      <c r="T404" s="125">
        <f>1</f>
        <v>1</v>
      </c>
      <c r="U404" s="125">
        <f>1</f>
        <v>1</v>
      </c>
      <c r="V404" s="125">
        <f>1</f>
        <v>1</v>
      </c>
      <c r="W404" s="125">
        <f>1</f>
        <v>1</v>
      </c>
      <c r="X404" s="125">
        <f>1</f>
        <v>1</v>
      </c>
      <c r="Y404" s="125">
        <f>1</f>
        <v>1</v>
      </c>
      <c r="Z404" s="125">
        <f>1</f>
        <v>1</v>
      </c>
      <c r="AA404" s="125">
        <f>1</f>
        <v>1</v>
      </c>
      <c r="AB404" s="125">
        <f>1</f>
        <v>1</v>
      </c>
      <c r="AC404" s="125">
        <f>1</f>
        <v>1</v>
      </c>
      <c r="AD404" s="125">
        <f>1</f>
        <v>1</v>
      </c>
      <c r="AE404" s="125">
        <f>1</f>
        <v>1</v>
      </c>
      <c r="AF404" s="125">
        <f>1</f>
        <v>1</v>
      </c>
      <c r="AG404" s="126">
        <f>1</f>
        <v>1</v>
      </c>
      <c r="AH404" s="22"/>
    </row>
    <row r="405" spans="1:34" x14ac:dyDescent="0.25">
      <c r="A405" s="112"/>
      <c r="B405" s="136" t="s">
        <v>113</v>
      </c>
      <c r="C405" s="67" t="s">
        <v>59</v>
      </c>
      <c r="D405" s="125">
        <f>1</f>
        <v>1</v>
      </c>
      <c r="E405" s="125">
        <f>1</f>
        <v>1</v>
      </c>
      <c r="F405" s="125">
        <f>1</f>
        <v>1</v>
      </c>
      <c r="G405" s="125">
        <f>1</f>
        <v>1</v>
      </c>
      <c r="H405" s="125">
        <f>1</f>
        <v>1</v>
      </c>
      <c r="I405" s="125">
        <f>1</f>
        <v>1</v>
      </c>
      <c r="J405" s="125">
        <f>1</f>
        <v>1</v>
      </c>
      <c r="K405" s="125">
        <f>1</f>
        <v>1</v>
      </c>
      <c r="L405" s="125">
        <f>1</f>
        <v>1</v>
      </c>
      <c r="M405" s="125">
        <f>1</f>
        <v>1</v>
      </c>
      <c r="N405" s="125">
        <f>1</f>
        <v>1</v>
      </c>
      <c r="O405" s="125">
        <f>1</f>
        <v>1</v>
      </c>
      <c r="P405" s="125">
        <f>1</f>
        <v>1</v>
      </c>
      <c r="Q405" s="125">
        <f>1</f>
        <v>1</v>
      </c>
      <c r="R405" s="125">
        <f>1</f>
        <v>1</v>
      </c>
      <c r="S405" s="125">
        <f>1</f>
        <v>1</v>
      </c>
      <c r="T405" s="125">
        <f>1</f>
        <v>1</v>
      </c>
      <c r="U405" s="125">
        <f>1</f>
        <v>1</v>
      </c>
      <c r="V405" s="125">
        <f>1</f>
        <v>1</v>
      </c>
      <c r="W405" s="125">
        <f>1</f>
        <v>1</v>
      </c>
      <c r="X405" s="125">
        <f>1</f>
        <v>1</v>
      </c>
      <c r="Y405" s="125">
        <f>1</f>
        <v>1</v>
      </c>
      <c r="Z405" s="125">
        <f>1</f>
        <v>1</v>
      </c>
      <c r="AA405" s="125">
        <f>1</f>
        <v>1</v>
      </c>
      <c r="AB405" s="125">
        <f>1</f>
        <v>1</v>
      </c>
      <c r="AC405" s="125">
        <f>1</f>
        <v>1</v>
      </c>
      <c r="AD405" s="125">
        <f>1</f>
        <v>1</v>
      </c>
      <c r="AE405" s="125">
        <f>1</f>
        <v>1</v>
      </c>
      <c r="AF405" s="125">
        <f>1</f>
        <v>1</v>
      </c>
      <c r="AG405" s="126">
        <f>1</f>
        <v>1</v>
      </c>
      <c r="AH405" s="22"/>
    </row>
    <row r="406" spans="1:34" x14ac:dyDescent="0.25">
      <c r="A406" s="112"/>
      <c r="B406" s="136" t="s">
        <v>114</v>
      </c>
      <c r="C406" s="67" t="s">
        <v>59</v>
      </c>
      <c r="D406" s="125">
        <f>1</f>
        <v>1</v>
      </c>
      <c r="E406" s="125">
        <f>1</f>
        <v>1</v>
      </c>
      <c r="F406" s="125">
        <f>1</f>
        <v>1</v>
      </c>
      <c r="G406" s="125">
        <f>1</f>
        <v>1</v>
      </c>
      <c r="H406" s="125">
        <f>1</f>
        <v>1</v>
      </c>
      <c r="I406" s="125">
        <f>1</f>
        <v>1</v>
      </c>
      <c r="J406" s="125">
        <f>1</f>
        <v>1</v>
      </c>
      <c r="K406" s="125">
        <f>1</f>
        <v>1</v>
      </c>
      <c r="L406" s="125">
        <f>1</f>
        <v>1</v>
      </c>
      <c r="M406" s="125">
        <f>1</f>
        <v>1</v>
      </c>
      <c r="N406" s="125">
        <f>1</f>
        <v>1</v>
      </c>
      <c r="O406" s="125">
        <f>1</f>
        <v>1</v>
      </c>
      <c r="P406" s="125">
        <f>1</f>
        <v>1</v>
      </c>
      <c r="Q406" s="125">
        <f>1</f>
        <v>1</v>
      </c>
      <c r="R406" s="125">
        <f>1</f>
        <v>1</v>
      </c>
      <c r="S406" s="125">
        <f>1</f>
        <v>1</v>
      </c>
      <c r="T406" s="125">
        <f>1</f>
        <v>1</v>
      </c>
      <c r="U406" s="125">
        <f>1</f>
        <v>1</v>
      </c>
      <c r="V406" s="125">
        <f>1</f>
        <v>1</v>
      </c>
      <c r="W406" s="125">
        <f>1</f>
        <v>1</v>
      </c>
      <c r="X406" s="125">
        <f>1</f>
        <v>1</v>
      </c>
      <c r="Y406" s="125">
        <f>1</f>
        <v>1</v>
      </c>
      <c r="Z406" s="125">
        <f>1</f>
        <v>1</v>
      </c>
      <c r="AA406" s="125">
        <f>1</f>
        <v>1</v>
      </c>
      <c r="AB406" s="125">
        <f>1</f>
        <v>1</v>
      </c>
      <c r="AC406" s="125">
        <f>1</f>
        <v>1</v>
      </c>
      <c r="AD406" s="125">
        <f>1</f>
        <v>1</v>
      </c>
      <c r="AE406" s="125">
        <f>1</f>
        <v>1</v>
      </c>
      <c r="AF406" s="125">
        <f>1</f>
        <v>1</v>
      </c>
      <c r="AG406" s="126">
        <f>1</f>
        <v>1</v>
      </c>
      <c r="AH406" s="22"/>
    </row>
    <row r="407" spans="1:34" x14ac:dyDescent="0.25">
      <c r="A407" s="112"/>
      <c r="B407" s="136" t="s">
        <v>115</v>
      </c>
      <c r="C407" s="67" t="s">
        <v>59</v>
      </c>
      <c r="D407" s="125">
        <f>1</f>
        <v>1</v>
      </c>
      <c r="E407" s="125">
        <f>1</f>
        <v>1</v>
      </c>
      <c r="F407" s="125">
        <f>1</f>
        <v>1</v>
      </c>
      <c r="G407" s="125">
        <f>1</f>
        <v>1</v>
      </c>
      <c r="H407" s="125">
        <f>1</f>
        <v>1</v>
      </c>
      <c r="I407" s="125">
        <f>1</f>
        <v>1</v>
      </c>
      <c r="J407" s="125">
        <f>1</f>
        <v>1</v>
      </c>
      <c r="K407" s="125">
        <f>1</f>
        <v>1</v>
      </c>
      <c r="L407" s="125">
        <f>1</f>
        <v>1</v>
      </c>
      <c r="M407" s="125">
        <f>1</f>
        <v>1</v>
      </c>
      <c r="N407" s="125">
        <f>1</f>
        <v>1</v>
      </c>
      <c r="O407" s="125">
        <f>1</f>
        <v>1</v>
      </c>
      <c r="P407" s="125">
        <f>1</f>
        <v>1</v>
      </c>
      <c r="Q407" s="125">
        <f>1</f>
        <v>1</v>
      </c>
      <c r="R407" s="125">
        <f>1</f>
        <v>1</v>
      </c>
      <c r="S407" s="125">
        <f>1</f>
        <v>1</v>
      </c>
      <c r="T407" s="125">
        <f>1</f>
        <v>1</v>
      </c>
      <c r="U407" s="125">
        <f>1</f>
        <v>1</v>
      </c>
      <c r="V407" s="125">
        <f>1</f>
        <v>1</v>
      </c>
      <c r="W407" s="125">
        <f>1</f>
        <v>1</v>
      </c>
      <c r="X407" s="125">
        <f>1</f>
        <v>1</v>
      </c>
      <c r="Y407" s="125">
        <f>1</f>
        <v>1</v>
      </c>
      <c r="Z407" s="125">
        <f>1</f>
        <v>1</v>
      </c>
      <c r="AA407" s="125">
        <f>1</f>
        <v>1</v>
      </c>
      <c r="AB407" s="125">
        <f>1</f>
        <v>1</v>
      </c>
      <c r="AC407" s="125">
        <f>1</f>
        <v>1</v>
      </c>
      <c r="AD407" s="125">
        <f>1</f>
        <v>1</v>
      </c>
      <c r="AE407" s="125">
        <f>1</f>
        <v>1</v>
      </c>
      <c r="AF407" s="125">
        <f>1</f>
        <v>1</v>
      </c>
      <c r="AG407" s="126">
        <f>1</f>
        <v>1</v>
      </c>
      <c r="AH407" s="22"/>
    </row>
    <row r="408" spans="1:34" x14ac:dyDescent="0.25">
      <c r="A408" s="112"/>
      <c r="B408" s="136" t="s">
        <v>116</v>
      </c>
      <c r="C408" s="67" t="s">
        <v>59</v>
      </c>
      <c r="D408" s="125">
        <f>1</f>
        <v>1</v>
      </c>
      <c r="E408" s="125">
        <f>1</f>
        <v>1</v>
      </c>
      <c r="F408" s="125">
        <f>1</f>
        <v>1</v>
      </c>
      <c r="G408" s="125">
        <f>1</f>
        <v>1</v>
      </c>
      <c r="H408" s="125">
        <f>1</f>
        <v>1</v>
      </c>
      <c r="I408" s="125">
        <f>1</f>
        <v>1</v>
      </c>
      <c r="J408" s="125">
        <f>1</f>
        <v>1</v>
      </c>
      <c r="K408" s="125">
        <f>1</f>
        <v>1</v>
      </c>
      <c r="L408" s="125">
        <f>1</f>
        <v>1</v>
      </c>
      <c r="M408" s="125">
        <f>1</f>
        <v>1</v>
      </c>
      <c r="N408" s="125">
        <f>1</f>
        <v>1</v>
      </c>
      <c r="O408" s="125">
        <f>1</f>
        <v>1</v>
      </c>
      <c r="P408" s="125">
        <f>1</f>
        <v>1</v>
      </c>
      <c r="Q408" s="125">
        <f>1</f>
        <v>1</v>
      </c>
      <c r="R408" s="125">
        <f>1</f>
        <v>1</v>
      </c>
      <c r="S408" s="125">
        <f>1</f>
        <v>1</v>
      </c>
      <c r="T408" s="125">
        <f>1</f>
        <v>1</v>
      </c>
      <c r="U408" s="125">
        <f>1</f>
        <v>1</v>
      </c>
      <c r="V408" s="125">
        <f>1</f>
        <v>1</v>
      </c>
      <c r="W408" s="125">
        <f>1</f>
        <v>1</v>
      </c>
      <c r="X408" s="125">
        <f>1</f>
        <v>1</v>
      </c>
      <c r="Y408" s="125">
        <f>1</f>
        <v>1</v>
      </c>
      <c r="Z408" s="125">
        <f>1</f>
        <v>1</v>
      </c>
      <c r="AA408" s="125">
        <f>1</f>
        <v>1</v>
      </c>
      <c r="AB408" s="125">
        <f>1</f>
        <v>1</v>
      </c>
      <c r="AC408" s="125">
        <f>1</f>
        <v>1</v>
      </c>
      <c r="AD408" s="125">
        <f>1</f>
        <v>1</v>
      </c>
      <c r="AE408" s="125">
        <f>1</f>
        <v>1</v>
      </c>
      <c r="AF408" s="125">
        <f>1</f>
        <v>1</v>
      </c>
      <c r="AG408" s="126">
        <f>1</f>
        <v>1</v>
      </c>
      <c r="AH408" s="22"/>
    </row>
    <row r="409" spans="1:34" x14ac:dyDescent="0.25">
      <c r="A409" s="112"/>
      <c r="B409" s="136" t="s">
        <v>117</v>
      </c>
      <c r="C409" s="67" t="s">
        <v>59</v>
      </c>
      <c r="D409" s="125">
        <f>1</f>
        <v>1</v>
      </c>
      <c r="E409" s="125">
        <f>1</f>
        <v>1</v>
      </c>
      <c r="F409" s="125">
        <f>1</f>
        <v>1</v>
      </c>
      <c r="G409" s="125">
        <f>1</f>
        <v>1</v>
      </c>
      <c r="H409" s="125">
        <f>1</f>
        <v>1</v>
      </c>
      <c r="I409" s="125">
        <f>1</f>
        <v>1</v>
      </c>
      <c r="J409" s="125">
        <f>1</f>
        <v>1</v>
      </c>
      <c r="K409" s="125">
        <f>1</f>
        <v>1</v>
      </c>
      <c r="L409" s="125">
        <f>1</f>
        <v>1</v>
      </c>
      <c r="M409" s="125">
        <f>1</f>
        <v>1</v>
      </c>
      <c r="N409" s="125">
        <f>1</f>
        <v>1</v>
      </c>
      <c r="O409" s="125">
        <f>1</f>
        <v>1</v>
      </c>
      <c r="P409" s="125">
        <f>1</f>
        <v>1</v>
      </c>
      <c r="Q409" s="125">
        <f>1</f>
        <v>1</v>
      </c>
      <c r="R409" s="125">
        <f>1</f>
        <v>1</v>
      </c>
      <c r="S409" s="125">
        <f>1</f>
        <v>1</v>
      </c>
      <c r="T409" s="125">
        <f>1</f>
        <v>1</v>
      </c>
      <c r="U409" s="125">
        <f>1</f>
        <v>1</v>
      </c>
      <c r="V409" s="125">
        <f>1</f>
        <v>1</v>
      </c>
      <c r="W409" s="125">
        <f>1</f>
        <v>1</v>
      </c>
      <c r="X409" s="125">
        <f>1</f>
        <v>1</v>
      </c>
      <c r="Y409" s="125">
        <f>1</f>
        <v>1</v>
      </c>
      <c r="Z409" s="125">
        <f>1</f>
        <v>1</v>
      </c>
      <c r="AA409" s="125">
        <f>1</f>
        <v>1</v>
      </c>
      <c r="AB409" s="125">
        <f>1</f>
        <v>1</v>
      </c>
      <c r="AC409" s="125">
        <f>1</f>
        <v>1</v>
      </c>
      <c r="AD409" s="125">
        <f>1</f>
        <v>1</v>
      </c>
      <c r="AE409" s="125">
        <f>1</f>
        <v>1</v>
      </c>
      <c r="AF409" s="125">
        <f>1</f>
        <v>1</v>
      </c>
      <c r="AG409" s="126">
        <f>1</f>
        <v>1</v>
      </c>
      <c r="AH409" s="22"/>
    </row>
    <row r="410" spans="1:34" x14ac:dyDescent="0.25">
      <c r="A410" s="112"/>
      <c r="B410" s="136" t="s">
        <v>118</v>
      </c>
      <c r="C410" s="67" t="s">
        <v>59</v>
      </c>
      <c r="D410" s="125">
        <f>1</f>
        <v>1</v>
      </c>
      <c r="E410" s="125">
        <f>1</f>
        <v>1</v>
      </c>
      <c r="F410" s="125">
        <f>1</f>
        <v>1</v>
      </c>
      <c r="G410" s="125">
        <f>1</f>
        <v>1</v>
      </c>
      <c r="H410" s="125">
        <f>1</f>
        <v>1</v>
      </c>
      <c r="I410" s="125">
        <f>1</f>
        <v>1</v>
      </c>
      <c r="J410" s="125">
        <f>1</f>
        <v>1</v>
      </c>
      <c r="K410" s="125">
        <f>1</f>
        <v>1</v>
      </c>
      <c r="L410" s="125">
        <f>1</f>
        <v>1</v>
      </c>
      <c r="M410" s="125">
        <f>1</f>
        <v>1</v>
      </c>
      <c r="N410" s="125">
        <f>1</f>
        <v>1</v>
      </c>
      <c r="O410" s="125">
        <f>1</f>
        <v>1</v>
      </c>
      <c r="P410" s="125">
        <f>1</f>
        <v>1</v>
      </c>
      <c r="Q410" s="125">
        <f>1</f>
        <v>1</v>
      </c>
      <c r="R410" s="125">
        <f>1</f>
        <v>1</v>
      </c>
      <c r="S410" s="125">
        <f>1</f>
        <v>1</v>
      </c>
      <c r="T410" s="125">
        <f>1</f>
        <v>1</v>
      </c>
      <c r="U410" s="125">
        <f>1</f>
        <v>1</v>
      </c>
      <c r="V410" s="125">
        <f>1</f>
        <v>1</v>
      </c>
      <c r="W410" s="125">
        <f>1</f>
        <v>1</v>
      </c>
      <c r="X410" s="125">
        <f>1</f>
        <v>1</v>
      </c>
      <c r="Y410" s="125">
        <f>1</f>
        <v>1</v>
      </c>
      <c r="Z410" s="125">
        <f>1</f>
        <v>1</v>
      </c>
      <c r="AA410" s="125">
        <f>1</f>
        <v>1</v>
      </c>
      <c r="AB410" s="125">
        <f>1</f>
        <v>1</v>
      </c>
      <c r="AC410" s="125">
        <f>1</f>
        <v>1</v>
      </c>
      <c r="AD410" s="125">
        <f>1</f>
        <v>1</v>
      </c>
      <c r="AE410" s="125">
        <f>1</f>
        <v>1</v>
      </c>
      <c r="AF410" s="125">
        <f>1</f>
        <v>1</v>
      </c>
      <c r="AG410" s="126">
        <f>1</f>
        <v>1</v>
      </c>
      <c r="AH410" s="22"/>
    </row>
    <row r="411" spans="1:34" x14ac:dyDescent="0.25">
      <c r="A411" s="112"/>
      <c r="B411" s="136" t="s">
        <v>119</v>
      </c>
      <c r="C411" s="67" t="s">
        <v>59</v>
      </c>
      <c r="D411" s="125">
        <f>1</f>
        <v>1</v>
      </c>
      <c r="E411" s="125">
        <f>1</f>
        <v>1</v>
      </c>
      <c r="F411" s="125">
        <f>1</f>
        <v>1</v>
      </c>
      <c r="G411" s="125">
        <f>1</f>
        <v>1</v>
      </c>
      <c r="H411" s="125">
        <f>1</f>
        <v>1</v>
      </c>
      <c r="I411" s="125">
        <f>1</f>
        <v>1</v>
      </c>
      <c r="J411" s="125">
        <f>1</f>
        <v>1</v>
      </c>
      <c r="K411" s="125">
        <f>1</f>
        <v>1</v>
      </c>
      <c r="L411" s="125">
        <f>1</f>
        <v>1</v>
      </c>
      <c r="M411" s="125">
        <f>1</f>
        <v>1</v>
      </c>
      <c r="N411" s="125">
        <f>1</f>
        <v>1</v>
      </c>
      <c r="O411" s="125">
        <f>1</f>
        <v>1</v>
      </c>
      <c r="P411" s="125">
        <f>1</f>
        <v>1</v>
      </c>
      <c r="Q411" s="125">
        <f>1</f>
        <v>1</v>
      </c>
      <c r="R411" s="125">
        <f>1</f>
        <v>1</v>
      </c>
      <c r="S411" s="125">
        <f>1</f>
        <v>1</v>
      </c>
      <c r="T411" s="125">
        <f>1</f>
        <v>1</v>
      </c>
      <c r="U411" s="125">
        <f>1</f>
        <v>1</v>
      </c>
      <c r="V411" s="125">
        <f>1</f>
        <v>1</v>
      </c>
      <c r="W411" s="125">
        <f>1</f>
        <v>1</v>
      </c>
      <c r="X411" s="125">
        <f>1</f>
        <v>1</v>
      </c>
      <c r="Y411" s="125">
        <f>1</f>
        <v>1</v>
      </c>
      <c r="Z411" s="125">
        <f>1</f>
        <v>1</v>
      </c>
      <c r="AA411" s="125">
        <f>1</f>
        <v>1</v>
      </c>
      <c r="AB411" s="125">
        <f>1</f>
        <v>1</v>
      </c>
      <c r="AC411" s="125">
        <f>1</f>
        <v>1</v>
      </c>
      <c r="AD411" s="125">
        <f>1</f>
        <v>1</v>
      </c>
      <c r="AE411" s="125">
        <f>1</f>
        <v>1</v>
      </c>
      <c r="AF411" s="125">
        <f>1</f>
        <v>1</v>
      </c>
      <c r="AG411" s="126">
        <f>1</f>
        <v>1</v>
      </c>
      <c r="AH411" s="22"/>
    </row>
    <row r="412" spans="1:34" x14ac:dyDescent="0.25">
      <c r="A412" s="112"/>
      <c r="B412" s="136" t="s">
        <v>120</v>
      </c>
      <c r="C412" s="67" t="s">
        <v>59</v>
      </c>
      <c r="D412" s="125">
        <f>1</f>
        <v>1</v>
      </c>
      <c r="E412" s="125">
        <f>1</f>
        <v>1</v>
      </c>
      <c r="F412" s="125">
        <f>1</f>
        <v>1</v>
      </c>
      <c r="G412" s="125">
        <f>1</f>
        <v>1</v>
      </c>
      <c r="H412" s="125">
        <f>1</f>
        <v>1</v>
      </c>
      <c r="I412" s="125">
        <f>1</f>
        <v>1</v>
      </c>
      <c r="J412" s="125">
        <f>1</f>
        <v>1</v>
      </c>
      <c r="K412" s="125">
        <f>1</f>
        <v>1</v>
      </c>
      <c r="L412" s="125">
        <f>1</f>
        <v>1</v>
      </c>
      <c r="M412" s="125">
        <f>1</f>
        <v>1</v>
      </c>
      <c r="N412" s="125">
        <f>1</f>
        <v>1</v>
      </c>
      <c r="O412" s="125">
        <f>1</f>
        <v>1</v>
      </c>
      <c r="P412" s="125">
        <f>1</f>
        <v>1</v>
      </c>
      <c r="Q412" s="125">
        <f>1</f>
        <v>1</v>
      </c>
      <c r="R412" s="125">
        <f>1</f>
        <v>1</v>
      </c>
      <c r="S412" s="125">
        <f>1</f>
        <v>1</v>
      </c>
      <c r="T412" s="125">
        <f>1</f>
        <v>1</v>
      </c>
      <c r="U412" s="125">
        <f>1</f>
        <v>1</v>
      </c>
      <c r="V412" s="125">
        <f>1</f>
        <v>1</v>
      </c>
      <c r="W412" s="125">
        <f>1</f>
        <v>1</v>
      </c>
      <c r="X412" s="125">
        <f>1</f>
        <v>1</v>
      </c>
      <c r="Y412" s="125">
        <f>1</f>
        <v>1</v>
      </c>
      <c r="Z412" s="125">
        <f>1</f>
        <v>1</v>
      </c>
      <c r="AA412" s="125">
        <f>1</f>
        <v>1</v>
      </c>
      <c r="AB412" s="125">
        <f>1</f>
        <v>1</v>
      </c>
      <c r="AC412" s="125">
        <f>1</f>
        <v>1</v>
      </c>
      <c r="AD412" s="125">
        <f>1</f>
        <v>1</v>
      </c>
      <c r="AE412" s="125">
        <f>1</f>
        <v>1</v>
      </c>
      <c r="AF412" s="125">
        <f>1</f>
        <v>1</v>
      </c>
      <c r="AG412" s="126">
        <f>1</f>
        <v>1</v>
      </c>
      <c r="AH412" s="22"/>
    </row>
    <row r="413" spans="1:34" x14ac:dyDescent="0.25">
      <c r="A413" s="112"/>
      <c r="B413" s="136" t="s">
        <v>121</v>
      </c>
      <c r="C413" s="67" t="s">
        <v>59</v>
      </c>
      <c r="D413" s="125">
        <f>1</f>
        <v>1</v>
      </c>
      <c r="E413" s="125">
        <f>1</f>
        <v>1</v>
      </c>
      <c r="F413" s="125">
        <f>1</f>
        <v>1</v>
      </c>
      <c r="G413" s="125">
        <f>1</f>
        <v>1</v>
      </c>
      <c r="H413" s="125">
        <f>1</f>
        <v>1</v>
      </c>
      <c r="I413" s="125">
        <f>1</f>
        <v>1</v>
      </c>
      <c r="J413" s="125">
        <f>1</f>
        <v>1</v>
      </c>
      <c r="K413" s="125">
        <f>1</f>
        <v>1</v>
      </c>
      <c r="L413" s="125">
        <f>1</f>
        <v>1</v>
      </c>
      <c r="M413" s="125">
        <f>1</f>
        <v>1</v>
      </c>
      <c r="N413" s="125">
        <f>1</f>
        <v>1</v>
      </c>
      <c r="O413" s="125">
        <f>1</f>
        <v>1</v>
      </c>
      <c r="P413" s="125">
        <f>1</f>
        <v>1</v>
      </c>
      <c r="Q413" s="125">
        <f>1</f>
        <v>1</v>
      </c>
      <c r="R413" s="125">
        <f>1</f>
        <v>1</v>
      </c>
      <c r="S413" s="125">
        <f>1</f>
        <v>1</v>
      </c>
      <c r="T413" s="125">
        <f>1</f>
        <v>1</v>
      </c>
      <c r="U413" s="125">
        <f>1</f>
        <v>1</v>
      </c>
      <c r="V413" s="125">
        <f>1</f>
        <v>1</v>
      </c>
      <c r="W413" s="125">
        <f>1</f>
        <v>1</v>
      </c>
      <c r="X413" s="125">
        <f>1</f>
        <v>1</v>
      </c>
      <c r="Y413" s="125">
        <f>1</f>
        <v>1</v>
      </c>
      <c r="Z413" s="125">
        <f>1</f>
        <v>1</v>
      </c>
      <c r="AA413" s="125">
        <f>1</f>
        <v>1</v>
      </c>
      <c r="AB413" s="125">
        <f>1</f>
        <v>1</v>
      </c>
      <c r="AC413" s="125">
        <f>1</f>
        <v>1</v>
      </c>
      <c r="AD413" s="125">
        <f>1</f>
        <v>1</v>
      </c>
      <c r="AE413" s="125">
        <f>1</f>
        <v>1</v>
      </c>
      <c r="AF413" s="125">
        <f>1</f>
        <v>1</v>
      </c>
      <c r="AG413" s="126">
        <f>1</f>
        <v>1</v>
      </c>
      <c r="AH413" s="22"/>
    </row>
    <row r="414" spans="1:34" x14ac:dyDescent="0.25">
      <c r="A414" s="112"/>
      <c r="B414" s="136" t="s">
        <v>122</v>
      </c>
      <c r="C414" s="67" t="s">
        <v>59</v>
      </c>
      <c r="D414" s="125">
        <f>1</f>
        <v>1</v>
      </c>
      <c r="E414" s="125">
        <f>1</f>
        <v>1</v>
      </c>
      <c r="F414" s="125">
        <f>1</f>
        <v>1</v>
      </c>
      <c r="G414" s="125">
        <f>1</f>
        <v>1</v>
      </c>
      <c r="H414" s="125">
        <f>1</f>
        <v>1</v>
      </c>
      <c r="I414" s="125">
        <f>1</f>
        <v>1</v>
      </c>
      <c r="J414" s="125">
        <f>1</f>
        <v>1</v>
      </c>
      <c r="K414" s="125">
        <f>1</f>
        <v>1</v>
      </c>
      <c r="L414" s="125">
        <f>1</f>
        <v>1</v>
      </c>
      <c r="M414" s="125">
        <f>1</f>
        <v>1</v>
      </c>
      <c r="N414" s="125">
        <f>1</f>
        <v>1</v>
      </c>
      <c r="O414" s="125">
        <f>1</f>
        <v>1</v>
      </c>
      <c r="P414" s="125">
        <f>1</f>
        <v>1</v>
      </c>
      <c r="Q414" s="125">
        <f>1</f>
        <v>1</v>
      </c>
      <c r="R414" s="125">
        <f>1</f>
        <v>1</v>
      </c>
      <c r="S414" s="125">
        <f>1</f>
        <v>1</v>
      </c>
      <c r="T414" s="125">
        <f>1</f>
        <v>1</v>
      </c>
      <c r="U414" s="125">
        <f>1</f>
        <v>1</v>
      </c>
      <c r="V414" s="125">
        <f>1</f>
        <v>1</v>
      </c>
      <c r="W414" s="125">
        <f>1</f>
        <v>1</v>
      </c>
      <c r="X414" s="125">
        <f>1</f>
        <v>1</v>
      </c>
      <c r="Y414" s="125">
        <f>1</f>
        <v>1</v>
      </c>
      <c r="Z414" s="125">
        <f>1</f>
        <v>1</v>
      </c>
      <c r="AA414" s="125">
        <f>1</f>
        <v>1</v>
      </c>
      <c r="AB414" s="125">
        <f>1</f>
        <v>1</v>
      </c>
      <c r="AC414" s="125">
        <f>1</f>
        <v>1</v>
      </c>
      <c r="AD414" s="125">
        <f>1</f>
        <v>1</v>
      </c>
      <c r="AE414" s="125">
        <f>1</f>
        <v>1</v>
      </c>
      <c r="AF414" s="125">
        <f>1</f>
        <v>1</v>
      </c>
      <c r="AG414" s="126">
        <f>1</f>
        <v>1</v>
      </c>
      <c r="AH414" s="22"/>
    </row>
    <row r="415" spans="1:34" x14ac:dyDescent="0.25">
      <c r="A415" s="112"/>
      <c r="B415" s="136" t="s">
        <v>123</v>
      </c>
      <c r="C415" s="67" t="s">
        <v>59</v>
      </c>
      <c r="D415" s="125">
        <f>1</f>
        <v>1</v>
      </c>
      <c r="E415" s="125">
        <f>1</f>
        <v>1</v>
      </c>
      <c r="F415" s="125">
        <f>1</f>
        <v>1</v>
      </c>
      <c r="G415" s="125">
        <f>1</f>
        <v>1</v>
      </c>
      <c r="H415" s="125">
        <f>1</f>
        <v>1</v>
      </c>
      <c r="I415" s="125">
        <f>1</f>
        <v>1</v>
      </c>
      <c r="J415" s="125">
        <f>1</f>
        <v>1</v>
      </c>
      <c r="K415" s="125">
        <f>1</f>
        <v>1</v>
      </c>
      <c r="L415" s="125">
        <f>1</f>
        <v>1</v>
      </c>
      <c r="M415" s="125">
        <f>1</f>
        <v>1</v>
      </c>
      <c r="N415" s="125">
        <f>1</f>
        <v>1</v>
      </c>
      <c r="O415" s="125">
        <f>1</f>
        <v>1</v>
      </c>
      <c r="P415" s="125">
        <f>1</f>
        <v>1</v>
      </c>
      <c r="Q415" s="125">
        <f>1</f>
        <v>1</v>
      </c>
      <c r="R415" s="125">
        <f>1</f>
        <v>1</v>
      </c>
      <c r="S415" s="125">
        <f>1</f>
        <v>1</v>
      </c>
      <c r="T415" s="125">
        <f>1</f>
        <v>1</v>
      </c>
      <c r="U415" s="125">
        <f>1</f>
        <v>1</v>
      </c>
      <c r="V415" s="125">
        <f>1</f>
        <v>1</v>
      </c>
      <c r="W415" s="125">
        <f>1</f>
        <v>1</v>
      </c>
      <c r="X415" s="125">
        <f>1</f>
        <v>1</v>
      </c>
      <c r="Y415" s="125">
        <f>1</f>
        <v>1</v>
      </c>
      <c r="Z415" s="125">
        <f>1</f>
        <v>1</v>
      </c>
      <c r="AA415" s="125">
        <f>1</f>
        <v>1</v>
      </c>
      <c r="AB415" s="125">
        <f>1</f>
        <v>1</v>
      </c>
      <c r="AC415" s="125">
        <f>1</f>
        <v>1</v>
      </c>
      <c r="AD415" s="125">
        <f>1</f>
        <v>1</v>
      </c>
      <c r="AE415" s="125">
        <f>1</f>
        <v>1</v>
      </c>
      <c r="AF415" s="125">
        <f>1</f>
        <v>1</v>
      </c>
      <c r="AG415" s="126">
        <f>1</f>
        <v>1</v>
      </c>
      <c r="AH415" s="22"/>
    </row>
    <row r="416" spans="1:34" x14ac:dyDescent="0.25">
      <c r="A416" s="112"/>
      <c r="B416" s="136" t="s">
        <v>124</v>
      </c>
      <c r="C416" s="67" t="s">
        <v>59</v>
      </c>
      <c r="D416" s="125">
        <f>1</f>
        <v>1</v>
      </c>
      <c r="E416" s="125">
        <f>1</f>
        <v>1</v>
      </c>
      <c r="F416" s="125">
        <f>1</f>
        <v>1</v>
      </c>
      <c r="G416" s="125">
        <f>1</f>
        <v>1</v>
      </c>
      <c r="H416" s="125">
        <f>1</f>
        <v>1</v>
      </c>
      <c r="I416" s="125">
        <f>1</f>
        <v>1</v>
      </c>
      <c r="J416" s="125">
        <f>1</f>
        <v>1</v>
      </c>
      <c r="K416" s="125">
        <f>1</f>
        <v>1</v>
      </c>
      <c r="L416" s="125">
        <f>1</f>
        <v>1</v>
      </c>
      <c r="M416" s="125">
        <f>1</f>
        <v>1</v>
      </c>
      <c r="N416" s="125">
        <f>1</f>
        <v>1</v>
      </c>
      <c r="O416" s="125">
        <f>1</f>
        <v>1</v>
      </c>
      <c r="P416" s="125">
        <f>1</f>
        <v>1</v>
      </c>
      <c r="Q416" s="125">
        <f>1</f>
        <v>1</v>
      </c>
      <c r="R416" s="125">
        <f>1</f>
        <v>1</v>
      </c>
      <c r="S416" s="125">
        <f>1</f>
        <v>1</v>
      </c>
      <c r="T416" s="125">
        <f>1</f>
        <v>1</v>
      </c>
      <c r="U416" s="125">
        <f>1</f>
        <v>1</v>
      </c>
      <c r="V416" s="125">
        <f>1</f>
        <v>1</v>
      </c>
      <c r="W416" s="125">
        <f>1</f>
        <v>1</v>
      </c>
      <c r="X416" s="125">
        <f>1</f>
        <v>1</v>
      </c>
      <c r="Y416" s="125">
        <f>1</f>
        <v>1</v>
      </c>
      <c r="Z416" s="125">
        <f>1</f>
        <v>1</v>
      </c>
      <c r="AA416" s="125">
        <f>1</f>
        <v>1</v>
      </c>
      <c r="AB416" s="125">
        <f>1</f>
        <v>1</v>
      </c>
      <c r="AC416" s="125">
        <f>1</f>
        <v>1</v>
      </c>
      <c r="AD416" s="125">
        <f>1</f>
        <v>1</v>
      </c>
      <c r="AE416" s="125">
        <f>1</f>
        <v>1</v>
      </c>
      <c r="AF416" s="125">
        <f>1</f>
        <v>1</v>
      </c>
      <c r="AG416" s="126">
        <f>1</f>
        <v>1</v>
      </c>
      <c r="AH416" s="22"/>
    </row>
    <row r="417" spans="1:34" x14ac:dyDescent="0.25">
      <c r="A417" s="112"/>
      <c r="B417" s="136" t="s">
        <v>125</v>
      </c>
      <c r="C417" s="67" t="s">
        <v>59</v>
      </c>
      <c r="D417" s="125">
        <f>1</f>
        <v>1</v>
      </c>
      <c r="E417" s="125">
        <f>1</f>
        <v>1</v>
      </c>
      <c r="F417" s="125">
        <f>1</f>
        <v>1</v>
      </c>
      <c r="G417" s="125">
        <f>1</f>
        <v>1</v>
      </c>
      <c r="H417" s="125">
        <f>1</f>
        <v>1</v>
      </c>
      <c r="I417" s="125">
        <f>1</f>
        <v>1</v>
      </c>
      <c r="J417" s="125">
        <f>1</f>
        <v>1</v>
      </c>
      <c r="K417" s="125">
        <f>1</f>
        <v>1</v>
      </c>
      <c r="L417" s="125">
        <f>1</f>
        <v>1</v>
      </c>
      <c r="M417" s="125">
        <f>1</f>
        <v>1</v>
      </c>
      <c r="N417" s="125">
        <f>1</f>
        <v>1</v>
      </c>
      <c r="O417" s="125">
        <f>1</f>
        <v>1</v>
      </c>
      <c r="P417" s="125">
        <f>1</f>
        <v>1</v>
      </c>
      <c r="Q417" s="125">
        <f>1</f>
        <v>1</v>
      </c>
      <c r="R417" s="125">
        <f>1</f>
        <v>1</v>
      </c>
      <c r="S417" s="125">
        <f>1</f>
        <v>1</v>
      </c>
      <c r="T417" s="125">
        <f>1</f>
        <v>1</v>
      </c>
      <c r="U417" s="125">
        <f>1</f>
        <v>1</v>
      </c>
      <c r="V417" s="125">
        <f>1</f>
        <v>1</v>
      </c>
      <c r="W417" s="125">
        <f>1</f>
        <v>1</v>
      </c>
      <c r="X417" s="125">
        <f>1</f>
        <v>1</v>
      </c>
      <c r="Y417" s="125">
        <f>1</f>
        <v>1</v>
      </c>
      <c r="Z417" s="125">
        <f>1</f>
        <v>1</v>
      </c>
      <c r="AA417" s="125">
        <f>1</f>
        <v>1</v>
      </c>
      <c r="AB417" s="125">
        <f>1</f>
        <v>1</v>
      </c>
      <c r="AC417" s="125">
        <f>1</f>
        <v>1</v>
      </c>
      <c r="AD417" s="125">
        <f>1</f>
        <v>1</v>
      </c>
      <c r="AE417" s="125">
        <f>1</f>
        <v>1</v>
      </c>
      <c r="AF417" s="125">
        <f>1</f>
        <v>1</v>
      </c>
      <c r="AG417" s="126">
        <f>1</f>
        <v>1</v>
      </c>
      <c r="AH417" s="22"/>
    </row>
    <row r="418" spans="1:34" x14ac:dyDescent="0.25">
      <c r="A418" s="112"/>
      <c r="B418" s="136" t="s">
        <v>126</v>
      </c>
      <c r="C418" s="67" t="s">
        <v>59</v>
      </c>
      <c r="D418" s="125">
        <f>1</f>
        <v>1</v>
      </c>
      <c r="E418" s="125">
        <f>1</f>
        <v>1</v>
      </c>
      <c r="F418" s="125">
        <f>1</f>
        <v>1</v>
      </c>
      <c r="G418" s="125">
        <f>1</f>
        <v>1</v>
      </c>
      <c r="H418" s="125">
        <f>1</f>
        <v>1</v>
      </c>
      <c r="I418" s="125">
        <f>1</f>
        <v>1</v>
      </c>
      <c r="J418" s="125">
        <f>1</f>
        <v>1</v>
      </c>
      <c r="K418" s="125">
        <f>1</f>
        <v>1</v>
      </c>
      <c r="L418" s="125">
        <f>1</f>
        <v>1</v>
      </c>
      <c r="M418" s="125">
        <f>1</f>
        <v>1</v>
      </c>
      <c r="N418" s="125">
        <f>1</f>
        <v>1</v>
      </c>
      <c r="O418" s="125">
        <f>1</f>
        <v>1</v>
      </c>
      <c r="P418" s="125">
        <f>1</f>
        <v>1</v>
      </c>
      <c r="Q418" s="125">
        <f>1</f>
        <v>1</v>
      </c>
      <c r="R418" s="125">
        <f>1</f>
        <v>1</v>
      </c>
      <c r="S418" s="125">
        <f>1</f>
        <v>1</v>
      </c>
      <c r="T418" s="125">
        <f>1</f>
        <v>1</v>
      </c>
      <c r="U418" s="125">
        <f>1</f>
        <v>1</v>
      </c>
      <c r="V418" s="125">
        <f>1</f>
        <v>1</v>
      </c>
      <c r="W418" s="125">
        <f>1</f>
        <v>1</v>
      </c>
      <c r="X418" s="125">
        <f>1</f>
        <v>1</v>
      </c>
      <c r="Y418" s="125">
        <f>1</f>
        <v>1</v>
      </c>
      <c r="Z418" s="125">
        <f>1</f>
        <v>1</v>
      </c>
      <c r="AA418" s="125">
        <f>1</f>
        <v>1</v>
      </c>
      <c r="AB418" s="125">
        <f>1</f>
        <v>1</v>
      </c>
      <c r="AC418" s="125">
        <f>1</f>
        <v>1</v>
      </c>
      <c r="AD418" s="125">
        <f>1</f>
        <v>1</v>
      </c>
      <c r="AE418" s="125">
        <f>1</f>
        <v>1</v>
      </c>
      <c r="AF418" s="125">
        <f>1</f>
        <v>1</v>
      </c>
      <c r="AG418" s="126">
        <f>1</f>
        <v>1</v>
      </c>
      <c r="AH418" s="22"/>
    </row>
    <row r="419" spans="1:34" x14ac:dyDescent="0.25">
      <c r="A419" s="112"/>
      <c r="B419" s="136" t="s">
        <v>127</v>
      </c>
      <c r="C419" s="67" t="s">
        <v>59</v>
      </c>
      <c r="D419" s="125">
        <f>1</f>
        <v>1</v>
      </c>
      <c r="E419" s="125">
        <f>1</f>
        <v>1</v>
      </c>
      <c r="F419" s="125">
        <f>1</f>
        <v>1</v>
      </c>
      <c r="G419" s="125">
        <f>1</f>
        <v>1</v>
      </c>
      <c r="H419" s="125">
        <f>1</f>
        <v>1</v>
      </c>
      <c r="I419" s="125">
        <f>1</f>
        <v>1</v>
      </c>
      <c r="J419" s="125">
        <f>1</f>
        <v>1</v>
      </c>
      <c r="K419" s="125">
        <f>1</f>
        <v>1</v>
      </c>
      <c r="L419" s="125">
        <f>1</f>
        <v>1</v>
      </c>
      <c r="M419" s="125">
        <f>1</f>
        <v>1</v>
      </c>
      <c r="N419" s="125">
        <f>1</f>
        <v>1</v>
      </c>
      <c r="O419" s="125">
        <f>1</f>
        <v>1</v>
      </c>
      <c r="P419" s="125">
        <f>1</f>
        <v>1</v>
      </c>
      <c r="Q419" s="125">
        <f>1</f>
        <v>1</v>
      </c>
      <c r="R419" s="125">
        <f>1</f>
        <v>1</v>
      </c>
      <c r="S419" s="125">
        <f>1</f>
        <v>1</v>
      </c>
      <c r="T419" s="125">
        <f>1</f>
        <v>1</v>
      </c>
      <c r="U419" s="125">
        <f>1</f>
        <v>1</v>
      </c>
      <c r="V419" s="125">
        <f>1</f>
        <v>1</v>
      </c>
      <c r="W419" s="125">
        <f>1</f>
        <v>1</v>
      </c>
      <c r="X419" s="125">
        <f>1</f>
        <v>1</v>
      </c>
      <c r="Y419" s="125">
        <f>1</f>
        <v>1</v>
      </c>
      <c r="Z419" s="125">
        <f>1</f>
        <v>1</v>
      </c>
      <c r="AA419" s="125">
        <f>1</f>
        <v>1</v>
      </c>
      <c r="AB419" s="125">
        <f>1</f>
        <v>1</v>
      </c>
      <c r="AC419" s="125">
        <f>1</f>
        <v>1</v>
      </c>
      <c r="AD419" s="125">
        <f>1</f>
        <v>1</v>
      </c>
      <c r="AE419" s="125">
        <f>1</f>
        <v>1</v>
      </c>
      <c r="AF419" s="125">
        <f>1</f>
        <v>1</v>
      </c>
      <c r="AG419" s="126">
        <f>1</f>
        <v>1</v>
      </c>
      <c r="AH419" s="22"/>
    </row>
    <row r="420" spans="1:34" x14ac:dyDescent="0.25">
      <c r="A420" s="112"/>
      <c r="B420" s="136" t="s">
        <v>128</v>
      </c>
      <c r="C420" s="67" t="s">
        <v>59</v>
      </c>
      <c r="D420" s="125">
        <f>1</f>
        <v>1</v>
      </c>
      <c r="E420" s="125">
        <f>1</f>
        <v>1</v>
      </c>
      <c r="F420" s="125">
        <f>1</f>
        <v>1</v>
      </c>
      <c r="G420" s="125">
        <f>1</f>
        <v>1</v>
      </c>
      <c r="H420" s="125">
        <f>1</f>
        <v>1</v>
      </c>
      <c r="I420" s="125">
        <f>1</f>
        <v>1</v>
      </c>
      <c r="J420" s="125">
        <f>1</f>
        <v>1</v>
      </c>
      <c r="K420" s="125">
        <f>1</f>
        <v>1</v>
      </c>
      <c r="L420" s="125">
        <f>1</f>
        <v>1</v>
      </c>
      <c r="M420" s="125">
        <f>1</f>
        <v>1</v>
      </c>
      <c r="N420" s="125">
        <f>1</f>
        <v>1</v>
      </c>
      <c r="O420" s="125">
        <f>1</f>
        <v>1</v>
      </c>
      <c r="P420" s="125">
        <f>1</f>
        <v>1</v>
      </c>
      <c r="Q420" s="125">
        <f>1</f>
        <v>1</v>
      </c>
      <c r="R420" s="125">
        <f>1</f>
        <v>1</v>
      </c>
      <c r="S420" s="125">
        <f>1</f>
        <v>1</v>
      </c>
      <c r="T420" s="125">
        <f>1</f>
        <v>1</v>
      </c>
      <c r="U420" s="125">
        <f>1</f>
        <v>1</v>
      </c>
      <c r="V420" s="125">
        <f>1</f>
        <v>1</v>
      </c>
      <c r="W420" s="125">
        <f>1</f>
        <v>1</v>
      </c>
      <c r="X420" s="125">
        <f>1</f>
        <v>1</v>
      </c>
      <c r="Y420" s="125">
        <f>1</f>
        <v>1</v>
      </c>
      <c r="Z420" s="125">
        <f>1</f>
        <v>1</v>
      </c>
      <c r="AA420" s="125">
        <f>1</f>
        <v>1</v>
      </c>
      <c r="AB420" s="125">
        <f>1</f>
        <v>1</v>
      </c>
      <c r="AC420" s="125">
        <f>1</f>
        <v>1</v>
      </c>
      <c r="AD420" s="125">
        <f>1</f>
        <v>1</v>
      </c>
      <c r="AE420" s="125">
        <f>1</f>
        <v>1</v>
      </c>
      <c r="AF420" s="125">
        <f>1</f>
        <v>1</v>
      </c>
      <c r="AG420" s="126">
        <f>1</f>
        <v>1</v>
      </c>
      <c r="AH420" s="22"/>
    </row>
    <row r="421" spans="1:34" x14ac:dyDescent="0.25">
      <c r="A421" s="112"/>
      <c r="B421" s="136" t="s">
        <v>129</v>
      </c>
      <c r="C421" s="67" t="s">
        <v>59</v>
      </c>
      <c r="D421" s="125">
        <f>1</f>
        <v>1</v>
      </c>
      <c r="E421" s="125">
        <f>1</f>
        <v>1</v>
      </c>
      <c r="F421" s="125">
        <f>1</f>
        <v>1</v>
      </c>
      <c r="G421" s="125">
        <f>1</f>
        <v>1</v>
      </c>
      <c r="H421" s="125">
        <f>1</f>
        <v>1</v>
      </c>
      <c r="I421" s="125">
        <f>1</f>
        <v>1</v>
      </c>
      <c r="J421" s="125">
        <f>1</f>
        <v>1</v>
      </c>
      <c r="K421" s="125">
        <f>1</f>
        <v>1</v>
      </c>
      <c r="L421" s="125">
        <f>1</f>
        <v>1</v>
      </c>
      <c r="M421" s="125">
        <f>1</f>
        <v>1</v>
      </c>
      <c r="N421" s="125">
        <f>1</f>
        <v>1</v>
      </c>
      <c r="O421" s="125">
        <f>1</f>
        <v>1</v>
      </c>
      <c r="P421" s="125">
        <f>1</f>
        <v>1</v>
      </c>
      <c r="Q421" s="125">
        <f>1</f>
        <v>1</v>
      </c>
      <c r="R421" s="125">
        <f>1</f>
        <v>1</v>
      </c>
      <c r="S421" s="125">
        <f>1</f>
        <v>1</v>
      </c>
      <c r="T421" s="125">
        <f>1</f>
        <v>1</v>
      </c>
      <c r="U421" s="125">
        <f>1</f>
        <v>1</v>
      </c>
      <c r="V421" s="125">
        <f>1</f>
        <v>1</v>
      </c>
      <c r="W421" s="125">
        <f>1</f>
        <v>1</v>
      </c>
      <c r="X421" s="125">
        <f>1</f>
        <v>1</v>
      </c>
      <c r="Y421" s="125">
        <f>1</f>
        <v>1</v>
      </c>
      <c r="Z421" s="125">
        <f>1</f>
        <v>1</v>
      </c>
      <c r="AA421" s="125">
        <f>1</f>
        <v>1</v>
      </c>
      <c r="AB421" s="125">
        <f>1</f>
        <v>1</v>
      </c>
      <c r="AC421" s="125">
        <f>1</f>
        <v>1</v>
      </c>
      <c r="AD421" s="125">
        <f>1</f>
        <v>1</v>
      </c>
      <c r="AE421" s="125">
        <f>1</f>
        <v>1</v>
      </c>
      <c r="AF421" s="125">
        <f>1</f>
        <v>1</v>
      </c>
      <c r="AG421" s="126">
        <f>1</f>
        <v>1</v>
      </c>
      <c r="AH421" s="22"/>
    </row>
    <row r="422" spans="1:34" x14ac:dyDescent="0.25">
      <c r="A422" s="112"/>
      <c r="B422" s="136" t="s">
        <v>130</v>
      </c>
      <c r="C422" s="67" t="s">
        <v>59</v>
      </c>
      <c r="D422" s="125">
        <f>1</f>
        <v>1</v>
      </c>
      <c r="E422" s="125">
        <f>1</f>
        <v>1</v>
      </c>
      <c r="F422" s="125">
        <f>1</f>
        <v>1</v>
      </c>
      <c r="G422" s="125">
        <f>1</f>
        <v>1</v>
      </c>
      <c r="H422" s="125">
        <f>1</f>
        <v>1</v>
      </c>
      <c r="I422" s="125">
        <f>1</f>
        <v>1</v>
      </c>
      <c r="J422" s="125">
        <f>1</f>
        <v>1</v>
      </c>
      <c r="K422" s="125">
        <f>1</f>
        <v>1</v>
      </c>
      <c r="L422" s="125">
        <f>1</f>
        <v>1</v>
      </c>
      <c r="M422" s="125">
        <f>1</f>
        <v>1</v>
      </c>
      <c r="N422" s="125">
        <f>1</f>
        <v>1</v>
      </c>
      <c r="O422" s="125">
        <f>1</f>
        <v>1</v>
      </c>
      <c r="P422" s="125">
        <f>1</f>
        <v>1</v>
      </c>
      <c r="Q422" s="125">
        <f>1</f>
        <v>1</v>
      </c>
      <c r="R422" s="125">
        <f>1</f>
        <v>1</v>
      </c>
      <c r="S422" s="125">
        <f>1</f>
        <v>1</v>
      </c>
      <c r="T422" s="125">
        <f>1</f>
        <v>1</v>
      </c>
      <c r="U422" s="125">
        <f>1</f>
        <v>1</v>
      </c>
      <c r="V422" s="125">
        <f>1</f>
        <v>1</v>
      </c>
      <c r="W422" s="125">
        <f>1</f>
        <v>1</v>
      </c>
      <c r="X422" s="125">
        <f>1</f>
        <v>1</v>
      </c>
      <c r="Y422" s="125">
        <f>1</f>
        <v>1</v>
      </c>
      <c r="Z422" s="125">
        <f>1</f>
        <v>1</v>
      </c>
      <c r="AA422" s="125">
        <f>1</f>
        <v>1</v>
      </c>
      <c r="AB422" s="125">
        <f>1</f>
        <v>1</v>
      </c>
      <c r="AC422" s="125">
        <f>1</f>
        <v>1</v>
      </c>
      <c r="AD422" s="125">
        <f>1</f>
        <v>1</v>
      </c>
      <c r="AE422" s="125">
        <f>1</f>
        <v>1</v>
      </c>
      <c r="AF422" s="125">
        <f>1</f>
        <v>1</v>
      </c>
      <c r="AG422" s="126">
        <f>1</f>
        <v>1</v>
      </c>
      <c r="AH422" s="22"/>
    </row>
    <row r="423" spans="1:34" x14ac:dyDescent="0.25">
      <c r="A423" s="112"/>
      <c r="B423" s="136" t="s">
        <v>131</v>
      </c>
      <c r="C423" s="67" t="s">
        <v>59</v>
      </c>
      <c r="D423" s="125">
        <f>1</f>
        <v>1</v>
      </c>
      <c r="E423" s="125">
        <f>1</f>
        <v>1</v>
      </c>
      <c r="F423" s="125">
        <f>1</f>
        <v>1</v>
      </c>
      <c r="G423" s="125">
        <f>1</f>
        <v>1</v>
      </c>
      <c r="H423" s="125">
        <f>1</f>
        <v>1</v>
      </c>
      <c r="I423" s="125">
        <f>1</f>
        <v>1</v>
      </c>
      <c r="J423" s="125">
        <f>1</f>
        <v>1</v>
      </c>
      <c r="K423" s="125">
        <f>1</f>
        <v>1</v>
      </c>
      <c r="L423" s="125">
        <f>1</f>
        <v>1</v>
      </c>
      <c r="M423" s="125">
        <f>1</f>
        <v>1</v>
      </c>
      <c r="N423" s="125">
        <f>1</f>
        <v>1</v>
      </c>
      <c r="O423" s="125">
        <f>1</f>
        <v>1</v>
      </c>
      <c r="P423" s="125">
        <f>1</f>
        <v>1</v>
      </c>
      <c r="Q423" s="125">
        <f>1</f>
        <v>1</v>
      </c>
      <c r="R423" s="125">
        <f>1</f>
        <v>1</v>
      </c>
      <c r="S423" s="125">
        <f>1</f>
        <v>1</v>
      </c>
      <c r="T423" s="125">
        <f>1</f>
        <v>1</v>
      </c>
      <c r="U423" s="125">
        <f>1</f>
        <v>1</v>
      </c>
      <c r="V423" s="125">
        <f>1</f>
        <v>1</v>
      </c>
      <c r="W423" s="125">
        <f>1</f>
        <v>1</v>
      </c>
      <c r="X423" s="125">
        <f>1</f>
        <v>1</v>
      </c>
      <c r="Y423" s="125">
        <f>1</f>
        <v>1</v>
      </c>
      <c r="Z423" s="125">
        <f>1</f>
        <v>1</v>
      </c>
      <c r="AA423" s="125">
        <f>1</f>
        <v>1</v>
      </c>
      <c r="AB423" s="125">
        <f>1</f>
        <v>1</v>
      </c>
      <c r="AC423" s="125">
        <f>1</f>
        <v>1</v>
      </c>
      <c r="AD423" s="125">
        <f>1</f>
        <v>1</v>
      </c>
      <c r="AE423" s="125">
        <f>1</f>
        <v>1</v>
      </c>
      <c r="AF423" s="125">
        <f>1</f>
        <v>1</v>
      </c>
      <c r="AG423" s="126">
        <f>1</f>
        <v>1</v>
      </c>
      <c r="AH423" s="22"/>
    </row>
    <row r="424" spans="1:34" x14ac:dyDescent="0.25">
      <c r="A424" s="112"/>
      <c r="B424" s="136" t="s">
        <v>132</v>
      </c>
      <c r="C424" s="67" t="s">
        <v>59</v>
      </c>
      <c r="D424" s="125">
        <f>1</f>
        <v>1</v>
      </c>
      <c r="E424" s="125">
        <f>1</f>
        <v>1</v>
      </c>
      <c r="F424" s="125">
        <f>1</f>
        <v>1</v>
      </c>
      <c r="G424" s="125">
        <f>1</f>
        <v>1</v>
      </c>
      <c r="H424" s="125">
        <f>1</f>
        <v>1</v>
      </c>
      <c r="I424" s="125">
        <f>1</f>
        <v>1</v>
      </c>
      <c r="J424" s="125">
        <f>1</f>
        <v>1</v>
      </c>
      <c r="K424" s="125">
        <f>1</f>
        <v>1</v>
      </c>
      <c r="L424" s="125">
        <f>1</f>
        <v>1</v>
      </c>
      <c r="M424" s="125">
        <f>1</f>
        <v>1</v>
      </c>
      <c r="N424" s="125">
        <f>1</f>
        <v>1</v>
      </c>
      <c r="O424" s="125">
        <f>1</f>
        <v>1</v>
      </c>
      <c r="P424" s="125">
        <f>1</f>
        <v>1</v>
      </c>
      <c r="Q424" s="125">
        <f>1</f>
        <v>1</v>
      </c>
      <c r="R424" s="125">
        <f>1</f>
        <v>1</v>
      </c>
      <c r="S424" s="125">
        <f>1</f>
        <v>1</v>
      </c>
      <c r="T424" s="125">
        <f>1</f>
        <v>1</v>
      </c>
      <c r="U424" s="125">
        <f>1</f>
        <v>1</v>
      </c>
      <c r="V424" s="125">
        <f>1</f>
        <v>1</v>
      </c>
      <c r="W424" s="125">
        <f>1</f>
        <v>1</v>
      </c>
      <c r="X424" s="125">
        <f>1</f>
        <v>1</v>
      </c>
      <c r="Y424" s="125">
        <f>1</f>
        <v>1</v>
      </c>
      <c r="Z424" s="125">
        <f>1</f>
        <v>1</v>
      </c>
      <c r="AA424" s="125">
        <f>1</f>
        <v>1</v>
      </c>
      <c r="AB424" s="125">
        <f>1</f>
        <v>1</v>
      </c>
      <c r="AC424" s="125">
        <f>1</f>
        <v>1</v>
      </c>
      <c r="AD424" s="125">
        <f>1</f>
        <v>1</v>
      </c>
      <c r="AE424" s="125">
        <f>1</f>
        <v>1</v>
      </c>
      <c r="AF424" s="125">
        <f>1</f>
        <v>1</v>
      </c>
      <c r="AG424" s="126">
        <f>1</f>
        <v>1</v>
      </c>
      <c r="AH424" s="22"/>
    </row>
    <row r="425" spans="1:34" x14ac:dyDescent="0.25">
      <c r="A425" s="112"/>
      <c r="B425" s="136" t="s">
        <v>133</v>
      </c>
      <c r="C425" s="67" t="s">
        <v>59</v>
      </c>
      <c r="D425" s="125">
        <f>1</f>
        <v>1</v>
      </c>
      <c r="E425" s="125">
        <f>1</f>
        <v>1</v>
      </c>
      <c r="F425" s="125">
        <f>1</f>
        <v>1</v>
      </c>
      <c r="G425" s="125">
        <f>1</f>
        <v>1</v>
      </c>
      <c r="H425" s="125">
        <f>1</f>
        <v>1</v>
      </c>
      <c r="I425" s="125">
        <f>1</f>
        <v>1</v>
      </c>
      <c r="J425" s="125">
        <f>1</f>
        <v>1</v>
      </c>
      <c r="K425" s="125">
        <f>1</f>
        <v>1</v>
      </c>
      <c r="L425" s="125">
        <f>1</f>
        <v>1</v>
      </c>
      <c r="M425" s="125">
        <f>1</f>
        <v>1</v>
      </c>
      <c r="N425" s="125">
        <f>1</f>
        <v>1</v>
      </c>
      <c r="O425" s="125">
        <f>1</f>
        <v>1</v>
      </c>
      <c r="P425" s="125">
        <f>1</f>
        <v>1</v>
      </c>
      <c r="Q425" s="125">
        <f>1</f>
        <v>1</v>
      </c>
      <c r="R425" s="125">
        <f>1</f>
        <v>1</v>
      </c>
      <c r="S425" s="125">
        <f>1</f>
        <v>1</v>
      </c>
      <c r="T425" s="125">
        <f>1</f>
        <v>1</v>
      </c>
      <c r="U425" s="125">
        <f>1</f>
        <v>1</v>
      </c>
      <c r="V425" s="125">
        <f>1</f>
        <v>1</v>
      </c>
      <c r="W425" s="125">
        <f>1</f>
        <v>1</v>
      </c>
      <c r="X425" s="125">
        <f>1</f>
        <v>1</v>
      </c>
      <c r="Y425" s="125">
        <f>1</f>
        <v>1</v>
      </c>
      <c r="Z425" s="125">
        <f>1</f>
        <v>1</v>
      </c>
      <c r="AA425" s="125">
        <f>1</f>
        <v>1</v>
      </c>
      <c r="AB425" s="125">
        <f>1</f>
        <v>1</v>
      </c>
      <c r="AC425" s="125">
        <f>1</f>
        <v>1</v>
      </c>
      <c r="AD425" s="125">
        <f>1</f>
        <v>1</v>
      </c>
      <c r="AE425" s="125">
        <f>1</f>
        <v>1</v>
      </c>
      <c r="AF425" s="125">
        <f>1</f>
        <v>1</v>
      </c>
      <c r="AG425" s="126">
        <f>1</f>
        <v>1</v>
      </c>
      <c r="AH425" s="22"/>
    </row>
    <row r="426" spans="1:34" x14ac:dyDescent="0.25">
      <c r="A426" s="112"/>
      <c r="B426" s="136" t="s">
        <v>134</v>
      </c>
      <c r="C426" s="67" t="s">
        <v>59</v>
      </c>
      <c r="D426" s="125">
        <f>1</f>
        <v>1</v>
      </c>
      <c r="E426" s="125">
        <f>1</f>
        <v>1</v>
      </c>
      <c r="F426" s="125">
        <f>1</f>
        <v>1</v>
      </c>
      <c r="G426" s="125">
        <f>1</f>
        <v>1</v>
      </c>
      <c r="H426" s="125">
        <f>1</f>
        <v>1</v>
      </c>
      <c r="I426" s="125">
        <f>1</f>
        <v>1</v>
      </c>
      <c r="J426" s="125">
        <f>1</f>
        <v>1</v>
      </c>
      <c r="K426" s="125">
        <f>1</f>
        <v>1</v>
      </c>
      <c r="L426" s="125">
        <f>1</f>
        <v>1</v>
      </c>
      <c r="M426" s="125">
        <f>1</f>
        <v>1</v>
      </c>
      <c r="N426" s="125">
        <f>1</f>
        <v>1</v>
      </c>
      <c r="O426" s="125">
        <f>1</f>
        <v>1</v>
      </c>
      <c r="P426" s="125">
        <f>1</f>
        <v>1</v>
      </c>
      <c r="Q426" s="125">
        <f>1</f>
        <v>1</v>
      </c>
      <c r="R426" s="125">
        <f>1</f>
        <v>1</v>
      </c>
      <c r="S426" s="125">
        <f>1</f>
        <v>1</v>
      </c>
      <c r="T426" s="125">
        <f>1</f>
        <v>1</v>
      </c>
      <c r="U426" s="125">
        <f>1</f>
        <v>1</v>
      </c>
      <c r="V426" s="125">
        <f>1</f>
        <v>1</v>
      </c>
      <c r="W426" s="125">
        <f>1</f>
        <v>1</v>
      </c>
      <c r="X426" s="125">
        <f>1</f>
        <v>1</v>
      </c>
      <c r="Y426" s="125">
        <f>1</f>
        <v>1</v>
      </c>
      <c r="Z426" s="125">
        <f>1</f>
        <v>1</v>
      </c>
      <c r="AA426" s="125">
        <f>1</f>
        <v>1</v>
      </c>
      <c r="AB426" s="125">
        <f>1</f>
        <v>1</v>
      </c>
      <c r="AC426" s="125">
        <f>1</f>
        <v>1</v>
      </c>
      <c r="AD426" s="125">
        <f>1</f>
        <v>1</v>
      </c>
      <c r="AE426" s="125">
        <f>1</f>
        <v>1</v>
      </c>
      <c r="AF426" s="125">
        <f>1</f>
        <v>1</v>
      </c>
      <c r="AG426" s="126">
        <f>1</f>
        <v>1</v>
      </c>
      <c r="AH426" s="22"/>
    </row>
    <row r="427" spans="1:34" x14ac:dyDescent="0.25">
      <c r="A427" s="112"/>
      <c r="B427" s="136" t="s">
        <v>135</v>
      </c>
      <c r="C427" s="67" t="s">
        <v>59</v>
      </c>
      <c r="D427" s="125">
        <f>1</f>
        <v>1</v>
      </c>
      <c r="E427" s="125">
        <f>1</f>
        <v>1</v>
      </c>
      <c r="F427" s="125">
        <f>1</f>
        <v>1</v>
      </c>
      <c r="G427" s="125">
        <f>1</f>
        <v>1</v>
      </c>
      <c r="H427" s="125">
        <f>1</f>
        <v>1</v>
      </c>
      <c r="I427" s="125">
        <f>1</f>
        <v>1</v>
      </c>
      <c r="J427" s="125">
        <f>1</f>
        <v>1</v>
      </c>
      <c r="K427" s="125">
        <f>1</f>
        <v>1</v>
      </c>
      <c r="L427" s="125">
        <f>1</f>
        <v>1</v>
      </c>
      <c r="M427" s="125">
        <f>1</f>
        <v>1</v>
      </c>
      <c r="N427" s="125">
        <f>1</f>
        <v>1</v>
      </c>
      <c r="O427" s="125">
        <f>1</f>
        <v>1</v>
      </c>
      <c r="P427" s="125">
        <f>1</f>
        <v>1</v>
      </c>
      <c r="Q427" s="125">
        <f>1</f>
        <v>1</v>
      </c>
      <c r="R427" s="125">
        <f>1</f>
        <v>1</v>
      </c>
      <c r="S427" s="125">
        <f>1</f>
        <v>1</v>
      </c>
      <c r="T427" s="125">
        <f>1</f>
        <v>1</v>
      </c>
      <c r="U427" s="125">
        <f>1</f>
        <v>1</v>
      </c>
      <c r="V427" s="125">
        <f>1</f>
        <v>1</v>
      </c>
      <c r="W427" s="125">
        <f>1</f>
        <v>1</v>
      </c>
      <c r="X427" s="125">
        <f>1</f>
        <v>1</v>
      </c>
      <c r="Y427" s="125">
        <f>1</f>
        <v>1</v>
      </c>
      <c r="Z427" s="125">
        <f>1</f>
        <v>1</v>
      </c>
      <c r="AA427" s="125">
        <f>1</f>
        <v>1</v>
      </c>
      <c r="AB427" s="125">
        <f>1</f>
        <v>1</v>
      </c>
      <c r="AC427" s="125">
        <f>1</f>
        <v>1</v>
      </c>
      <c r="AD427" s="125">
        <f>1</f>
        <v>1</v>
      </c>
      <c r="AE427" s="125">
        <f>1</f>
        <v>1</v>
      </c>
      <c r="AF427" s="125">
        <f>1</f>
        <v>1</v>
      </c>
      <c r="AG427" s="126">
        <f>1</f>
        <v>1</v>
      </c>
      <c r="AH427" s="22"/>
    </row>
    <row r="428" spans="1:34" x14ac:dyDescent="0.25">
      <c r="A428" s="112"/>
      <c r="B428" s="136" t="s">
        <v>136</v>
      </c>
      <c r="C428" s="67" t="s">
        <v>59</v>
      </c>
      <c r="D428" s="125">
        <f>1</f>
        <v>1</v>
      </c>
      <c r="E428" s="125">
        <f>1</f>
        <v>1</v>
      </c>
      <c r="F428" s="125">
        <f>1</f>
        <v>1</v>
      </c>
      <c r="G428" s="125">
        <f>1</f>
        <v>1</v>
      </c>
      <c r="H428" s="125">
        <f>1</f>
        <v>1</v>
      </c>
      <c r="I428" s="125">
        <f>1</f>
        <v>1</v>
      </c>
      <c r="J428" s="125">
        <f>1</f>
        <v>1</v>
      </c>
      <c r="K428" s="125">
        <f>1</f>
        <v>1</v>
      </c>
      <c r="L428" s="125">
        <f>1</f>
        <v>1</v>
      </c>
      <c r="M428" s="125">
        <f>1</f>
        <v>1</v>
      </c>
      <c r="N428" s="125">
        <f>1</f>
        <v>1</v>
      </c>
      <c r="O428" s="125">
        <f>1</f>
        <v>1</v>
      </c>
      <c r="P428" s="125">
        <f>1</f>
        <v>1</v>
      </c>
      <c r="Q428" s="125">
        <f>1</f>
        <v>1</v>
      </c>
      <c r="R428" s="125">
        <f>1</f>
        <v>1</v>
      </c>
      <c r="S428" s="125">
        <f>1</f>
        <v>1</v>
      </c>
      <c r="T428" s="125">
        <f>1</f>
        <v>1</v>
      </c>
      <c r="U428" s="125">
        <f>1</f>
        <v>1</v>
      </c>
      <c r="V428" s="125">
        <f>1</f>
        <v>1</v>
      </c>
      <c r="W428" s="125">
        <f>1</f>
        <v>1</v>
      </c>
      <c r="X428" s="125">
        <f>1</f>
        <v>1</v>
      </c>
      <c r="Y428" s="125">
        <f>1</f>
        <v>1</v>
      </c>
      <c r="Z428" s="125">
        <f>1</f>
        <v>1</v>
      </c>
      <c r="AA428" s="125">
        <f>1</f>
        <v>1</v>
      </c>
      <c r="AB428" s="125">
        <f>1</f>
        <v>1</v>
      </c>
      <c r="AC428" s="125">
        <f>1</f>
        <v>1</v>
      </c>
      <c r="AD428" s="125">
        <f>1</f>
        <v>1</v>
      </c>
      <c r="AE428" s="125">
        <f>1</f>
        <v>1</v>
      </c>
      <c r="AF428" s="125">
        <f>1</f>
        <v>1</v>
      </c>
      <c r="AG428" s="126">
        <f>1</f>
        <v>1</v>
      </c>
      <c r="AH428" s="22"/>
    </row>
    <row r="429" spans="1:34" x14ac:dyDescent="0.25">
      <c r="A429" s="112"/>
      <c r="B429" s="136" t="s">
        <v>137</v>
      </c>
      <c r="C429" s="67" t="s">
        <v>59</v>
      </c>
      <c r="D429" s="125">
        <f>1</f>
        <v>1</v>
      </c>
      <c r="E429" s="125">
        <f>1</f>
        <v>1</v>
      </c>
      <c r="F429" s="125">
        <f>1</f>
        <v>1</v>
      </c>
      <c r="G429" s="125">
        <f>1</f>
        <v>1</v>
      </c>
      <c r="H429" s="125">
        <f>1</f>
        <v>1</v>
      </c>
      <c r="I429" s="125">
        <f>1</f>
        <v>1</v>
      </c>
      <c r="J429" s="125">
        <f>1</f>
        <v>1</v>
      </c>
      <c r="K429" s="125">
        <f>1</f>
        <v>1</v>
      </c>
      <c r="L429" s="125">
        <f>1</f>
        <v>1</v>
      </c>
      <c r="M429" s="125">
        <f>1</f>
        <v>1</v>
      </c>
      <c r="N429" s="125">
        <f>1</f>
        <v>1</v>
      </c>
      <c r="O429" s="125">
        <f>1</f>
        <v>1</v>
      </c>
      <c r="P429" s="125">
        <f>1</f>
        <v>1</v>
      </c>
      <c r="Q429" s="125">
        <f>1</f>
        <v>1</v>
      </c>
      <c r="R429" s="125">
        <f>1</f>
        <v>1</v>
      </c>
      <c r="S429" s="125">
        <f>1</f>
        <v>1</v>
      </c>
      <c r="T429" s="125">
        <f>1</f>
        <v>1</v>
      </c>
      <c r="U429" s="125">
        <f>1</f>
        <v>1</v>
      </c>
      <c r="V429" s="125">
        <f>1</f>
        <v>1</v>
      </c>
      <c r="W429" s="125">
        <f>1</f>
        <v>1</v>
      </c>
      <c r="X429" s="125">
        <f>1</f>
        <v>1</v>
      </c>
      <c r="Y429" s="125">
        <f>1</f>
        <v>1</v>
      </c>
      <c r="Z429" s="125">
        <f>1</f>
        <v>1</v>
      </c>
      <c r="AA429" s="125">
        <f>1</f>
        <v>1</v>
      </c>
      <c r="AB429" s="125">
        <f>1</f>
        <v>1</v>
      </c>
      <c r="AC429" s="125">
        <f>1</f>
        <v>1</v>
      </c>
      <c r="AD429" s="125">
        <f>1</f>
        <v>1</v>
      </c>
      <c r="AE429" s="125">
        <f>1</f>
        <v>1</v>
      </c>
      <c r="AF429" s="125">
        <f>1</f>
        <v>1</v>
      </c>
      <c r="AG429" s="126">
        <f>1</f>
        <v>1</v>
      </c>
      <c r="AH429" s="22"/>
    </row>
    <row r="430" spans="1:34" x14ac:dyDescent="0.25">
      <c r="A430" s="112"/>
      <c r="B430" s="136" t="s">
        <v>138</v>
      </c>
      <c r="C430" s="67" t="s">
        <v>59</v>
      </c>
      <c r="D430" s="125">
        <f>1</f>
        <v>1</v>
      </c>
      <c r="E430" s="125">
        <f>1</f>
        <v>1</v>
      </c>
      <c r="F430" s="125">
        <f>1</f>
        <v>1</v>
      </c>
      <c r="G430" s="125">
        <f>1</f>
        <v>1</v>
      </c>
      <c r="H430" s="125">
        <f>1</f>
        <v>1</v>
      </c>
      <c r="I430" s="125">
        <f>1</f>
        <v>1</v>
      </c>
      <c r="J430" s="125">
        <f>1</f>
        <v>1</v>
      </c>
      <c r="K430" s="125">
        <f>1</f>
        <v>1</v>
      </c>
      <c r="L430" s="125">
        <f>1</f>
        <v>1</v>
      </c>
      <c r="M430" s="125">
        <f>1</f>
        <v>1</v>
      </c>
      <c r="N430" s="125">
        <f>1</f>
        <v>1</v>
      </c>
      <c r="O430" s="125">
        <f>1</f>
        <v>1</v>
      </c>
      <c r="P430" s="125">
        <f>1</f>
        <v>1</v>
      </c>
      <c r="Q430" s="125">
        <f>1</f>
        <v>1</v>
      </c>
      <c r="R430" s="125">
        <f>1</f>
        <v>1</v>
      </c>
      <c r="S430" s="125">
        <f>1</f>
        <v>1</v>
      </c>
      <c r="T430" s="125">
        <f>1</f>
        <v>1</v>
      </c>
      <c r="U430" s="125">
        <f>1</f>
        <v>1</v>
      </c>
      <c r="V430" s="125">
        <f>1</f>
        <v>1</v>
      </c>
      <c r="W430" s="125">
        <f>1</f>
        <v>1</v>
      </c>
      <c r="X430" s="125">
        <f>1</f>
        <v>1</v>
      </c>
      <c r="Y430" s="125">
        <f>1</f>
        <v>1</v>
      </c>
      <c r="Z430" s="125">
        <f>1</f>
        <v>1</v>
      </c>
      <c r="AA430" s="125">
        <f>1</f>
        <v>1</v>
      </c>
      <c r="AB430" s="125">
        <f>1</f>
        <v>1</v>
      </c>
      <c r="AC430" s="125">
        <f>1</f>
        <v>1</v>
      </c>
      <c r="AD430" s="125">
        <f>1</f>
        <v>1</v>
      </c>
      <c r="AE430" s="125">
        <f>1</f>
        <v>1</v>
      </c>
      <c r="AF430" s="125">
        <f>1</f>
        <v>1</v>
      </c>
      <c r="AG430" s="126">
        <f>1</f>
        <v>1</v>
      </c>
      <c r="AH430" s="22"/>
    </row>
    <row r="431" spans="1:34" x14ac:dyDescent="0.25">
      <c r="A431" s="112"/>
      <c r="B431" s="136" t="s">
        <v>139</v>
      </c>
      <c r="C431" s="67" t="s">
        <v>59</v>
      </c>
      <c r="D431" s="125">
        <f>1</f>
        <v>1</v>
      </c>
      <c r="E431" s="125">
        <f>1</f>
        <v>1</v>
      </c>
      <c r="F431" s="125">
        <f>1</f>
        <v>1</v>
      </c>
      <c r="G431" s="125">
        <f>1</f>
        <v>1</v>
      </c>
      <c r="H431" s="125">
        <f>1</f>
        <v>1</v>
      </c>
      <c r="I431" s="125">
        <f>1</f>
        <v>1</v>
      </c>
      <c r="J431" s="125">
        <f>1</f>
        <v>1</v>
      </c>
      <c r="K431" s="125">
        <f>1</f>
        <v>1</v>
      </c>
      <c r="L431" s="125">
        <f>1</f>
        <v>1</v>
      </c>
      <c r="M431" s="125">
        <f>1</f>
        <v>1</v>
      </c>
      <c r="N431" s="125">
        <f>1</f>
        <v>1</v>
      </c>
      <c r="O431" s="125">
        <f>1</f>
        <v>1</v>
      </c>
      <c r="P431" s="125">
        <f>1</f>
        <v>1</v>
      </c>
      <c r="Q431" s="125">
        <f>1</f>
        <v>1</v>
      </c>
      <c r="R431" s="125">
        <f>1</f>
        <v>1</v>
      </c>
      <c r="S431" s="125">
        <f>1</f>
        <v>1</v>
      </c>
      <c r="T431" s="125">
        <f>1</f>
        <v>1</v>
      </c>
      <c r="U431" s="125">
        <f>1</f>
        <v>1</v>
      </c>
      <c r="V431" s="125">
        <f>1</f>
        <v>1</v>
      </c>
      <c r="W431" s="125">
        <f>1</f>
        <v>1</v>
      </c>
      <c r="X431" s="125">
        <f>1</f>
        <v>1</v>
      </c>
      <c r="Y431" s="125">
        <f>1</f>
        <v>1</v>
      </c>
      <c r="Z431" s="125">
        <f>1</f>
        <v>1</v>
      </c>
      <c r="AA431" s="125">
        <f>1</f>
        <v>1</v>
      </c>
      <c r="AB431" s="125">
        <f>1</f>
        <v>1</v>
      </c>
      <c r="AC431" s="125">
        <f>1</f>
        <v>1</v>
      </c>
      <c r="AD431" s="125">
        <f>1</f>
        <v>1</v>
      </c>
      <c r="AE431" s="125">
        <f>1</f>
        <v>1</v>
      </c>
      <c r="AF431" s="125">
        <f>1</f>
        <v>1</v>
      </c>
      <c r="AG431" s="126">
        <f>1</f>
        <v>1</v>
      </c>
      <c r="AH431" s="22"/>
    </row>
    <row r="432" spans="1:34" x14ac:dyDescent="0.25">
      <c r="A432" s="112"/>
      <c r="B432" s="136" t="s">
        <v>140</v>
      </c>
      <c r="C432" s="67" t="s">
        <v>59</v>
      </c>
      <c r="D432" s="125">
        <f>1</f>
        <v>1</v>
      </c>
      <c r="E432" s="125">
        <f>1</f>
        <v>1</v>
      </c>
      <c r="F432" s="125">
        <f>1</f>
        <v>1</v>
      </c>
      <c r="G432" s="125">
        <f>1</f>
        <v>1</v>
      </c>
      <c r="H432" s="125">
        <f>1</f>
        <v>1</v>
      </c>
      <c r="I432" s="125">
        <f>1</f>
        <v>1</v>
      </c>
      <c r="J432" s="125">
        <f>1</f>
        <v>1</v>
      </c>
      <c r="K432" s="125">
        <f>1</f>
        <v>1</v>
      </c>
      <c r="L432" s="125">
        <f>1</f>
        <v>1</v>
      </c>
      <c r="M432" s="125">
        <f>1</f>
        <v>1</v>
      </c>
      <c r="N432" s="125">
        <f>1</f>
        <v>1</v>
      </c>
      <c r="O432" s="125">
        <f>1</f>
        <v>1</v>
      </c>
      <c r="P432" s="125">
        <f>1</f>
        <v>1</v>
      </c>
      <c r="Q432" s="125">
        <f>1</f>
        <v>1</v>
      </c>
      <c r="R432" s="125">
        <f>1</f>
        <v>1</v>
      </c>
      <c r="S432" s="125">
        <f>1</f>
        <v>1</v>
      </c>
      <c r="T432" s="125">
        <f>1</f>
        <v>1</v>
      </c>
      <c r="U432" s="125">
        <f>1</f>
        <v>1</v>
      </c>
      <c r="V432" s="125">
        <f>1</f>
        <v>1</v>
      </c>
      <c r="W432" s="125">
        <f>1</f>
        <v>1</v>
      </c>
      <c r="X432" s="125">
        <f>1</f>
        <v>1</v>
      </c>
      <c r="Y432" s="125">
        <f>1</f>
        <v>1</v>
      </c>
      <c r="Z432" s="125">
        <f>1</f>
        <v>1</v>
      </c>
      <c r="AA432" s="125">
        <f>1</f>
        <v>1</v>
      </c>
      <c r="AB432" s="125">
        <f>1</f>
        <v>1</v>
      </c>
      <c r="AC432" s="125">
        <f>1</f>
        <v>1</v>
      </c>
      <c r="AD432" s="125">
        <f>1</f>
        <v>1</v>
      </c>
      <c r="AE432" s="125">
        <f>1</f>
        <v>1</v>
      </c>
      <c r="AF432" s="125">
        <f>1</f>
        <v>1</v>
      </c>
      <c r="AG432" s="126">
        <f>1</f>
        <v>1</v>
      </c>
      <c r="AH432" s="22"/>
    </row>
    <row r="433" spans="1:34" x14ac:dyDescent="0.25">
      <c r="A433" s="112"/>
      <c r="B433" s="136" t="s">
        <v>141</v>
      </c>
      <c r="C433" s="67" t="s">
        <v>59</v>
      </c>
      <c r="D433" s="125">
        <f>1</f>
        <v>1</v>
      </c>
      <c r="E433" s="125">
        <f>1</f>
        <v>1</v>
      </c>
      <c r="F433" s="125">
        <f>1</f>
        <v>1</v>
      </c>
      <c r="G433" s="125">
        <f>1</f>
        <v>1</v>
      </c>
      <c r="H433" s="125">
        <f>1</f>
        <v>1</v>
      </c>
      <c r="I433" s="125">
        <f>1</f>
        <v>1</v>
      </c>
      <c r="J433" s="125">
        <f>1</f>
        <v>1</v>
      </c>
      <c r="K433" s="125">
        <f>1</f>
        <v>1</v>
      </c>
      <c r="L433" s="125">
        <f>1</f>
        <v>1</v>
      </c>
      <c r="M433" s="125">
        <f>1</f>
        <v>1</v>
      </c>
      <c r="N433" s="125">
        <f>1</f>
        <v>1</v>
      </c>
      <c r="O433" s="125">
        <f>1</f>
        <v>1</v>
      </c>
      <c r="P433" s="125">
        <f>1</f>
        <v>1</v>
      </c>
      <c r="Q433" s="125">
        <f>1</f>
        <v>1</v>
      </c>
      <c r="R433" s="125">
        <f>1</f>
        <v>1</v>
      </c>
      <c r="S433" s="125">
        <f>1</f>
        <v>1</v>
      </c>
      <c r="T433" s="125">
        <f>1</f>
        <v>1</v>
      </c>
      <c r="U433" s="125">
        <f>1</f>
        <v>1</v>
      </c>
      <c r="V433" s="125">
        <f>1</f>
        <v>1</v>
      </c>
      <c r="W433" s="125">
        <f>1</f>
        <v>1</v>
      </c>
      <c r="X433" s="125">
        <f>1</f>
        <v>1</v>
      </c>
      <c r="Y433" s="125">
        <f>1</f>
        <v>1</v>
      </c>
      <c r="Z433" s="125">
        <f>1</f>
        <v>1</v>
      </c>
      <c r="AA433" s="125">
        <f>1</f>
        <v>1</v>
      </c>
      <c r="AB433" s="125">
        <f>1</f>
        <v>1</v>
      </c>
      <c r="AC433" s="125">
        <f>1</f>
        <v>1</v>
      </c>
      <c r="AD433" s="125">
        <f>1</f>
        <v>1</v>
      </c>
      <c r="AE433" s="125">
        <f>1</f>
        <v>1</v>
      </c>
      <c r="AF433" s="125">
        <f>1</f>
        <v>1</v>
      </c>
      <c r="AG433" s="126">
        <f>1</f>
        <v>1</v>
      </c>
      <c r="AH433" s="22"/>
    </row>
    <row r="434" spans="1:34" x14ac:dyDescent="0.25">
      <c r="A434" s="112"/>
      <c r="B434" s="136" t="s">
        <v>142</v>
      </c>
      <c r="C434" s="67" t="s">
        <v>59</v>
      </c>
      <c r="D434" s="125">
        <f>1</f>
        <v>1</v>
      </c>
      <c r="E434" s="125">
        <f>1</f>
        <v>1</v>
      </c>
      <c r="F434" s="125">
        <f>1</f>
        <v>1</v>
      </c>
      <c r="G434" s="125">
        <f>1</f>
        <v>1</v>
      </c>
      <c r="H434" s="125">
        <f>1</f>
        <v>1</v>
      </c>
      <c r="I434" s="125">
        <f>1</f>
        <v>1</v>
      </c>
      <c r="J434" s="125">
        <f>1</f>
        <v>1</v>
      </c>
      <c r="K434" s="125">
        <f>1</f>
        <v>1</v>
      </c>
      <c r="L434" s="125">
        <f>1</f>
        <v>1</v>
      </c>
      <c r="M434" s="125">
        <f>1</f>
        <v>1</v>
      </c>
      <c r="N434" s="125">
        <f>1</f>
        <v>1</v>
      </c>
      <c r="O434" s="125">
        <f>1</f>
        <v>1</v>
      </c>
      <c r="P434" s="125">
        <f>1</f>
        <v>1</v>
      </c>
      <c r="Q434" s="125">
        <f>1</f>
        <v>1</v>
      </c>
      <c r="R434" s="125">
        <f>1</f>
        <v>1</v>
      </c>
      <c r="S434" s="125">
        <f>1</f>
        <v>1</v>
      </c>
      <c r="T434" s="125">
        <f>1</f>
        <v>1</v>
      </c>
      <c r="U434" s="125">
        <f>1</f>
        <v>1</v>
      </c>
      <c r="V434" s="125">
        <f>1</f>
        <v>1</v>
      </c>
      <c r="W434" s="125">
        <f>1</f>
        <v>1</v>
      </c>
      <c r="X434" s="125">
        <f>1</f>
        <v>1</v>
      </c>
      <c r="Y434" s="125">
        <f>1</f>
        <v>1</v>
      </c>
      <c r="Z434" s="125">
        <f>1</f>
        <v>1</v>
      </c>
      <c r="AA434" s="125">
        <f>1</f>
        <v>1</v>
      </c>
      <c r="AB434" s="125">
        <f>1</f>
        <v>1</v>
      </c>
      <c r="AC434" s="125">
        <f>1</f>
        <v>1</v>
      </c>
      <c r="AD434" s="125">
        <f>1</f>
        <v>1</v>
      </c>
      <c r="AE434" s="125">
        <f>1</f>
        <v>1</v>
      </c>
      <c r="AF434" s="125">
        <f>1</f>
        <v>1</v>
      </c>
      <c r="AG434" s="126">
        <f>1</f>
        <v>1</v>
      </c>
      <c r="AH434" s="22"/>
    </row>
    <row r="435" spans="1:34" x14ac:dyDescent="0.25">
      <c r="A435" s="112"/>
      <c r="B435" s="136" t="s">
        <v>143</v>
      </c>
      <c r="C435" s="67" t="s">
        <v>59</v>
      </c>
      <c r="D435" s="125">
        <f>1</f>
        <v>1</v>
      </c>
      <c r="E435" s="125">
        <f>1</f>
        <v>1</v>
      </c>
      <c r="F435" s="125">
        <f>1</f>
        <v>1</v>
      </c>
      <c r="G435" s="125">
        <f>1</f>
        <v>1</v>
      </c>
      <c r="H435" s="125">
        <f>1</f>
        <v>1</v>
      </c>
      <c r="I435" s="125">
        <f>1</f>
        <v>1</v>
      </c>
      <c r="J435" s="125">
        <f>1</f>
        <v>1</v>
      </c>
      <c r="K435" s="125">
        <f>1</f>
        <v>1</v>
      </c>
      <c r="L435" s="125">
        <f>1</f>
        <v>1</v>
      </c>
      <c r="M435" s="125">
        <f>1</f>
        <v>1</v>
      </c>
      <c r="N435" s="125">
        <f>1</f>
        <v>1</v>
      </c>
      <c r="O435" s="125">
        <f>1</f>
        <v>1</v>
      </c>
      <c r="P435" s="125">
        <f>1</f>
        <v>1</v>
      </c>
      <c r="Q435" s="125">
        <f>1</f>
        <v>1</v>
      </c>
      <c r="R435" s="125">
        <f>1</f>
        <v>1</v>
      </c>
      <c r="S435" s="125">
        <f>1</f>
        <v>1</v>
      </c>
      <c r="T435" s="125">
        <f>1</f>
        <v>1</v>
      </c>
      <c r="U435" s="125">
        <f>1</f>
        <v>1</v>
      </c>
      <c r="V435" s="125">
        <f>1</f>
        <v>1</v>
      </c>
      <c r="W435" s="125">
        <f>1</f>
        <v>1</v>
      </c>
      <c r="X435" s="125">
        <f>1</f>
        <v>1</v>
      </c>
      <c r="Y435" s="125">
        <f>1</f>
        <v>1</v>
      </c>
      <c r="Z435" s="125">
        <f>1</f>
        <v>1</v>
      </c>
      <c r="AA435" s="125">
        <f>1</f>
        <v>1</v>
      </c>
      <c r="AB435" s="125">
        <f>1</f>
        <v>1</v>
      </c>
      <c r="AC435" s="125">
        <f>1</f>
        <v>1</v>
      </c>
      <c r="AD435" s="125">
        <f>1</f>
        <v>1</v>
      </c>
      <c r="AE435" s="125">
        <f>1</f>
        <v>1</v>
      </c>
      <c r="AF435" s="125">
        <f>1</f>
        <v>1</v>
      </c>
      <c r="AG435" s="126">
        <f>1</f>
        <v>1</v>
      </c>
      <c r="AH435" s="22"/>
    </row>
    <row r="436" spans="1:34" x14ac:dyDescent="0.25">
      <c r="A436" s="112"/>
      <c r="B436" s="136" t="s">
        <v>144</v>
      </c>
      <c r="C436" s="67" t="s">
        <v>59</v>
      </c>
      <c r="D436" s="125">
        <f>1</f>
        <v>1</v>
      </c>
      <c r="E436" s="125">
        <f>1</f>
        <v>1</v>
      </c>
      <c r="F436" s="125">
        <f>1</f>
        <v>1</v>
      </c>
      <c r="G436" s="125">
        <f>1</f>
        <v>1</v>
      </c>
      <c r="H436" s="125">
        <f>1</f>
        <v>1</v>
      </c>
      <c r="I436" s="125">
        <f>1</f>
        <v>1</v>
      </c>
      <c r="J436" s="125">
        <f>1</f>
        <v>1</v>
      </c>
      <c r="K436" s="125">
        <f>1</f>
        <v>1</v>
      </c>
      <c r="L436" s="125">
        <f>1</f>
        <v>1</v>
      </c>
      <c r="M436" s="125">
        <f>1</f>
        <v>1</v>
      </c>
      <c r="N436" s="125">
        <f>1</f>
        <v>1</v>
      </c>
      <c r="O436" s="125">
        <f>1</f>
        <v>1</v>
      </c>
      <c r="P436" s="125">
        <f>1</f>
        <v>1</v>
      </c>
      <c r="Q436" s="125">
        <f>1</f>
        <v>1</v>
      </c>
      <c r="R436" s="125">
        <f>1</f>
        <v>1</v>
      </c>
      <c r="S436" s="125">
        <f>1</f>
        <v>1</v>
      </c>
      <c r="T436" s="125">
        <f>1</f>
        <v>1</v>
      </c>
      <c r="U436" s="125">
        <f>1</f>
        <v>1</v>
      </c>
      <c r="V436" s="125">
        <f>1</f>
        <v>1</v>
      </c>
      <c r="W436" s="125">
        <f>1</f>
        <v>1</v>
      </c>
      <c r="X436" s="125">
        <f>1</f>
        <v>1</v>
      </c>
      <c r="Y436" s="125">
        <f>1</f>
        <v>1</v>
      </c>
      <c r="Z436" s="125">
        <f>1</f>
        <v>1</v>
      </c>
      <c r="AA436" s="125">
        <f>1</f>
        <v>1</v>
      </c>
      <c r="AB436" s="125">
        <f>1</f>
        <v>1</v>
      </c>
      <c r="AC436" s="125">
        <f>1</f>
        <v>1</v>
      </c>
      <c r="AD436" s="125">
        <f>1</f>
        <v>1</v>
      </c>
      <c r="AE436" s="125">
        <f>1</f>
        <v>1</v>
      </c>
      <c r="AF436" s="125">
        <f>1</f>
        <v>1</v>
      </c>
      <c r="AG436" s="126">
        <f>1</f>
        <v>1</v>
      </c>
      <c r="AH436" s="22"/>
    </row>
    <row r="437" spans="1:34" x14ac:dyDescent="0.25">
      <c r="A437" s="112"/>
      <c r="B437" s="136" t="s">
        <v>145</v>
      </c>
      <c r="C437" s="67" t="s">
        <v>59</v>
      </c>
      <c r="D437" s="125">
        <f>1</f>
        <v>1</v>
      </c>
      <c r="E437" s="125">
        <f>1</f>
        <v>1</v>
      </c>
      <c r="F437" s="125">
        <f>1</f>
        <v>1</v>
      </c>
      <c r="G437" s="125">
        <f>1</f>
        <v>1</v>
      </c>
      <c r="H437" s="125">
        <f>1</f>
        <v>1</v>
      </c>
      <c r="I437" s="125">
        <f>1</f>
        <v>1</v>
      </c>
      <c r="J437" s="125">
        <f>1</f>
        <v>1</v>
      </c>
      <c r="K437" s="125">
        <f>1</f>
        <v>1</v>
      </c>
      <c r="L437" s="125">
        <f>1</f>
        <v>1</v>
      </c>
      <c r="M437" s="125">
        <f>1</f>
        <v>1</v>
      </c>
      <c r="N437" s="125">
        <f>1</f>
        <v>1</v>
      </c>
      <c r="O437" s="125">
        <f>1</f>
        <v>1</v>
      </c>
      <c r="P437" s="125">
        <f>1</f>
        <v>1</v>
      </c>
      <c r="Q437" s="125">
        <f>1</f>
        <v>1</v>
      </c>
      <c r="R437" s="125">
        <f>1</f>
        <v>1</v>
      </c>
      <c r="S437" s="125">
        <f>1</f>
        <v>1</v>
      </c>
      <c r="T437" s="125">
        <f>1</f>
        <v>1</v>
      </c>
      <c r="U437" s="125">
        <f>1</f>
        <v>1</v>
      </c>
      <c r="V437" s="125">
        <f>1</f>
        <v>1</v>
      </c>
      <c r="W437" s="125">
        <f>1</f>
        <v>1</v>
      </c>
      <c r="X437" s="125">
        <f>1</f>
        <v>1</v>
      </c>
      <c r="Y437" s="125">
        <f>1</f>
        <v>1</v>
      </c>
      <c r="Z437" s="125">
        <f>1</f>
        <v>1</v>
      </c>
      <c r="AA437" s="125">
        <f>1</f>
        <v>1</v>
      </c>
      <c r="AB437" s="125">
        <f>1</f>
        <v>1</v>
      </c>
      <c r="AC437" s="125">
        <f>1</f>
        <v>1</v>
      </c>
      <c r="AD437" s="125">
        <f>1</f>
        <v>1</v>
      </c>
      <c r="AE437" s="125">
        <f>1</f>
        <v>1</v>
      </c>
      <c r="AF437" s="125">
        <f>1</f>
        <v>1</v>
      </c>
      <c r="AG437" s="126">
        <f>1</f>
        <v>1</v>
      </c>
      <c r="AH437" s="22"/>
    </row>
    <row r="438" spans="1:34" x14ac:dyDescent="0.25">
      <c r="A438" s="112"/>
      <c r="B438" s="136" t="s">
        <v>146</v>
      </c>
      <c r="C438" s="67" t="s">
        <v>59</v>
      </c>
      <c r="D438" s="125">
        <f>1</f>
        <v>1</v>
      </c>
      <c r="E438" s="125">
        <f>1</f>
        <v>1</v>
      </c>
      <c r="F438" s="125">
        <f>1</f>
        <v>1</v>
      </c>
      <c r="G438" s="125">
        <f>1</f>
        <v>1</v>
      </c>
      <c r="H438" s="125">
        <f>1</f>
        <v>1</v>
      </c>
      <c r="I438" s="125">
        <f>1</f>
        <v>1</v>
      </c>
      <c r="J438" s="125">
        <f>1</f>
        <v>1</v>
      </c>
      <c r="K438" s="125">
        <f>1</f>
        <v>1</v>
      </c>
      <c r="L438" s="125">
        <f>1</f>
        <v>1</v>
      </c>
      <c r="M438" s="125">
        <f>1</f>
        <v>1</v>
      </c>
      <c r="N438" s="125">
        <f>1</f>
        <v>1</v>
      </c>
      <c r="O438" s="125">
        <f>1</f>
        <v>1</v>
      </c>
      <c r="P438" s="125">
        <f>1</f>
        <v>1</v>
      </c>
      <c r="Q438" s="125">
        <f>1</f>
        <v>1</v>
      </c>
      <c r="R438" s="125">
        <f>1</f>
        <v>1</v>
      </c>
      <c r="S438" s="125">
        <f>1</f>
        <v>1</v>
      </c>
      <c r="T438" s="125">
        <f>1</f>
        <v>1</v>
      </c>
      <c r="U438" s="125">
        <f>1</f>
        <v>1</v>
      </c>
      <c r="V438" s="125">
        <f>1</f>
        <v>1</v>
      </c>
      <c r="W438" s="125">
        <f>1</f>
        <v>1</v>
      </c>
      <c r="X438" s="125">
        <f>1</f>
        <v>1</v>
      </c>
      <c r="Y438" s="125">
        <f>1</f>
        <v>1</v>
      </c>
      <c r="Z438" s="125">
        <f>1</f>
        <v>1</v>
      </c>
      <c r="AA438" s="125">
        <f>1</f>
        <v>1</v>
      </c>
      <c r="AB438" s="125">
        <f>1</f>
        <v>1</v>
      </c>
      <c r="AC438" s="125">
        <f>1</f>
        <v>1</v>
      </c>
      <c r="AD438" s="125">
        <f>1</f>
        <v>1</v>
      </c>
      <c r="AE438" s="125">
        <f>1</f>
        <v>1</v>
      </c>
      <c r="AF438" s="125">
        <f>1</f>
        <v>1</v>
      </c>
      <c r="AG438" s="126">
        <f>1</f>
        <v>1</v>
      </c>
      <c r="AH438" s="22"/>
    </row>
    <row r="439" spans="1:34" x14ac:dyDescent="0.25">
      <c r="A439" s="112"/>
      <c r="B439" s="136" t="s">
        <v>147</v>
      </c>
      <c r="C439" s="67" t="s">
        <v>59</v>
      </c>
      <c r="D439" s="125">
        <f>1</f>
        <v>1</v>
      </c>
      <c r="E439" s="125">
        <f>1</f>
        <v>1</v>
      </c>
      <c r="F439" s="125">
        <f>1</f>
        <v>1</v>
      </c>
      <c r="G439" s="125">
        <f>1</f>
        <v>1</v>
      </c>
      <c r="H439" s="125">
        <f>1</f>
        <v>1</v>
      </c>
      <c r="I439" s="125">
        <f>1</f>
        <v>1</v>
      </c>
      <c r="J439" s="125">
        <f>1</f>
        <v>1</v>
      </c>
      <c r="K439" s="125">
        <f>1</f>
        <v>1</v>
      </c>
      <c r="L439" s="125">
        <f>1</f>
        <v>1</v>
      </c>
      <c r="M439" s="125">
        <f>1</f>
        <v>1</v>
      </c>
      <c r="N439" s="125">
        <f>1</f>
        <v>1</v>
      </c>
      <c r="O439" s="125">
        <f>1</f>
        <v>1</v>
      </c>
      <c r="P439" s="125">
        <f>1</f>
        <v>1</v>
      </c>
      <c r="Q439" s="125">
        <f>1</f>
        <v>1</v>
      </c>
      <c r="R439" s="125">
        <f>1</f>
        <v>1</v>
      </c>
      <c r="S439" s="125">
        <f>1</f>
        <v>1</v>
      </c>
      <c r="T439" s="125">
        <f>1</f>
        <v>1</v>
      </c>
      <c r="U439" s="125">
        <f>1</f>
        <v>1</v>
      </c>
      <c r="V439" s="125">
        <f>1</f>
        <v>1</v>
      </c>
      <c r="W439" s="125">
        <f>1</f>
        <v>1</v>
      </c>
      <c r="X439" s="125">
        <f>1</f>
        <v>1</v>
      </c>
      <c r="Y439" s="125">
        <f>1</f>
        <v>1</v>
      </c>
      <c r="Z439" s="125">
        <f>1</f>
        <v>1</v>
      </c>
      <c r="AA439" s="125">
        <f>1</f>
        <v>1</v>
      </c>
      <c r="AB439" s="125">
        <f>1</f>
        <v>1</v>
      </c>
      <c r="AC439" s="125">
        <f>1</f>
        <v>1</v>
      </c>
      <c r="AD439" s="125">
        <f>1</f>
        <v>1</v>
      </c>
      <c r="AE439" s="125">
        <f>1</f>
        <v>1</v>
      </c>
      <c r="AF439" s="125">
        <f>1</f>
        <v>1</v>
      </c>
      <c r="AG439" s="126">
        <f>1</f>
        <v>1</v>
      </c>
      <c r="AH439" s="22"/>
    </row>
    <row r="440" spans="1:34" x14ac:dyDescent="0.25">
      <c r="A440" s="112"/>
      <c r="B440" s="136" t="s">
        <v>148</v>
      </c>
      <c r="C440" s="67" t="s">
        <v>59</v>
      </c>
      <c r="D440" s="125">
        <f>1</f>
        <v>1</v>
      </c>
      <c r="E440" s="125">
        <f>1</f>
        <v>1</v>
      </c>
      <c r="F440" s="125">
        <f>1</f>
        <v>1</v>
      </c>
      <c r="G440" s="125">
        <f>1</f>
        <v>1</v>
      </c>
      <c r="H440" s="125">
        <f>1</f>
        <v>1</v>
      </c>
      <c r="I440" s="125">
        <f>1</f>
        <v>1</v>
      </c>
      <c r="J440" s="125">
        <f>1</f>
        <v>1</v>
      </c>
      <c r="K440" s="125">
        <f>1</f>
        <v>1</v>
      </c>
      <c r="L440" s="125">
        <f>1</f>
        <v>1</v>
      </c>
      <c r="M440" s="125">
        <f>1</f>
        <v>1</v>
      </c>
      <c r="N440" s="125">
        <f>1</f>
        <v>1</v>
      </c>
      <c r="O440" s="125">
        <f>1</f>
        <v>1</v>
      </c>
      <c r="P440" s="125">
        <f>1</f>
        <v>1</v>
      </c>
      <c r="Q440" s="125">
        <f>1</f>
        <v>1</v>
      </c>
      <c r="R440" s="125">
        <f>1</f>
        <v>1</v>
      </c>
      <c r="S440" s="125">
        <f>1</f>
        <v>1</v>
      </c>
      <c r="T440" s="125">
        <f>1</f>
        <v>1</v>
      </c>
      <c r="U440" s="125">
        <f>1</f>
        <v>1</v>
      </c>
      <c r="V440" s="125">
        <f>1</f>
        <v>1</v>
      </c>
      <c r="W440" s="125">
        <f>1</f>
        <v>1</v>
      </c>
      <c r="X440" s="125">
        <f>1</f>
        <v>1</v>
      </c>
      <c r="Y440" s="125">
        <f>1</f>
        <v>1</v>
      </c>
      <c r="Z440" s="125">
        <f>1</f>
        <v>1</v>
      </c>
      <c r="AA440" s="125">
        <f>1</f>
        <v>1</v>
      </c>
      <c r="AB440" s="125">
        <f>1</f>
        <v>1</v>
      </c>
      <c r="AC440" s="125">
        <f>1</f>
        <v>1</v>
      </c>
      <c r="AD440" s="125">
        <f>1</f>
        <v>1</v>
      </c>
      <c r="AE440" s="125">
        <f>1</f>
        <v>1</v>
      </c>
      <c r="AF440" s="125">
        <f>1</f>
        <v>1</v>
      </c>
      <c r="AG440" s="126">
        <f>1</f>
        <v>1</v>
      </c>
      <c r="AH440" s="22"/>
    </row>
    <row r="441" spans="1:34" x14ac:dyDescent="0.25">
      <c r="A441" s="112"/>
      <c r="B441" s="136" t="s">
        <v>149</v>
      </c>
      <c r="C441" s="67" t="s">
        <v>59</v>
      </c>
      <c r="D441" s="125">
        <f>1</f>
        <v>1</v>
      </c>
      <c r="E441" s="125">
        <f>1</f>
        <v>1</v>
      </c>
      <c r="F441" s="125">
        <f>1</f>
        <v>1</v>
      </c>
      <c r="G441" s="125">
        <f>1</f>
        <v>1</v>
      </c>
      <c r="H441" s="125">
        <f>1</f>
        <v>1</v>
      </c>
      <c r="I441" s="125">
        <f>1</f>
        <v>1</v>
      </c>
      <c r="J441" s="125">
        <f>1</f>
        <v>1</v>
      </c>
      <c r="K441" s="125">
        <f>1</f>
        <v>1</v>
      </c>
      <c r="L441" s="125">
        <f>1</f>
        <v>1</v>
      </c>
      <c r="M441" s="125">
        <f>1</f>
        <v>1</v>
      </c>
      <c r="N441" s="125">
        <f>1</f>
        <v>1</v>
      </c>
      <c r="O441" s="125">
        <f>1</f>
        <v>1</v>
      </c>
      <c r="P441" s="125">
        <f>1</f>
        <v>1</v>
      </c>
      <c r="Q441" s="125">
        <f>1</f>
        <v>1</v>
      </c>
      <c r="R441" s="125">
        <f>1</f>
        <v>1</v>
      </c>
      <c r="S441" s="125">
        <f>1</f>
        <v>1</v>
      </c>
      <c r="T441" s="125">
        <f>1</f>
        <v>1</v>
      </c>
      <c r="U441" s="125">
        <f>1</f>
        <v>1</v>
      </c>
      <c r="V441" s="125">
        <f>1</f>
        <v>1</v>
      </c>
      <c r="W441" s="125">
        <f>1</f>
        <v>1</v>
      </c>
      <c r="X441" s="125">
        <f>1</f>
        <v>1</v>
      </c>
      <c r="Y441" s="125">
        <f>1</f>
        <v>1</v>
      </c>
      <c r="Z441" s="125">
        <f>1</f>
        <v>1</v>
      </c>
      <c r="AA441" s="125">
        <f>1</f>
        <v>1</v>
      </c>
      <c r="AB441" s="125">
        <f>1</f>
        <v>1</v>
      </c>
      <c r="AC441" s="125">
        <f>1</f>
        <v>1</v>
      </c>
      <c r="AD441" s="125">
        <f>1</f>
        <v>1</v>
      </c>
      <c r="AE441" s="125">
        <f>1</f>
        <v>1</v>
      </c>
      <c r="AF441" s="125">
        <f>1</f>
        <v>1</v>
      </c>
      <c r="AG441" s="126">
        <f>1</f>
        <v>1</v>
      </c>
      <c r="AH441" s="22"/>
    </row>
    <row r="442" spans="1:34" x14ac:dyDescent="0.25">
      <c r="A442" s="112"/>
      <c r="B442" s="136" t="s">
        <v>150</v>
      </c>
      <c r="C442" s="67" t="s">
        <v>59</v>
      </c>
      <c r="D442" s="125">
        <f>1</f>
        <v>1</v>
      </c>
      <c r="E442" s="125">
        <f>1</f>
        <v>1</v>
      </c>
      <c r="F442" s="125">
        <f>1</f>
        <v>1</v>
      </c>
      <c r="G442" s="125">
        <f>1</f>
        <v>1</v>
      </c>
      <c r="H442" s="125">
        <f>1</f>
        <v>1</v>
      </c>
      <c r="I442" s="125">
        <f>1</f>
        <v>1</v>
      </c>
      <c r="J442" s="125">
        <f>1</f>
        <v>1</v>
      </c>
      <c r="K442" s="125">
        <f>1</f>
        <v>1</v>
      </c>
      <c r="L442" s="125">
        <f>1</f>
        <v>1</v>
      </c>
      <c r="M442" s="125">
        <f>1</f>
        <v>1</v>
      </c>
      <c r="N442" s="125">
        <f>1</f>
        <v>1</v>
      </c>
      <c r="O442" s="125">
        <f>1</f>
        <v>1</v>
      </c>
      <c r="P442" s="125">
        <f>1</f>
        <v>1</v>
      </c>
      <c r="Q442" s="125">
        <f>1</f>
        <v>1</v>
      </c>
      <c r="R442" s="125">
        <f>1</f>
        <v>1</v>
      </c>
      <c r="S442" s="125">
        <f>1</f>
        <v>1</v>
      </c>
      <c r="T442" s="125">
        <f>1</f>
        <v>1</v>
      </c>
      <c r="U442" s="125">
        <f>1</f>
        <v>1</v>
      </c>
      <c r="V442" s="125">
        <f>1</f>
        <v>1</v>
      </c>
      <c r="W442" s="125">
        <f>1</f>
        <v>1</v>
      </c>
      <c r="X442" s="125">
        <f>1</f>
        <v>1</v>
      </c>
      <c r="Y442" s="125">
        <f>1</f>
        <v>1</v>
      </c>
      <c r="Z442" s="125">
        <f>1</f>
        <v>1</v>
      </c>
      <c r="AA442" s="125">
        <f>1</f>
        <v>1</v>
      </c>
      <c r="AB442" s="125">
        <f>1</f>
        <v>1</v>
      </c>
      <c r="AC442" s="125">
        <f>1</f>
        <v>1</v>
      </c>
      <c r="AD442" s="125">
        <f>1</f>
        <v>1</v>
      </c>
      <c r="AE442" s="125">
        <f>1</f>
        <v>1</v>
      </c>
      <c r="AF442" s="125">
        <f>1</f>
        <v>1</v>
      </c>
      <c r="AG442" s="126">
        <f>1</f>
        <v>1</v>
      </c>
      <c r="AH442" s="22"/>
    </row>
    <row r="443" spans="1:34" x14ac:dyDescent="0.25">
      <c r="A443" s="112"/>
      <c r="B443" s="136" t="s">
        <v>151</v>
      </c>
      <c r="C443" s="67" t="s">
        <v>59</v>
      </c>
      <c r="D443" s="125">
        <f>4</f>
        <v>4</v>
      </c>
      <c r="E443" s="125">
        <f>4</f>
        <v>4</v>
      </c>
      <c r="F443" s="125">
        <f>4</f>
        <v>4</v>
      </c>
      <c r="G443" s="125">
        <f>4</f>
        <v>4</v>
      </c>
      <c r="H443" s="125">
        <f>4</f>
        <v>4</v>
      </c>
      <c r="I443" s="125">
        <f>4</f>
        <v>4</v>
      </c>
      <c r="J443" s="125">
        <f>4</f>
        <v>4</v>
      </c>
      <c r="K443" s="125">
        <f>4</f>
        <v>4</v>
      </c>
      <c r="L443" s="125">
        <f>4</f>
        <v>4</v>
      </c>
      <c r="M443" s="125">
        <f>4</f>
        <v>4</v>
      </c>
      <c r="N443" s="125">
        <f>4</f>
        <v>4</v>
      </c>
      <c r="O443" s="125">
        <f>4</f>
        <v>4</v>
      </c>
      <c r="P443" s="125">
        <f>4</f>
        <v>4</v>
      </c>
      <c r="Q443" s="125">
        <f>4</f>
        <v>4</v>
      </c>
      <c r="R443" s="125">
        <f>4</f>
        <v>4</v>
      </c>
      <c r="S443" s="125">
        <f>4</f>
        <v>4</v>
      </c>
      <c r="T443" s="125">
        <f>4</f>
        <v>4</v>
      </c>
      <c r="U443" s="125">
        <f>4</f>
        <v>4</v>
      </c>
      <c r="V443" s="125">
        <f>4</f>
        <v>4</v>
      </c>
      <c r="W443" s="125">
        <f>4</f>
        <v>4</v>
      </c>
      <c r="X443" s="125">
        <f>4</f>
        <v>4</v>
      </c>
      <c r="Y443" s="125">
        <f>4</f>
        <v>4</v>
      </c>
      <c r="Z443" s="125">
        <f>4</f>
        <v>4</v>
      </c>
      <c r="AA443" s="125">
        <f>4</f>
        <v>4</v>
      </c>
      <c r="AB443" s="125">
        <f>4</f>
        <v>4</v>
      </c>
      <c r="AC443" s="125">
        <f>4</f>
        <v>4</v>
      </c>
      <c r="AD443" s="125">
        <f>4</f>
        <v>4</v>
      </c>
      <c r="AE443" s="125">
        <f>4</f>
        <v>4</v>
      </c>
      <c r="AF443" s="125">
        <f>4</f>
        <v>4</v>
      </c>
      <c r="AG443" s="126">
        <f>4</f>
        <v>4</v>
      </c>
      <c r="AH443" s="22"/>
    </row>
    <row r="444" spans="1:34" x14ac:dyDescent="0.25">
      <c r="A444" s="112"/>
      <c r="B444" s="136" t="s">
        <v>152</v>
      </c>
      <c r="C444" s="67" t="s">
        <v>59</v>
      </c>
      <c r="D444" s="125">
        <f>1</f>
        <v>1</v>
      </c>
      <c r="E444" s="125">
        <f>1</f>
        <v>1</v>
      </c>
      <c r="F444" s="125">
        <f>1</f>
        <v>1</v>
      </c>
      <c r="G444" s="125">
        <f>1</f>
        <v>1</v>
      </c>
      <c r="H444" s="125">
        <f>1</f>
        <v>1</v>
      </c>
      <c r="I444" s="125">
        <f>1</f>
        <v>1</v>
      </c>
      <c r="J444" s="125">
        <f>1</f>
        <v>1</v>
      </c>
      <c r="K444" s="125">
        <f>1</f>
        <v>1</v>
      </c>
      <c r="L444" s="125">
        <f>1</f>
        <v>1</v>
      </c>
      <c r="M444" s="125">
        <f>1</f>
        <v>1</v>
      </c>
      <c r="N444" s="125">
        <f>1</f>
        <v>1</v>
      </c>
      <c r="O444" s="125">
        <f>1</f>
        <v>1</v>
      </c>
      <c r="P444" s="125">
        <f>1</f>
        <v>1</v>
      </c>
      <c r="Q444" s="125">
        <f>1</f>
        <v>1</v>
      </c>
      <c r="R444" s="125">
        <f>1</f>
        <v>1</v>
      </c>
      <c r="S444" s="125">
        <f>1</f>
        <v>1</v>
      </c>
      <c r="T444" s="125">
        <f>1</f>
        <v>1</v>
      </c>
      <c r="U444" s="125">
        <f>1</f>
        <v>1</v>
      </c>
      <c r="V444" s="125">
        <f>1</f>
        <v>1</v>
      </c>
      <c r="W444" s="125">
        <f>1</f>
        <v>1</v>
      </c>
      <c r="X444" s="125">
        <f>1</f>
        <v>1</v>
      </c>
      <c r="Y444" s="125">
        <f>1</f>
        <v>1</v>
      </c>
      <c r="Z444" s="125">
        <f>1</f>
        <v>1</v>
      </c>
      <c r="AA444" s="125">
        <f>1</f>
        <v>1</v>
      </c>
      <c r="AB444" s="125">
        <f>1</f>
        <v>1</v>
      </c>
      <c r="AC444" s="125">
        <f>1</f>
        <v>1</v>
      </c>
      <c r="AD444" s="125">
        <f>1</f>
        <v>1</v>
      </c>
      <c r="AE444" s="125">
        <f>1</f>
        <v>1</v>
      </c>
      <c r="AF444" s="125">
        <f>1</f>
        <v>1</v>
      </c>
      <c r="AG444" s="126">
        <f>1</f>
        <v>1</v>
      </c>
      <c r="AH444" s="22"/>
    </row>
    <row r="445" spans="1:34" x14ac:dyDescent="0.25">
      <c r="A445" s="112"/>
      <c r="B445" s="136" t="s">
        <v>153</v>
      </c>
      <c r="C445" s="67" t="s">
        <v>59</v>
      </c>
      <c r="D445" s="125">
        <f>1</f>
        <v>1</v>
      </c>
      <c r="E445" s="125">
        <f>1</f>
        <v>1</v>
      </c>
      <c r="F445" s="125">
        <f>1</f>
        <v>1</v>
      </c>
      <c r="G445" s="125">
        <f>1</f>
        <v>1</v>
      </c>
      <c r="H445" s="125">
        <f>1</f>
        <v>1</v>
      </c>
      <c r="I445" s="125">
        <f>1</f>
        <v>1</v>
      </c>
      <c r="J445" s="125">
        <f>1</f>
        <v>1</v>
      </c>
      <c r="K445" s="125">
        <f>1</f>
        <v>1</v>
      </c>
      <c r="L445" s="125">
        <f>1</f>
        <v>1</v>
      </c>
      <c r="M445" s="125">
        <f>1</f>
        <v>1</v>
      </c>
      <c r="N445" s="125">
        <f>1</f>
        <v>1</v>
      </c>
      <c r="O445" s="125">
        <f>1</f>
        <v>1</v>
      </c>
      <c r="P445" s="125">
        <f>1</f>
        <v>1</v>
      </c>
      <c r="Q445" s="125">
        <f>1</f>
        <v>1</v>
      </c>
      <c r="R445" s="125">
        <f>1</f>
        <v>1</v>
      </c>
      <c r="S445" s="125">
        <f>1</f>
        <v>1</v>
      </c>
      <c r="T445" s="125">
        <f>1</f>
        <v>1</v>
      </c>
      <c r="U445" s="125">
        <f>1</f>
        <v>1</v>
      </c>
      <c r="V445" s="125">
        <f>1</f>
        <v>1</v>
      </c>
      <c r="W445" s="125">
        <f>1</f>
        <v>1</v>
      </c>
      <c r="X445" s="125">
        <f>1</f>
        <v>1</v>
      </c>
      <c r="Y445" s="125">
        <f>1</f>
        <v>1</v>
      </c>
      <c r="Z445" s="125">
        <f>1</f>
        <v>1</v>
      </c>
      <c r="AA445" s="125">
        <f>1</f>
        <v>1</v>
      </c>
      <c r="AB445" s="125">
        <f>1</f>
        <v>1</v>
      </c>
      <c r="AC445" s="125">
        <f>1</f>
        <v>1</v>
      </c>
      <c r="AD445" s="125">
        <f>1</f>
        <v>1</v>
      </c>
      <c r="AE445" s="125">
        <f>1</f>
        <v>1</v>
      </c>
      <c r="AF445" s="125">
        <f>1</f>
        <v>1</v>
      </c>
      <c r="AG445" s="126">
        <f>1</f>
        <v>1</v>
      </c>
      <c r="AH445" s="22"/>
    </row>
    <row r="446" spans="1:34" x14ac:dyDescent="0.25">
      <c r="A446" s="112"/>
      <c r="B446" s="136" t="s">
        <v>154</v>
      </c>
      <c r="C446" s="67" t="s">
        <v>59</v>
      </c>
      <c r="D446" s="125">
        <f>2</f>
        <v>2</v>
      </c>
      <c r="E446" s="125">
        <f>2</f>
        <v>2</v>
      </c>
      <c r="F446" s="125">
        <f>2</f>
        <v>2</v>
      </c>
      <c r="G446" s="125">
        <f>2</f>
        <v>2</v>
      </c>
      <c r="H446" s="125">
        <f>2</f>
        <v>2</v>
      </c>
      <c r="I446" s="125">
        <f>2</f>
        <v>2</v>
      </c>
      <c r="J446" s="125">
        <f>2</f>
        <v>2</v>
      </c>
      <c r="K446" s="125">
        <f>2</f>
        <v>2</v>
      </c>
      <c r="L446" s="125">
        <f>2</f>
        <v>2</v>
      </c>
      <c r="M446" s="125">
        <f>2</f>
        <v>2</v>
      </c>
      <c r="N446" s="125">
        <f>2</f>
        <v>2</v>
      </c>
      <c r="O446" s="125">
        <f>2</f>
        <v>2</v>
      </c>
      <c r="P446" s="125">
        <f>2</f>
        <v>2</v>
      </c>
      <c r="Q446" s="125">
        <f>2</f>
        <v>2</v>
      </c>
      <c r="R446" s="125">
        <f>2</f>
        <v>2</v>
      </c>
      <c r="S446" s="125">
        <f>2</f>
        <v>2</v>
      </c>
      <c r="T446" s="125">
        <f>2</f>
        <v>2</v>
      </c>
      <c r="U446" s="125">
        <f>2</f>
        <v>2</v>
      </c>
      <c r="V446" s="125">
        <f>2</f>
        <v>2</v>
      </c>
      <c r="W446" s="125">
        <f>2</f>
        <v>2</v>
      </c>
      <c r="X446" s="125">
        <f>2</f>
        <v>2</v>
      </c>
      <c r="Y446" s="125">
        <f>2</f>
        <v>2</v>
      </c>
      <c r="Z446" s="125">
        <f>2</f>
        <v>2</v>
      </c>
      <c r="AA446" s="125">
        <f>2</f>
        <v>2</v>
      </c>
      <c r="AB446" s="125">
        <f>2</f>
        <v>2</v>
      </c>
      <c r="AC446" s="125">
        <f>2</f>
        <v>2</v>
      </c>
      <c r="AD446" s="125">
        <f>2</f>
        <v>2</v>
      </c>
      <c r="AE446" s="125">
        <f>2</f>
        <v>2</v>
      </c>
      <c r="AF446" s="125">
        <f>2</f>
        <v>2</v>
      </c>
      <c r="AG446" s="126">
        <f>2</f>
        <v>2</v>
      </c>
      <c r="AH446" s="22"/>
    </row>
    <row r="447" spans="1:34" x14ac:dyDescent="0.25">
      <c r="A447" s="112"/>
      <c r="B447" s="136" t="s">
        <v>155</v>
      </c>
      <c r="C447" s="67" t="s">
        <v>59</v>
      </c>
      <c r="D447" s="125">
        <f>3</f>
        <v>3</v>
      </c>
      <c r="E447" s="125">
        <f>3</f>
        <v>3</v>
      </c>
      <c r="F447" s="125">
        <f>3</f>
        <v>3</v>
      </c>
      <c r="G447" s="125">
        <f>3</f>
        <v>3</v>
      </c>
      <c r="H447" s="125">
        <f>3</f>
        <v>3</v>
      </c>
      <c r="I447" s="125">
        <f>3</f>
        <v>3</v>
      </c>
      <c r="J447" s="125">
        <f>3</f>
        <v>3</v>
      </c>
      <c r="K447" s="125">
        <f>3</f>
        <v>3</v>
      </c>
      <c r="L447" s="125">
        <f>3</f>
        <v>3</v>
      </c>
      <c r="M447" s="125">
        <f>3</f>
        <v>3</v>
      </c>
      <c r="N447" s="125">
        <f>3</f>
        <v>3</v>
      </c>
      <c r="O447" s="125">
        <f>3</f>
        <v>3</v>
      </c>
      <c r="P447" s="125">
        <f>3</f>
        <v>3</v>
      </c>
      <c r="Q447" s="125">
        <f>3</f>
        <v>3</v>
      </c>
      <c r="R447" s="125">
        <f>3</f>
        <v>3</v>
      </c>
      <c r="S447" s="125">
        <f>3</f>
        <v>3</v>
      </c>
      <c r="T447" s="125">
        <f>3</f>
        <v>3</v>
      </c>
      <c r="U447" s="125">
        <f>3</f>
        <v>3</v>
      </c>
      <c r="V447" s="125">
        <f>3</f>
        <v>3</v>
      </c>
      <c r="W447" s="125">
        <f>3</f>
        <v>3</v>
      </c>
      <c r="X447" s="125">
        <f>3</f>
        <v>3</v>
      </c>
      <c r="Y447" s="125">
        <f>3</f>
        <v>3</v>
      </c>
      <c r="Z447" s="125">
        <f>3</f>
        <v>3</v>
      </c>
      <c r="AA447" s="125">
        <f>3</f>
        <v>3</v>
      </c>
      <c r="AB447" s="125">
        <f>3</f>
        <v>3</v>
      </c>
      <c r="AC447" s="125">
        <f>3</f>
        <v>3</v>
      </c>
      <c r="AD447" s="125">
        <f>3</f>
        <v>3</v>
      </c>
      <c r="AE447" s="125">
        <f>3</f>
        <v>3</v>
      </c>
      <c r="AF447" s="125">
        <f>3</f>
        <v>3</v>
      </c>
      <c r="AG447" s="126">
        <f>3</f>
        <v>3</v>
      </c>
      <c r="AH447" s="22"/>
    </row>
    <row r="448" spans="1:34" x14ac:dyDescent="0.25">
      <c r="A448" s="112"/>
      <c r="B448" s="136" t="s">
        <v>156</v>
      </c>
      <c r="C448" s="67" t="s">
        <v>59</v>
      </c>
      <c r="D448" s="125">
        <f>1</f>
        <v>1</v>
      </c>
      <c r="E448" s="125">
        <f>1</f>
        <v>1</v>
      </c>
      <c r="F448" s="125">
        <f>1</f>
        <v>1</v>
      </c>
      <c r="G448" s="125">
        <f>1</f>
        <v>1</v>
      </c>
      <c r="H448" s="125">
        <f>1</f>
        <v>1</v>
      </c>
      <c r="I448" s="125">
        <f>1</f>
        <v>1</v>
      </c>
      <c r="J448" s="125">
        <f>1</f>
        <v>1</v>
      </c>
      <c r="K448" s="125">
        <f>1</f>
        <v>1</v>
      </c>
      <c r="L448" s="125">
        <f>1</f>
        <v>1</v>
      </c>
      <c r="M448" s="125">
        <f>1</f>
        <v>1</v>
      </c>
      <c r="N448" s="125">
        <f>1</f>
        <v>1</v>
      </c>
      <c r="O448" s="125">
        <f>1</f>
        <v>1</v>
      </c>
      <c r="P448" s="125">
        <f>1</f>
        <v>1</v>
      </c>
      <c r="Q448" s="125">
        <f>1</f>
        <v>1</v>
      </c>
      <c r="R448" s="125">
        <f>1</f>
        <v>1</v>
      </c>
      <c r="S448" s="125">
        <f>1</f>
        <v>1</v>
      </c>
      <c r="T448" s="125">
        <f>1</f>
        <v>1</v>
      </c>
      <c r="U448" s="125">
        <f>1</f>
        <v>1</v>
      </c>
      <c r="V448" s="125">
        <f>1</f>
        <v>1</v>
      </c>
      <c r="W448" s="125">
        <f>1</f>
        <v>1</v>
      </c>
      <c r="X448" s="125">
        <f>1</f>
        <v>1</v>
      </c>
      <c r="Y448" s="125">
        <f>1</f>
        <v>1</v>
      </c>
      <c r="Z448" s="125">
        <f>1</f>
        <v>1</v>
      </c>
      <c r="AA448" s="125">
        <f>1</f>
        <v>1</v>
      </c>
      <c r="AB448" s="125">
        <f>1</f>
        <v>1</v>
      </c>
      <c r="AC448" s="125">
        <f>1</f>
        <v>1</v>
      </c>
      <c r="AD448" s="125">
        <f>1</f>
        <v>1</v>
      </c>
      <c r="AE448" s="125">
        <f>1</f>
        <v>1</v>
      </c>
      <c r="AF448" s="125">
        <f>1</f>
        <v>1</v>
      </c>
      <c r="AG448" s="126">
        <f>1</f>
        <v>1</v>
      </c>
      <c r="AH448" s="22"/>
    </row>
    <row r="449" spans="1:34" x14ac:dyDescent="0.25">
      <c r="A449" s="112"/>
      <c r="B449" s="136" t="s">
        <v>451</v>
      </c>
      <c r="C449" s="67" t="s">
        <v>59</v>
      </c>
      <c r="D449" s="125">
        <f>3</f>
        <v>3</v>
      </c>
      <c r="E449" s="125">
        <f>3</f>
        <v>3</v>
      </c>
      <c r="F449" s="125">
        <f>3</f>
        <v>3</v>
      </c>
      <c r="G449" s="125">
        <f>3</f>
        <v>3</v>
      </c>
      <c r="H449" s="125">
        <f>3</f>
        <v>3</v>
      </c>
      <c r="I449" s="125">
        <f>3</f>
        <v>3</v>
      </c>
      <c r="J449" s="125">
        <f>3</f>
        <v>3</v>
      </c>
      <c r="K449" s="125">
        <f>3</f>
        <v>3</v>
      </c>
      <c r="L449" s="125">
        <f>3</f>
        <v>3</v>
      </c>
      <c r="M449" s="125">
        <f>3</f>
        <v>3</v>
      </c>
      <c r="N449" s="125">
        <f>3</f>
        <v>3</v>
      </c>
      <c r="O449" s="125">
        <f>3</f>
        <v>3</v>
      </c>
      <c r="P449" s="125">
        <f>3</f>
        <v>3</v>
      </c>
      <c r="Q449" s="125">
        <f>3</f>
        <v>3</v>
      </c>
      <c r="R449" s="125">
        <f>3</f>
        <v>3</v>
      </c>
      <c r="S449" s="125">
        <f>3</f>
        <v>3</v>
      </c>
      <c r="T449" s="125">
        <f>3</f>
        <v>3</v>
      </c>
      <c r="U449" s="125">
        <f>3</f>
        <v>3</v>
      </c>
      <c r="V449" s="125">
        <f>3</f>
        <v>3</v>
      </c>
      <c r="W449" s="125">
        <f>3</f>
        <v>3</v>
      </c>
      <c r="X449" s="125">
        <f>3</f>
        <v>3</v>
      </c>
      <c r="Y449" s="125">
        <f>3</f>
        <v>3</v>
      </c>
      <c r="Z449" s="125">
        <f>3</f>
        <v>3</v>
      </c>
      <c r="AA449" s="125">
        <f>3</f>
        <v>3</v>
      </c>
      <c r="AB449" s="125">
        <f>3</f>
        <v>3</v>
      </c>
      <c r="AC449" s="125">
        <f>3</f>
        <v>3</v>
      </c>
      <c r="AD449" s="125">
        <f>3</f>
        <v>3</v>
      </c>
      <c r="AE449" s="125">
        <f>3</f>
        <v>3</v>
      </c>
      <c r="AF449" s="125">
        <f>3</f>
        <v>3</v>
      </c>
      <c r="AG449" s="126">
        <f>3</f>
        <v>3</v>
      </c>
      <c r="AH449" s="22"/>
    </row>
    <row r="450" spans="1:34" x14ac:dyDescent="0.25">
      <c r="A450" s="112"/>
      <c r="B450" s="136" t="s">
        <v>452</v>
      </c>
      <c r="C450" s="67" t="s">
        <v>59</v>
      </c>
      <c r="D450" s="125">
        <f>3</f>
        <v>3</v>
      </c>
      <c r="E450" s="125">
        <f>3</f>
        <v>3</v>
      </c>
      <c r="F450" s="125">
        <f>3</f>
        <v>3</v>
      </c>
      <c r="G450" s="125">
        <f>3</f>
        <v>3</v>
      </c>
      <c r="H450" s="125">
        <f>3</f>
        <v>3</v>
      </c>
      <c r="I450" s="125">
        <f>3</f>
        <v>3</v>
      </c>
      <c r="J450" s="125">
        <f>3</f>
        <v>3</v>
      </c>
      <c r="K450" s="125">
        <f>3</f>
        <v>3</v>
      </c>
      <c r="L450" s="125">
        <f>3</f>
        <v>3</v>
      </c>
      <c r="M450" s="125">
        <f>3</f>
        <v>3</v>
      </c>
      <c r="N450" s="125">
        <f>3</f>
        <v>3</v>
      </c>
      <c r="O450" s="125">
        <f>3</f>
        <v>3</v>
      </c>
      <c r="P450" s="125">
        <f>3</f>
        <v>3</v>
      </c>
      <c r="Q450" s="125">
        <f>3</f>
        <v>3</v>
      </c>
      <c r="R450" s="125">
        <f>3</f>
        <v>3</v>
      </c>
      <c r="S450" s="125">
        <f>3</f>
        <v>3</v>
      </c>
      <c r="T450" s="125">
        <f>3</f>
        <v>3</v>
      </c>
      <c r="U450" s="125">
        <f>3</f>
        <v>3</v>
      </c>
      <c r="V450" s="125">
        <f>3</f>
        <v>3</v>
      </c>
      <c r="W450" s="125">
        <f>3</f>
        <v>3</v>
      </c>
      <c r="X450" s="125">
        <f>3</f>
        <v>3</v>
      </c>
      <c r="Y450" s="125">
        <f>3</f>
        <v>3</v>
      </c>
      <c r="Z450" s="125">
        <f>3</f>
        <v>3</v>
      </c>
      <c r="AA450" s="125">
        <f>3</f>
        <v>3</v>
      </c>
      <c r="AB450" s="125">
        <f>3</f>
        <v>3</v>
      </c>
      <c r="AC450" s="125">
        <f>3</f>
        <v>3</v>
      </c>
      <c r="AD450" s="125">
        <f>3</f>
        <v>3</v>
      </c>
      <c r="AE450" s="125">
        <f>3</f>
        <v>3</v>
      </c>
      <c r="AF450" s="125">
        <f>3</f>
        <v>3</v>
      </c>
      <c r="AG450" s="126">
        <f>3</f>
        <v>3</v>
      </c>
      <c r="AH450" s="22"/>
    </row>
    <row r="451" spans="1:34" x14ac:dyDescent="0.25">
      <c r="A451" s="112"/>
      <c r="B451" s="136" t="s">
        <v>453</v>
      </c>
      <c r="C451" s="67" t="s">
        <v>59</v>
      </c>
      <c r="D451" s="125">
        <f>3</f>
        <v>3</v>
      </c>
      <c r="E451" s="125">
        <f>3</f>
        <v>3</v>
      </c>
      <c r="F451" s="125">
        <f>3</f>
        <v>3</v>
      </c>
      <c r="G451" s="125">
        <f>3</f>
        <v>3</v>
      </c>
      <c r="H451" s="125">
        <f>3</f>
        <v>3</v>
      </c>
      <c r="I451" s="125">
        <f>3</f>
        <v>3</v>
      </c>
      <c r="J451" s="125">
        <f>3</f>
        <v>3</v>
      </c>
      <c r="K451" s="125">
        <f>3</f>
        <v>3</v>
      </c>
      <c r="L451" s="125">
        <f>3</f>
        <v>3</v>
      </c>
      <c r="M451" s="125">
        <f>3</f>
        <v>3</v>
      </c>
      <c r="N451" s="125">
        <f>3</f>
        <v>3</v>
      </c>
      <c r="O451" s="125">
        <f>3</f>
        <v>3</v>
      </c>
      <c r="P451" s="125">
        <f>3</f>
        <v>3</v>
      </c>
      <c r="Q451" s="125">
        <f>3</f>
        <v>3</v>
      </c>
      <c r="R451" s="125">
        <f>3</f>
        <v>3</v>
      </c>
      <c r="S451" s="125">
        <f>3</f>
        <v>3</v>
      </c>
      <c r="T451" s="125">
        <f>3</f>
        <v>3</v>
      </c>
      <c r="U451" s="125">
        <f>3</f>
        <v>3</v>
      </c>
      <c r="V451" s="125">
        <f>3</f>
        <v>3</v>
      </c>
      <c r="W451" s="125">
        <f>3</f>
        <v>3</v>
      </c>
      <c r="X451" s="125">
        <f>3</f>
        <v>3</v>
      </c>
      <c r="Y451" s="125">
        <f>3</f>
        <v>3</v>
      </c>
      <c r="Z451" s="125">
        <f>3</f>
        <v>3</v>
      </c>
      <c r="AA451" s="125">
        <f>3</f>
        <v>3</v>
      </c>
      <c r="AB451" s="125">
        <f>3</f>
        <v>3</v>
      </c>
      <c r="AC451" s="125">
        <f>3</f>
        <v>3</v>
      </c>
      <c r="AD451" s="125">
        <f>3</f>
        <v>3</v>
      </c>
      <c r="AE451" s="125">
        <f>3</f>
        <v>3</v>
      </c>
      <c r="AF451" s="125">
        <f>3</f>
        <v>3</v>
      </c>
      <c r="AG451" s="126">
        <f>3</f>
        <v>3</v>
      </c>
      <c r="AH451" s="22"/>
    </row>
    <row r="452" spans="1:34" x14ac:dyDescent="0.25">
      <c r="A452" s="112"/>
      <c r="B452" s="136" t="s">
        <v>157</v>
      </c>
      <c r="C452" s="67" t="s">
        <v>59</v>
      </c>
      <c r="D452" s="125">
        <f>1</f>
        <v>1</v>
      </c>
      <c r="E452" s="125">
        <f>1</f>
        <v>1</v>
      </c>
      <c r="F452" s="125">
        <f>1</f>
        <v>1</v>
      </c>
      <c r="G452" s="125">
        <f>1</f>
        <v>1</v>
      </c>
      <c r="H452" s="125">
        <f>1</f>
        <v>1</v>
      </c>
      <c r="I452" s="125">
        <f>1</f>
        <v>1</v>
      </c>
      <c r="J452" s="125">
        <f>1</f>
        <v>1</v>
      </c>
      <c r="K452" s="125">
        <f>1</f>
        <v>1</v>
      </c>
      <c r="L452" s="125">
        <f>1</f>
        <v>1</v>
      </c>
      <c r="M452" s="125">
        <f>1</f>
        <v>1</v>
      </c>
      <c r="N452" s="125">
        <f>1</f>
        <v>1</v>
      </c>
      <c r="O452" s="125">
        <f>1</f>
        <v>1</v>
      </c>
      <c r="P452" s="125">
        <f>1</f>
        <v>1</v>
      </c>
      <c r="Q452" s="125">
        <f>1</f>
        <v>1</v>
      </c>
      <c r="R452" s="125">
        <f>1</f>
        <v>1</v>
      </c>
      <c r="S452" s="125">
        <f>1</f>
        <v>1</v>
      </c>
      <c r="T452" s="125">
        <f>1</f>
        <v>1</v>
      </c>
      <c r="U452" s="125">
        <f>1</f>
        <v>1</v>
      </c>
      <c r="V452" s="125">
        <f>1</f>
        <v>1</v>
      </c>
      <c r="W452" s="125">
        <f>1</f>
        <v>1</v>
      </c>
      <c r="X452" s="125">
        <f>1</f>
        <v>1</v>
      </c>
      <c r="Y452" s="125">
        <f>1</f>
        <v>1</v>
      </c>
      <c r="Z452" s="125">
        <f>1</f>
        <v>1</v>
      </c>
      <c r="AA452" s="125">
        <f>1</f>
        <v>1</v>
      </c>
      <c r="AB452" s="125">
        <f>1</f>
        <v>1</v>
      </c>
      <c r="AC452" s="125">
        <f>1</f>
        <v>1</v>
      </c>
      <c r="AD452" s="125">
        <f>1</f>
        <v>1</v>
      </c>
      <c r="AE452" s="125">
        <f>1</f>
        <v>1</v>
      </c>
      <c r="AF452" s="125">
        <f>1</f>
        <v>1</v>
      </c>
      <c r="AG452" s="126">
        <f>1</f>
        <v>1</v>
      </c>
      <c r="AH452" s="22"/>
    </row>
    <row r="453" spans="1:34" x14ac:dyDescent="0.25">
      <c r="A453" s="112"/>
      <c r="B453" s="136" t="s">
        <v>158</v>
      </c>
      <c r="C453" s="67" t="s">
        <v>59</v>
      </c>
      <c r="D453" s="125">
        <f>1</f>
        <v>1</v>
      </c>
      <c r="E453" s="125">
        <f>1</f>
        <v>1</v>
      </c>
      <c r="F453" s="125">
        <f>1</f>
        <v>1</v>
      </c>
      <c r="G453" s="125">
        <f>1</f>
        <v>1</v>
      </c>
      <c r="H453" s="125">
        <f>1</f>
        <v>1</v>
      </c>
      <c r="I453" s="125">
        <f>1</f>
        <v>1</v>
      </c>
      <c r="J453" s="125">
        <f>1</f>
        <v>1</v>
      </c>
      <c r="K453" s="125">
        <f>1</f>
        <v>1</v>
      </c>
      <c r="L453" s="125">
        <f>1</f>
        <v>1</v>
      </c>
      <c r="M453" s="125">
        <f>1</f>
        <v>1</v>
      </c>
      <c r="N453" s="125">
        <f>1</f>
        <v>1</v>
      </c>
      <c r="O453" s="125">
        <f>1</f>
        <v>1</v>
      </c>
      <c r="P453" s="125">
        <f>1</f>
        <v>1</v>
      </c>
      <c r="Q453" s="125">
        <f>1</f>
        <v>1</v>
      </c>
      <c r="R453" s="125">
        <f>1</f>
        <v>1</v>
      </c>
      <c r="S453" s="125">
        <f>1</f>
        <v>1</v>
      </c>
      <c r="T453" s="125">
        <f>1</f>
        <v>1</v>
      </c>
      <c r="U453" s="125">
        <f>1</f>
        <v>1</v>
      </c>
      <c r="V453" s="125">
        <f>1</f>
        <v>1</v>
      </c>
      <c r="W453" s="125">
        <f>1</f>
        <v>1</v>
      </c>
      <c r="X453" s="125">
        <f>1</f>
        <v>1</v>
      </c>
      <c r="Y453" s="125">
        <f>1</f>
        <v>1</v>
      </c>
      <c r="Z453" s="125">
        <f>1</f>
        <v>1</v>
      </c>
      <c r="AA453" s="125">
        <f>1</f>
        <v>1</v>
      </c>
      <c r="AB453" s="125">
        <f>1</f>
        <v>1</v>
      </c>
      <c r="AC453" s="125">
        <f>1</f>
        <v>1</v>
      </c>
      <c r="AD453" s="125">
        <f>1</f>
        <v>1</v>
      </c>
      <c r="AE453" s="125">
        <f>1</f>
        <v>1</v>
      </c>
      <c r="AF453" s="125">
        <f>1</f>
        <v>1</v>
      </c>
      <c r="AG453" s="126">
        <f>1</f>
        <v>1</v>
      </c>
      <c r="AH453" s="22"/>
    </row>
    <row r="454" spans="1:34" x14ac:dyDescent="0.25">
      <c r="A454" s="112"/>
      <c r="B454" s="136" t="s">
        <v>159</v>
      </c>
      <c r="C454" s="67" t="s">
        <v>59</v>
      </c>
      <c r="D454" s="125">
        <f>1</f>
        <v>1</v>
      </c>
      <c r="E454" s="125">
        <f>1</f>
        <v>1</v>
      </c>
      <c r="F454" s="125">
        <f>1</f>
        <v>1</v>
      </c>
      <c r="G454" s="125">
        <f>1</f>
        <v>1</v>
      </c>
      <c r="H454" s="125">
        <f>1</f>
        <v>1</v>
      </c>
      <c r="I454" s="125">
        <f>1</f>
        <v>1</v>
      </c>
      <c r="J454" s="125">
        <f>1</f>
        <v>1</v>
      </c>
      <c r="K454" s="125">
        <f>1</f>
        <v>1</v>
      </c>
      <c r="L454" s="125">
        <f>1</f>
        <v>1</v>
      </c>
      <c r="M454" s="125">
        <f>1</f>
        <v>1</v>
      </c>
      <c r="N454" s="125">
        <f>1</f>
        <v>1</v>
      </c>
      <c r="O454" s="125">
        <f>1</f>
        <v>1</v>
      </c>
      <c r="P454" s="125">
        <f>1</f>
        <v>1</v>
      </c>
      <c r="Q454" s="125">
        <f>1</f>
        <v>1</v>
      </c>
      <c r="R454" s="125">
        <f>1</f>
        <v>1</v>
      </c>
      <c r="S454" s="125">
        <f>1</f>
        <v>1</v>
      </c>
      <c r="T454" s="125">
        <f>1</f>
        <v>1</v>
      </c>
      <c r="U454" s="125">
        <f>1</f>
        <v>1</v>
      </c>
      <c r="V454" s="125">
        <f>1</f>
        <v>1</v>
      </c>
      <c r="W454" s="125">
        <f>1</f>
        <v>1</v>
      </c>
      <c r="X454" s="125">
        <f>1</f>
        <v>1</v>
      </c>
      <c r="Y454" s="125">
        <f>1</f>
        <v>1</v>
      </c>
      <c r="Z454" s="125">
        <f>1</f>
        <v>1</v>
      </c>
      <c r="AA454" s="125">
        <f>1</f>
        <v>1</v>
      </c>
      <c r="AB454" s="125">
        <f>1</f>
        <v>1</v>
      </c>
      <c r="AC454" s="125">
        <f>1</f>
        <v>1</v>
      </c>
      <c r="AD454" s="125">
        <f>1</f>
        <v>1</v>
      </c>
      <c r="AE454" s="125">
        <f>1</f>
        <v>1</v>
      </c>
      <c r="AF454" s="125">
        <f>1</f>
        <v>1</v>
      </c>
      <c r="AG454" s="126">
        <f>1</f>
        <v>1</v>
      </c>
      <c r="AH454" s="22"/>
    </row>
    <row r="455" spans="1:34" x14ac:dyDescent="0.25">
      <c r="A455" s="112"/>
      <c r="B455" s="136" t="s">
        <v>160</v>
      </c>
      <c r="C455" s="67" t="s">
        <v>59</v>
      </c>
      <c r="D455" s="125">
        <f>1</f>
        <v>1</v>
      </c>
      <c r="E455" s="125">
        <f>1</f>
        <v>1</v>
      </c>
      <c r="F455" s="125">
        <f>1</f>
        <v>1</v>
      </c>
      <c r="G455" s="125">
        <f>1</f>
        <v>1</v>
      </c>
      <c r="H455" s="125">
        <f>1</f>
        <v>1</v>
      </c>
      <c r="I455" s="125">
        <f>1</f>
        <v>1</v>
      </c>
      <c r="J455" s="125">
        <f>1</f>
        <v>1</v>
      </c>
      <c r="K455" s="125">
        <f>1</f>
        <v>1</v>
      </c>
      <c r="L455" s="125">
        <f>1</f>
        <v>1</v>
      </c>
      <c r="M455" s="125">
        <f>1</f>
        <v>1</v>
      </c>
      <c r="N455" s="125">
        <f>1</f>
        <v>1</v>
      </c>
      <c r="O455" s="125">
        <f>1</f>
        <v>1</v>
      </c>
      <c r="P455" s="125">
        <f>1</f>
        <v>1</v>
      </c>
      <c r="Q455" s="125">
        <f>1</f>
        <v>1</v>
      </c>
      <c r="R455" s="125">
        <f>1</f>
        <v>1</v>
      </c>
      <c r="S455" s="125">
        <f>1</f>
        <v>1</v>
      </c>
      <c r="T455" s="125">
        <f>1</f>
        <v>1</v>
      </c>
      <c r="U455" s="125">
        <f>1</f>
        <v>1</v>
      </c>
      <c r="V455" s="125">
        <f>1</f>
        <v>1</v>
      </c>
      <c r="W455" s="125">
        <f>1</f>
        <v>1</v>
      </c>
      <c r="X455" s="125">
        <f>1</f>
        <v>1</v>
      </c>
      <c r="Y455" s="125">
        <f>1</f>
        <v>1</v>
      </c>
      <c r="Z455" s="125">
        <f>1</f>
        <v>1</v>
      </c>
      <c r="AA455" s="125">
        <f>1</f>
        <v>1</v>
      </c>
      <c r="AB455" s="125">
        <f>1</f>
        <v>1</v>
      </c>
      <c r="AC455" s="125">
        <f>1</f>
        <v>1</v>
      </c>
      <c r="AD455" s="125">
        <f>1</f>
        <v>1</v>
      </c>
      <c r="AE455" s="125">
        <f>1</f>
        <v>1</v>
      </c>
      <c r="AF455" s="125">
        <f>1</f>
        <v>1</v>
      </c>
      <c r="AG455" s="126">
        <f>1</f>
        <v>1</v>
      </c>
      <c r="AH455" s="22"/>
    </row>
    <row r="456" spans="1:34" x14ac:dyDescent="0.25">
      <c r="A456" s="112"/>
      <c r="B456" s="136" t="s">
        <v>161</v>
      </c>
      <c r="C456" s="67" t="s">
        <v>59</v>
      </c>
      <c r="D456" s="125">
        <f>1</f>
        <v>1</v>
      </c>
      <c r="E456" s="125">
        <f>1</f>
        <v>1</v>
      </c>
      <c r="F456" s="125">
        <f>1</f>
        <v>1</v>
      </c>
      <c r="G456" s="125">
        <f>1</f>
        <v>1</v>
      </c>
      <c r="H456" s="125">
        <f>1</f>
        <v>1</v>
      </c>
      <c r="I456" s="125">
        <f>1</f>
        <v>1</v>
      </c>
      <c r="J456" s="125">
        <f>1</f>
        <v>1</v>
      </c>
      <c r="K456" s="125">
        <f>1</f>
        <v>1</v>
      </c>
      <c r="L456" s="125">
        <f>1</f>
        <v>1</v>
      </c>
      <c r="M456" s="125">
        <f>1</f>
        <v>1</v>
      </c>
      <c r="N456" s="125">
        <f>1</f>
        <v>1</v>
      </c>
      <c r="O456" s="125">
        <f>1</f>
        <v>1</v>
      </c>
      <c r="P456" s="125">
        <f>1</f>
        <v>1</v>
      </c>
      <c r="Q456" s="125">
        <f>1</f>
        <v>1</v>
      </c>
      <c r="R456" s="125">
        <f>1</f>
        <v>1</v>
      </c>
      <c r="S456" s="125">
        <f>1</f>
        <v>1</v>
      </c>
      <c r="T456" s="125">
        <f>1</f>
        <v>1</v>
      </c>
      <c r="U456" s="125">
        <f>1</f>
        <v>1</v>
      </c>
      <c r="V456" s="125">
        <f>1</f>
        <v>1</v>
      </c>
      <c r="W456" s="125">
        <f>1</f>
        <v>1</v>
      </c>
      <c r="X456" s="125">
        <f>1</f>
        <v>1</v>
      </c>
      <c r="Y456" s="125">
        <f>1</f>
        <v>1</v>
      </c>
      <c r="Z456" s="125">
        <f>1</f>
        <v>1</v>
      </c>
      <c r="AA456" s="125">
        <f>1</f>
        <v>1</v>
      </c>
      <c r="AB456" s="125">
        <f>1</f>
        <v>1</v>
      </c>
      <c r="AC456" s="125">
        <f>1</f>
        <v>1</v>
      </c>
      <c r="AD456" s="125">
        <f>1</f>
        <v>1</v>
      </c>
      <c r="AE456" s="125">
        <f>1</f>
        <v>1</v>
      </c>
      <c r="AF456" s="125">
        <f>1</f>
        <v>1</v>
      </c>
      <c r="AG456" s="126">
        <f>1</f>
        <v>1</v>
      </c>
      <c r="AH456" s="22"/>
    </row>
    <row r="457" spans="1:34" x14ac:dyDescent="0.25">
      <c r="A457" s="112"/>
      <c r="B457" s="136" t="s">
        <v>162</v>
      </c>
      <c r="C457" s="67" t="s">
        <v>59</v>
      </c>
      <c r="D457" s="125">
        <f>1</f>
        <v>1</v>
      </c>
      <c r="E457" s="125">
        <f>1</f>
        <v>1</v>
      </c>
      <c r="F457" s="125">
        <f>1</f>
        <v>1</v>
      </c>
      <c r="G457" s="125">
        <f>1</f>
        <v>1</v>
      </c>
      <c r="H457" s="125">
        <f>1</f>
        <v>1</v>
      </c>
      <c r="I457" s="125">
        <f>1</f>
        <v>1</v>
      </c>
      <c r="J457" s="125">
        <f>1</f>
        <v>1</v>
      </c>
      <c r="K457" s="125">
        <f>1</f>
        <v>1</v>
      </c>
      <c r="L457" s="125">
        <f>1</f>
        <v>1</v>
      </c>
      <c r="M457" s="125">
        <f>1</f>
        <v>1</v>
      </c>
      <c r="N457" s="125">
        <f>1</f>
        <v>1</v>
      </c>
      <c r="O457" s="125">
        <f>1</f>
        <v>1</v>
      </c>
      <c r="P457" s="125">
        <f>1</f>
        <v>1</v>
      </c>
      <c r="Q457" s="125">
        <f>1</f>
        <v>1</v>
      </c>
      <c r="R457" s="125">
        <f>1</f>
        <v>1</v>
      </c>
      <c r="S457" s="125">
        <f>1</f>
        <v>1</v>
      </c>
      <c r="T457" s="125">
        <f>1</f>
        <v>1</v>
      </c>
      <c r="U457" s="125">
        <f>1</f>
        <v>1</v>
      </c>
      <c r="V457" s="125">
        <f>1</f>
        <v>1</v>
      </c>
      <c r="W457" s="125">
        <f>1</f>
        <v>1</v>
      </c>
      <c r="X457" s="125">
        <f>1</f>
        <v>1</v>
      </c>
      <c r="Y457" s="125">
        <f>1</f>
        <v>1</v>
      </c>
      <c r="Z457" s="125">
        <f>1</f>
        <v>1</v>
      </c>
      <c r="AA457" s="125">
        <f>1</f>
        <v>1</v>
      </c>
      <c r="AB457" s="125">
        <f>1</f>
        <v>1</v>
      </c>
      <c r="AC457" s="125">
        <f>1</f>
        <v>1</v>
      </c>
      <c r="AD457" s="125">
        <f>1</f>
        <v>1</v>
      </c>
      <c r="AE457" s="125">
        <f>1</f>
        <v>1</v>
      </c>
      <c r="AF457" s="125">
        <f>1</f>
        <v>1</v>
      </c>
      <c r="AG457" s="126">
        <f>1</f>
        <v>1</v>
      </c>
      <c r="AH457" s="22"/>
    </row>
    <row r="458" spans="1:34" x14ac:dyDescent="0.25">
      <c r="A458" s="112"/>
      <c r="B458" s="136" t="s">
        <v>163</v>
      </c>
      <c r="C458" s="67" t="s">
        <v>59</v>
      </c>
      <c r="D458" s="125">
        <f>1</f>
        <v>1</v>
      </c>
      <c r="E458" s="125">
        <f>1</f>
        <v>1</v>
      </c>
      <c r="F458" s="125">
        <f>1</f>
        <v>1</v>
      </c>
      <c r="G458" s="125">
        <f>1</f>
        <v>1</v>
      </c>
      <c r="H458" s="125">
        <f>1</f>
        <v>1</v>
      </c>
      <c r="I458" s="125">
        <f>1</f>
        <v>1</v>
      </c>
      <c r="J458" s="125">
        <f>1</f>
        <v>1</v>
      </c>
      <c r="K458" s="125">
        <f>1</f>
        <v>1</v>
      </c>
      <c r="L458" s="125">
        <f>1</f>
        <v>1</v>
      </c>
      <c r="M458" s="125">
        <f>1</f>
        <v>1</v>
      </c>
      <c r="N458" s="125">
        <f>1</f>
        <v>1</v>
      </c>
      <c r="O458" s="125">
        <f>1</f>
        <v>1</v>
      </c>
      <c r="P458" s="125">
        <f>1</f>
        <v>1</v>
      </c>
      <c r="Q458" s="125">
        <f>1</f>
        <v>1</v>
      </c>
      <c r="R458" s="125">
        <f>1</f>
        <v>1</v>
      </c>
      <c r="S458" s="125">
        <f>1</f>
        <v>1</v>
      </c>
      <c r="T458" s="125">
        <f>1</f>
        <v>1</v>
      </c>
      <c r="U458" s="125">
        <f>1</f>
        <v>1</v>
      </c>
      <c r="V458" s="125">
        <f>1</f>
        <v>1</v>
      </c>
      <c r="W458" s="125">
        <f>1</f>
        <v>1</v>
      </c>
      <c r="X458" s="125">
        <f>1</f>
        <v>1</v>
      </c>
      <c r="Y458" s="125">
        <f>1</f>
        <v>1</v>
      </c>
      <c r="Z458" s="125">
        <f>1</f>
        <v>1</v>
      </c>
      <c r="AA458" s="125">
        <f>1</f>
        <v>1</v>
      </c>
      <c r="AB458" s="125">
        <f>1</f>
        <v>1</v>
      </c>
      <c r="AC458" s="125">
        <f>1</f>
        <v>1</v>
      </c>
      <c r="AD458" s="125">
        <f>1</f>
        <v>1</v>
      </c>
      <c r="AE458" s="125">
        <f>1</f>
        <v>1</v>
      </c>
      <c r="AF458" s="125">
        <f>1</f>
        <v>1</v>
      </c>
      <c r="AG458" s="126">
        <f>1</f>
        <v>1</v>
      </c>
      <c r="AH458" s="22"/>
    </row>
    <row r="459" spans="1:34" x14ac:dyDescent="0.25">
      <c r="A459" s="112"/>
      <c r="B459" s="136" t="s">
        <v>164</v>
      </c>
      <c r="C459" s="67" t="s">
        <v>59</v>
      </c>
      <c r="D459" s="125">
        <f>1</f>
        <v>1</v>
      </c>
      <c r="E459" s="125">
        <f>1</f>
        <v>1</v>
      </c>
      <c r="F459" s="125">
        <f>1</f>
        <v>1</v>
      </c>
      <c r="G459" s="125">
        <f>1</f>
        <v>1</v>
      </c>
      <c r="H459" s="125">
        <f>1</f>
        <v>1</v>
      </c>
      <c r="I459" s="125">
        <f>1</f>
        <v>1</v>
      </c>
      <c r="J459" s="125">
        <f>1</f>
        <v>1</v>
      </c>
      <c r="K459" s="125">
        <f>1</f>
        <v>1</v>
      </c>
      <c r="L459" s="125">
        <f>1</f>
        <v>1</v>
      </c>
      <c r="M459" s="125">
        <f>1</f>
        <v>1</v>
      </c>
      <c r="N459" s="125">
        <f>1</f>
        <v>1</v>
      </c>
      <c r="O459" s="125">
        <f>1</f>
        <v>1</v>
      </c>
      <c r="P459" s="125">
        <f>1</f>
        <v>1</v>
      </c>
      <c r="Q459" s="125">
        <f>1</f>
        <v>1</v>
      </c>
      <c r="R459" s="125">
        <f>1</f>
        <v>1</v>
      </c>
      <c r="S459" s="125">
        <f>1</f>
        <v>1</v>
      </c>
      <c r="T459" s="125">
        <f>1</f>
        <v>1</v>
      </c>
      <c r="U459" s="125">
        <f>1</f>
        <v>1</v>
      </c>
      <c r="V459" s="125">
        <f>1</f>
        <v>1</v>
      </c>
      <c r="W459" s="125">
        <f>1</f>
        <v>1</v>
      </c>
      <c r="X459" s="125">
        <f>1</f>
        <v>1</v>
      </c>
      <c r="Y459" s="125">
        <f>1</f>
        <v>1</v>
      </c>
      <c r="Z459" s="125">
        <f>1</f>
        <v>1</v>
      </c>
      <c r="AA459" s="125">
        <f>1</f>
        <v>1</v>
      </c>
      <c r="AB459" s="125">
        <f>1</f>
        <v>1</v>
      </c>
      <c r="AC459" s="125">
        <f>1</f>
        <v>1</v>
      </c>
      <c r="AD459" s="125">
        <f>1</f>
        <v>1</v>
      </c>
      <c r="AE459" s="125">
        <f>1</f>
        <v>1</v>
      </c>
      <c r="AF459" s="125">
        <f>1</f>
        <v>1</v>
      </c>
      <c r="AG459" s="126">
        <f>1</f>
        <v>1</v>
      </c>
      <c r="AH459" s="22"/>
    </row>
    <row r="460" spans="1:34" x14ac:dyDescent="0.25">
      <c r="A460" s="112"/>
      <c r="B460" s="136" t="s">
        <v>165</v>
      </c>
      <c r="C460" s="67" t="s">
        <v>59</v>
      </c>
      <c r="D460" s="125">
        <f>1</f>
        <v>1</v>
      </c>
      <c r="E460" s="125">
        <f>1</f>
        <v>1</v>
      </c>
      <c r="F460" s="125">
        <f>1</f>
        <v>1</v>
      </c>
      <c r="G460" s="125">
        <f>1</f>
        <v>1</v>
      </c>
      <c r="H460" s="125">
        <f>1</f>
        <v>1</v>
      </c>
      <c r="I460" s="125">
        <f>1</f>
        <v>1</v>
      </c>
      <c r="J460" s="125">
        <f>1</f>
        <v>1</v>
      </c>
      <c r="K460" s="125">
        <f>1</f>
        <v>1</v>
      </c>
      <c r="L460" s="125">
        <f>1</f>
        <v>1</v>
      </c>
      <c r="M460" s="125">
        <f>1</f>
        <v>1</v>
      </c>
      <c r="N460" s="125">
        <f>1</f>
        <v>1</v>
      </c>
      <c r="O460" s="125">
        <f>1</f>
        <v>1</v>
      </c>
      <c r="P460" s="125">
        <f>1</f>
        <v>1</v>
      </c>
      <c r="Q460" s="125">
        <f>1</f>
        <v>1</v>
      </c>
      <c r="R460" s="125">
        <f>1</f>
        <v>1</v>
      </c>
      <c r="S460" s="125">
        <f>1</f>
        <v>1</v>
      </c>
      <c r="T460" s="125">
        <f>1</f>
        <v>1</v>
      </c>
      <c r="U460" s="125">
        <f>1</f>
        <v>1</v>
      </c>
      <c r="V460" s="125">
        <f>1</f>
        <v>1</v>
      </c>
      <c r="W460" s="125">
        <f>1</f>
        <v>1</v>
      </c>
      <c r="X460" s="125">
        <f>1</f>
        <v>1</v>
      </c>
      <c r="Y460" s="125">
        <f>1</f>
        <v>1</v>
      </c>
      <c r="Z460" s="125">
        <f>1</f>
        <v>1</v>
      </c>
      <c r="AA460" s="125">
        <f>1</f>
        <v>1</v>
      </c>
      <c r="AB460" s="125">
        <f>1</f>
        <v>1</v>
      </c>
      <c r="AC460" s="125">
        <f>1</f>
        <v>1</v>
      </c>
      <c r="AD460" s="125">
        <f>1</f>
        <v>1</v>
      </c>
      <c r="AE460" s="125">
        <f>1</f>
        <v>1</v>
      </c>
      <c r="AF460" s="125">
        <f>1</f>
        <v>1</v>
      </c>
      <c r="AG460" s="126">
        <f>1</f>
        <v>1</v>
      </c>
      <c r="AH460" s="22"/>
    </row>
    <row r="461" spans="1:34" x14ac:dyDescent="0.25">
      <c r="A461" s="112"/>
      <c r="B461" s="136" t="s">
        <v>166</v>
      </c>
      <c r="C461" s="67" t="s">
        <v>59</v>
      </c>
      <c r="D461" s="125">
        <f>1</f>
        <v>1</v>
      </c>
      <c r="E461" s="125">
        <f>1</f>
        <v>1</v>
      </c>
      <c r="F461" s="125">
        <f>1</f>
        <v>1</v>
      </c>
      <c r="G461" s="125">
        <f>1</f>
        <v>1</v>
      </c>
      <c r="H461" s="125">
        <f>1</f>
        <v>1</v>
      </c>
      <c r="I461" s="125">
        <f>1</f>
        <v>1</v>
      </c>
      <c r="J461" s="125">
        <f>1</f>
        <v>1</v>
      </c>
      <c r="K461" s="125">
        <f>1</f>
        <v>1</v>
      </c>
      <c r="L461" s="125">
        <f>1</f>
        <v>1</v>
      </c>
      <c r="M461" s="125">
        <f>1</f>
        <v>1</v>
      </c>
      <c r="N461" s="125">
        <f>1</f>
        <v>1</v>
      </c>
      <c r="O461" s="125">
        <f>1</f>
        <v>1</v>
      </c>
      <c r="P461" s="125">
        <f>1</f>
        <v>1</v>
      </c>
      <c r="Q461" s="125">
        <f>1</f>
        <v>1</v>
      </c>
      <c r="R461" s="125">
        <f>1</f>
        <v>1</v>
      </c>
      <c r="S461" s="125">
        <f>1</f>
        <v>1</v>
      </c>
      <c r="T461" s="125">
        <f>1</f>
        <v>1</v>
      </c>
      <c r="U461" s="125">
        <f>1</f>
        <v>1</v>
      </c>
      <c r="V461" s="125">
        <f>1</f>
        <v>1</v>
      </c>
      <c r="W461" s="125">
        <f>1</f>
        <v>1</v>
      </c>
      <c r="X461" s="125">
        <f>1</f>
        <v>1</v>
      </c>
      <c r="Y461" s="125">
        <f>1</f>
        <v>1</v>
      </c>
      <c r="Z461" s="125">
        <f>1</f>
        <v>1</v>
      </c>
      <c r="AA461" s="125">
        <f>1</f>
        <v>1</v>
      </c>
      <c r="AB461" s="125">
        <f>1</f>
        <v>1</v>
      </c>
      <c r="AC461" s="125">
        <f>1</f>
        <v>1</v>
      </c>
      <c r="AD461" s="125">
        <f>1</f>
        <v>1</v>
      </c>
      <c r="AE461" s="125">
        <f>1</f>
        <v>1</v>
      </c>
      <c r="AF461" s="125">
        <f>1</f>
        <v>1</v>
      </c>
      <c r="AG461" s="126">
        <f>1</f>
        <v>1</v>
      </c>
      <c r="AH461" s="22"/>
    </row>
    <row r="462" spans="1:34" x14ac:dyDescent="0.25">
      <c r="A462" s="112"/>
      <c r="B462" s="136" t="s">
        <v>167</v>
      </c>
      <c r="C462" s="67" t="s">
        <v>59</v>
      </c>
      <c r="D462" s="125">
        <f>1</f>
        <v>1</v>
      </c>
      <c r="E462" s="125">
        <f>1</f>
        <v>1</v>
      </c>
      <c r="F462" s="125">
        <f>1</f>
        <v>1</v>
      </c>
      <c r="G462" s="125">
        <f>1</f>
        <v>1</v>
      </c>
      <c r="H462" s="125">
        <f>1</f>
        <v>1</v>
      </c>
      <c r="I462" s="125">
        <f>1</f>
        <v>1</v>
      </c>
      <c r="J462" s="125">
        <f>1</f>
        <v>1</v>
      </c>
      <c r="K462" s="125">
        <f>1</f>
        <v>1</v>
      </c>
      <c r="L462" s="125">
        <f>1</f>
        <v>1</v>
      </c>
      <c r="M462" s="125">
        <f>1</f>
        <v>1</v>
      </c>
      <c r="N462" s="125">
        <f>1</f>
        <v>1</v>
      </c>
      <c r="O462" s="125">
        <f>1</f>
        <v>1</v>
      </c>
      <c r="P462" s="125">
        <f>1</f>
        <v>1</v>
      </c>
      <c r="Q462" s="125">
        <f>1</f>
        <v>1</v>
      </c>
      <c r="R462" s="125">
        <f>1</f>
        <v>1</v>
      </c>
      <c r="S462" s="125">
        <f>1</f>
        <v>1</v>
      </c>
      <c r="T462" s="125">
        <f>1</f>
        <v>1</v>
      </c>
      <c r="U462" s="125">
        <f>1</f>
        <v>1</v>
      </c>
      <c r="V462" s="125">
        <f>1</f>
        <v>1</v>
      </c>
      <c r="W462" s="125">
        <f>1</f>
        <v>1</v>
      </c>
      <c r="X462" s="125">
        <f>1</f>
        <v>1</v>
      </c>
      <c r="Y462" s="125">
        <f>1</f>
        <v>1</v>
      </c>
      <c r="Z462" s="125">
        <f>1</f>
        <v>1</v>
      </c>
      <c r="AA462" s="125">
        <f>1</f>
        <v>1</v>
      </c>
      <c r="AB462" s="125">
        <f>1</f>
        <v>1</v>
      </c>
      <c r="AC462" s="125">
        <f>1</f>
        <v>1</v>
      </c>
      <c r="AD462" s="125">
        <f>1</f>
        <v>1</v>
      </c>
      <c r="AE462" s="125">
        <f>1</f>
        <v>1</v>
      </c>
      <c r="AF462" s="125">
        <f>1</f>
        <v>1</v>
      </c>
      <c r="AG462" s="126">
        <f>1</f>
        <v>1</v>
      </c>
      <c r="AH462" s="22"/>
    </row>
    <row r="463" spans="1:34" x14ac:dyDescent="0.25">
      <c r="A463" s="112"/>
      <c r="B463" s="136" t="s">
        <v>168</v>
      </c>
      <c r="C463" s="67" t="s">
        <v>59</v>
      </c>
      <c r="D463" s="125">
        <f>1</f>
        <v>1</v>
      </c>
      <c r="E463" s="125">
        <f>1</f>
        <v>1</v>
      </c>
      <c r="F463" s="125">
        <f>1</f>
        <v>1</v>
      </c>
      <c r="G463" s="125">
        <f>1</f>
        <v>1</v>
      </c>
      <c r="H463" s="125">
        <f>1</f>
        <v>1</v>
      </c>
      <c r="I463" s="125">
        <f>1</f>
        <v>1</v>
      </c>
      <c r="J463" s="125">
        <f>1</f>
        <v>1</v>
      </c>
      <c r="K463" s="125">
        <f>1</f>
        <v>1</v>
      </c>
      <c r="L463" s="125">
        <f>1</f>
        <v>1</v>
      </c>
      <c r="M463" s="125">
        <f>1</f>
        <v>1</v>
      </c>
      <c r="N463" s="125">
        <f>1</f>
        <v>1</v>
      </c>
      <c r="O463" s="125">
        <f>1</f>
        <v>1</v>
      </c>
      <c r="P463" s="125">
        <f>1</f>
        <v>1</v>
      </c>
      <c r="Q463" s="125">
        <f>1</f>
        <v>1</v>
      </c>
      <c r="R463" s="125">
        <f>1</f>
        <v>1</v>
      </c>
      <c r="S463" s="125">
        <f>1</f>
        <v>1</v>
      </c>
      <c r="T463" s="125">
        <f>1</f>
        <v>1</v>
      </c>
      <c r="U463" s="125">
        <f>1</f>
        <v>1</v>
      </c>
      <c r="V463" s="125">
        <f>1</f>
        <v>1</v>
      </c>
      <c r="W463" s="125">
        <f>1</f>
        <v>1</v>
      </c>
      <c r="X463" s="125">
        <f>1</f>
        <v>1</v>
      </c>
      <c r="Y463" s="125">
        <f>1</f>
        <v>1</v>
      </c>
      <c r="Z463" s="125">
        <f>1</f>
        <v>1</v>
      </c>
      <c r="AA463" s="125">
        <f>1</f>
        <v>1</v>
      </c>
      <c r="AB463" s="125">
        <f>1</f>
        <v>1</v>
      </c>
      <c r="AC463" s="125">
        <f>1</f>
        <v>1</v>
      </c>
      <c r="AD463" s="125">
        <f>1</f>
        <v>1</v>
      </c>
      <c r="AE463" s="125">
        <f>1</f>
        <v>1</v>
      </c>
      <c r="AF463" s="125">
        <f>1</f>
        <v>1</v>
      </c>
      <c r="AG463" s="126">
        <f>1</f>
        <v>1</v>
      </c>
      <c r="AH463" s="22"/>
    </row>
    <row r="464" spans="1:34" x14ac:dyDescent="0.25">
      <c r="A464" s="112"/>
      <c r="B464" s="136" t="s">
        <v>169</v>
      </c>
      <c r="C464" s="67" t="s">
        <v>59</v>
      </c>
      <c r="D464" s="125">
        <f>1</f>
        <v>1</v>
      </c>
      <c r="E464" s="125">
        <f>1</f>
        <v>1</v>
      </c>
      <c r="F464" s="125">
        <f>1</f>
        <v>1</v>
      </c>
      <c r="G464" s="125">
        <f>1</f>
        <v>1</v>
      </c>
      <c r="H464" s="125">
        <f>1</f>
        <v>1</v>
      </c>
      <c r="I464" s="125">
        <f>1</f>
        <v>1</v>
      </c>
      <c r="J464" s="125">
        <f>1</f>
        <v>1</v>
      </c>
      <c r="K464" s="125">
        <f>1</f>
        <v>1</v>
      </c>
      <c r="L464" s="125">
        <f>1</f>
        <v>1</v>
      </c>
      <c r="M464" s="125">
        <f>1</f>
        <v>1</v>
      </c>
      <c r="N464" s="125">
        <f>1</f>
        <v>1</v>
      </c>
      <c r="O464" s="125">
        <f>1</f>
        <v>1</v>
      </c>
      <c r="P464" s="125">
        <f>1</f>
        <v>1</v>
      </c>
      <c r="Q464" s="125">
        <f>1</f>
        <v>1</v>
      </c>
      <c r="R464" s="125">
        <f>1</f>
        <v>1</v>
      </c>
      <c r="S464" s="125">
        <f>1</f>
        <v>1</v>
      </c>
      <c r="T464" s="125">
        <f>1</f>
        <v>1</v>
      </c>
      <c r="U464" s="125">
        <f>1</f>
        <v>1</v>
      </c>
      <c r="V464" s="125">
        <f>1</f>
        <v>1</v>
      </c>
      <c r="W464" s="125">
        <f>1</f>
        <v>1</v>
      </c>
      <c r="X464" s="125">
        <f>1</f>
        <v>1</v>
      </c>
      <c r="Y464" s="125">
        <f>1</f>
        <v>1</v>
      </c>
      <c r="Z464" s="125">
        <f>1</f>
        <v>1</v>
      </c>
      <c r="AA464" s="125">
        <f>1</f>
        <v>1</v>
      </c>
      <c r="AB464" s="125">
        <f>1</f>
        <v>1</v>
      </c>
      <c r="AC464" s="125">
        <f>1</f>
        <v>1</v>
      </c>
      <c r="AD464" s="125">
        <f>1</f>
        <v>1</v>
      </c>
      <c r="AE464" s="125">
        <f>1</f>
        <v>1</v>
      </c>
      <c r="AF464" s="125">
        <f>1</f>
        <v>1</v>
      </c>
      <c r="AG464" s="126">
        <f>1</f>
        <v>1</v>
      </c>
      <c r="AH464" s="22"/>
    </row>
    <row r="465" spans="1:34" x14ac:dyDescent="0.25">
      <c r="A465" s="112"/>
      <c r="B465" s="136" t="s">
        <v>170</v>
      </c>
      <c r="C465" s="67" t="s">
        <v>59</v>
      </c>
      <c r="D465" s="125">
        <f>1</f>
        <v>1</v>
      </c>
      <c r="E465" s="125">
        <f>1</f>
        <v>1</v>
      </c>
      <c r="F465" s="125">
        <f>1</f>
        <v>1</v>
      </c>
      <c r="G465" s="125">
        <f>1</f>
        <v>1</v>
      </c>
      <c r="H465" s="125">
        <f>1</f>
        <v>1</v>
      </c>
      <c r="I465" s="125">
        <f>1</f>
        <v>1</v>
      </c>
      <c r="J465" s="125">
        <f>1</f>
        <v>1</v>
      </c>
      <c r="K465" s="125">
        <f>1</f>
        <v>1</v>
      </c>
      <c r="L465" s="125">
        <f>1</f>
        <v>1</v>
      </c>
      <c r="M465" s="125">
        <f>1</f>
        <v>1</v>
      </c>
      <c r="N465" s="125">
        <f>1</f>
        <v>1</v>
      </c>
      <c r="O465" s="125">
        <f>1</f>
        <v>1</v>
      </c>
      <c r="P465" s="125">
        <f>1</f>
        <v>1</v>
      </c>
      <c r="Q465" s="125">
        <f>1</f>
        <v>1</v>
      </c>
      <c r="R465" s="125">
        <f>1</f>
        <v>1</v>
      </c>
      <c r="S465" s="125">
        <f>1</f>
        <v>1</v>
      </c>
      <c r="T465" s="125">
        <f>1</f>
        <v>1</v>
      </c>
      <c r="U465" s="125">
        <f>1</f>
        <v>1</v>
      </c>
      <c r="V465" s="125">
        <f>1</f>
        <v>1</v>
      </c>
      <c r="W465" s="125">
        <f>1</f>
        <v>1</v>
      </c>
      <c r="X465" s="125">
        <f>1</f>
        <v>1</v>
      </c>
      <c r="Y465" s="125">
        <f>1</f>
        <v>1</v>
      </c>
      <c r="Z465" s="125">
        <f>1</f>
        <v>1</v>
      </c>
      <c r="AA465" s="125">
        <f>1</f>
        <v>1</v>
      </c>
      <c r="AB465" s="125">
        <f>1</f>
        <v>1</v>
      </c>
      <c r="AC465" s="125">
        <f>1</f>
        <v>1</v>
      </c>
      <c r="AD465" s="125">
        <f>1</f>
        <v>1</v>
      </c>
      <c r="AE465" s="125">
        <f>1</f>
        <v>1</v>
      </c>
      <c r="AF465" s="125">
        <f>1</f>
        <v>1</v>
      </c>
      <c r="AG465" s="126">
        <f>1</f>
        <v>1</v>
      </c>
      <c r="AH465" s="22"/>
    </row>
    <row r="466" spans="1:34" x14ac:dyDescent="0.25">
      <c r="A466" s="112"/>
      <c r="B466" s="136" t="s">
        <v>171</v>
      </c>
      <c r="C466" s="67" t="s">
        <v>59</v>
      </c>
      <c r="D466" s="125">
        <f>1</f>
        <v>1</v>
      </c>
      <c r="E466" s="125">
        <f>1</f>
        <v>1</v>
      </c>
      <c r="F466" s="125">
        <f>1</f>
        <v>1</v>
      </c>
      <c r="G466" s="125">
        <f>1</f>
        <v>1</v>
      </c>
      <c r="H466" s="125">
        <f>1</f>
        <v>1</v>
      </c>
      <c r="I466" s="125">
        <f>1</f>
        <v>1</v>
      </c>
      <c r="J466" s="125">
        <f>1</f>
        <v>1</v>
      </c>
      <c r="K466" s="125">
        <f>1</f>
        <v>1</v>
      </c>
      <c r="L466" s="125">
        <f>1</f>
        <v>1</v>
      </c>
      <c r="M466" s="125">
        <f>1</f>
        <v>1</v>
      </c>
      <c r="N466" s="125">
        <f>1</f>
        <v>1</v>
      </c>
      <c r="O466" s="125">
        <f>1</f>
        <v>1</v>
      </c>
      <c r="P466" s="125">
        <f>1</f>
        <v>1</v>
      </c>
      <c r="Q466" s="125">
        <f>1</f>
        <v>1</v>
      </c>
      <c r="R466" s="125">
        <f>1</f>
        <v>1</v>
      </c>
      <c r="S466" s="125">
        <f>1</f>
        <v>1</v>
      </c>
      <c r="T466" s="125">
        <f>1</f>
        <v>1</v>
      </c>
      <c r="U466" s="125">
        <f>1</f>
        <v>1</v>
      </c>
      <c r="V466" s="125">
        <f>1</f>
        <v>1</v>
      </c>
      <c r="W466" s="125">
        <f>1</f>
        <v>1</v>
      </c>
      <c r="X466" s="125">
        <f>1</f>
        <v>1</v>
      </c>
      <c r="Y466" s="125">
        <f>1</f>
        <v>1</v>
      </c>
      <c r="Z466" s="125">
        <f>1</f>
        <v>1</v>
      </c>
      <c r="AA466" s="125">
        <f>1</f>
        <v>1</v>
      </c>
      <c r="AB466" s="125">
        <f>1</f>
        <v>1</v>
      </c>
      <c r="AC466" s="125">
        <f>1</f>
        <v>1</v>
      </c>
      <c r="AD466" s="125">
        <f>1</f>
        <v>1</v>
      </c>
      <c r="AE466" s="125">
        <f>1</f>
        <v>1</v>
      </c>
      <c r="AF466" s="125">
        <f>1</f>
        <v>1</v>
      </c>
      <c r="AG466" s="126">
        <f>1</f>
        <v>1</v>
      </c>
      <c r="AH466" s="22"/>
    </row>
    <row r="467" spans="1:34" x14ac:dyDescent="0.25">
      <c r="A467" s="112"/>
      <c r="B467" s="136" t="s">
        <v>172</v>
      </c>
      <c r="C467" s="67" t="s">
        <v>59</v>
      </c>
      <c r="D467" s="125">
        <f>2</f>
        <v>2</v>
      </c>
      <c r="E467" s="125">
        <f>2</f>
        <v>2</v>
      </c>
      <c r="F467" s="125">
        <f>2</f>
        <v>2</v>
      </c>
      <c r="G467" s="125">
        <f>2</f>
        <v>2</v>
      </c>
      <c r="H467" s="125">
        <f>2</f>
        <v>2</v>
      </c>
      <c r="I467" s="125">
        <f>2</f>
        <v>2</v>
      </c>
      <c r="J467" s="125">
        <f>2</f>
        <v>2</v>
      </c>
      <c r="K467" s="125">
        <f>2</f>
        <v>2</v>
      </c>
      <c r="L467" s="125">
        <f>2</f>
        <v>2</v>
      </c>
      <c r="M467" s="125">
        <f>2</f>
        <v>2</v>
      </c>
      <c r="N467" s="125">
        <f>2</f>
        <v>2</v>
      </c>
      <c r="O467" s="125">
        <f>2</f>
        <v>2</v>
      </c>
      <c r="P467" s="125">
        <f>2</f>
        <v>2</v>
      </c>
      <c r="Q467" s="125">
        <f>2</f>
        <v>2</v>
      </c>
      <c r="R467" s="125">
        <f>2</f>
        <v>2</v>
      </c>
      <c r="S467" s="125">
        <f>2</f>
        <v>2</v>
      </c>
      <c r="T467" s="125">
        <f>2</f>
        <v>2</v>
      </c>
      <c r="U467" s="125">
        <f>2</f>
        <v>2</v>
      </c>
      <c r="V467" s="125">
        <f>2</f>
        <v>2</v>
      </c>
      <c r="W467" s="125">
        <f>2</f>
        <v>2</v>
      </c>
      <c r="X467" s="125">
        <f>2</f>
        <v>2</v>
      </c>
      <c r="Y467" s="125">
        <f>2</f>
        <v>2</v>
      </c>
      <c r="Z467" s="125">
        <f>2</f>
        <v>2</v>
      </c>
      <c r="AA467" s="125">
        <f>2</f>
        <v>2</v>
      </c>
      <c r="AB467" s="125">
        <f>2</f>
        <v>2</v>
      </c>
      <c r="AC467" s="125">
        <f>2</f>
        <v>2</v>
      </c>
      <c r="AD467" s="125">
        <f>2</f>
        <v>2</v>
      </c>
      <c r="AE467" s="125">
        <f>2</f>
        <v>2</v>
      </c>
      <c r="AF467" s="125">
        <f>2</f>
        <v>2</v>
      </c>
      <c r="AG467" s="126">
        <f>2</f>
        <v>2</v>
      </c>
      <c r="AH467" s="22"/>
    </row>
    <row r="468" spans="1:34" x14ac:dyDescent="0.25">
      <c r="A468" s="112"/>
      <c r="B468" s="136" t="s">
        <v>173</v>
      </c>
      <c r="C468" s="67" t="s">
        <v>59</v>
      </c>
      <c r="D468" s="125">
        <f>2</f>
        <v>2</v>
      </c>
      <c r="E468" s="125">
        <f>2</f>
        <v>2</v>
      </c>
      <c r="F468" s="125">
        <f>2</f>
        <v>2</v>
      </c>
      <c r="G468" s="125">
        <f>2</f>
        <v>2</v>
      </c>
      <c r="H468" s="125">
        <f>2</f>
        <v>2</v>
      </c>
      <c r="I468" s="125">
        <f>2</f>
        <v>2</v>
      </c>
      <c r="J468" s="125">
        <f>2</f>
        <v>2</v>
      </c>
      <c r="K468" s="125">
        <f>2</f>
        <v>2</v>
      </c>
      <c r="L468" s="125">
        <f>2</f>
        <v>2</v>
      </c>
      <c r="M468" s="125">
        <f>2</f>
        <v>2</v>
      </c>
      <c r="N468" s="125">
        <f>2</f>
        <v>2</v>
      </c>
      <c r="O468" s="125">
        <f>2</f>
        <v>2</v>
      </c>
      <c r="P468" s="125">
        <f>2</f>
        <v>2</v>
      </c>
      <c r="Q468" s="125">
        <f>2</f>
        <v>2</v>
      </c>
      <c r="R468" s="125">
        <f>2</f>
        <v>2</v>
      </c>
      <c r="S468" s="125">
        <f>2</f>
        <v>2</v>
      </c>
      <c r="T468" s="125">
        <f>2</f>
        <v>2</v>
      </c>
      <c r="U468" s="125">
        <f>2</f>
        <v>2</v>
      </c>
      <c r="V468" s="125">
        <f>2</f>
        <v>2</v>
      </c>
      <c r="W468" s="125">
        <f>2</f>
        <v>2</v>
      </c>
      <c r="X468" s="125">
        <f>2</f>
        <v>2</v>
      </c>
      <c r="Y468" s="125">
        <f>2</f>
        <v>2</v>
      </c>
      <c r="Z468" s="125">
        <f>2</f>
        <v>2</v>
      </c>
      <c r="AA468" s="125">
        <f>2</f>
        <v>2</v>
      </c>
      <c r="AB468" s="125">
        <f>2</f>
        <v>2</v>
      </c>
      <c r="AC468" s="125">
        <f>2</f>
        <v>2</v>
      </c>
      <c r="AD468" s="125">
        <f>2</f>
        <v>2</v>
      </c>
      <c r="AE468" s="125">
        <f>2</f>
        <v>2</v>
      </c>
      <c r="AF468" s="125">
        <f>2</f>
        <v>2</v>
      </c>
      <c r="AG468" s="126">
        <f>2</f>
        <v>2</v>
      </c>
      <c r="AH468" s="22"/>
    </row>
    <row r="469" spans="1:34" x14ac:dyDescent="0.25">
      <c r="A469" s="112"/>
      <c r="B469" s="136" t="s">
        <v>174</v>
      </c>
      <c r="C469" s="67" t="s">
        <v>59</v>
      </c>
      <c r="D469" s="125">
        <f>1</f>
        <v>1</v>
      </c>
      <c r="E469" s="125">
        <f>1</f>
        <v>1</v>
      </c>
      <c r="F469" s="125">
        <f>1</f>
        <v>1</v>
      </c>
      <c r="G469" s="125">
        <f>1</f>
        <v>1</v>
      </c>
      <c r="H469" s="125">
        <f>1</f>
        <v>1</v>
      </c>
      <c r="I469" s="125">
        <f>1</f>
        <v>1</v>
      </c>
      <c r="J469" s="125">
        <f>1</f>
        <v>1</v>
      </c>
      <c r="K469" s="125">
        <f>1</f>
        <v>1</v>
      </c>
      <c r="L469" s="125">
        <f>1</f>
        <v>1</v>
      </c>
      <c r="M469" s="125">
        <f>1</f>
        <v>1</v>
      </c>
      <c r="N469" s="125">
        <f>1</f>
        <v>1</v>
      </c>
      <c r="O469" s="125">
        <f>1</f>
        <v>1</v>
      </c>
      <c r="P469" s="125">
        <f>1</f>
        <v>1</v>
      </c>
      <c r="Q469" s="125">
        <f>1</f>
        <v>1</v>
      </c>
      <c r="R469" s="125">
        <f>1</f>
        <v>1</v>
      </c>
      <c r="S469" s="125">
        <f>1</f>
        <v>1</v>
      </c>
      <c r="T469" s="125">
        <f>1</f>
        <v>1</v>
      </c>
      <c r="U469" s="125">
        <f>1</f>
        <v>1</v>
      </c>
      <c r="V469" s="125">
        <f>1</f>
        <v>1</v>
      </c>
      <c r="W469" s="125">
        <f>1</f>
        <v>1</v>
      </c>
      <c r="X469" s="125">
        <f>1</f>
        <v>1</v>
      </c>
      <c r="Y469" s="125">
        <f>1</f>
        <v>1</v>
      </c>
      <c r="Z469" s="125">
        <f>1</f>
        <v>1</v>
      </c>
      <c r="AA469" s="125">
        <f>1</f>
        <v>1</v>
      </c>
      <c r="AB469" s="125">
        <f>1</f>
        <v>1</v>
      </c>
      <c r="AC469" s="125">
        <f>1</f>
        <v>1</v>
      </c>
      <c r="AD469" s="125">
        <f>1</f>
        <v>1</v>
      </c>
      <c r="AE469" s="125">
        <f>1</f>
        <v>1</v>
      </c>
      <c r="AF469" s="125">
        <f>1</f>
        <v>1</v>
      </c>
      <c r="AG469" s="126">
        <f>1</f>
        <v>1</v>
      </c>
      <c r="AH469" s="22"/>
    </row>
    <row r="470" spans="1:34" x14ac:dyDescent="0.25">
      <c r="A470" s="112"/>
      <c r="B470" s="136" t="s">
        <v>175</v>
      </c>
      <c r="C470" s="67" t="s">
        <v>59</v>
      </c>
      <c r="D470" s="125">
        <f>5</f>
        <v>5</v>
      </c>
      <c r="E470" s="125">
        <f>5</f>
        <v>5</v>
      </c>
      <c r="F470" s="125">
        <f>5</f>
        <v>5</v>
      </c>
      <c r="G470" s="125">
        <f>5</f>
        <v>5</v>
      </c>
      <c r="H470" s="125">
        <f>5</f>
        <v>5</v>
      </c>
      <c r="I470" s="125">
        <f>5</f>
        <v>5</v>
      </c>
      <c r="J470" s="125">
        <f>5</f>
        <v>5</v>
      </c>
      <c r="K470" s="125">
        <f>5</f>
        <v>5</v>
      </c>
      <c r="L470" s="125">
        <f>5</f>
        <v>5</v>
      </c>
      <c r="M470" s="125">
        <f>5</f>
        <v>5</v>
      </c>
      <c r="N470" s="125">
        <f>5</f>
        <v>5</v>
      </c>
      <c r="O470" s="125">
        <f>5</f>
        <v>5</v>
      </c>
      <c r="P470" s="125">
        <f>5</f>
        <v>5</v>
      </c>
      <c r="Q470" s="125">
        <f>5</f>
        <v>5</v>
      </c>
      <c r="R470" s="125">
        <f>5</f>
        <v>5</v>
      </c>
      <c r="S470" s="125">
        <f>5</f>
        <v>5</v>
      </c>
      <c r="T470" s="125">
        <f>5</f>
        <v>5</v>
      </c>
      <c r="U470" s="125">
        <f>5</f>
        <v>5</v>
      </c>
      <c r="V470" s="125">
        <f>5</f>
        <v>5</v>
      </c>
      <c r="W470" s="125">
        <f>5</f>
        <v>5</v>
      </c>
      <c r="X470" s="125">
        <f>5</f>
        <v>5</v>
      </c>
      <c r="Y470" s="125">
        <f>5</f>
        <v>5</v>
      </c>
      <c r="Z470" s="125">
        <f>5</f>
        <v>5</v>
      </c>
      <c r="AA470" s="125">
        <f>5</f>
        <v>5</v>
      </c>
      <c r="AB470" s="125">
        <f>5</f>
        <v>5</v>
      </c>
      <c r="AC470" s="125">
        <f>5</f>
        <v>5</v>
      </c>
      <c r="AD470" s="125">
        <f>5</f>
        <v>5</v>
      </c>
      <c r="AE470" s="125">
        <f>5</f>
        <v>5</v>
      </c>
      <c r="AF470" s="125">
        <f>5</f>
        <v>5</v>
      </c>
      <c r="AG470" s="126">
        <f>5</f>
        <v>5</v>
      </c>
      <c r="AH470" s="22"/>
    </row>
    <row r="471" spans="1:34" x14ac:dyDescent="0.25">
      <c r="A471" s="112"/>
      <c r="B471" s="136" t="s">
        <v>176</v>
      </c>
      <c r="C471" s="67" t="s">
        <v>59</v>
      </c>
      <c r="D471" s="125">
        <f>2</f>
        <v>2</v>
      </c>
      <c r="E471" s="125">
        <f>2</f>
        <v>2</v>
      </c>
      <c r="F471" s="125">
        <f>2</f>
        <v>2</v>
      </c>
      <c r="G471" s="125">
        <f>2</f>
        <v>2</v>
      </c>
      <c r="H471" s="125">
        <f>2</f>
        <v>2</v>
      </c>
      <c r="I471" s="125">
        <f>2</f>
        <v>2</v>
      </c>
      <c r="J471" s="125">
        <f>2</f>
        <v>2</v>
      </c>
      <c r="K471" s="125">
        <f>2</f>
        <v>2</v>
      </c>
      <c r="L471" s="125">
        <f>2</f>
        <v>2</v>
      </c>
      <c r="M471" s="125">
        <f>2</f>
        <v>2</v>
      </c>
      <c r="N471" s="125">
        <f>2</f>
        <v>2</v>
      </c>
      <c r="O471" s="125">
        <f>2</f>
        <v>2</v>
      </c>
      <c r="P471" s="125">
        <f>2</f>
        <v>2</v>
      </c>
      <c r="Q471" s="125">
        <f>2</f>
        <v>2</v>
      </c>
      <c r="R471" s="125">
        <f>2</f>
        <v>2</v>
      </c>
      <c r="S471" s="125">
        <f>2</f>
        <v>2</v>
      </c>
      <c r="T471" s="125">
        <f>2</f>
        <v>2</v>
      </c>
      <c r="U471" s="125">
        <f>2</f>
        <v>2</v>
      </c>
      <c r="V471" s="125">
        <f>2</f>
        <v>2</v>
      </c>
      <c r="W471" s="125">
        <f>2</f>
        <v>2</v>
      </c>
      <c r="X471" s="125">
        <f>2</f>
        <v>2</v>
      </c>
      <c r="Y471" s="125">
        <f>2</f>
        <v>2</v>
      </c>
      <c r="Z471" s="125">
        <f>2</f>
        <v>2</v>
      </c>
      <c r="AA471" s="125">
        <f>2</f>
        <v>2</v>
      </c>
      <c r="AB471" s="125">
        <f>2</f>
        <v>2</v>
      </c>
      <c r="AC471" s="125">
        <f>2</f>
        <v>2</v>
      </c>
      <c r="AD471" s="125">
        <f>2</f>
        <v>2</v>
      </c>
      <c r="AE471" s="125">
        <f>2</f>
        <v>2</v>
      </c>
      <c r="AF471" s="125">
        <f>2</f>
        <v>2</v>
      </c>
      <c r="AG471" s="126">
        <f>2</f>
        <v>2</v>
      </c>
      <c r="AH471" s="22"/>
    </row>
    <row r="472" spans="1:34" x14ac:dyDescent="0.25">
      <c r="A472" s="112"/>
      <c r="B472" s="136" t="s">
        <v>177</v>
      </c>
      <c r="C472" s="67" t="s">
        <v>59</v>
      </c>
      <c r="D472" s="125">
        <f>2</f>
        <v>2</v>
      </c>
      <c r="E472" s="125">
        <f>2</f>
        <v>2</v>
      </c>
      <c r="F472" s="125">
        <f>2</f>
        <v>2</v>
      </c>
      <c r="G472" s="125">
        <f>2</f>
        <v>2</v>
      </c>
      <c r="H472" s="125">
        <f>2</f>
        <v>2</v>
      </c>
      <c r="I472" s="125">
        <f>2</f>
        <v>2</v>
      </c>
      <c r="J472" s="125">
        <f>2</f>
        <v>2</v>
      </c>
      <c r="K472" s="125">
        <f>2</f>
        <v>2</v>
      </c>
      <c r="L472" s="125">
        <f>2</f>
        <v>2</v>
      </c>
      <c r="M472" s="125">
        <f>2</f>
        <v>2</v>
      </c>
      <c r="N472" s="125">
        <f>2</f>
        <v>2</v>
      </c>
      <c r="O472" s="125">
        <f>2</f>
        <v>2</v>
      </c>
      <c r="P472" s="125">
        <f>2</f>
        <v>2</v>
      </c>
      <c r="Q472" s="125">
        <f>2</f>
        <v>2</v>
      </c>
      <c r="R472" s="125">
        <f>2</f>
        <v>2</v>
      </c>
      <c r="S472" s="125">
        <f>2</f>
        <v>2</v>
      </c>
      <c r="T472" s="125">
        <f>2</f>
        <v>2</v>
      </c>
      <c r="U472" s="125">
        <f>2</f>
        <v>2</v>
      </c>
      <c r="V472" s="125">
        <f>2</f>
        <v>2</v>
      </c>
      <c r="W472" s="125">
        <f>2</f>
        <v>2</v>
      </c>
      <c r="X472" s="125">
        <f>2</f>
        <v>2</v>
      </c>
      <c r="Y472" s="125">
        <f>2</f>
        <v>2</v>
      </c>
      <c r="Z472" s="125">
        <f>2</f>
        <v>2</v>
      </c>
      <c r="AA472" s="125">
        <f>2</f>
        <v>2</v>
      </c>
      <c r="AB472" s="125">
        <f>2</f>
        <v>2</v>
      </c>
      <c r="AC472" s="125">
        <f>2</f>
        <v>2</v>
      </c>
      <c r="AD472" s="125">
        <f>2</f>
        <v>2</v>
      </c>
      <c r="AE472" s="125">
        <f>2</f>
        <v>2</v>
      </c>
      <c r="AF472" s="125">
        <f>2</f>
        <v>2</v>
      </c>
      <c r="AG472" s="126">
        <f>2</f>
        <v>2</v>
      </c>
      <c r="AH472" s="22"/>
    </row>
    <row r="473" spans="1:34" x14ac:dyDescent="0.25">
      <c r="A473" s="112"/>
      <c r="B473" s="136" t="s">
        <v>178</v>
      </c>
      <c r="C473" s="67" t="s">
        <v>59</v>
      </c>
      <c r="D473" s="125">
        <f>2</f>
        <v>2</v>
      </c>
      <c r="E473" s="125">
        <f>2</f>
        <v>2</v>
      </c>
      <c r="F473" s="125">
        <f>2</f>
        <v>2</v>
      </c>
      <c r="G473" s="125">
        <f>2</f>
        <v>2</v>
      </c>
      <c r="H473" s="125">
        <f>2</f>
        <v>2</v>
      </c>
      <c r="I473" s="125">
        <f>2</f>
        <v>2</v>
      </c>
      <c r="J473" s="125">
        <f>2</f>
        <v>2</v>
      </c>
      <c r="K473" s="125">
        <f>2</f>
        <v>2</v>
      </c>
      <c r="L473" s="125">
        <f>2</f>
        <v>2</v>
      </c>
      <c r="M473" s="125">
        <f>2</f>
        <v>2</v>
      </c>
      <c r="N473" s="125">
        <f>2</f>
        <v>2</v>
      </c>
      <c r="O473" s="125">
        <f>2</f>
        <v>2</v>
      </c>
      <c r="P473" s="125">
        <f>2</f>
        <v>2</v>
      </c>
      <c r="Q473" s="125">
        <f>2</f>
        <v>2</v>
      </c>
      <c r="R473" s="125">
        <f>2</f>
        <v>2</v>
      </c>
      <c r="S473" s="125">
        <f>2</f>
        <v>2</v>
      </c>
      <c r="T473" s="125">
        <f>2</f>
        <v>2</v>
      </c>
      <c r="U473" s="125">
        <f>2</f>
        <v>2</v>
      </c>
      <c r="V473" s="125">
        <f>2</f>
        <v>2</v>
      </c>
      <c r="W473" s="125">
        <f>2</f>
        <v>2</v>
      </c>
      <c r="X473" s="125">
        <f>2</f>
        <v>2</v>
      </c>
      <c r="Y473" s="125">
        <f>2</f>
        <v>2</v>
      </c>
      <c r="Z473" s="125">
        <f>2</f>
        <v>2</v>
      </c>
      <c r="AA473" s="125">
        <f>2</f>
        <v>2</v>
      </c>
      <c r="AB473" s="125">
        <f>2</f>
        <v>2</v>
      </c>
      <c r="AC473" s="125">
        <f>2</f>
        <v>2</v>
      </c>
      <c r="AD473" s="125">
        <f>2</f>
        <v>2</v>
      </c>
      <c r="AE473" s="125">
        <f>2</f>
        <v>2</v>
      </c>
      <c r="AF473" s="125">
        <f>2</f>
        <v>2</v>
      </c>
      <c r="AG473" s="126">
        <f>2</f>
        <v>2</v>
      </c>
      <c r="AH473" s="22"/>
    </row>
    <row r="474" spans="1:34" x14ac:dyDescent="0.25">
      <c r="A474" s="112"/>
      <c r="B474" s="136" t="s">
        <v>179</v>
      </c>
      <c r="C474" s="67" t="s">
        <v>59</v>
      </c>
      <c r="D474" s="125">
        <f>2</f>
        <v>2</v>
      </c>
      <c r="E474" s="125">
        <f>2</f>
        <v>2</v>
      </c>
      <c r="F474" s="125">
        <f>2</f>
        <v>2</v>
      </c>
      <c r="G474" s="125">
        <f>2</f>
        <v>2</v>
      </c>
      <c r="H474" s="125">
        <f>2</f>
        <v>2</v>
      </c>
      <c r="I474" s="125">
        <f>2</f>
        <v>2</v>
      </c>
      <c r="J474" s="125">
        <f>2</f>
        <v>2</v>
      </c>
      <c r="K474" s="125">
        <f>2</f>
        <v>2</v>
      </c>
      <c r="L474" s="125">
        <f>2</f>
        <v>2</v>
      </c>
      <c r="M474" s="125">
        <f>2</f>
        <v>2</v>
      </c>
      <c r="N474" s="125">
        <f>2</f>
        <v>2</v>
      </c>
      <c r="O474" s="125">
        <f>2</f>
        <v>2</v>
      </c>
      <c r="P474" s="125">
        <f>2</f>
        <v>2</v>
      </c>
      <c r="Q474" s="125">
        <f>2</f>
        <v>2</v>
      </c>
      <c r="R474" s="125">
        <f>2</f>
        <v>2</v>
      </c>
      <c r="S474" s="125">
        <f>2</f>
        <v>2</v>
      </c>
      <c r="T474" s="125">
        <f>2</f>
        <v>2</v>
      </c>
      <c r="U474" s="125">
        <f>2</f>
        <v>2</v>
      </c>
      <c r="V474" s="125">
        <f>2</f>
        <v>2</v>
      </c>
      <c r="W474" s="125">
        <f>2</f>
        <v>2</v>
      </c>
      <c r="X474" s="125">
        <f>2</f>
        <v>2</v>
      </c>
      <c r="Y474" s="125">
        <f>2</f>
        <v>2</v>
      </c>
      <c r="Z474" s="125">
        <f>2</f>
        <v>2</v>
      </c>
      <c r="AA474" s="125">
        <f>2</f>
        <v>2</v>
      </c>
      <c r="AB474" s="125">
        <f>2</f>
        <v>2</v>
      </c>
      <c r="AC474" s="125">
        <f>2</f>
        <v>2</v>
      </c>
      <c r="AD474" s="125">
        <f>2</f>
        <v>2</v>
      </c>
      <c r="AE474" s="125">
        <f>2</f>
        <v>2</v>
      </c>
      <c r="AF474" s="125">
        <f>2</f>
        <v>2</v>
      </c>
      <c r="AG474" s="126">
        <f>2</f>
        <v>2</v>
      </c>
      <c r="AH474" s="22"/>
    </row>
    <row r="475" spans="1:34" x14ac:dyDescent="0.25">
      <c r="A475" s="112"/>
      <c r="B475" s="120" t="s">
        <v>577</v>
      </c>
      <c r="C475" s="121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8"/>
      <c r="AH475" s="22"/>
    </row>
    <row r="476" spans="1:34" ht="25.5" x14ac:dyDescent="0.25">
      <c r="A476" s="112"/>
      <c r="B476" s="136" t="s">
        <v>99</v>
      </c>
      <c r="C476" s="67" t="s">
        <v>59</v>
      </c>
      <c r="D476" s="125">
        <f>1</f>
        <v>1</v>
      </c>
      <c r="E476" s="125">
        <f>1</f>
        <v>1</v>
      </c>
      <c r="F476" s="125">
        <f>1</f>
        <v>1</v>
      </c>
      <c r="G476" s="125">
        <f>1</f>
        <v>1</v>
      </c>
      <c r="H476" s="125">
        <f>1</f>
        <v>1</v>
      </c>
      <c r="I476" s="125">
        <f>1</f>
        <v>1</v>
      </c>
      <c r="J476" s="125">
        <f>1</f>
        <v>1</v>
      </c>
      <c r="K476" s="125">
        <f>1</f>
        <v>1</v>
      </c>
      <c r="L476" s="125">
        <f>1</f>
        <v>1</v>
      </c>
      <c r="M476" s="125">
        <f>1</f>
        <v>1</v>
      </c>
      <c r="N476" s="125">
        <f>1</f>
        <v>1</v>
      </c>
      <c r="O476" s="125">
        <f>1</f>
        <v>1</v>
      </c>
      <c r="P476" s="125">
        <f>1</f>
        <v>1</v>
      </c>
      <c r="Q476" s="125">
        <f>1</f>
        <v>1</v>
      </c>
      <c r="R476" s="125">
        <f>1</f>
        <v>1</v>
      </c>
      <c r="S476" s="125">
        <f>1</f>
        <v>1</v>
      </c>
      <c r="T476" s="125">
        <f>1</f>
        <v>1</v>
      </c>
      <c r="U476" s="125">
        <f>1</f>
        <v>1</v>
      </c>
      <c r="V476" s="125">
        <f>1</f>
        <v>1</v>
      </c>
      <c r="W476" s="125">
        <f>1</f>
        <v>1</v>
      </c>
      <c r="X476" s="125">
        <f>1</f>
        <v>1</v>
      </c>
      <c r="Y476" s="125">
        <f>1</f>
        <v>1</v>
      </c>
      <c r="Z476" s="125">
        <f>1</f>
        <v>1</v>
      </c>
      <c r="AA476" s="125">
        <f>1</f>
        <v>1</v>
      </c>
      <c r="AB476" s="125">
        <f>1</f>
        <v>1</v>
      </c>
      <c r="AC476" s="125">
        <f>1</f>
        <v>1</v>
      </c>
      <c r="AD476" s="125">
        <f>1</f>
        <v>1</v>
      </c>
      <c r="AE476" s="125">
        <f>1</f>
        <v>1</v>
      </c>
      <c r="AF476" s="125">
        <f>1</f>
        <v>1</v>
      </c>
      <c r="AG476" s="126">
        <f>1</f>
        <v>1</v>
      </c>
      <c r="AH476" s="22"/>
    </row>
    <row r="477" spans="1:34" x14ac:dyDescent="0.25">
      <c r="A477" s="112"/>
      <c r="B477" s="136" t="s">
        <v>448</v>
      </c>
      <c r="C477" s="67" t="s">
        <v>59</v>
      </c>
      <c r="D477" s="125">
        <f>2</f>
        <v>2</v>
      </c>
      <c r="E477" s="125">
        <f>2</f>
        <v>2</v>
      </c>
      <c r="F477" s="125">
        <f>2</f>
        <v>2</v>
      </c>
      <c r="G477" s="125">
        <f>2</f>
        <v>2</v>
      </c>
      <c r="H477" s="125">
        <f>2</f>
        <v>2</v>
      </c>
      <c r="I477" s="125">
        <f>2</f>
        <v>2</v>
      </c>
      <c r="J477" s="125">
        <f>2</f>
        <v>2</v>
      </c>
      <c r="K477" s="125">
        <f>2</f>
        <v>2</v>
      </c>
      <c r="L477" s="125">
        <f>2</f>
        <v>2</v>
      </c>
      <c r="M477" s="125">
        <f>2</f>
        <v>2</v>
      </c>
      <c r="N477" s="125">
        <f>2</f>
        <v>2</v>
      </c>
      <c r="O477" s="125">
        <f>2</f>
        <v>2</v>
      </c>
      <c r="P477" s="125">
        <f>2</f>
        <v>2</v>
      </c>
      <c r="Q477" s="125">
        <f>2</f>
        <v>2</v>
      </c>
      <c r="R477" s="125">
        <f>2</f>
        <v>2</v>
      </c>
      <c r="S477" s="125">
        <f>2</f>
        <v>2</v>
      </c>
      <c r="T477" s="125">
        <f>2</f>
        <v>2</v>
      </c>
      <c r="U477" s="125">
        <f>2</f>
        <v>2</v>
      </c>
      <c r="V477" s="125">
        <f>2</f>
        <v>2</v>
      </c>
      <c r="W477" s="125">
        <f>2</f>
        <v>2</v>
      </c>
      <c r="X477" s="125">
        <f>2</f>
        <v>2</v>
      </c>
      <c r="Y477" s="125">
        <f>2</f>
        <v>2</v>
      </c>
      <c r="Z477" s="125">
        <f>2</f>
        <v>2</v>
      </c>
      <c r="AA477" s="125">
        <f>2</f>
        <v>2</v>
      </c>
      <c r="AB477" s="125">
        <f>2</f>
        <v>2</v>
      </c>
      <c r="AC477" s="125">
        <f>2</f>
        <v>2</v>
      </c>
      <c r="AD477" s="125">
        <f>2</f>
        <v>2</v>
      </c>
      <c r="AE477" s="125">
        <f>2</f>
        <v>2</v>
      </c>
      <c r="AF477" s="125">
        <f>2</f>
        <v>2</v>
      </c>
      <c r="AG477" s="126">
        <f>2</f>
        <v>2</v>
      </c>
      <c r="AH477" s="22"/>
    </row>
    <row r="478" spans="1:34" x14ac:dyDescent="0.25">
      <c r="A478" s="112"/>
      <c r="B478" s="136" t="s">
        <v>100</v>
      </c>
      <c r="C478" s="67" t="s">
        <v>59</v>
      </c>
      <c r="D478" s="125">
        <f>2</f>
        <v>2</v>
      </c>
      <c r="E478" s="125">
        <f>2</f>
        <v>2</v>
      </c>
      <c r="F478" s="125">
        <f>2</f>
        <v>2</v>
      </c>
      <c r="G478" s="125">
        <f>2</f>
        <v>2</v>
      </c>
      <c r="H478" s="125">
        <f>2</f>
        <v>2</v>
      </c>
      <c r="I478" s="125">
        <f>2</f>
        <v>2</v>
      </c>
      <c r="J478" s="125">
        <f>2</f>
        <v>2</v>
      </c>
      <c r="K478" s="125">
        <f>2</f>
        <v>2</v>
      </c>
      <c r="L478" s="125">
        <f>2</f>
        <v>2</v>
      </c>
      <c r="M478" s="125">
        <f>2</f>
        <v>2</v>
      </c>
      <c r="N478" s="125">
        <f>2</f>
        <v>2</v>
      </c>
      <c r="O478" s="125">
        <f>2</f>
        <v>2</v>
      </c>
      <c r="P478" s="125">
        <f>2</f>
        <v>2</v>
      </c>
      <c r="Q478" s="125">
        <f>2</f>
        <v>2</v>
      </c>
      <c r="R478" s="125">
        <f>2</f>
        <v>2</v>
      </c>
      <c r="S478" s="125">
        <f>2</f>
        <v>2</v>
      </c>
      <c r="T478" s="125">
        <f>2</f>
        <v>2</v>
      </c>
      <c r="U478" s="125">
        <f>2</f>
        <v>2</v>
      </c>
      <c r="V478" s="125">
        <f>2</f>
        <v>2</v>
      </c>
      <c r="W478" s="125">
        <f>2</f>
        <v>2</v>
      </c>
      <c r="X478" s="125">
        <f>2</f>
        <v>2</v>
      </c>
      <c r="Y478" s="125">
        <f>2</f>
        <v>2</v>
      </c>
      <c r="Z478" s="125">
        <f>2</f>
        <v>2</v>
      </c>
      <c r="AA478" s="125">
        <f>2</f>
        <v>2</v>
      </c>
      <c r="AB478" s="125">
        <f>2</f>
        <v>2</v>
      </c>
      <c r="AC478" s="125">
        <f>2</f>
        <v>2</v>
      </c>
      <c r="AD478" s="125">
        <f>2</f>
        <v>2</v>
      </c>
      <c r="AE478" s="125">
        <f>2</f>
        <v>2</v>
      </c>
      <c r="AF478" s="125">
        <f>2</f>
        <v>2</v>
      </c>
      <c r="AG478" s="126">
        <f>2</f>
        <v>2</v>
      </c>
      <c r="AH478" s="22"/>
    </row>
    <row r="479" spans="1:34" x14ac:dyDescent="0.25">
      <c r="A479" s="112"/>
      <c r="B479" s="136" t="s">
        <v>101</v>
      </c>
      <c r="C479" s="67" t="s">
        <v>59</v>
      </c>
      <c r="D479" s="125">
        <f>2</f>
        <v>2</v>
      </c>
      <c r="E479" s="125">
        <f>2</f>
        <v>2</v>
      </c>
      <c r="F479" s="125">
        <f>2</f>
        <v>2</v>
      </c>
      <c r="G479" s="125">
        <f>2</f>
        <v>2</v>
      </c>
      <c r="H479" s="125">
        <f>2</f>
        <v>2</v>
      </c>
      <c r="I479" s="125">
        <f>2</f>
        <v>2</v>
      </c>
      <c r="J479" s="125">
        <f>2</f>
        <v>2</v>
      </c>
      <c r="K479" s="125">
        <f>2</f>
        <v>2</v>
      </c>
      <c r="L479" s="125">
        <f>2</f>
        <v>2</v>
      </c>
      <c r="M479" s="125">
        <f>2</f>
        <v>2</v>
      </c>
      <c r="N479" s="125">
        <f>2</f>
        <v>2</v>
      </c>
      <c r="O479" s="125">
        <f>2</f>
        <v>2</v>
      </c>
      <c r="P479" s="125">
        <f>2</f>
        <v>2</v>
      </c>
      <c r="Q479" s="125">
        <f>2</f>
        <v>2</v>
      </c>
      <c r="R479" s="125">
        <f>2</f>
        <v>2</v>
      </c>
      <c r="S479" s="125">
        <f>2</f>
        <v>2</v>
      </c>
      <c r="T479" s="125">
        <f>2</f>
        <v>2</v>
      </c>
      <c r="U479" s="125">
        <f>2</f>
        <v>2</v>
      </c>
      <c r="V479" s="125">
        <f>2</f>
        <v>2</v>
      </c>
      <c r="W479" s="125">
        <f>2</f>
        <v>2</v>
      </c>
      <c r="X479" s="125">
        <f>2</f>
        <v>2</v>
      </c>
      <c r="Y479" s="125">
        <f>2</f>
        <v>2</v>
      </c>
      <c r="Z479" s="125">
        <f>2</f>
        <v>2</v>
      </c>
      <c r="AA479" s="125">
        <f>2</f>
        <v>2</v>
      </c>
      <c r="AB479" s="125">
        <f>2</f>
        <v>2</v>
      </c>
      <c r="AC479" s="125">
        <f>2</f>
        <v>2</v>
      </c>
      <c r="AD479" s="125">
        <f>2</f>
        <v>2</v>
      </c>
      <c r="AE479" s="125">
        <f>2</f>
        <v>2</v>
      </c>
      <c r="AF479" s="125">
        <f>2</f>
        <v>2</v>
      </c>
      <c r="AG479" s="126">
        <f>2</f>
        <v>2</v>
      </c>
      <c r="AH479" s="22"/>
    </row>
    <row r="480" spans="1:34" x14ac:dyDescent="0.25">
      <c r="A480" s="112"/>
      <c r="B480" s="136" t="s">
        <v>102</v>
      </c>
      <c r="C480" s="67" t="s">
        <v>59</v>
      </c>
      <c r="D480" s="125">
        <f>2</f>
        <v>2</v>
      </c>
      <c r="E480" s="125">
        <f>2</f>
        <v>2</v>
      </c>
      <c r="F480" s="125">
        <f>2</f>
        <v>2</v>
      </c>
      <c r="G480" s="125">
        <f>2</f>
        <v>2</v>
      </c>
      <c r="H480" s="125">
        <f>2</f>
        <v>2</v>
      </c>
      <c r="I480" s="125">
        <f>2</f>
        <v>2</v>
      </c>
      <c r="J480" s="125">
        <f>2</f>
        <v>2</v>
      </c>
      <c r="K480" s="125">
        <f>2</f>
        <v>2</v>
      </c>
      <c r="L480" s="125">
        <f>2</f>
        <v>2</v>
      </c>
      <c r="M480" s="125">
        <f>2</f>
        <v>2</v>
      </c>
      <c r="N480" s="125">
        <f>2</f>
        <v>2</v>
      </c>
      <c r="O480" s="125">
        <f>2</f>
        <v>2</v>
      </c>
      <c r="P480" s="125">
        <f>2</f>
        <v>2</v>
      </c>
      <c r="Q480" s="125">
        <f>2</f>
        <v>2</v>
      </c>
      <c r="R480" s="125">
        <f>2</f>
        <v>2</v>
      </c>
      <c r="S480" s="125">
        <f>2</f>
        <v>2</v>
      </c>
      <c r="T480" s="125">
        <f>2</f>
        <v>2</v>
      </c>
      <c r="U480" s="125">
        <f>2</f>
        <v>2</v>
      </c>
      <c r="V480" s="125">
        <f>2</f>
        <v>2</v>
      </c>
      <c r="W480" s="125">
        <f>2</f>
        <v>2</v>
      </c>
      <c r="X480" s="125">
        <f>2</f>
        <v>2</v>
      </c>
      <c r="Y480" s="125">
        <f>2</f>
        <v>2</v>
      </c>
      <c r="Z480" s="125">
        <f>2</f>
        <v>2</v>
      </c>
      <c r="AA480" s="125">
        <f>2</f>
        <v>2</v>
      </c>
      <c r="AB480" s="125">
        <f>2</f>
        <v>2</v>
      </c>
      <c r="AC480" s="125">
        <f>2</f>
        <v>2</v>
      </c>
      <c r="AD480" s="125">
        <f>2</f>
        <v>2</v>
      </c>
      <c r="AE480" s="125">
        <f>2</f>
        <v>2</v>
      </c>
      <c r="AF480" s="125">
        <f>2</f>
        <v>2</v>
      </c>
      <c r="AG480" s="126">
        <f>2</f>
        <v>2</v>
      </c>
      <c r="AH480" s="22"/>
    </row>
    <row r="481" spans="1:34" x14ac:dyDescent="0.25">
      <c r="A481" s="112"/>
      <c r="B481" s="136" t="s">
        <v>103</v>
      </c>
      <c r="C481" s="67" t="s">
        <v>59</v>
      </c>
      <c r="D481" s="125">
        <f>2</f>
        <v>2</v>
      </c>
      <c r="E481" s="125">
        <f>2</f>
        <v>2</v>
      </c>
      <c r="F481" s="125">
        <f>2</f>
        <v>2</v>
      </c>
      <c r="G481" s="125">
        <f>2</f>
        <v>2</v>
      </c>
      <c r="H481" s="125">
        <f>2</f>
        <v>2</v>
      </c>
      <c r="I481" s="125">
        <f>2</f>
        <v>2</v>
      </c>
      <c r="J481" s="125">
        <f>2</f>
        <v>2</v>
      </c>
      <c r="K481" s="125">
        <f>2</f>
        <v>2</v>
      </c>
      <c r="L481" s="125">
        <f>2</f>
        <v>2</v>
      </c>
      <c r="M481" s="125">
        <f>2</f>
        <v>2</v>
      </c>
      <c r="N481" s="125">
        <f>2</f>
        <v>2</v>
      </c>
      <c r="O481" s="125">
        <f>2</f>
        <v>2</v>
      </c>
      <c r="P481" s="125">
        <f>2</f>
        <v>2</v>
      </c>
      <c r="Q481" s="125">
        <f>2</f>
        <v>2</v>
      </c>
      <c r="R481" s="125">
        <f>2</f>
        <v>2</v>
      </c>
      <c r="S481" s="125">
        <f>2</f>
        <v>2</v>
      </c>
      <c r="T481" s="125">
        <f>2</f>
        <v>2</v>
      </c>
      <c r="U481" s="125">
        <f>2</f>
        <v>2</v>
      </c>
      <c r="V481" s="125">
        <f>2</f>
        <v>2</v>
      </c>
      <c r="W481" s="125">
        <f>2</f>
        <v>2</v>
      </c>
      <c r="X481" s="125">
        <f>2</f>
        <v>2</v>
      </c>
      <c r="Y481" s="125">
        <f>2</f>
        <v>2</v>
      </c>
      <c r="Z481" s="125">
        <f>2</f>
        <v>2</v>
      </c>
      <c r="AA481" s="125">
        <f>2</f>
        <v>2</v>
      </c>
      <c r="AB481" s="125">
        <f>2</f>
        <v>2</v>
      </c>
      <c r="AC481" s="125">
        <f>2</f>
        <v>2</v>
      </c>
      <c r="AD481" s="125">
        <f>2</f>
        <v>2</v>
      </c>
      <c r="AE481" s="125">
        <f>2</f>
        <v>2</v>
      </c>
      <c r="AF481" s="125">
        <f>2</f>
        <v>2</v>
      </c>
      <c r="AG481" s="126">
        <f>2</f>
        <v>2</v>
      </c>
      <c r="AH481" s="22"/>
    </row>
    <row r="482" spans="1:34" x14ac:dyDescent="0.25">
      <c r="A482" s="112"/>
      <c r="B482" s="136" t="s">
        <v>104</v>
      </c>
      <c r="C482" s="67" t="s">
        <v>59</v>
      </c>
      <c r="D482" s="125">
        <f>2</f>
        <v>2</v>
      </c>
      <c r="E482" s="125">
        <f>2</f>
        <v>2</v>
      </c>
      <c r="F482" s="125">
        <f>2</f>
        <v>2</v>
      </c>
      <c r="G482" s="125">
        <f>2</f>
        <v>2</v>
      </c>
      <c r="H482" s="125">
        <f>2</f>
        <v>2</v>
      </c>
      <c r="I482" s="125">
        <f>2</f>
        <v>2</v>
      </c>
      <c r="J482" s="125">
        <f>2</f>
        <v>2</v>
      </c>
      <c r="K482" s="125">
        <f>2</f>
        <v>2</v>
      </c>
      <c r="L482" s="125">
        <f>2</f>
        <v>2</v>
      </c>
      <c r="M482" s="125">
        <f>2</f>
        <v>2</v>
      </c>
      <c r="N482" s="125">
        <f>2</f>
        <v>2</v>
      </c>
      <c r="O482" s="125">
        <f>2</f>
        <v>2</v>
      </c>
      <c r="P482" s="125">
        <f>2</f>
        <v>2</v>
      </c>
      <c r="Q482" s="125">
        <f>2</f>
        <v>2</v>
      </c>
      <c r="R482" s="125">
        <f>2</f>
        <v>2</v>
      </c>
      <c r="S482" s="125">
        <f>2</f>
        <v>2</v>
      </c>
      <c r="T482" s="125">
        <f>2</f>
        <v>2</v>
      </c>
      <c r="U482" s="125">
        <f>2</f>
        <v>2</v>
      </c>
      <c r="V482" s="125">
        <f>2</f>
        <v>2</v>
      </c>
      <c r="W482" s="125">
        <f>2</f>
        <v>2</v>
      </c>
      <c r="X482" s="125">
        <f>2</f>
        <v>2</v>
      </c>
      <c r="Y482" s="125">
        <f>2</f>
        <v>2</v>
      </c>
      <c r="Z482" s="125">
        <f>2</f>
        <v>2</v>
      </c>
      <c r="AA482" s="125">
        <f>2</f>
        <v>2</v>
      </c>
      <c r="AB482" s="125">
        <f>2</f>
        <v>2</v>
      </c>
      <c r="AC482" s="125">
        <f>2</f>
        <v>2</v>
      </c>
      <c r="AD482" s="125">
        <f>2</f>
        <v>2</v>
      </c>
      <c r="AE482" s="125">
        <f>2</f>
        <v>2</v>
      </c>
      <c r="AF482" s="125">
        <f>2</f>
        <v>2</v>
      </c>
      <c r="AG482" s="126">
        <f>2</f>
        <v>2</v>
      </c>
      <c r="AH482" s="22"/>
    </row>
    <row r="483" spans="1:34" x14ac:dyDescent="0.25">
      <c r="A483" s="112"/>
      <c r="B483" s="136" t="s">
        <v>105</v>
      </c>
      <c r="C483" s="67" t="s">
        <v>59</v>
      </c>
      <c r="D483" s="125">
        <f>2</f>
        <v>2</v>
      </c>
      <c r="E483" s="125">
        <f>2</f>
        <v>2</v>
      </c>
      <c r="F483" s="125">
        <f>2</f>
        <v>2</v>
      </c>
      <c r="G483" s="125">
        <f>2</f>
        <v>2</v>
      </c>
      <c r="H483" s="125">
        <f>2</f>
        <v>2</v>
      </c>
      <c r="I483" s="125">
        <f>2</f>
        <v>2</v>
      </c>
      <c r="J483" s="125">
        <f>2</f>
        <v>2</v>
      </c>
      <c r="K483" s="125">
        <f>2</f>
        <v>2</v>
      </c>
      <c r="L483" s="125">
        <f>2</f>
        <v>2</v>
      </c>
      <c r="M483" s="125">
        <f>2</f>
        <v>2</v>
      </c>
      <c r="N483" s="125">
        <f>2</f>
        <v>2</v>
      </c>
      <c r="O483" s="125">
        <f>2</f>
        <v>2</v>
      </c>
      <c r="P483" s="125">
        <f>2</f>
        <v>2</v>
      </c>
      <c r="Q483" s="125">
        <f>2</f>
        <v>2</v>
      </c>
      <c r="R483" s="125">
        <f>2</f>
        <v>2</v>
      </c>
      <c r="S483" s="125">
        <f>2</f>
        <v>2</v>
      </c>
      <c r="T483" s="125">
        <f>2</f>
        <v>2</v>
      </c>
      <c r="U483" s="125">
        <f>2</f>
        <v>2</v>
      </c>
      <c r="V483" s="125">
        <f>2</f>
        <v>2</v>
      </c>
      <c r="W483" s="125">
        <f>2</f>
        <v>2</v>
      </c>
      <c r="X483" s="125">
        <f>2</f>
        <v>2</v>
      </c>
      <c r="Y483" s="125">
        <f>2</f>
        <v>2</v>
      </c>
      <c r="Z483" s="125">
        <f>2</f>
        <v>2</v>
      </c>
      <c r="AA483" s="125">
        <f>2</f>
        <v>2</v>
      </c>
      <c r="AB483" s="125">
        <f>2</f>
        <v>2</v>
      </c>
      <c r="AC483" s="125">
        <f>2</f>
        <v>2</v>
      </c>
      <c r="AD483" s="125">
        <f>2</f>
        <v>2</v>
      </c>
      <c r="AE483" s="125">
        <f>2</f>
        <v>2</v>
      </c>
      <c r="AF483" s="125">
        <f>2</f>
        <v>2</v>
      </c>
      <c r="AG483" s="126">
        <f>2</f>
        <v>2</v>
      </c>
      <c r="AH483" s="22"/>
    </row>
    <row r="484" spans="1:34" x14ac:dyDescent="0.25">
      <c r="A484" s="112"/>
      <c r="B484" s="136" t="s">
        <v>106</v>
      </c>
      <c r="C484" s="67" t="s">
        <v>59</v>
      </c>
      <c r="D484" s="125">
        <f>2</f>
        <v>2</v>
      </c>
      <c r="E484" s="125">
        <f>2</f>
        <v>2</v>
      </c>
      <c r="F484" s="125">
        <f>2</f>
        <v>2</v>
      </c>
      <c r="G484" s="125">
        <f>2</f>
        <v>2</v>
      </c>
      <c r="H484" s="125">
        <f>2</f>
        <v>2</v>
      </c>
      <c r="I484" s="125">
        <f>2</f>
        <v>2</v>
      </c>
      <c r="J484" s="125">
        <f>2</f>
        <v>2</v>
      </c>
      <c r="K484" s="125">
        <f>2</f>
        <v>2</v>
      </c>
      <c r="L484" s="125">
        <f>2</f>
        <v>2</v>
      </c>
      <c r="M484" s="125">
        <f>2</f>
        <v>2</v>
      </c>
      <c r="N484" s="125">
        <f>2</f>
        <v>2</v>
      </c>
      <c r="O484" s="125">
        <f>2</f>
        <v>2</v>
      </c>
      <c r="P484" s="125">
        <f>2</f>
        <v>2</v>
      </c>
      <c r="Q484" s="125">
        <f>2</f>
        <v>2</v>
      </c>
      <c r="R484" s="125">
        <f>2</f>
        <v>2</v>
      </c>
      <c r="S484" s="125">
        <f>2</f>
        <v>2</v>
      </c>
      <c r="T484" s="125">
        <f>2</f>
        <v>2</v>
      </c>
      <c r="U484" s="125">
        <f>2</f>
        <v>2</v>
      </c>
      <c r="V484" s="125">
        <f>2</f>
        <v>2</v>
      </c>
      <c r="W484" s="125">
        <f>2</f>
        <v>2</v>
      </c>
      <c r="X484" s="125">
        <f>2</f>
        <v>2</v>
      </c>
      <c r="Y484" s="125">
        <f>2</f>
        <v>2</v>
      </c>
      <c r="Z484" s="125">
        <f>2</f>
        <v>2</v>
      </c>
      <c r="AA484" s="125">
        <f>2</f>
        <v>2</v>
      </c>
      <c r="AB484" s="125">
        <f>2</f>
        <v>2</v>
      </c>
      <c r="AC484" s="125">
        <f>2</f>
        <v>2</v>
      </c>
      <c r="AD484" s="125">
        <f>2</f>
        <v>2</v>
      </c>
      <c r="AE484" s="125">
        <f>2</f>
        <v>2</v>
      </c>
      <c r="AF484" s="125">
        <f>2</f>
        <v>2</v>
      </c>
      <c r="AG484" s="126">
        <f>2</f>
        <v>2</v>
      </c>
      <c r="AH484" s="22"/>
    </row>
    <row r="485" spans="1:34" x14ac:dyDescent="0.25">
      <c r="A485" s="112"/>
      <c r="B485" s="136" t="s">
        <v>107</v>
      </c>
      <c r="C485" s="67" t="s">
        <v>59</v>
      </c>
      <c r="D485" s="125">
        <f>2</f>
        <v>2</v>
      </c>
      <c r="E485" s="125">
        <f>2</f>
        <v>2</v>
      </c>
      <c r="F485" s="125">
        <f>2</f>
        <v>2</v>
      </c>
      <c r="G485" s="125">
        <f>2</f>
        <v>2</v>
      </c>
      <c r="H485" s="125">
        <f>2</f>
        <v>2</v>
      </c>
      <c r="I485" s="125">
        <f>2</f>
        <v>2</v>
      </c>
      <c r="J485" s="125">
        <f>2</f>
        <v>2</v>
      </c>
      <c r="K485" s="125">
        <f>2</f>
        <v>2</v>
      </c>
      <c r="L485" s="125">
        <f>2</f>
        <v>2</v>
      </c>
      <c r="M485" s="125">
        <f>2</f>
        <v>2</v>
      </c>
      <c r="N485" s="125">
        <f>2</f>
        <v>2</v>
      </c>
      <c r="O485" s="125">
        <f>2</f>
        <v>2</v>
      </c>
      <c r="P485" s="125">
        <f>2</f>
        <v>2</v>
      </c>
      <c r="Q485" s="125">
        <f>2</f>
        <v>2</v>
      </c>
      <c r="R485" s="125">
        <f>2</f>
        <v>2</v>
      </c>
      <c r="S485" s="125">
        <f>2</f>
        <v>2</v>
      </c>
      <c r="T485" s="125">
        <f>2</f>
        <v>2</v>
      </c>
      <c r="U485" s="125">
        <f>2</f>
        <v>2</v>
      </c>
      <c r="V485" s="125">
        <f>2</f>
        <v>2</v>
      </c>
      <c r="W485" s="125">
        <f>2</f>
        <v>2</v>
      </c>
      <c r="X485" s="125">
        <f>2</f>
        <v>2</v>
      </c>
      <c r="Y485" s="125">
        <f>2</f>
        <v>2</v>
      </c>
      <c r="Z485" s="125">
        <f>2</f>
        <v>2</v>
      </c>
      <c r="AA485" s="125">
        <f>2</f>
        <v>2</v>
      </c>
      <c r="AB485" s="125">
        <f>2</f>
        <v>2</v>
      </c>
      <c r="AC485" s="125">
        <f>2</f>
        <v>2</v>
      </c>
      <c r="AD485" s="125">
        <f>2</f>
        <v>2</v>
      </c>
      <c r="AE485" s="125">
        <f>2</f>
        <v>2</v>
      </c>
      <c r="AF485" s="125">
        <f>2</f>
        <v>2</v>
      </c>
      <c r="AG485" s="126">
        <f>2</f>
        <v>2</v>
      </c>
      <c r="AH485" s="22"/>
    </row>
    <row r="486" spans="1:34" x14ac:dyDescent="0.25">
      <c r="A486" s="112"/>
      <c r="B486" s="136" t="s">
        <v>108</v>
      </c>
      <c r="C486" s="67" t="s">
        <v>59</v>
      </c>
      <c r="D486" s="125">
        <f>2</f>
        <v>2</v>
      </c>
      <c r="E486" s="125">
        <f>2</f>
        <v>2</v>
      </c>
      <c r="F486" s="125">
        <f>2</f>
        <v>2</v>
      </c>
      <c r="G486" s="125">
        <f>2</f>
        <v>2</v>
      </c>
      <c r="H486" s="125">
        <f>2</f>
        <v>2</v>
      </c>
      <c r="I486" s="125">
        <f>2</f>
        <v>2</v>
      </c>
      <c r="J486" s="125">
        <f>2</f>
        <v>2</v>
      </c>
      <c r="K486" s="125">
        <f>2</f>
        <v>2</v>
      </c>
      <c r="L486" s="125">
        <f>2</f>
        <v>2</v>
      </c>
      <c r="M486" s="125">
        <f>2</f>
        <v>2</v>
      </c>
      <c r="N486" s="125">
        <f>2</f>
        <v>2</v>
      </c>
      <c r="O486" s="125">
        <f>2</f>
        <v>2</v>
      </c>
      <c r="P486" s="125">
        <f>2</f>
        <v>2</v>
      </c>
      <c r="Q486" s="125">
        <f>2</f>
        <v>2</v>
      </c>
      <c r="R486" s="125">
        <f>2</f>
        <v>2</v>
      </c>
      <c r="S486" s="125">
        <f>2</f>
        <v>2</v>
      </c>
      <c r="T486" s="125">
        <f>2</f>
        <v>2</v>
      </c>
      <c r="U486" s="125">
        <f>2</f>
        <v>2</v>
      </c>
      <c r="V486" s="125">
        <f>2</f>
        <v>2</v>
      </c>
      <c r="W486" s="125">
        <f>2</f>
        <v>2</v>
      </c>
      <c r="X486" s="125">
        <f>2</f>
        <v>2</v>
      </c>
      <c r="Y486" s="125">
        <f>2</f>
        <v>2</v>
      </c>
      <c r="Z486" s="125">
        <f>2</f>
        <v>2</v>
      </c>
      <c r="AA486" s="125">
        <f>2</f>
        <v>2</v>
      </c>
      <c r="AB486" s="125">
        <f>2</f>
        <v>2</v>
      </c>
      <c r="AC486" s="125">
        <f>2</f>
        <v>2</v>
      </c>
      <c r="AD486" s="125">
        <f>2</f>
        <v>2</v>
      </c>
      <c r="AE486" s="125">
        <f>2</f>
        <v>2</v>
      </c>
      <c r="AF486" s="125">
        <f>2</f>
        <v>2</v>
      </c>
      <c r="AG486" s="126">
        <f>2</f>
        <v>2</v>
      </c>
      <c r="AH486" s="22"/>
    </row>
    <row r="487" spans="1:34" x14ac:dyDescent="0.25">
      <c r="A487" s="112"/>
      <c r="B487" s="136" t="s">
        <v>109</v>
      </c>
      <c r="C487" s="67" t="s">
        <v>59</v>
      </c>
      <c r="D487" s="125">
        <f>2</f>
        <v>2</v>
      </c>
      <c r="E487" s="125">
        <f>2</f>
        <v>2</v>
      </c>
      <c r="F487" s="125">
        <f>2</f>
        <v>2</v>
      </c>
      <c r="G487" s="125">
        <f>2</f>
        <v>2</v>
      </c>
      <c r="H487" s="125">
        <f>2</f>
        <v>2</v>
      </c>
      <c r="I487" s="125">
        <f>2</f>
        <v>2</v>
      </c>
      <c r="J487" s="125">
        <f>2</f>
        <v>2</v>
      </c>
      <c r="K487" s="125">
        <f>2</f>
        <v>2</v>
      </c>
      <c r="L487" s="125">
        <f>2</f>
        <v>2</v>
      </c>
      <c r="M487" s="125">
        <f>2</f>
        <v>2</v>
      </c>
      <c r="N487" s="125">
        <f>2</f>
        <v>2</v>
      </c>
      <c r="O487" s="125">
        <f>2</f>
        <v>2</v>
      </c>
      <c r="P487" s="125">
        <f>2</f>
        <v>2</v>
      </c>
      <c r="Q487" s="125">
        <f>2</f>
        <v>2</v>
      </c>
      <c r="R487" s="125">
        <f>2</f>
        <v>2</v>
      </c>
      <c r="S487" s="125">
        <f>2</f>
        <v>2</v>
      </c>
      <c r="T487" s="125">
        <f>2</f>
        <v>2</v>
      </c>
      <c r="U487" s="125">
        <f>2</f>
        <v>2</v>
      </c>
      <c r="V487" s="125">
        <f>2</f>
        <v>2</v>
      </c>
      <c r="W487" s="125">
        <f>2</f>
        <v>2</v>
      </c>
      <c r="X487" s="125">
        <f>2</f>
        <v>2</v>
      </c>
      <c r="Y487" s="125">
        <f>2</f>
        <v>2</v>
      </c>
      <c r="Z487" s="125">
        <f>2</f>
        <v>2</v>
      </c>
      <c r="AA487" s="125">
        <f>2</f>
        <v>2</v>
      </c>
      <c r="AB487" s="125">
        <f>2</f>
        <v>2</v>
      </c>
      <c r="AC487" s="125">
        <f>2</f>
        <v>2</v>
      </c>
      <c r="AD487" s="125">
        <f>2</f>
        <v>2</v>
      </c>
      <c r="AE487" s="125">
        <f>2</f>
        <v>2</v>
      </c>
      <c r="AF487" s="125">
        <f>2</f>
        <v>2</v>
      </c>
      <c r="AG487" s="126">
        <f>2</f>
        <v>2</v>
      </c>
      <c r="AH487" s="22"/>
    </row>
    <row r="488" spans="1:34" x14ac:dyDescent="0.25">
      <c r="A488" s="112"/>
      <c r="B488" s="136" t="s">
        <v>449</v>
      </c>
      <c r="C488" s="67" t="s">
        <v>59</v>
      </c>
      <c r="D488" s="125">
        <f>2</f>
        <v>2</v>
      </c>
      <c r="E488" s="125">
        <f>2</f>
        <v>2</v>
      </c>
      <c r="F488" s="125">
        <f>2</f>
        <v>2</v>
      </c>
      <c r="G488" s="125">
        <f>2</f>
        <v>2</v>
      </c>
      <c r="H488" s="125">
        <f>2</f>
        <v>2</v>
      </c>
      <c r="I488" s="125">
        <f>2</f>
        <v>2</v>
      </c>
      <c r="J488" s="125">
        <f>2</f>
        <v>2</v>
      </c>
      <c r="K488" s="125">
        <f>2</f>
        <v>2</v>
      </c>
      <c r="L488" s="125">
        <f>2</f>
        <v>2</v>
      </c>
      <c r="M488" s="125">
        <f>2</f>
        <v>2</v>
      </c>
      <c r="N488" s="125">
        <f>2</f>
        <v>2</v>
      </c>
      <c r="O488" s="125">
        <f>2</f>
        <v>2</v>
      </c>
      <c r="P488" s="125">
        <f>2</f>
        <v>2</v>
      </c>
      <c r="Q488" s="125">
        <f>2</f>
        <v>2</v>
      </c>
      <c r="R488" s="125">
        <f>2</f>
        <v>2</v>
      </c>
      <c r="S488" s="125">
        <f>2</f>
        <v>2</v>
      </c>
      <c r="T488" s="125">
        <f>2</f>
        <v>2</v>
      </c>
      <c r="U488" s="125">
        <f>2</f>
        <v>2</v>
      </c>
      <c r="V488" s="125">
        <f>2</f>
        <v>2</v>
      </c>
      <c r="W488" s="125">
        <f>2</f>
        <v>2</v>
      </c>
      <c r="X488" s="125">
        <f>2</f>
        <v>2</v>
      </c>
      <c r="Y488" s="125">
        <f>2</f>
        <v>2</v>
      </c>
      <c r="Z488" s="125">
        <f>2</f>
        <v>2</v>
      </c>
      <c r="AA488" s="125">
        <f>2</f>
        <v>2</v>
      </c>
      <c r="AB488" s="125">
        <f>2</f>
        <v>2</v>
      </c>
      <c r="AC488" s="125">
        <f>2</f>
        <v>2</v>
      </c>
      <c r="AD488" s="125">
        <f>2</f>
        <v>2</v>
      </c>
      <c r="AE488" s="125">
        <f>2</f>
        <v>2</v>
      </c>
      <c r="AF488" s="125">
        <f>2</f>
        <v>2</v>
      </c>
      <c r="AG488" s="126">
        <f>2</f>
        <v>2</v>
      </c>
      <c r="AH488" s="22"/>
    </row>
    <row r="489" spans="1:34" x14ac:dyDescent="0.25">
      <c r="A489" s="112"/>
      <c r="B489" s="136" t="s">
        <v>110</v>
      </c>
      <c r="C489" s="67" t="s">
        <v>59</v>
      </c>
      <c r="D489" s="125">
        <f>2</f>
        <v>2</v>
      </c>
      <c r="E489" s="125">
        <f>2</f>
        <v>2</v>
      </c>
      <c r="F489" s="125">
        <f>2</f>
        <v>2</v>
      </c>
      <c r="G489" s="125">
        <f>2</f>
        <v>2</v>
      </c>
      <c r="H489" s="125">
        <f>2</f>
        <v>2</v>
      </c>
      <c r="I489" s="125">
        <f>2</f>
        <v>2</v>
      </c>
      <c r="J489" s="125">
        <f>2</f>
        <v>2</v>
      </c>
      <c r="K489" s="125">
        <f>2</f>
        <v>2</v>
      </c>
      <c r="L489" s="125">
        <f>2</f>
        <v>2</v>
      </c>
      <c r="M489" s="125">
        <f>2</f>
        <v>2</v>
      </c>
      <c r="N489" s="125">
        <f>2</f>
        <v>2</v>
      </c>
      <c r="O489" s="125">
        <f>2</f>
        <v>2</v>
      </c>
      <c r="P489" s="125">
        <f>2</f>
        <v>2</v>
      </c>
      <c r="Q489" s="125">
        <f>2</f>
        <v>2</v>
      </c>
      <c r="R489" s="125">
        <f>2</f>
        <v>2</v>
      </c>
      <c r="S489" s="125">
        <f>2</f>
        <v>2</v>
      </c>
      <c r="T489" s="125">
        <f>2</f>
        <v>2</v>
      </c>
      <c r="U489" s="125">
        <f>2</f>
        <v>2</v>
      </c>
      <c r="V489" s="125">
        <f>2</f>
        <v>2</v>
      </c>
      <c r="W489" s="125">
        <f>2</f>
        <v>2</v>
      </c>
      <c r="X489" s="125">
        <f>2</f>
        <v>2</v>
      </c>
      <c r="Y489" s="125">
        <f>2</f>
        <v>2</v>
      </c>
      <c r="Z489" s="125">
        <f>2</f>
        <v>2</v>
      </c>
      <c r="AA489" s="125">
        <f>2</f>
        <v>2</v>
      </c>
      <c r="AB489" s="125">
        <f>2</f>
        <v>2</v>
      </c>
      <c r="AC489" s="125">
        <f>2</f>
        <v>2</v>
      </c>
      <c r="AD489" s="125">
        <f>2</f>
        <v>2</v>
      </c>
      <c r="AE489" s="125">
        <f>2</f>
        <v>2</v>
      </c>
      <c r="AF489" s="125">
        <f>2</f>
        <v>2</v>
      </c>
      <c r="AG489" s="126">
        <f>2</f>
        <v>2</v>
      </c>
      <c r="AH489" s="22"/>
    </row>
    <row r="490" spans="1:34" x14ac:dyDescent="0.25">
      <c r="A490" s="112"/>
      <c r="B490" s="136" t="s">
        <v>450</v>
      </c>
      <c r="C490" s="67" t="s">
        <v>59</v>
      </c>
      <c r="D490" s="125">
        <f>2</f>
        <v>2</v>
      </c>
      <c r="E490" s="125">
        <f>2</f>
        <v>2</v>
      </c>
      <c r="F490" s="125">
        <f>2</f>
        <v>2</v>
      </c>
      <c r="G490" s="125">
        <f>2</f>
        <v>2</v>
      </c>
      <c r="H490" s="125">
        <f>2</f>
        <v>2</v>
      </c>
      <c r="I490" s="125">
        <f>2</f>
        <v>2</v>
      </c>
      <c r="J490" s="125">
        <f>2</f>
        <v>2</v>
      </c>
      <c r="K490" s="125">
        <f>2</f>
        <v>2</v>
      </c>
      <c r="L490" s="125">
        <f>2</f>
        <v>2</v>
      </c>
      <c r="M490" s="125">
        <f>2</f>
        <v>2</v>
      </c>
      <c r="N490" s="125">
        <f>2</f>
        <v>2</v>
      </c>
      <c r="O490" s="125">
        <f>2</f>
        <v>2</v>
      </c>
      <c r="P490" s="125">
        <f>2</f>
        <v>2</v>
      </c>
      <c r="Q490" s="125">
        <f>2</f>
        <v>2</v>
      </c>
      <c r="R490" s="125">
        <f>2</f>
        <v>2</v>
      </c>
      <c r="S490" s="125">
        <f>2</f>
        <v>2</v>
      </c>
      <c r="T490" s="125">
        <f>2</f>
        <v>2</v>
      </c>
      <c r="U490" s="125">
        <f>2</f>
        <v>2</v>
      </c>
      <c r="V490" s="125">
        <f>2</f>
        <v>2</v>
      </c>
      <c r="W490" s="125">
        <f>2</f>
        <v>2</v>
      </c>
      <c r="X490" s="125">
        <f>2</f>
        <v>2</v>
      </c>
      <c r="Y490" s="125">
        <f>2</f>
        <v>2</v>
      </c>
      <c r="Z490" s="125">
        <f>2</f>
        <v>2</v>
      </c>
      <c r="AA490" s="125">
        <f>2</f>
        <v>2</v>
      </c>
      <c r="AB490" s="125">
        <f>2</f>
        <v>2</v>
      </c>
      <c r="AC490" s="125">
        <f>2</f>
        <v>2</v>
      </c>
      <c r="AD490" s="125">
        <f>2</f>
        <v>2</v>
      </c>
      <c r="AE490" s="125">
        <f>2</f>
        <v>2</v>
      </c>
      <c r="AF490" s="125">
        <f>2</f>
        <v>2</v>
      </c>
      <c r="AG490" s="126">
        <f>2</f>
        <v>2</v>
      </c>
      <c r="AH490" s="22"/>
    </row>
    <row r="491" spans="1:34" x14ac:dyDescent="0.25">
      <c r="A491" s="112"/>
      <c r="B491" s="136" t="s">
        <v>111</v>
      </c>
      <c r="C491" s="67" t="s">
        <v>59</v>
      </c>
      <c r="D491" s="125">
        <f>1</f>
        <v>1</v>
      </c>
      <c r="E491" s="125">
        <f>1</f>
        <v>1</v>
      </c>
      <c r="F491" s="125">
        <f>1</f>
        <v>1</v>
      </c>
      <c r="G491" s="125">
        <f>1</f>
        <v>1</v>
      </c>
      <c r="H491" s="125">
        <f>1</f>
        <v>1</v>
      </c>
      <c r="I491" s="125">
        <f>1</f>
        <v>1</v>
      </c>
      <c r="J491" s="125">
        <f>1</f>
        <v>1</v>
      </c>
      <c r="K491" s="125">
        <f>1</f>
        <v>1</v>
      </c>
      <c r="L491" s="125">
        <f>1</f>
        <v>1</v>
      </c>
      <c r="M491" s="125">
        <f>1</f>
        <v>1</v>
      </c>
      <c r="N491" s="125">
        <f>1</f>
        <v>1</v>
      </c>
      <c r="O491" s="125">
        <f>1</f>
        <v>1</v>
      </c>
      <c r="P491" s="125">
        <f>1</f>
        <v>1</v>
      </c>
      <c r="Q491" s="125">
        <f>1</f>
        <v>1</v>
      </c>
      <c r="R491" s="125">
        <f>1</f>
        <v>1</v>
      </c>
      <c r="S491" s="125">
        <f>1</f>
        <v>1</v>
      </c>
      <c r="T491" s="125">
        <f>1</f>
        <v>1</v>
      </c>
      <c r="U491" s="125">
        <f>1</f>
        <v>1</v>
      </c>
      <c r="V491" s="125">
        <f>1</f>
        <v>1</v>
      </c>
      <c r="W491" s="125">
        <f>1</f>
        <v>1</v>
      </c>
      <c r="X491" s="125">
        <f>1</f>
        <v>1</v>
      </c>
      <c r="Y491" s="125">
        <f>1</f>
        <v>1</v>
      </c>
      <c r="Z491" s="125">
        <f>1</f>
        <v>1</v>
      </c>
      <c r="AA491" s="125">
        <f>1</f>
        <v>1</v>
      </c>
      <c r="AB491" s="125">
        <f>1</f>
        <v>1</v>
      </c>
      <c r="AC491" s="125">
        <f>1</f>
        <v>1</v>
      </c>
      <c r="AD491" s="125">
        <f>1</f>
        <v>1</v>
      </c>
      <c r="AE491" s="125">
        <f>1</f>
        <v>1</v>
      </c>
      <c r="AF491" s="125">
        <f>1</f>
        <v>1</v>
      </c>
      <c r="AG491" s="126">
        <f>1</f>
        <v>1</v>
      </c>
      <c r="AH491" s="22"/>
    </row>
    <row r="492" spans="1:34" x14ac:dyDescent="0.25">
      <c r="A492" s="112"/>
      <c r="B492" s="136" t="s">
        <v>112</v>
      </c>
      <c r="C492" s="67" t="s">
        <v>59</v>
      </c>
      <c r="D492" s="125">
        <f>1</f>
        <v>1</v>
      </c>
      <c r="E492" s="125">
        <f>1</f>
        <v>1</v>
      </c>
      <c r="F492" s="125">
        <f>1</f>
        <v>1</v>
      </c>
      <c r="G492" s="125">
        <f>1</f>
        <v>1</v>
      </c>
      <c r="H492" s="125">
        <f>1</f>
        <v>1</v>
      </c>
      <c r="I492" s="125">
        <f>1</f>
        <v>1</v>
      </c>
      <c r="J492" s="125">
        <f>1</f>
        <v>1</v>
      </c>
      <c r="K492" s="125">
        <f>1</f>
        <v>1</v>
      </c>
      <c r="L492" s="125">
        <f>1</f>
        <v>1</v>
      </c>
      <c r="M492" s="125">
        <f>1</f>
        <v>1</v>
      </c>
      <c r="N492" s="125">
        <f>1</f>
        <v>1</v>
      </c>
      <c r="O492" s="125">
        <f>1</f>
        <v>1</v>
      </c>
      <c r="P492" s="125">
        <f>1</f>
        <v>1</v>
      </c>
      <c r="Q492" s="125">
        <f>1</f>
        <v>1</v>
      </c>
      <c r="R492" s="125">
        <f>1</f>
        <v>1</v>
      </c>
      <c r="S492" s="125">
        <f>1</f>
        <v>1</v>
      </c>
      <c r="T492" s="125">
        <f>1</f>
        <v>1</v>
      </c>
      <c r="U492" s="125">
        <f>1</f>
        <v>1</v>
      </c>
      <c r="V492" s="125">
        <f>1</f>
        <v>1</v>
      </c>
      <c r="W492" s="125">
        <f>1</f>
        <v>1</v>
      </c>
      <c r="X492" s="125">
        <f>1</f>
        <v>1</v>
      </c>
      <c r="Y492" s="125">
        <f>1</f>
        <v>1</v>
      </c>
      <c r="Z492" s="125">
        <f>1</f>
        <v>1</v>
      </c>
      <c r="AA492" s="125">
        <f>1</f>
        <v>1</v>
      </c>
      <c r="AB492" s="125">
        <f>1</f>
        <v>1</v>
      </c>
      <c r="AC492" s="125">
        <f>1</f>
        <v>1</v>
      </c>
      <c r="AD492" s="125">
        <f>1</f>
        <v>1</v>
      </c>
      <c r="AE492" s="125">
        <f>1</f>
        <v>1</v>
      </c>
      <c r="AF492" s="125">
        <f>1</f>
        <v>1</v>
      </c>
      <c r="AG492" s="126">
        <f>1</f>
        <v>1</v>
      </c>
      <c r="AH492" s="22"/>
    </row>
    <row r="493" spans="1:34" x14ac:dyDescent="0.25">
      <c r="A493" s="112"/>
      <c r="B493" s="136" t="s">
        <v>113</v>
      </c>
      <c r="C493" s="67" t="s">
        <v>59</v>
      </c>
      <c r="D493" s="125">
        <f>1</f>
        <v>1</v>
      </c>
      <c r="E493" s="125">
        <f>1</f>
        <v>1</v>
      </c>
      <c r="F493" s="125">
        <f>1</f>
        <v>1</v>
      </c>
      <c r="G493" s="125">
        <f>1</f>
        <v>1</v>
      </c>
      <c r="H493" s="125">
        <f>1</f>
        <v>1</v>
      </c>
      <c r="I493" s="125">
        <f>1</f>
        <v>1</v>
      </c>
      <c r="J493" s="125">
        <f>1</f>
        <v>1</v>
      </c>
      <c r="K493" s="125">
        <f>1</f>
        <v>1</v>
      </c>
      <c r="L493" s="125">
        <f>1</f>
        <v>1</v>
      </c>
      <c r="M493" s="125">
        <f>1</f>
        <v>1</v>
      </c>
      <c r="N493" s="125">
        <f>1</f>
        <v>1</v>
      </c>
      <c r="O493" s="125">
        <f>1</f>
        <v>1</v>
      </c>
      <c r="P493" s="125">
        <f>1</f>
        <v>1</v>
      </c>
      <c r="Q493" s="125">
        <f>1</f>
        <v>1</v>
      </c>
      <c r="R493" s="125">
        <f>1</f>
        <v>1</v>
      </c>
      <c r="S493" s="125">
        <f>1</f>
        <v>1</v>
      </c>
      <c r="T493" s="125">
        <f>1</f>
        <v>1</v>
      </c>
      <c r="U493" s="125">
        <f>1</f>
        <v>1</v>
      </c>
      <c r="V493" s="125">
        <f>1</f>
        <v>1</v>
      </c>
      <c r="W493" s="125">
        <f>1</f>
        <v>1</v>
      </c>
      <c r="X493" s="125">
        <f>1</f>
        <v>1</v>
      </c>
      <c r="Y493" s="125">
        <f>1</f>
        <v>1</v>
      </c>
      <c r="Z493" s="125">
        <f>1</f>
        <v>1</v>
      </c>
      <c r="AA493" s="125">
        <f>1</f>
        <v>1</v>
      </c>
      <c r="AB493" s="125">
        <f>1</f>
        <v>1</v>
      </c>
      <c r="AC493" s="125">
        <f>1</f>
        <v>1</v>
      </c>
      <c r="AD493" s="125">
        <f>1</f>
        <v>1</v>
      </c>
      <c r="AE493" s="125">
        <f>1</f>
        <v>1</v>
      </c>
      <c r="AF493" s="125">
        <f>1</f>
        <v>1</v>
      </c>
      <c r="AG493" s="126">
        <f>1</f>
        <v>1</v>
      </c>
      <c r="AH493" s="22"/>
    </row>
    <row r="494" spans="1:34" x14ac:dyDescent="0.25">
      <c r="A494" s="112"/>
      <c r="B494" s="136" t="s">
        <v>114</v>
      </c>
      <c r="C494" s="67" t="s">
        <v>59</v>
      </c>
      <c r="D494" s="125">
        <f>1</f>
        <v>1</v>
      </c>
      <c r="E494" s="125">
        <f>1</f>
        <v>1</v>
      </c>
      <c r="F494" s="125">
        <f>1</f>
        <v>1</v>
      </c>
      <c r="G494" s="125">
        <f>1</f>
        <v>1</v>
      </c>
      <c r="H494" s="125">
        <f>1</f>
        <v>1</v>
      </c>
      <c r="I494" s="125">
        <f>1</f>
        <v>1</v>
      </c>
      <c r="J494" s="125">
        <f>1</f>
        <v>1</v>
      </c>
      <c r="K494" s="125">
        <f>1</f>
        <v>1</v>
      </c>
      <c r="L494" s="125">
        <f>1</f>
        <v>1</v>
      </c>
      <c r="M494" s="125">
        <f>1</f>
        <v>1</v>
      </c>
      <c r="N494" s="125">
        <f>1</f>
        <v>1</v>
      </c>
      <c r="O494" s="125">
        <f>1</f>
        <v>1</v>
      </c>
      <c r="P494" s="125">
        <f>1</f>
        <v>1</v>
      </c>
      <c r="Q494" s="125">
        <f>1</f>
        <v>1</v>
      </c>
      <c r="R494" s="125">
        <f>1</f>
        <v>1</v>
      </c>
      <c r="S494" s="125">
        <f>1</f>
        <v>1</v>
      </c>
      <c r="T494" s="125">
        <f>1</f>
        <v>1</v>
      </c>
      <c r="U494" s="125">
        <f>1</f>
        <v>1</v>
      </c>
      <c r="V494" s="125">
        <f>1</f>
        <v>1</v>
      </c>
      <c r="W494" s="125">
        <f>1</f>
        <v>1</v>
      </c>
      <c r="X494" s="125">
        <f>1</f>
        <v>1</v>
      </c>
      <c r="Y494" s="125">
        <f>1</f>
        <v>1</v>
      </c>
      <c r="Z494" s="125">
        <f>1</f>
        <v>1</v>
      </c>
      <c r="AA494" s="125">
        <f>1</f>
        <v>1</v>
      </c>
      <c r="AB494" s="125">
        <f>1</f>
        <v>1</v>
      </c>
      <c r="AC494" s="125">
        <f>1</f>
        <v>1</v>
      </c>
      <c r="AD494" s="125">
        <f>1</f>
        <v>1</v>
      </c>
      <c r="AE494" s="125">
        <f>1</f>
        <v>1</v>
      </c>
      <c r="AF494" s="125">
        <f>1</f>
        <v>1</v>
      </c>
      <c r="AG494" s="126">
        <f>1</f>
        <v>1</v>
      </c>
      <c r="AH494" s="22"/>
    </row>
    <row r="495" spans="1:34" x14ac:dyDescent="0.25">
      <c r="A495" s="112"/>
      <c r="B495" s="136" t="s">
        <v>115</v>
      </c>
      <c r="C495" s="67" t="s">
        <v>59</v>
      </c>
      <c r="D495" s="125">
        <f>1</f>
        <v>1</v>
      </c>
      <c r="E495" s="125">
        <f>1</f>
        <v>1</v>
      </c>
      <c r="F495" s="125">
        <f>1</f>
        <v>1</v>
      </c>
      <c r="G495" s="125">
        <f>1</f>
        <v>1</v>
      </c>
      <c r="H495" s="125">
        <f>1</f>
        <v>1</v>
      </c>
      <c r="I495" s="125">
        <f>1</f>
        <v>1</v>
      </c>
      <c r="J495" s="125">
        <f>1</f>
        <v>1</v>
      </c>
      <c r="K495" s="125">
        <f>1</f>
        <v>1</v>
      </c>
      <c r="L495" s="125">
        <f>1</f>
        <v>1</v>
      </c>
      <c r="M495" s="125">
        <f>1</f>
        <v>1</v>
      </c>
      <c r="N495" s="125">
        <f>1</f>
        <v>1</v>
      </c>
      <c r="O495" s="125">
        <f>1</f>
        <v>1</v>
      </c>
      <c r="P495" s="125">
        <f>1</f>
        <v>1</v>
      </c>
      <c r="Q495" s="125">
        <f>1</f>
        <v>1</v>
      </c>
      <c r="R495" s="125">
        <f>1</f>
        <v>1</v>
      </c>
      <c r="S495" s="125">
        <f>1</f>
        <v>1</v>
      </c>
      <c r="T495" s="125">
        <f>1</f>
        <v>1</v>
      </c>
      <c r="U495" s="125">
        <f>1</f>
        <v>1</v>
      </c>
      <c r="V495" s="125">
        <f>1</f>
        <v>1</v>
      </c>
      <c r="W495" s="125">
        <f>1</f>
        <v>1</v>
      </c>
      <c r="X495" s="125">
        <f>1</f>
        <v>1</v>
      </c>
      <c r="Y495" s="125">
        <f>1</f>
        <v>1</v>
      </c>
      <c r="Z495" s="125">
        <f>1</f>
        <v>1</v>
      </c>
      <c r="AA495" s="125">
        <f>1</f>
        <v>1</v>
      </c>
      <c r="AB495" s="125">
        <f>1</f>
        <v>1</v>
      </c>
      <c r="AC495" s="125">
        <f>1</f>
        <v>1</v>
      </c>
      <c r="AD495" s="125">
        <f>1</f>
        <v>1</v>
      </c>
      <c r="AE495" s="125">
        <f>1</f>
        <v>1</v>
      </c>
      <c r="AF495" s="125">
        <f>1</f>
        <v>1</v>
      </c>
      <c r="AG495" s="126">
        <f>1</f>
        <v>1</v>
      </c>
      <c r="AH495" s="22"/>
    </row>
    <row r="496" spans="1:34" x14ac:dyDescent="0.25">
      <c r="A496" s="112"/>
      <c r="B496" s="136" t="s">
        <v>116</v>
      </c>
      <c r="C496" s="67" t="s">
        <v>59</v>
      </c>
      <c r="D496" s="125">
        <f>1</f>
        <v>1</v>
      </c>
      <c r="E496" s="125">
        <f>1</f>
        <v>1</v>
      </c>
      <c r="F496" s="125">
        <f>1</f>
        <v>1</v>
      </c>
      <c r="G496" s="125">
        <f>1</f>
        <v>1</v>
      </c>
      <c r="H496" s="125">
        <f>1</f>
        <v>1</v>
      </c>
      <c r="I496" s="125">
        <f>1</f>
        <v>1</v>
      </c>
      <c r="J496" s="125">
        <f>1</f>
        <v>1</v>
      </c>
      <c r="K496" s="125">
        <f>1</f>
        <v>1</v>
      </c>
      <c r="L496" s="125">
        <f>1</f>
        <v>1</v>
      </c>
      <c r="M496" s="125">
        <f>1</f>
        <v>1</v>
      </c>
      <c r="N496" s="125">
        <f>1</f>
        <v>1</v>
      </c>
      <c r="O496" s="125">
        <f>1</f>
        <v>1</v>
      </c>
      <c r="P496" s="125">
        <f>1</f>
        <v>1</v>
      </c>
      <c r="Q496" s="125">
        <f>1</f>
        <v>1</v>
      </c>
      <c r="R496" s="125">
        <f>1</f>
        <v>1</v>
      </c>
      <c r="S496" s="125">
        <f>1</f>
        <v>1</v>
      </c>
      <c r="T496" s="125">
        <f>1</f>
        <v>1</v>
      </c>
      <c r="U496" s="125">
        <f>1</f>
        <v>1</v>
      </c>
      <c r="V496" s="125">
        <f>1</f>
        <v>1</v>
      </c>
      <c r="W496" s="125">
        <f>1</f>
        <v>1</v>
      </c>
      <c r="X496" s="125">
        <f>1</f>
        <v>1</v>
      </c>
      <c r="Y496" s="125">
        <f>1</f>
        <v>1</v>
      </c>
      <c r="Z496" s="125">
        <f>1</f>
        <v>1</v>
      </c>
      <c r="AA496" s="125">
        <f>1</f>
        <v>1</v>
      </c>
      <c r="AB496" s="125">
        <f>1</f>
        <v>1</v>
      </c>
      <c r="AC496" s="125">
        <f>1</f>
        <v>1</v>
      </c>
      <c r="AD496" s="125">
        <f>1</f>
        <v>1</v>
      </c>
      <c r="AE496" s="125">
        <f>1</f>
        <v>1</v>
      </c>
      <c r="AF496" s="125">
        <f>1</f>
        <v>1</v>
      </c>
      <c r="AG496" s="126">
        <f>1</f>
        <v>1</v>
      </c>
      <c r="AH496" s="22"/>
    </row>
    <row r="497" spans="1:34" x14ac:dyDescent="0.25">
      <c r="A497" s="112"/>
      <c r="B497" s="136" t="s">
        <v>117</v>
      </c>
      <c r="C497" s="67" t="s">
        <v>59</v>
      </c>
      <c r="D497" s="125">
        <f>1</f>
        <v>1</v>
      </c>
      <c r="E497" s="125">
        <f>1</f>
        <v>1</v>
      </c>
      <c r="F497" s="125">
        <f>1</f>
        <v>1</v>
      </c>
      <c r="G497" s="125">
        <f>1</f>
        <v>1</v>
      </c>
      <c r="H497" s="125">
        <f>1</f>
        <v>1</v>
      </c>
      <c r="I497" s="125">
        <f>1</f>
        <v>1</v>
      </c>
      <c r="J497" s="125">
        <f>1</f>
        <v>1</v>
      </c>
      <c r="K497" s="125">
        <f>1</f>
        <v>1</v>
      </c>
      <c r="L497" s="125">
        <f>1</f>
        <v>1</v>
      </c>
      <c r="M497" s="125">
        <f>1</f>
        <v>1</v>
      </c>
      <c r="N497" s="125">
        <f>1</f>
        <v>1</v>
      </c>
      <c r="O497" s="125">
        <f>1</f>
        <v>1</v>
      </c>
      <c r="P497" s="125">
        <f>1</f>
        <v>1</v>
      </c>
      <c r="Q497" s="125">
        <f>1</f>
        <v>1</v>
      </c>
      <c r="R497" s="125">
        <f>1</f>
        <v>1</v>
      </c>
      <c r="S497" s="125">
        <f>1</f>
        <v>1</v>
      </c>
      <c r="T497" s="125">
        <f>1</f>
        <v>1</v>
      </c>
      <c r="U497" s="125">
        <f>1</f>
        <v>1</v>
      </c>
      <c r="V497" s="125">
        <f>1</f>
        <v>1</v>
      </c>
      <c r="W497" s="125">
        <f>1</f>
        <v>1</v>
      </c>
      <c r="X497" s="125">
        <f>1</f>
        <v>1</v>
      </c>
      <c r="Y497" s="125">
        <f>1</f>
        <v>1</v>
      </c>
      <c r="Z497" s="125">
        <f>1</f>
        <v>1</v>
      </c>
      <c r="AA497" s="125">
        <f>1</f>
        <v>1</v>
      </c>
      <c r="AB497" s="125">
        <f>1</f>
        <v>1</v>
      </c>
      <c r="AC497" s="125">
        <f>1</f>
        <v>1</v>
      </c>
      <c r="AD497" s="125">
        <f>1</f>
        <v>1</v>
      </c>
      <c r="AE497" s="125">
        <f>1</f>
        <v>1</v>
      </c>
      <c r="AF497" s="125">
        <f>1</f>
        <v>1</v>
      </c>
      <c r="AG497" s="126">
        <f>1</f>
        <v>1</v>
      </c>
      <c r="AH497" s="22"/>
    </row>
    <row r="498" spans="1:34" x14ac:dyDescent="0.25">
      <c r="A498" s="112"/>
      <c r="B498" s="136" t="s">
        <v>118</v>
      </c>
      <c r="C498" s="67" t="s">
        <v>59</v>
      </c>
      <c r="D498" s="125">
        <f>1</f>
        <v>1</v>
      </c>
      <c r="E498" s="125">
        <f>1</f>
        <v>1</v>
      </c>
      <c r="F498" s="125">
        <f>1</f>
        <v>1</v>
      </c>
      <c r="G498" s="125">
        <f>1</f>
        <v>1</v>
      </c>
      <c r="H498" s="125">
        <f>1</f>
        <v>1</v>
      </c>
      <c r="I498" s="125">
        <f>1</f>
        <v>1</v>
      </c>
      <c r="J498" s="125">
        <f>1</f>
        <v>1</v>
      </c>
      <c r="K498" s="125">
        <f>1</f>
        <v>1</v>
      </c>
      <c r="L498" s="125">
        <f>1</f>
        <v>1</v>
      </c>
      <c r="M498" s="125">
        <f>1</f>
        <v>1</v>
      </c>
      <c r="N498" s="125">
        <f>1</f>
        <v>1</v>
      </c>
      <c r="O498" s="125">
        <f>1</f>
        <v>1</v>
      </c>
      <c r="P498" s="125">
        <f>1</f>
        <v>1</v>
      </c>
      <c r="Q498" s="125">
        <f>1</f>
        <v>1</v>
      </c>
      <c r="R498" s="125">
        <f>1</f>
        <v>1</v>
      </c>
      <c r="S498" s="125">
        <f>1</f>
        <v>1</v>
      </c>
      <c r="T498" s="125">
        <f>1</f>
        <v>1</v>
      </c>
      <c r="U498" s="125">
        <f>1</f>
        <v>1</v>
      </c>
      <c r="V498" s="125">
        <f>1</f>
        <v>1</v>
      </c>
      <c r="W498" s="125">
        <f>1</f>
        <v>1</v>
      </c>
      <c r="X498" s="125">
        <f>1</f>
        <v>1</v>
      </c>
      <c r="Y498" s="125">
        <f>1</f>
        <v>1</v>
      </c>
      <c r="Z498" s="125">
        <f>1</f>
        <v>1</v>
      </c>
      <c r="AA498" s="125">
        <f>1</f>
        <v>1</v>
      </c>
      <c r="AB498" s="125">
        <f>1</f>
        <v>1</v>
      </c>
      <c r="AC498" s="125">
        <f>1</f>
        <v>1</v>
      </c>
      <c r="AD498" s="125">
        <f>1</f>
        <v>1</v>
      </c>
      <c r="AE498" s="125">
        <f>1</f>
        <v>1</v>
      </c>
      <c r="AF498" s="125">
        <f>1</f>
        <v>1</v>
      </c>
      <c r="AG498" s="126">
        <f>1</f>
        <v>1</v>
      </c>
      <c r="AH498" s="22"/>
    </row>
    <row r="499" spans="1:34" x14ac:dyDescent="0.25">
      <c r="A499" s="112"/>
      <c r="B499" s="136" t="s">
        <v>119</v>
      </c>
      <c r="C499" s="67" t="s">
        <v>59</v>
      </c>
      <c r="D499" s="125">
        <f>1</f>
        <v>1</v>
      </c>
      <c r="E499" s="125">
        <f>1</f>
        <v>1</v>
      </c>
      <c r="F499" s="125">
        <f>1</f>
        <v>1</v>
      </c>
      <c r="G499" s="125">
        <f>1</f>
        <v>1</v>
      </c>
      <c r="H499" s="125">
        <f>1</f>
        <v>1</v>
      </c>
      <c r="I499" s="125">
        <f>1</f>
        <v>1</v>
      </c>
      <c r="J499" s="125">
        <f>1</f>
        <v>1</v>
      </c>
      <c r="K499" s="125">
        <f>1</f>
        <v>1</v>
      </c>
      <c r="L499" s="125">
        <f>1</f>
        <v>1</v>
      </c>
      <c r="M499" s="125">
        <f>1</f>
        <v>1</v>
      </c>
      <c r="N499" s="125">
        <f>1</f>
        <v>1</v>
      </c>
      <c r="O499" s="125">
        <f>1</f>
        <v>1</v>
      </c>
      <c r="P499" s="125">
        <f>1</f>
        <v>1</v>
      </c>
      <c r="Q499" s="125">
        <f>1</f>
        <v>1</v>
      </c>
      <c r="R499" s="125">
        <f>1</f>
        <v>1</v>
      </c>
      <c r="S499" s="125">
        <f>1</f>
        <v>1</v>
      </c>
      <c r="T499" s="125">
        <f>1</f>
        <v>1</v>
      </c>
      <c r="U499" s="125">
        <f>1</f>
        <v>1</v>
      </c>
      <c r="V499" s="125">
        <f>1</f>
        <v>1</v>
      </c>
      <c r="W499" s="125">
        <f>1</f>
        <v>1</v>
      </c>
      <c r="X499" s="125">
        <f>1</f>
        <v>1</v>
      </c>
      <c r="Y499" s="125">
        <f>1</f>
        <v>1</v>
      </c>
      <c r="Z499" s="125">
        <f>1</f>
        <v>1</v>
      </c>
      <c r="AA499" s="125">
        <f>1</f>
        <v>1</v>
      </c>
      <c r="AB499" s="125">
        <f>1</f>
        <v>1</v>
      </c>
      <c r="AC499" s="125">
        <f>1</f>
        <v>1</v>
      </c>
      <c r="AD499" s="125">
        <f>1</f>
        <v>1</v>
      </c>
      <c r="AE499" s="125">
        <f>1</f>
        <v>1</v>
      </c>
      <c r="AF499" s="125">
        <f>1</f>
        <v>1</v>
      </c>
      <c r="AG499" s="126">
        <f>1</f>
        <v>1</v>
      </c>
      <c r="AH499" s="22"/>
    </row>
    <row r="500" spans="1:34" x14ac:dyDescent="0.25">
      <c r="A500" s="112"/>
      <c r="B500" s="136" t="s">
        <v>120</v>
      </c>
      <c r="C500" s="67" t="s">
        <v>59</v>
      </c>
      <c r="D500" s="125">
        <f>1</f>
        <v>1</v>
      </c>
      <c r="E500" s="125">
        <f>1</f>
        <v>1</v>
      </c>
      <c r="F500" s="125">
        <f>1</f>
        <v>1</v>
      </c>
      <c r="G500" s="125">
        <f>1</f>
        <v>1</v>
      </c>
      <c r="H500" s="125">
        <f>1</f>
        <v>1</v>
      </c>
      <c r="I500" s="125">
        <f>1</f>
        <v>1</v>
      </c>
      <c r="J500" s="125">
        <f>1</f>
        <v>1</v>
      </c>
      <c r="K500" s="125">
        <f>1</f>
        <v>1</v>
      </c>
      <c r="L500" s="125">
        <f>1</f>
        <v>1</v>
      </c>
      <c r="M500" s="125">
        <f>1</f>
        <v>1</v>
      </c>
      <c r="N500" s="125">
        <f>1</f>
        <v>1</v>
      </c>
      <c r="O500" s="125">
        <f>1</f>
        <v>1</v>
      </c>
      <c r="P500" s="125">
        <f>1</f>
        <v>1</v>
      </c>
      <c r="Q500" s="125">
        <f>1</f>
        <v>1</v>
      </c>
      <c r="R500" s="125">
        <f>1</f>
        <v>1</v>
      </c>
      <c r="S500" s="125">
        <f>1</f>
        <v>1</v>
      </c>
      <c r="T500" s="125">
        <f>1</f>
        <v>1</v>
      </c>
      <c r="U500" s="125">
        <f>1</f>
        <v>1</v>
      </c>
      <c r="V500" s="125">
        <f>1</f>
        <v>1</v>
      </c>
      <c r="W500" s="125">
        <f>1</f>
        <v>1</v>
      </c>
      <c r="X500" s="125">
        <f>1</f>
        <v>1</v>
      </c>
      <c r="Y500" s="125">
        <f>1</f>
        <v>1</v>
      </c>
      <c r="Z500" s="125">
        <f>1</f>
        <v>1</v>
      </c>
      <c r="AA500" s="125">
        <f>1</f>
        <v>1</v>
      </c>
      <c r="AB500" s="125">
        <f>1</f>
        <v>1</v>
      </c>
      <c r="AC500" s="125">
        <f>1</f>
        <v>1</v>
      </c>
      <c r="AD500" s="125">
        <f>1</f>
        <v>1</v>
      </c>
      <c r="AE500" s="125">
        <f>1</f>
        <v>1</v>
      </c>
      <c r="AF500" s="125">
        <f>1</f>
        <v>1</v>
      </c>
      <c r="AG500" s="126">
        <f>1</f>
        <v>1</v>
      </c>
      <c r="AH500" s="22"/>
    </row>
    <row r="501" spans="1:34" x14ac:dyDescent="0.25">
      <c r="A501" s="112"/>
      <c r="B501" s="136" t="s">
        <v>121</v>
      </c>
      <c r="C501" s="67" t="s">
        <v>59</v>
      </c>
      <c r="D501" s="125">
        <f>1</f>
        <v>1</v>
      </c>
      <c r="E501" s="125">
        <f>1</f>
        <v>1</v>
      </c>
      <c r="F501" s="125">
        <f>1</f>
        <v>1</v>
      </c>
      <c r="G501" s="125">
        <f>1</f>
        <v>1</v>
      </c>
      <c r="H501" s="125">
        <f>1</f>
        <v>1</v>
      </c>
      <c r="I501" s="125">
        <f>1</f>
        <v>1</v>
      </c>
      <c r="J501" s="125">
        <f>1</f>
        <v>1</v>
      </c>
      <c r="K501" s="125">
        <f>1</f>
        <v>1</v>
      </c>
      <c r="L501" s="125">
        <f>1</f>
        <v>1</v>
      </c>
      <c r="M501" s="125">
        <f>1</f>
        <v>1</v>
      </c>
      <c r="N501" s="125">
        <f>1</f>
        <v>1</v>
      </c>
      <c r="O501" s="125">
        <f>1</f>
        <v>1</v>
      </c>
      <c r="P501" s="125">
        <f>1</f>
        <v>1</v>
      </c>
      <c r="Q501" s="125">
        <f>1</f>
        <v>1</v>
      </c>
      <c r="R501" s="125">
        <f>1</f>
        <v>1</v>
      </c>
      <c r="S501" s="125">
        <f>1</f>
        <v>1</v>
      </c>
      <c r="T501" s="125">
        <f>1</f>
        <v>1</v>
      </c>
      <c r="U501" s="125">
        <f>1</f>
        <v>1</v>
      </c>
      <c r="V501" s="125">
        <f>1</f>
        <v>1</v>
      </c>
      <c r="W501" s="125">
        <f>1</f>
        <v>1</v>
      </c>
      <c r="X501" s="125">
        <f>1</f>
        <v>1</v>
      </c>
      <c r="Y501" s="125">
        <f>1</f>
        <v>1</v>
      </c>
      <c r="Z501" s="125">
        <f>1</f>
        <v>1</v>
      </c>
      <c r="AA501" s="125">
        <f>1</f>
        <v>1</v>
      </c>
      <c r="AB501" s="125">
        <f>1</f>
        <v>1</v>
      </c>
      <c r="AC501" s="125">
        <f>1</f>
        <v>1</v>
      </c>
      <c r="AD501" s="125">
        <f>1</f>
        <v>1</v>
      </c>
      <c r="AE501" s="125">
        <f>1</f>
        <v>1</v>
      </c>
      <c r="AF501" s="125">
        <f>1</f>
        <v>1</v>
      </c>
      <c r="AG501" s="126">
        <f>1</f>
        <v>1</v>
      </c>
      <c r="AH501" s="22"/>
    </row>
    <row r="502" spans="1:34" x14ac:dyDescent="0.25">
      <c r="A502" s="112"/>
      <c r="B502" s="136" t="s">
        <v>122</v>
      </c>
      <c r="C502" s="67" t="s">
        <v>59</v>
      </c>
      <c r="D502" s="125">
        <f>1</f>
        <v>1</v>
      </c>
      <c r="E502" s="125">
        <f>1</f>
        <v>1</v>
      </c>
      <c r="F502" s="125">
        <f>1</f>
        <v>1</v>
      </c>
      <c r="G502" s="125">
        <f>1</f>
        <v>1</v>
      </c>
      <c r="H502" s="125">
        <f>1</f>
        <v>1</v>
      </c>
      <c r="I502" s="125">
        <f>1</f>
        <v>1</v>
      </c>
      <c r="J502" s="125">
        <f>1</f>
        <v>1</v>
      </c>
      <c r="K502" s="125">
        <f>1</f>
        <v>1</v>
      </c>
      <c r="L502" s="125">
        <f>1</f>
        <v>1</v>
      </c>
      <c r="M502" s="125">
        <f>1</f>
        <v>1</v>
      </c>
      <c r="N502" s="125">
        <f>1</f>
        <v>1</v>
      </c>
      <c r="O502" s="125">
        <f>1</f>
        <v>1</v>
      </c>
      <c r="P502" s="125">
        <f>1</f>
        <v>1</v>
      </c>
      <c r="Q502" s="125">
        <f>1</f>
        <v>1</v>
      </c>
      <c r="R502" s="125">
        <f>1</f>
        <v>1</v>
      </c>
      <c r="S502" s="125">
        <f>1</f>
        <v>1</v>
      </c>
      <c r="T502" s="125">
        <f>1</f>
        <v>1</v>
      </c>
      <c r="U502" s="125">
        <f>1</f>
        <v>1</v>
      </c>
      <c r="V502" s="125">
        <f>1</f>
        <v>1</v>
      </c>
      <c r="W502" s="125">
        <f>1</f>
        <v>1</v>
      </c>
      <c r="X502" s="125">
        <f>1</f>
        <v>1</v>
      </c>
      <c r="Y502" s="125">
        <f>1</f>
        <v>1</v>
      </c>
      <c r="Z502" s="125">
        <f>1</f>
        <v>1</v>
      </c>
      <c r="AA502" s="125">
        <f>1</f>
        <v>1</v>
      </c>
      <c r="AB502" s="125">
        <f>1</f>
        <v>1</v>
      </c>
      <c r="AC502" s="125">
        <f>1</f>
        <v>1</v>
      </c>
      <c r="AD502" s="125">
        <f>1</f>
        <v>1</v>
      </c>
      <c r="AE502" s="125">
        <f>1</f>
        <v>1</v>
      </c>
      <c r="AF502" s="125">
        <f>1</f>
        <v>1</v>
      </c>
      <c r="AG502" s="126">
        <f>1</f>
        <v>1</v>
      </c>
      <c r="AH502" s="22"/>
    </row>
    <row r="503" spans="1:34" x14ac:dyDescent="0.25">
      <c r="A503" s="112"/>
      <c r="B503" s="136" t="s">
        <v>123</v>
      </c>
      <c r="C503" s="67" t="s">
        <v>59</v>
      </c>
      <c r="D503" s="125">
        <f>1</f>
        <v>1</v>
      </c>
      <c r="E503" s="125">
        <f>1</f>
        <v>1</v>
      </c>
      <c r="F503" s="125">
        <f>1</f>
        <v>1</v>
      </c>
      <c r="G503" s="125">
        <f>1</f>
        <v>1</v>
      </c>
      <c r="H503" s="125">
        <f>1</f>
        <v>1</v>
      </c>
      <c r="I503" s="125">
        <f>1</f>
        <v>1</v>
      </c>
      <c r="J503" s="125">
        <f>1</f>
        <v>1</v>
      </c>
      <c r="K503" s="125">
        <f>1</f>
        <v>1</v>
      </c>
      <c r="L503" s="125">
        <f>1</f>
        <v>1</v>
      </c>
      <c r="M503" s="125">
        <f>1</f>
        <v>1</v>
      </c>
      <c r="N503" s="125">
        <f>1</f>
        <v>1</v>
      </c>
      <c r="O503" s="125">
        <f>1</f>
        <v>1</v>
      </c>
      <c r="P503" s="125">
        <f>1</f>
        <v>1</v>
      </c>
      <c r="Q503" s="125">
        <f>1</f>
        <v>1</v>
      </c>
      <c r="R503" s="125">
        <f>1</f>
        <v>1</v>
      </c>
      <c r="S503" s="125">
        <f>1</f>
        <v>1</v>
      </c>
      <c r="T503" s="125">
        <f>1</f>
        <v>1</v>
      </c>
      <c r="U503" s="125">
        <f>1</f>
        <v>1</v>
      </c>
      <c r="V503" s="125">
        <f>1</f>
        <v>1</v>
      </c>
      <c r="W503" s="125">
        <f>1</f>
        <v>1</v>
      </c>
      <c r="X503" s="125">
        <f>1</f>
        <v>1</v>
      </c>
      <c r="Y503" s="125">
        <f>1</f>
        <v>1</v>
      </c>
      <c r="Z503" s="125">
        <f>1</f>
        <v>1</v>
      </c>
      <c r="AA503" s="125">
        <f>1</f>
        <v>1</v>
      </c>
      <c r="AB503" s="125">
        <f>1</f>
        <v>1</v>
      </c>
      <c r="AC503" s="125">
        <f>1</f>
        <v>1</v>
      </c>
      <c r="AD503" s="125">
        <f>1</f>
        <v>1</v>
      </c>
      <c r="AE503" s="125">
        <f>1</f>
        <v>1</v>
      </c>
      <c r="AF503" s="125">
        <f>1</f>
        <v>1</v>
      </c>
      <c r="AG503" s="126">
        <f>1</f>
        <v>1</v>
      </c>
      <c r="AH503" s="22"/>
    </row>
    <row r="504" spans="1:34" x14ac:dyDescent="0.25">
      <c r="A504" s="112"/>
      <c r="B504" s="136" t="s">
        <v>124</v>
      </c>
      <c r="C504" s="67" t="s">
        <v>59</v>
      </c>
      <c r="D504" s="125">
        <f>1</f>
        <v>1</v>
      </c>
      <c r="E504" s="125">
        <f>1</f>
        <v>1</v>
      </c>
      <c r="F504" s="125">
        <f>1</f>
        <v>1</v>
      </c>
      <c r="G504" s="125">
        <f>1</f>
        <v>1</v>
      </c>
      <c r="H504" s="125">
        <f>1</f>
        <v>1</v>
      </c>
      <c r="I504" s="125">
        <f>1</f>
        <v>1</v>
      </c>
      <c r="J504" s="125">
        <f>1</f>
        <v>1</v>
      </c>
      <c r="K504" s="125">
        <f>1</f>
        <v>1</v>
      </c>
      <c r="L504" s="125">
        <f>1</f>
        <v>1</v>
      </c>
      <c r="M504" s="125">
        <f>1</f>
        <v>1</v>
      </c>
      <c r="N504" s="125">
        <f>1</f>
        <v>1</v>
      </c>
      <c r="O504" s="125">
        <f>1</f>
        <v>1</v>
      </c>
      <c r="P504" s="125">
        <f>1</f>
        <v>1</v>
      </c>
      <c r="Q504" s="125">
        <f>1</f>
        <v>1</v>
      </c>
      <c r="R504" s="125">
        <f>1</f>
        <v>1</v>
      </c>
      <c r="S504" s="125">
        <f>1</f>
        <v>1</v>
      </c>
      <c r="T504" s="125">
        <f>1</f>
        <v>1</v>
      </c>
      <c r="U504" s="125">
        <f>1</f>
        <v>1</v>
      </c>
      <c r="V504" s="125">
        <f>1</f>
        <v>1</v>
      </c>
      <c r="W504" s="125">
        <f>1</f>
        <v>1</v>
      </c>
      <c r="X504" s="125">
        <f>1</f>
        <v>1</v>
      </c>
      <c r="Y504" s="125">
        <f>1</f>
        <v>1</v>
      </c>
      <c r="Z504" s="125">
        <f>1</f>
        <v>1</v>
      </c>
      <c r="AA504" s="125">
        <f>1</f>
        <v>1</v>
      </c>
      <c r="AB504" s="125">
        <f>1</f>
        <v>1</v>
      </c>
      <c r="AC504" s="125">
        <f>1</f>
        <v>1</v>
      </c>
      <c r="AD504" s="125">
        <f>1</f>
        <v>1</v>
      </c>
      <c r="AE504" s="125">
        <f>1</f>
        <v>1</v>
      </c>
      <c r="AF504" s="125">
        <f>1</f>
        <v>1</v>
      </c>
      <c r="AG504" s="126">
        <f>1</f>
        <v>1</v>
      </c>
      <c r="AH504" s="22"/>
    </row>
    <row r="505" spans="1:34" x14ac:dyDescent="0.25">
      <c r="A505" s="112"/>
      <c r="B505" s="136" t="s">
        <v>125</v>
      </c>
      <c r="C505" s="67" t="s">
        <v>59</v>
      </c>
      <c r="D505" s="125">
        <f>1</f>
        <v>1</v>
      </c>
      <c r="E505" s="125">
        <f>1</f>
        <v>1</v>
      </c>
      <c r="F505" s="125">
        <f>1</f>
        <v>1</v>
      </c>
      <c r="G505" s="125">
        <f>1</f>
        <v>1</v>
      </c>
      <c r="H505" s="125">
        <f>1</f>
        <v>1</v>
      </c>
      <c r="I505" s="125">
        <f>1</f>
        <v>1</v>
      </c>
      <c r="J505" s="125">
        <f>1</f>
        <v>1</v>
      </c>
      <c r="K505" s="125">
        <f>1</f>
        <v>1</v>
      </c>
      <c r="L505" s="125">
        <f>1</f>
        <v>1</v>
      </c>
      <c r="M505" s="125">
        <f>1</f>
        <v>1</v>
      </c>
      <c r="N505" s="125">
        <f>1</f>
        <v>1</v>
      </c>
      <c r="O505" s="125">
        <f>1</f>
        <v>1</v>
      </c>
      <c r="P505" s="125">
        <f>1</f>
        <v>1</v>
      </c>
      <c r="Q505" s="125">
        <f>1</f>
        <v>1</v>
      </c>
      <c r="R505" s="125">
        <f>1</f>
        <v>1</v>
      </c>
      <c r="S505" s="125">
        <f>1</f>
        <v>1</v>
      </c>
      <c r="T505" s="125">
        <f>1</f>
        <v>1</v>
      </c>
      <c r="U505" s="125">
        <f>1</f>
        <v>1</v>
      </c>
      <c r="V505" s="125">
        <f>1</f>
        <v>1</v>
      </c>
      <c r="W505" s="125">
        <f>1</f>
        <v>1</v>
      </c>
      <c r="X505" s="125">
        <f>1</f>
        <v>1</v>
      </c>
      <c r="Y505" s="125">
        <f>1</f>
        <v>1</v>
      </c>
      <c r="Z505" s="125">
        <f>1</f>
        <v>1</v>
      </c>
      <c r="AA505" s="125">
        <f>1</f>
        <v>1</v>
      </c>
      <c r="AB505" s="125">
        <f>1</f>
        <v>1</v>
      </c>
      <c r="AC505" s="125">
        <f>1</f>
        <v>1</v>
      </c>
      <c r="AD505" s="125">
        <f>1</f>
        <v>1</v>
      </c>
      <c r="AE505" s="125">
        <f>1</f>
        <v>1</v>
      </c>
      <c r="AF505" s="125">
        <f>1</f>
        <v>1</v>
      </c>
      <c r="AG505" s="126">
        <f>1</f>
        <v>1</v>
      </c>
      <c r="AH505" s="22"/>
    </row>
    <row r="506" spans="1:34" x14ac:dyDescent="0.25">
      <c r="A506" s="112"/>
      <c r="B506" s="136" t="s">
        <v>126</v>
      </c>
      <c r="C506" s="67" t="s">
        <v>59</v>
      </c>
      <c r="D506" s="125">
        <f>1</f>
        <v>1</v>
      </c>
      <c r="E506" s="125">
        <f>1</f>
        <v>1</v>
      </c>
      <c r="F506" s="125">
        <f>1</f>
        <v>1</v>
      </c>
      <c r="G506" s="125">
        <f>1</f>
        <v>1</v>
      </c>
      <c r="H506" s="125">
        <f>1</f>
        <v>1</v>
      </c>
      <c r="I506" s="125">
        <f>1</f>
        <v>1</v>
      </c>
      <c r="J506" s="125">
        <f>1</f>
        <v>1</v>
      </c>
      <c r="K506" s="125">
        <f>1</f>
        <v>1</v>
      </c>
      <c r="L506" s="125">
        <f>1</f>
        <v>1</v>
      </c>
      <c r="M506" s="125">
        <f>1</f>
        <v>1</v>
      </c>
      <c r="N506" s="125">
        <f>1</f>
        <v>1</v>
      </c>
      <c r="O506" s="125">
        <f>1</f>
        <v>1</v>
      </c>
      <c r="P506" s="125">
        <f>1</f>
        <v>1</v>
      </c>
      <c r="Q506" s="125">
        <f>1</f>
        <v>1</v>
      </c>
      <c r="R506" s="125">
        <f>1</f>
        <v>1</v>
      </c>
      <c r="S506" s="125">
        <f>1</f>
        <v>1</v>
      </c>
      <c r="T506" s="125">
        <f>1</f>
        <v>1</v>
      </c>
      <c r="U506" s="125">
        <f>1</f>
        <v>1</v>
      </c>
      <c r="V506" s="125">
        <f>1</f>
        <v>1</v>
      </c>
      <c r="W506" s="125">
        <f>1</f>
        <v>1</v>
      </c>
      <c r="X506" s="125">
        <f>1</f>
        <v>1</v>
      </c>
      <c r="Y506" s="125">
        <f>1</f>
        <v>1</v>
      </c>
      <c r="Z506" s="125">
        <f>1</f>
        <v>1</v>
      </c>
      <c r="AA506" s="125">
        <f>1</f>
        <v>1</v>
      </c>
      <c r="AB506" s="125">
        <f>1</f>
        <v>1</v>
      </c>
      <c r="AC506" s="125">
        <f>1</f>
        <v>1</v>
      </c>
      <c r="AD506" s="125">
        <f>1</f>
        <v>1</v>
      </c>
      <c r="AE506" s="125">
        <f>1</f>
        <v>1</v>
      </c>
      <c r="AF506" s="125">
        <f>1</f>
        <v>1</v>
      </c>
      <c r="AG506" s="126">
        <f>1</f>
        <v>1</v>
      </c>
      <c r="AH506" s="22"/>
    </row>
    <row r="507" spans="1:34" x14ac:dyDescent="0.25">
      <c r="A507" s="112"/>
      <c r="B507" s="136" t="s">
        <v>127</v>
      </c>
      <c r="C507" s="67" t="s">
        <v>59</v>
      </c>
      <c r="D507" s="125">
        <f>1</f>
        <v>1</v>
      </c>
      <c r="E507" s="125">
        <f>1</f>
        <v>1</v>
      </c>
      <c r="F507" s="125">
        <f>1</f>
        <v>1</v>
      </c>
      <c r="G507" s="125">
        <f>1</f>
        <v>1</v>
      </c>
      <c r="H507" s="125">
        <f>1</f>
        <v>1</v>
      </c>
      <c r="I507" s="125">
        <f>1</f>
        <v>1</v>
      </c>
      <c r="J507" s="125">
        <f>1</f>
        <v>1</v>
      </c>
      <c r="K507" s="125">
        <f>1</f>
        <v>1</v>
      </c>
      <c r="L507" s="125">
        <f>1</f>
        <v>1</v>
      </c>
      <c r="M507" s="125">
        <f>1</f>
        <v>1</v>
      </c>
      <c r="N507" s="125">
        <f>1</f>
        <v>1</v>
      </c>
      <c r="O507" s="125">
        <f>1</f>
        <v>1</v>
      </c>
      <c r="P507" s="125">
        <f>1</f>
        <v>1</v>
      </c>
      <c r="Q507" s="125">
        <f>1</f>
        <v>1</v>
      </c>
      <c r="R507" s="125">
        <f>1</f>
        <v>1</v>
      </c>
      <c r="S507" s="125">
        <f>1</f>
        <v>1</v>
      </c>
      <c r="T507" s="125">
        <f>1</f>
        <v>1</v>
      </c>
      <c r="U507" s="125">
        <f>1</f>
        <v>1</v>
      </c>
      <c r="V507" s="125">
        <f>1</f>
        <v>1</v>
      </c>
      <c r="W507" s="125">
        <f>1</f>
        <v>1</v>
      </c>
      <c r="X507" s="125">
        <f>1</f>
        <v>1</v>
      </c>
      <c r="Y507" s="125">
        <f>1</f>
        <v>1</v>
      </c>
      <c r="Z507" s="125">
        <f>1</f>
        <v>1</v>
      </c>
      <c r="AA507" s="125">
        <f>1</f>
        <v>1</v>
      </c>
      <c r="AB507" s="125">
        <f>1</f>
        <v>1</v>
      </c>
      <c r="AC507" s="125">
        <f>1</f>
        <v>1</v>
      </c>
      <c r="AD507" s="125">
        <f>1</f>
        <v>1</v>
      </c>
      <c r="AE507" s="125">
        <f>1</f>
        <v>1</v>
      </c>
      <c r="AF507" s="125">
        <f>1</f>
        <v>1</v>
      </c>
      <c r="AG507" s="126">
        <f>1</f>
        <v>1</v>
      </c>
      <c r="AH507" s="22"/>
    </row>
    <row r="508" spans="1:34" x14ac:dyDescent="0.25">
      <c r="A508" s="112"/>
      <c r="B508" s="136" t="s">
        <v>128</v>
      </c>
      <c r="C508" s="67" t="s">
        <v>59</v>
      </c>
      <c r="D508" s="125">
        <f>1</f>
        <v>1</v>
      </c>
      <c r="E508" s="125">
        <f>1</f>
        <v>1</v>
      </c>
      <c r="F508" s="125">
        <f>1</f>
        <v>1</v>
      </c>
      <c r="G508" s="125">
        <f>1</f>
        <v>1</v>
      </c>
      <c r="H508" s="125">
        <f>1</f>
        <v>1</v>
      </c>
      <c r="I508" s="125">
        <f>1</f>
        <v>1</v>
      </c>
      <c r="J508" s="125">
        <f>1</f>
        <v>1</v>
      </c>
      <c r="K508" s="125">
        <f>1</f>
        <v>1</v>
      </c>
      <c r="L508" s="125">
        <f>1</f>
        <v>1</v>
      </c>
      <c r="M508" s="125">
        <f>1</f>
        <v>1</v>
      </c>
      <c r="N508" s="125">
        <f>1</f>
        <v>1</v>
      </c>
      <c r="O508" s="125">
        <f>1</f>
        <v>1</v>
      </c>
      <c r="P508" s="125">
        <f>1</f>
        <v>1</v>
      </c>
      <c r="Q508" s="125">
        <f>1</f>
        <v>1</v>
      </c>
      <c r="R508" s="125">
        <f>1</f>
        <v>1</v>
      </c>
      <c r="S508" s="125">
        <f>1</f>
        <v>1</v>
      </c>
      <c r="T508" s="125">
        <f>1</f>
        <v>1</v>
      </c>
      <c r="U508" s="125">
        <f>1</f>
        <v>1</v>
      </c>
      <c r="V508" s="125">
        <f>1</f>
        <v>1</v>
      </c>
      <c r="W508" s="125">
        <f>1</f>
        <v>1</v>
      </c>
      <c r="X508" s="125">
        <f>1</f>
        <v>1</v>
      </c>
      <c r="Y508" s="125">
        <f>1</f>
        <v>1</v>
      </c>
      <c r="Z508" s="125">
        <f>1</f>
        <v>1</v>
      </c>
      <c r="AA508" s="125">
        <f>1</f>
        <v>1</v>
      </c>
      <c r="AB508" s="125">
        <f>1</f>
        <v>1</v>
      </c>
      <c r="AC508" s="125">
        <f>1</f>
        <v>1</v>
      </c>
      <c r="AD508" s="125">
        <f>1</f>
        <v>1</v>
      </c>
      <c r="AE508" s="125">
        <f>1</f>
        <v>1</v>
      </c>
      <c r="AF508" s="125">
        <f>1</f>
        <v>1</v>
      </c>
      <c r="AG508" s="126">
        <f>1</f>
        <v>1</v>
      </c>
      <c r="AH508" s="22"/>
    </row>
    <row r="509" spans="1:34" x14ac:dyDescent="0.25">
      <c r="A509" s="112"/>
      <c r="B509" s="136" t="s">
        <v>129</v>
      </c>
      <c r="C509" s="67" t="s">
        <v>59</v>
      </c>
      <c r="D509" s="125">
        <f>1</f>
        <v>1</v>
      </c>
      <c r="E509" s="125">
        <f>1</f>
        <v>1</v>
      </c>
      <c r="F509" s="125">
        <f>1</f>
        <v>1</v>
      </c>
      <c r="G509" s="125">
        <f>1</f>
        <v>1</v>
      </c>
      <c r="H509" s="125">
        <f>1</f>
        <v>1</v>
      </c>
      <c r="I509" s="125">
        <f>1</f>
        <v>1</v>
      </c>
      <c r="J509" s="125">
        <f>1</f>
        <v>1</v>
      </c>
      <c r="K509" s="125">
        <f>1</f>
        <v>1</v>
      </c>
      <c r="L509" s="125">
        <f>1</f>
        <v>1</v>
      </c>
      <c r="M509" s="125">
        <f>1</f>
        <v>1</v>
      </c>
      <c r="N509" s="125">
        <f>1</f>
        <v>1</v>
      </c>
      <c r="O509" s="125">
        <f>1</f>
        <v>1</v>
      </c>
      <c r="P509" s="125">
        <f>1</f>
        <v>1</v>
      </c>
      <c r="Q509" s="125">
        <f>1</f>
        <v>1</v>
      </c>
      <c r="R509" s="125">
        <f>1</f>
        <v>1</v>
      </c>
      <c r="S509" s="125">
        <f>1</f>
        <v>1</v>
      </c>
      <c r="T509" s="125">
        <f>1</f>
        <v>1</v>
      </c>
      <c r="U509" s="125">
        <f>1</f>
        <v>1</v>
      </c>
      <c r="V509" s="125">
        <f>1</f>
        <v>1</v>
      </c>
      <c r="W509" s="125">
        <f>1</f>
        <v>1</v>
      </c>
      <c r="X509" s="125">
        <f>1</f>
        <v>1</v>
      </c>
      <c r="Y509" s="125">
        <f>1</f>
        <v>1</v>
      </c>
      <c r="Z509" s="125">
        <f>1</f>
        <v>1</v>
      </c>
      <c r="AA509" s="125">
        <f>1</f>
        <v>1</v>
      </c>
      <c r="AB509" s="125">
        <f>1</f>
        <v>1</v>
      </c>
      <c r="AC509" s="125">
        <f>1</f>
        <v>1</v>
      </c>
      <c r="AD509" s="125">
        <f>1</f>
        <v>1</v>
      </c>
      <c r="AE509" s="125">
        <f>1</f>
        <v>1</v>
      </c>
      <c r="AF509" s="125">
        <f>1</f>
        <v>1</v>
      </c>
      <c r="AG509" s="126">
        <f>1</f>
        <v>1</v>
      </c>
      <c r="AH509" s="22"/>
    </row>
    <row r="510" spans="1:34" x14ac:dyDescent="0.25">
      <c r="A510" s="112"/>
      <c r="B510" s="136" t="s">
        <v>130</v>
      </c>
      <c r="C510" s="67" t="s">
        <v>59</v>
      </c>
      <c r="D510" s="125">
        <f>1</f>
        <v>1</v>
      </c>
      <c r="E510" s="125">
        <f>1</f>
        <v>1</v>
      </c>
      <c r="F510" s="125">
        <f>1</f>
        <v>1</v>
      </c>
      <c r="G510" s="125">
        <f>1</f>
        <v>1</v>
      </c>
      <c r="H510" s="125">
        <f>1</f>
        <v>1</v>
      </c>
      <c r="I510" s="125">
        <f>1</f>
        <v>1</v>
      </c>
      <c r="J510" s="125">
        <f>1</f>
        <v>1</v>
      </c>
      <c r="K510" s="125">
        <f>1</f>
        <v>1</v>
      </c>
      <c r="L510" s="125">
        <f>1</f>
        <v>1</v>
      </c>
      <c r="M510" s="125">
        <f>1</f>
        <v>1</v>
      </c>
      <c r="N510" s="125">
        <f>1</f>
        <v>1</v>
      </c>
      <c r="O510" s="125">
        <f>1</f>
        <v>1</v>
      </c>
      <c r="P510" s="125">
        <f>1</f>
        <v>1</v>
      </c>
      <c r="Q510" s="125">
        <f>1</f>
        <v>1</v>
      </c>
      <c r="R510" s="125">
        <f>1</f>
        <v>1</v>
      </c>
      <c r="S510" s="125">
        <f>1</f>
        <v>1</v>
      </c>
      <c r="T510" s="125">
        <f>1</f>
        <v>1</v>
      </c>
      <c r="U510" s="125">
        <f>1</f>
        <v>1</v>
      </c>
      <c r="V510" s="125">
        <f>1</f>
        <v>1</v>
      </c>
      <c r="W510" s="125">
        <f>1</f>
        <v>1</v>
      </c>
      <c r="X510" s="125">
        <f>1</f>
        <v>1</v>
      </c>
      <c r="Y510" s="125">
        <f>1</f>
        <v>1</v>
      </c>
      <c r="Z510" s="125">
        <f>1</f>
        <v>1</v>
      </c>
      <c r="AA510" s="125">
        <f>1</f>
        <v>1</v>
      </c>
      <c r="AB510" s="125">
        <f>1</f>
        <v>1</v>
      </c>
      <c r="AC510" s="125">
        <f>1</f>
        <v>1</v>
      </c>
      <c r="AD510" s="125">
        <f>1</f>
        <v>1</v>
      </c>
      <c r="AE510" s="125">
        <f>1</f>
        <v>1</v>
      </c>
      <c r="AF510" s="125">
        <f>1</f>
        <v>1</v>
      </c>
      <c r="AG510" s="126">
        <f>1</f>
        <v>1</v>
      </c>
      <c r="AH510" s="22"/>
    </row>
    <row r="511" spans="1:34" x14ac:dyDescent="0.25">
      <c r="A511" s="112"/>
      <c r="B511" s="136" t="s">
        <v>131</v>
      </c>
      <c r="C511" s="67" t="s">
        <v>59</v>
      </c>
      <c r="D511" s="125">
        <f>1</f>
        <v>1</v>
      </c>
      <c r="E511" s="125">
        <f>1</f>
        <v>1</v>
      </c>
      <c r="F511" s="125">
        <f>1</f>
        <v>1</v>
      </c>
      <c r="G511" s="125">
        <f>1</f>
        <v>1</v>
      </c>
      <c r="H511" s="125">
        <f>1</f>
        <v>1</v>
      </c>
      <c r="I511" s="125">
        <f>1</f>
        <v>1</v>
      </c>
      <c r="J511" s="125">
        <f>1</f>
        <v>1</v>
      </c>
      <c r="K511" s="125">
        <f>1</f>
        <v>1</v>
      </c>
      <c r="L511" s="125">
        <f>1</f>
        <v>1</v>
      </c>
      <c r="M511" s="125">
        <f>1</f>
        <v>1</v>
      </c>
      <c r="N511" s="125">
        <f>1</f>
        <v>1</v>
      </c>
      <c r="O511" s="125">
        <f>1</f>
        <v>1</v>
      </c>
      <c r="P511" s="125">
        <f>1</f>
        <v>1</v>
      </c>
      <c r="Q511" s="125">
        <f>1</f>
        <v>1</v>
      </c>
      <c r="R511" s="125">
        <f>1</f>
        <v>1</v>
      </c>
      <c r="S511" s="125">
        <f>1</f>
        <v>1</v>
      </c>
      <c r="T511" s="125">
        <f>1</f>
        <v>1</v>
      </c>
      <c r="U511" s="125">
        <f>1</f>
        <v>1</v>
      </c>
      <c r="V511" s="125">
        <f>1</f>
        <v>1</v>
      </c>
      <c r="W511" s="125">
        <f>1</f>
        <v>1</v>
      </c>
      <c r="X511" s="125">
        <f>1</f>
        <v>1</v>
      </c>
      <c r="Y511" s="125">
        <f>1</f>
        <v>1</v>
      </c>
      <c r="Z511" s="125">
        <f>1</f>
        <v>1</v>
      </c>
      <c r="AA511" s="125">
        <f>1</f>
        <v>1</v>
      </c>
      <c r="AB511" s="125">
        <f>1</f>
        <v>1</v>
      </c>
      <c r="AC511" s="125">
        <f>1</f>
        <v>1</v>
      </c>
      <c r="AD511" s="125">
        <f>1</f>
        <v>1</v>
      </c>
      <c r="AE511" s="125">
        <f>1</f>
        <v>1</v>
      </c>
      <c r="AF511" s="125">
        <f>1</f>
        <v>1</v>
      </c>
      <c r="AG511" s="126">
        <f>1</f>
        <v>1</v>
      </c>
      <c r="AH511" s="22"/>
    </row>
    <row r="512" spans="1:34" x14ac:dyDescent="0.25">
      <c r="A512" s="112"/>
      <c r="B512" s="136" t="s">
        <v>132</v>
      </c>
      <c r="C512" s="67" t="s">
        <v>59</v>
      </c>
      <c r="D512" s="125">
        <f>1</f>
        <v>1</v>
      </c>
      <c r="E512" s="125">
        <f>1</f>
        <v>1</v>
      </c>
      <c r="F512" s="125">
        <f>1</f>
        <v>1</v>
      </c>
      <c r="G512" s="125">
        <f>1</f>
        <v>1</v>
      </c>
      <c r="H512" s="125">
        <f>1</f>
        <v>1</v>
      </c>
      <c r="I512" s="125">
        <f>1</f>
        <v>1</v>
      </c>
      <c r="J512" s="125">
        <f>1</f>
        <v>1</v>
      </c>
      <c r="K512" s="125">
        <f>1</f>
        <v>1</v>
      </c>
      <c r="L512" s="125">
        <f>1</f>
        <v>1</v>
      </c>
      <c r="M512" s="125">
        <f>1</f>
        <v>1</v>
      </c>
      <c r="N512" s="125">
        <f>1</f>
        <v>1</v>
      </c>
      <c r="O512" s="125">
        <f>1</f>
        <v>1</v>
      </c>
      <c r="P512" s="125">
        <f>1</f>
        <v>1</v>
      </c>
      <c r="Q512" s="125">
        <f>1</f>
        <v>1</v>
      </c>
      <c r="R512" s="125">
        <f>1</f>
        <v>1</v>
      </c>
      <c r="S512" s="125">
        <f>1</f>
        <v>1</v>
      </c>
      <c r="T512" s="125">
        <f>1</f>
        <v>1</v>
      </c>
      <c r="U512" s="125">
        <f>1</f>
        <v>1</v>
      </c>
      <c r="V512" s="125">
        <f>1</f>
        <v>1</v>
      </c>
      <c r="W512" s="125">
        <f>1</f>
        <v>1</v>
      </c>
      <c r="X512" s="125">
        <f>1</f>
        <v>1</v>
      </c>
      <c r="Y512" s="125">
        <f>1</f>
        <v>1</v>
      </c>
      <c r="Z512" s="125">
        <f>1</f>
        <v>1</v>
      </c>
      <c r="AA512" s="125">
        <f>1</f>
        <v>1</v>
      </c>
      <c r="AB512" s="125">
        <f>1</f>
        <v>1</v>
      </c>
      <c r="AC512" s="125">
        <f>1</f>
        <v>1</v>
      </c>
      <c r="AD512" s="125">
        <f>1</f>
        <v>1</v>
      </c>
      <c r="AE512" s="125">
        <f>1</f>
        <v>1</v>
      </c>
      <c r="AF512" s="125">
        <f>1</f>
        <v>1</v>
      </c>
      <c r="AG512" s="126">
        <f>1</f>
        <v>1</v>
      </c>
      <c r="AH512" s="22"/>
    </row>
    <row r="513" spans="1:34" x14ac:dyDescent="0.25">
      <c r="A513" s="112"/>
      <c r="B513" s="136" t="s">
        <v>133</v>
      </c>
      <c r="C513" s="67" t="s">
        <v>59</v>
      </c>
      <c r="D513" s="125">
        <f>1</f>
        <v>1</v>
      </c>
      <c r="E513" s="125">
        <f>1</f>
        <v>1</v>
      </c>
      <c r="F513" s="125">
        <f>1</f>
        <v>1</v>
      </c>
      <c r="G513" s="125">
        <f>1</f>
        <v>1</v>
      </c>
      <c r="H513" s="125">
        <f>1</f>
        <v>1</v>
      </c>
      <c r="I513" s="125">
        <f>1</f>
        <v>1</v>
      </c>
      <c r="J513" s="125">
        <f>1</f>
        <v>1</v>
      </c>
      <c r="K513" s="125">
        <f>1</f>
        <v>1</v>
      </c>
      <c r="L513" s="125">
        <f>1</f>
        <v>1</v>
      </c>
      <c r="M513" s="125">
        <f>1</f>
        <v>1</v>
      </c>
      <c r="N513" s="125">
        <f>1</f>
        <v>1</v>
      </c>
      <c r="O513" s="125">
        <f>1</f>
        <v>1</v>
      </c>
      <c r="P513" s="125">
        <f>1</f>
        <v>1</v>
      </c>
      <c r="Q513" s="125">
        <f>1</f>
        <v>1</v>
      </c>
      <c r="R513" s="125">
        <f>1</f>
        <v>1</v>
      </c>
      <c r="S513" s="125">
        <f>1</f>
        <v>1</v>
      </c>
      <c r="T513" s="125">
        <f>1</f>
        <v>1</v>
      </c>
      <c r="U513" s="125">
        <f>1</f>
        <v>1</v>
      </c>
      <c r="V513" s="125">
        <f>1</f>
        <v>1</v>
      </c>
      <c r="W513" s="125">
        <f>1</f>
        <v>1</v>
      </c>
      <c r="X513" s="125">
        <f>1</f>
        <v>1</v>
      </c>
      <c r="Y513" s="125">
        <f>1</f>
        <v>1</v>
      </c>
      <c r="Z513" s="125">
        <f>1</f>
        <v>1</v>
      </c>
      <c r="AA513" s="125">
        <f>1</f>
        <v>1</v>
      </c>
      <c r="AB513" s="125">
        <f>1</f>
        <v>1</v>
      </c>
      <c r="AC513" s="125">
        <f>1</f>
        <v>1</v>
      </c>
      <c r="AD513" s="125">
        <f>1</f>
        <v>1</v>
      </c>
      <c r="AE513" s="125">
        <f>1</f>
        <v>1</v>
      </c>
      <c r="AF513" s="125">
        <f>1</f>
        <v>1</v>
      </c>
      <c r="AG513" s="126">
        <f>1</f>
        <v>1</v>
      </c>
      <c r="AH513" s="22"/>
    </row>
    <row r="514" spans="1:34" x14ac:dyDescent="0.25">
      <c r="A514" s="112"/>
      <c r="B514" s="136" t="s">
        <v>134</v>
      </c>
      <c r="C514" s="67" t="s">
        <v>59</v>
      </c>
      <c r="D514" s="125">
        <f>1</f>
        <v>1</v>
      </c>
      <c r="E514" s="125">
        <f>1</f>
        <v>1</v>
      </c>
      <c r="F514" s="125">
        <f>1</f>
        <v>1</v>
      </c>
      <c r="G514" s="125">
        <f>1</f>
        <v>1</v>
      </c>
      <c r="H514" s="125">
        <f>1</f>
        <v>1</v>
      </c>
      <c r="I514" s="125">
        <f>1</f>
        <v>1</v>
      </c>
      <c r="J514" s="125">
        <f>1</f>
        <v>1</v>
      </c>
      <c r="K514" s="125">
        <f>1</f>
        <v>1</v>
      </c>
      <c r="L514" s="125">
        <f>1</f>
        <v>1</v>
      </c>
      <c r="M514" s="125">
        <f>1</f>
        <v>1</v>
      </c>
      <c r="N514" s="125">
        <f>1</f>
        <v>1</v>
      </c>
      <c r="O514" s="125">
        <f>1</f>
        <v>1</v>
      </c>
      <c r="P514" s="125">
        <f>1</f>
        <v>1</v>
      </c>
      <c r="Q514" s="125">
        <f>1</f>
        <v>1</v>
      </c>
      <c r="R514" s="125">
        <f>1</f>
        <v>1</v>
      </c>
      <c r="S514" s="125">
        <f>1</f>
        <v>1</v>
      </c>
      <c r="T514" s="125">
        <f>1</f>
        <v>1</v>
      </c>
      <c r="U514" s="125">
        <f>1</f>
        <v>1</v>
      </c>
      <c r="V514" s="125">
        <f>1</f>
        <v>1</v>
      </c>
      <c r="W514" s="125">
        <f>1</f>
        <v>1</v>
      </c>
      <c r="X514" s="125">
        <f>1</f>
        <v>1</v>
      </c>
      <c r="Y514" s="125">
        <f>1</f>
        <v>1</v>
      </c>
      <c r="Z514" s="125">
        <f>1</f>
        <v>1</v>
      </c>
      <c r="AA514" s="125">
        <f>1</f>
        <v>1</v>
      </c>
      <c r="AB514" s="125">
        <f>1</f>
        <v>1</v>
      </c>
      <c r="AC514" s="125">
        <f>1</f>
        <v>1</v>
      </c>
      <c r="AD514" s="125">
        <f>1</f>
        <v>1</v>
      </c>
      <c r="AE514" s="125">
        <f>1</f>
        <v>1</v>
      </c>
      <c r="AF514" s="125">
        <f>1</f>
        <v>1</v>
      </c>
      <c r="AG514" s="126">
        <f>1</f>
        <v>1</v>
      </c>
      <c r="AH514" s="22"/>
    </row>
    <row r="515" spans="1:34" x14ac:dyDescent="0.25">
      <c r="A515" s="112"/>
      <c r="B515" s="136" t="s">
        <v>135</v>
      </c>
      <c r="C515" s="67" t="s">
        <v>59</v>
      </c>
      <c r="D515" s="125">
        <f>1</f>
        <v>1</v>
      </c>
      <c r="E515" s="125">
        <f>1</f>
        <v>1</v>
      </c>
      <c r="F515" s="125">
        <f>1</f>
        <v>1</v>
      </c>
      <c r="G515" s="125">
        <f>1</f>
        <v>1</v>
      </c>
      <c r="H515" s="125">
        <f>1</f>
        <v>1</v>
      </c>
      <c r="I515" s="125">
        <f>1</f>
        <v>1</v>
      </c>
      <c r="J515" s="125">
        <f>1</f>
        <v>1</v>
      </c>
      <c r="K515" s="125">
        <f>1</f>
        <v>1</v>
      </c>
      <c r="L515" s="125">
        <f>1</f>
        <v>1</v>
      </c>
      <c r="M515" s="125">
        <f>1</f>
        <v>1</v>
      </c>
      <c r="N515" s="125">
        <f>1</f>
        <v>1</v>
      </c>
      <c r="O515" s="125">
        <f>1</f>
        <v>1</v>
      </c>
      <c r="P515" s="125">
        <f>1</f>
        <v>1</v>
      </c>
      <c r="Q515" s="125">
        <f>1</f>
        <v>1</v>
      </c>
      <c r="R515" s="125">
        <f>1</f>
        <v>1</v>
      </c>
      <c r="S515" s="125">
        <f>1</f>
        <v>1</v>
      </c>
      <c r="T515" s="125">
        <f>1</f>
        <v>1</v>
      </c>
      <c r="U515" s="125">
        <f>1</f>
        <v>1</v>
      </c>
      <c r="V515" s="125">
        <f>1</f>
        <v>1</v>
      </c>
      <c r="W515" s="125">
        <f>1</f>
        <v>1</v>
      </c>
      <c r="X515" s="125">
        <f>1</f>
        <v>1</v>
      </c>
      <c r="Y515" s="125">
        <f>1</f>
        <v>1</v>
      </c>
      <c r="Z515" s="125">
        <f>1</f>
        <v>1</v>
      </c>
      <c r="AA515" s="125">
        <f>1</f>
        <v>1</v>
      </c>
      <c r="AB515" s="125">
        <f>1</f>
        <v>1</v>
      </c>
      <c r="AC515" s="125">
        <f>1</f>
        <v>1</v>
      </c>
      <c r="AD515" s="125">
        <f>1</f>
        <v>1</v>
      </c>
      <c r="AE515" s="125">
        <f>1</f>
        <v>1</v>
      </c>
      <c r="AF515" s="125">
        <f>1</f>
        <v>1</v>
      </c>
      <c r="AG515" s="126">
        <f>1</f>
        <v>1</v>
      </c>
      <c r="AH515" s="22"/>
    </row>
    <row r="516" spans="1:34" x14ac:dyDescent="0.25">
      <c r="A516" s="112"/>
      <c r="B516" s="136" t="s">
        <v>136</v>
      </c>
      <c r="C516" s="67" t="s">
        <v>59</v>
      </c>
      <c r="D516" s="125">
        <f>1</f>
        <v>1</v>
      </c>
      <c r="E516" s="125">
        <f>1</f>
        <v>1</v>
      </c>
      <c r="F516" s="125">
        <f>1</f>
        <v>1</v>
      </c>
      <c r="G516" s="125">
        <f>1</f>
        <v>1</v>
      </c>
      <c r="H516" s="125">
        <f>1</f>
        <v>1</v>
      </c>
      <c r="I516" s="125">
        <f>1</f>
        <v>1</v>
      </c>
      <c r="J516" s="125">
        <f>1</f>
        <v>1</v>
      </c>
      <c r="K516" s="125">
        <f>1</f>
        <v>1</v>
      </c>
      <c r="L516" s="125">
        <f>1</f>
        <v>1</v>
      </c>
      <c r="M516" s="125">
        <f>1</f>
        <v>1</v>
      </c>
      <c r="N516" s="125">
        <f>1</f>
        <v>1</v>
      </c>
      <c r="O516" s="125">
        <f>1</f>
        <v>1</v>
      </c>
      <c r="P516" s="125">
        <f>1</f>
        <v>1</v>
      </c>
      <c r="Q516" s="125">
        <f>1</f>
        <v>1</v>
      </c>
      <c r="R516" s="125">
        <f>1</f>
        <v>1</v>
      </c>
      <c r="S516" s="125">
        <f>1</f>
        <v>1</v>
      </c>
      <c r="T516" s="125">
        <f>1</f>
        <v>1</v>
      </c>
      <c r="U516" s="125">
        <f>1</f>
        <v>1</v>
      </c>
      <c r="V516" s="125">
        <f>1</f>
        <v>1</v>
      </c>
      <c r="W516" s="125">
        <f>1</f>
        <v>1</v>
      </c>
      <c r="X516" s="125">
        <f>1</f>
        <v>1</v>
      </c>
      <c r="Y516" s="125">
        <f>1</f>
        <v>1</v>
      </c>
      <c r="Z516" s="125">
        <f>1</f>
        <v>1</v>
      </c>
      <c r="AA516" s="125">
        <f>1</f>
        <v>1</v>
      </c>
      <c r="AB516" s="125">
        <f>1</f>
        <v>1</v>
      </c>
      <c r="AC516" s="125">
        <f>1</f>
        <v>1</v>
      </c>
      <c r="AD516" s="125">
        <f>1</f>
        <v>1</v>
      </c>
      <c r="AE516" s="125">
        <f>1</f>
        <v>1</v>
      </c>
      <c r="AF516" s="125">
        <f>1</f>
        <v>1</v>
      </c>
      <c r="AG516" s="126">
        <f>1</f>
        <v>1</v>
      </c>
      <c r="AH516" s="22"/>
    </row>
    <row r="517" spans="1:34" x14ac:dyDescent="0.25">
      <c r="A517" s="112"/>
      <c r="B517" s="136" t="s">
        <v>137</v>
      </c>
      <c r="C517" s="67" t="s">
        <v>59</v>
      </c>
      <c r="D517" s="125">
        <f>1</f>
        <v>1</v>
      </c>
      <c r="E517" s="125">
        <f>1</f>
        <v>1</v>
      </c>
      <c r="F517" s="125">
        <f>1</f>
        <v>1</v>
      </c>
      <c r="G517" s="125">
        <f>1</f>
        <v>1</v>
      </c>
      <c r="H517" s="125">
        <f>1</f>
        <v>1</v>
      </c>
      <c r="I517" s="125">
        <f>1</f>
        <v>1</v>
      </c>
      <c r="J517" s="125">
        <f>1</f>
        <v>1</v>
      </c>
      <c r="K517" s="125">
        <f>1</f>
        <v>1</v>
      </c>
      <c r="L517" s="125">
        <f>1</f>
        <v>1</v>
      </c>
      <c r="M517" s="125">
        <f>1</f>
        <v>1</v>
      </c>
      <c r="N517" s="125">
        <f>1</f>
        <v>1</v>
      </c>
      <c r="O517" s="125">
        <f>1</f>
        <v>1</v>
      </c>
      <c r="P517" s="125">
        <f>1</f>
        <v>1</v>
      </c>
      <c r="Q517" s="125">
        <f>1</f>
        <v>1</v>
      </c>
      <c r="R517" s="125">
        <f>1</f>
        <v>1</v>
      </c>
      <c r="S517" s="125">
        <f>1</f>
        <v>1</v>
      </c>
      <c r="T517" s="125">
        <f>1</f>
        <v>1</v>
      </c>
      <c r="U517" s="125">
        <f>1</f>
        <v>1</v>
      </c>
      <c r="V517" s="125">
        <f>1</f>
        <v>1</v>
      </c>
      <c r="W517" s="125">
        <f>1</f>
        <v>1</v>
      </c>
      <c r="X517" s="125">
        <f>1</f>
        <v>1</v>
      </c>
      <c r="Y517" s="125">
        <f>1</f>
        <v>1</v>
      </c>
      <c r="Z517" s="125">
        <f>1</f>
        <v>1</v>
      </c>
      <c r="AA517" s="125">
        <f>1</f>
        <v>1</v>
      </c>
      <c r="AB517" s="125">
        <f>1</f>
        <v>1</v>
      </c>
      <c r="AC517" s="125">
        <f>1</f>
        <v>1</v>
      </c>
      <c r="AD517" s="125">
        <f>1</f>
        <v>1</v>
      </c>
      <c r="AE517" s="125">
        <f>1</f>
        <v>1</v>
      </c>
      <c r="AF517" s="125">
        <f>1</f>
        <v>1</v>
      </c>
      <c r="AG517" s="126">
        <f>1</f>
        <v>1</v>
      </c>
      <c r="AH517" s="22"/>
    </row>
    <row r="518" spans="1:34" x14ac:dyDescent="0.25">
      <c r="A518" s="112"/>
      <c r="B518" s="136" t="s">
        <v>138</v>
      </c>
      <c r="C518" s="67" t="s">
        <v>59</v>
      </c>
      <c r="D518" s="125">
        <f>1</f>
        <v>1</v>
      </c>
      <c r="E518" s="125">
        <f>1</f>
        <v>1</v>
      </c>
      <c r="F518" s="125">
        <f>1</f>
        <v>1</v>
      </c>
      <c r="G518" s="125">
        <f>1</f>
        <v>1</v>
      </c>
      <c r="H518" s="125">
        <f>1</f>
        <v>1</v>
      </c>
      <c r="I518" s="125">
        <f>1</f>
        <v>1</v>
      </c>
      <c r="J518" s="125">
        <f>1</f>
        <v>1</v>
      </c>
      <c r="K518" s="125">
        <f>1</f>
        <v>1</v>
      </c>
      <c r="L518" s="125">
        <f>1</f>
        <v>1</v>
      </c>
      <c r="M518" s="125">
        <f>1</f>
        <v>1</v>
      </c>
      <c r="N518" s="125">
        <f>1</f>
        <v>1</v>
      </c>
      <c r="O518" s="125">
        <f>1</f>
        <v>1</v>
      </c>
      <c r="P518" s="125">
        <f>1</f>
        <v>1</v>
      </c>
      <c r="Q518" s="125">
        <f>1</f>
        <v>1</v>
      </c>
      <c r="R518" s="125">
        <f>1</f>
        <v>1</v>
      </c>
      <c r="S518" s="125">
        <f>1</f>
        <v>1</v>
      </c>
      <c r="T518" s="125">
        <f>1</f>
        <v>1</v>
      </c>
      <c r="U518" s="125">
        <f>1</f>
        <v>1</v>
      </c>
      <c r="V518" s="125">
        <f>1</f>
        <v>1</v>
      </c>
      <c r="W518" s="125">
        <f>1</f>
        <v>1</v>
      </c>
      <c r="X518" s="125">
        <f>1</f>
        <v>1</v>
      </c>
      <c r="Y518" s="125">
        <f>1</f>
        <v>1</v>
      </c>
      <c r="Z518" s="125">
        <f>1</f>
        <v>1</v>
      </c>
      <c r="AA518" s="125">
        <f>1</f>
        <v>1</v>
      </c>
      <c r="AB518" s="125">
        <f>1</f>
        <v>1</v>
      </c>
      <c r="AC518" s="125">
        <f>1</f>
        <v>1</v>
      </c>
      <c r="AD518" s="125">
        <f>1</f>
        <v>1</v>
      </c>
      <c r="AE518" s="125">
        <f>1</f>
        <v>1</v>
      </c>
      <c r="AF518" s="125">
        <f>1</f>
        <v>1</v>
      </c>
      <c r="AG518" s="126">
        <f>1</f>
        <v>1</v>
      </c>
      <c r="AH518" s="22"/>
    </row>
    <row r="519" spans="1:34" x14ac:dyDescent="0.25">
      <c r="A519" s="112"/>
      <c r="B519" s="136" t="s">
        <v>139</v>
      </c>
      <c r="C519" s="67" t="s">
        <v>59</v>
      </c>
      <c r="D519" s="125">
        <f>1</f>
        <v>1</v>
      </c>
      <c r="E519" s="125">
        <f>1</f>
        <v>1</v>
      </c>
      <c r="F519" s="125">
        <f>1</f>
        <v>1</v>
      </c>
      <c r="G519" s="125">
        <f>1</f>
        <v>1</v>
      </c>
      <c r="H519" s="125">
        <f>1</f>
        <v>1</v>
      </c>
      <c r="I519" s="125">
        <f>1</f>
        <v>1</v>
      </c>
      <c r="J519" s="125">
        <f>1</f>
        <v>1</v>
      </c>
      <c r="K519" s="125">
        <f>1</f>
        <v>1</v>
      </c>
      <c r="L519" s="125">
        <f>1</f>
        <v>1</v>
      </c>
      <c r="M519" s="125">
        <f>1</f>
        <v>1</v>
      </c>
      <c r="N519" s="125">
        <f>1</f>
        <v>1</v>
      </c>
      <c r="O519" s="125">
        <f>1</f>
        <v>1</v>
      </c>
      <c r="P519" s="125">
        <f>1</f>
        <v>1</v>
      </c>
      <c r="Q519" s="125">
        <f>1</f>
        <v>1</v>
      </c>
      <c r="R519" s="125">
        <f>1</f>
        <v>1</v>
      </c>
      <c r="S519" s="125">
        <f>1</f>
        <v>1</v>
      </c>
      <c r="T519" s="125">
        <f>1</f>
        <v>1</v>
      </c>
      <c r="U519" s="125">
        <f>1</f>
        <v>1</v>
      </c>
      <c r="V519" s="125">
        <f>1</f>
        <v>1</v>
      </c>
      <c r="W519" s="125">
        <f>1</f>
        <v>1</v>
      </c>
      <c r="X519" s="125">
        <f>1</f>
        <v>1</v>
      </c>
      <c r="Y519" s="125">
        <f>1</f>
        <v>1</v>
      </c>
      <c r="Z519" s="125">
        <f>1</f>
        <v>1</v>
      </c>
      <c r="AA519" s="125">
        <f>1</f>
        <v>1</v>
      </c>
      <c r="AB519" s="125">
        <f>1</f>
        <v>1</v>
      </c>
      <c r="AC519" s="125">
        <f>1</f>
        <v>1</v>
      </c>
      <c r="AD519" s="125">
        <f>1</f>
        <v>1</v>
      </c>
      <c r="AE519" s="125">
        <f>1</f>
        <v>1</v>
      </c>
      <c r="AF519" s="125">
        <f>1</f>
        <v>1</v>
      </c>
      <c r="AG519" s="126">
        <f>1</f>
        <v>1</v>
      </c>
      <c r="AH519" s="22"/>
    </row>
    <row r="520" spans="1:34" x14ac:dyDescent="0.25">
      <c r="A520" s="112"/>
      <c r="B520" s="136" t="s">
        <v>140</v>
      </c>
      <c r="C520" s="67" t="s">
        <v>59</v>
      </c>
      <c r="D520" s="125">
        <f>1</f>
        <v>1</v>
      </c>
      <c r="E520" s="125">
        <f>1</f>
        <v>1</v>
      </c>
      <c r="F520" s="125">
        <f>1</f>
        <v>1</v>
      </c>
      <c r="G520" s="125">
        <f>1</f>
        <v>1</v>
      </c>
      <c r="H520" s="125">
        <f>1</f>
        <v>1</v>
      </c>
      <c r="I520" s="125">
        <f>1</f>
        <v>1</v>
      </c>
      <c r="J520" s="125">
        <f>1</f>
        <v>1</v>
      </c>
      <c r="K520" s="125">
        <f>1</f>
        <v>1</v>
      </c>
      <c r="L520" s="125">
        <f>1</f>
        <v>1</v>
      </c>
      <c r="M520" s="125">
        <f>1</f>
        <v>1</v>
      </c>
      <c r="N520" s="125">
        <f>1</f>
        <v>1</v>
      </c>
      <c r="O520" s="125">
        <f>1</f>
        <v>1</v>
      </c>
      <c r="P520" s="125">
        <f>1</f>
        <v>1</v>
      </c>
      <c r="Q520" s="125">
        <f>1</f>
        <v>1</v>
      </c>
      <c r="R520" s="125">
        <f>1</f>
        <v>1</v>
      </c>
      <c r="S520" s="125">
        <f>1</f>
        <v>1</v>
      </c>
      <c r="T520" s="125">
        <f>1</f>
        <v>1</v>
      </c>
      <c r="U520" s="125">
        <f>1</f>
        <v>1</v>
      </c>
      <c r="V520" s="125">
        <f>1</f>
        <v>1</v>
      </c>
      <c r="W520" s="125">
        <f>1</f>
        <v>1</v>
      </c>
      <c r="X520" s="125">
        <f>1</f>
        <v>1</v>
      </c>
      <c r="Y520" s="125">
        <f>1</f>
        <v>1</v>
      </c>
      <c r="Z520" s="125">
        <f>1</f>
        <v>1</v>
      </c>
      <c r="AA520" s="125">
        <f>1</f>
        <v>1</v>
      </c>
      <c r="AB520" s="125">
        <f>1</f>
        <v>1</v>
      </c>
      <c r="AC520" s="125">
        <f>1</f>
        <v>1</v>
      </c>
      <c r="AD520" s="125">
        <f>1</f>
        <v>1</v>
      </c>
      <c r="AE520" s="125">
        <f>1</f>
        <v>1</v>
      </c>
      <c r="AF520" s="125">
        <f>1</f>
        <v>1</v>
      </c>
      <c r="AG520" s="126">
        <f>1</f>
        <v>1</v>
      </c>
      <c r="AH520" s="22"/>
    </row>
    <row r="521" spans="1:34" x14ac:dyDescent="0.25">
      <c r="A521" s="112"/>
      <c r="B521" s="136" t="s">
        <v>141</v>
      </c>
      <c r="C521" s="67" t="s">
        <v>59</v>
      </c>
      <c r="D521" s="125">
        <f>1</f>
        <v>1</v>
      </c>
      <c r="E521" s="125">
        <f>1</f>
        <v>1</v>
      </c>
      <c r="F521" s="125">
        <f>1</f>
        <v>1</v>
      </c>
      <c r="G521" s="125">
        <f>1</f>
        <v>1</v>
      </c>
      <c r="H521" s="125">
        <f>1</f>
        <v>1</v>
      </c>
      <c r="I521" s="125">
        <f>1</f>
        <v>1</v>
      </c>
      <c r="J521" s="125">
        <f>1</f>
        <v>1</v>
      </c>
      <c r="K521" s="125">
        <f>1</f>
        <v>1</v>
      </c>
      <c r="L521" s="125">
        <f>1</f>
        <v>1</v>
      </c>
      <c r="M521" s="125">
        <f>1</f>
        <v>1</v>
      </c>
      <c r="N521" s="125">
        <f>1</f>
        <v>1</v>
      </c>
      <c r="O521" s="125">
        <f>1</f>
        <v>1</v>
      </c>
      <c r="P521" s="125">
        <f>1</f>
        <v>1</v>
      </c>
      <c r="Q521" s="125">
        <f>1</f>
        <v>1</v>
      </c>
      <c r="R521" s="125">
        <f>1</f>
        <v>1</v>
      </c>
      <c r="S521" s="125">
        <f>1</f>
        <v>1</v>
      </c>
      <c r="T521" s="125">
        <f>1</f>
        <v>1</v>
      </c>
      <c r="U521" s="125">
        <f>1</f>
        <v>1</v>
      </c>
      <c r="V521" s="125">
        <f>1</f>
        <v>1</v>
      </c>
      <c r="W521" s="125">
        <f>1</f>
        <v>1</v>
      </c>
      <c r="X521" s="125">
        <f>1</f>
        <v>1</v>
      </c>
      <c r="Y521" s="125">
        <f>1</f>
        <v>1</v>
      </c>
      <c r="Z521" s="125">
        <f>1</f>
        <v>1</v>
      </c>
      <c r="AA521" s="125">
        <f>1</f>
        <v>1</v>
      </c>
      <c r="AB521" s="125">
        <f>1</f>
        <v>1</v>
      </c>
      <c r="AC521" s="125">
        <f>1</f>
        <v>1</v>
      </c>
      <c r="AD521" s="125">
        <f>1</f>
        <v>1</v>
      </c>
      <c r="AE521" s="125">
        <f>1</f>
        <v>1</v>
      </c>
      <c r="AF521" s="125">
        <f>1</f>
        <v>1</v>
      </c>
      <c r="AG521" s="126">
        <f>1</f>
        <v>1</v>
      </c>
      <c r="AH521" s="22"/>
    </row>
    <row r="522" spans="1:34" x14ac:dyDescent="0.25">
      <c r="A522" s="112"/>
      <c r="B522" s="136" t="s">
        <v>142</v>
      </c>
      <c r="C522" s="67" t="s">
        <v>59</v>
      </c>
      <c r="D522" s="125">
        <f>1</f>
        <v>1</v>
      </c>
      <c r="E522" s="125">
        <f>1</f>
        <v>1</v>
      </c>
      <c r="F522" s="125">
        <f>1</f>
        <v>1</v>
      </c>
      <c r="G522" s="125">
        <f>1</f>
        <v>1</v>
      </c>
      <c r="H522" s="125">
        <f>1</f>
        <v>1</v>
      </c>
      <c r="I522" s="125">
        <f>1</f>
        <v>1</v>
      </c>
      <c r="J522" s="125">
        <f>1</f>
        <v>1</v>
      </c>
      <c r="K522" s="125">
        <f>1</f>
        <v>1</v>
      </c>
      <c r="L522" s="125">
        <f>1</f>
        <v>1</v>
      </c>
      <c r="M522" s="125">
        <f>1</f>
        <v>1</v>
      </c>
      <c r="N522" s="125">
        <f>1</f>
        <v>1</v>
      </c>
      <c r="O522" s="125">
        <f>1</f>
        <v>1</v>
      </c>
      <c r="P522" s="125">
        <f>1</f>
        <v>1</v>
      </c>
      <c r="Q522" s="125">
        <f>1</f>
        <v>1</v>
      </c>
      <c r="R522" s="125">
        <f>1</f>
        <v>1</v>
      </c>
      <c r="S522" s="125">
        <f>1</f>
        <v>1</v>
      </c>
      <c r="T522" s="125">
        <f>1</f>
        <v>1</v>
      </c>
      <c r="U522" s="125">
        <f>1</f>
        <v>1</v>
      </c>
      <c r="V522" s="125">
        <f>1</f>
        <v>1</v>
      </c>
      <c r="W522" s="125">
        <f>1</f>
        <v>1</v>
      </c>
      <c r="X522" s="125">
        <f>1</f>
        <v>1</v>
      </c>
      <c r="Y522" s="125">
        <f>1</f>
        <v>1</v>
      </c>
      <c r="Z522" s="125">
        <f>1</f>
        <v>1</v>
      </c>
      <c r="AA522" s="125">
        <f>1</f>
        <v>1</v>
      </c>
      <c r="AB522" s="125">
        <f>1</f>
        <v>1</v>
      </c>
      <c r="AC522" s="125">
        <f>1</f>
        <v>1</v>
      </c>
      <c r="AD522" s="125">
        <f>1</f>
        <v>1</v>
      </c>
      <c r="AE522" s="125">
        <f>1</f>
        <v>1</v>
      </c>
      <c r="AF522" s="125">
        <f>1</f>
        <v>1</v>
      </c>
      <c r="AG522" s="126">
        <f>1</f>
        <v>1</v>
      </c>
      <c r="AH522" s="22"/>
    </row>
    <row r="523" spans="1:34" x14ac:dyDescent="0.25">
      <c r="A523" s="112"/>
      <c r="B523" s="136" t="s">
        <v>143</v>
      </c>
      <c r="C523" s="67" t="s">
        <v>59</v>
      </c>
      <c r="D523" s="125">
        <f>1</f>
        <v>1</v>
      </c>
      <c r="E523" s="125">
        <f>1</f>
        <v>1</v>
      </c>
      <c r="F523" s="125">
        <f>1</f>
        <v>1</v>
      </c>
      <c r="G523" s="125">
        <f>1</f>
        <v>1</v>
      </c>
      <c r="H523" s="125">
        <f>1</f>
        <v>1</v>
      </c>
      <c r="I523" s="125">
        <f>1</f>
        <v>1</v>
      </c>
      <c r="J523" s="125">
        <f>1</f>
        <v>1</v>
      </c>
      <c r="K523" s="125">
        <f>1</f>
        <v>1</v>
      </c>
      <c r="L523" s="125">
        <f>1</f>
        <v>1</v>
      </c>
      <c r="M523" s="125">
        <f>1</f>
        <v>1</v>
      </c>
      <c r="N523" s="125">
        <f>1</f>
        <v>1</v>
      </c>
      <c r="O523" s="125">
        <f>1</f>
        <v>1</v>
      </c>
      <c r="P523" s="125">
        <f>1</f>
        <v>1</v>
      </c>
      <c r="Q523" s="125">
        <f>1</f>
        <v>1</v>
      </c>
      <c r="R523" s="125">
        <f>1</f>
        <v>1</v>
      </c>
      <c r="S523" s="125">
        <f>1</f>
        <v>1</v>
      </c>
      <c r="T523" s="125">
        <f>1</f>
        <v>1</v>
      </c>
      <c r="U523" s="125">
        <f>1</f>
        <v>1</v>
      </c>
      <c r="V523" s="125">
        <f>1</f>
        <v>1</v>
      </c>
      <c r="W523" s="125">
        <f>1</f>
        <v>1</v>
      </c>
      <c r="X523" s="125">
        <f>1</f>
        <v>1</v>
      </c>
      <c r="Y523" s="125">
        <f>1</f>
        <v>1</v>
      </c>
      <c r="Z523" s="125">
        <f>1</f>
        <v>1</v>
      </c>
      <c r="AA523" s="125">
        <f>1</f>
        <v>1</v>
      </c>
      <c r="AB523" s="125">
        <f>1</f>
        <v>1</v>
      </c>
      <c r="AC523" s="125">
        <f>1</f>
        <v>1</v>
      </c>
      <c r="AD523" s="125">
        <f>1</f>
        <v>1</v>
      </c>
      <c r="AE523" s="125">
        <f>1</f>
        <v>1</v>
      </c>
      <c r="AF523" s="125">
        <f>1</f>
        <v>1</v>
      </c>
      <c r="AG523" s="126">
        <f>1</f>
        <v>1</v>
      </c>
      <c r="AH523" s="22"/>
    </row>
    <row r="524" spans="1:34" x14ac:dyDescent="0.25">
      <c r="A524" s="112"/>
      <c r="B524" s="136" t="s">
        <v>144</v>
      </c>
      <c r="C524" s="67" t="s">
        <v>59</v>
      </c>
      <c r="D524" s="125">
        <f>1</f>
        <v>1</v>
      </c>
      <c r="E524" s="125">
        <f>1</f>
        <v>1</v>
      </c>
      <c r="F524" s="125">
        <f>1</f>
        <v>1</v>
      </c>
      <c r="G524" s="125">
        <f>1</f>
        <v>1</v>
      </c>
      <c r="H524" s="125">
        <f>1</f>
        <v>1</v>
      </c>
      <c r="I524" s="125">
        <f>1</f>
        <v>1</v>
      </c>
      <c r="J524" s="125">
        <f>1</f>
        <v>1</v>
      </c>
      <c r="K524" s="125">
        <f>1</f>
        <v>1</v>
      </c>
      <c r="L524" s="125">
        <f>1</f>
        <v>1</v>
      </c>
      <c r="M524" s="125">
        <f>1</f>
        <v>1</v>
      </c>
      <c r="N524" s="125">
        <f>1</f>
        <v>1</v>
      </c>
      <c r="O524" s="125">
        <f>1</f>
        <v>1</v>
      </c>
      <c r="P524" s="125">
        <f>1</f>
        <v>1</v>
      </c>
      <c r="Q524" s="125">
        <f>1</f>
        <v>1</v>
      </c>
      <c r="R524" s="125">
        <f>1</f>
        <v>1</v>
      </c>
      <c r="S524" s="125">
        <f>1</f>
        <v>1</v>
      </c>
      <c r="T524" s="125">
        <f>1</f>
        <v>1</v>
      </c>
      <c r="U524" s="125">
        <f>1</f>
        <v>1</v>
      </c>
      <c r="V524" s="125">
        <f>1</f>
        <v>1</v>
      </c>
      <c r="W524" s="125">
        <f>1</f>
        <v>1</v>
      </c>
      <c r="X524" s="125">
        <f>1</f>
        <v>1</v>
      </c>
      <c r="Y524" s="125">
        <f>1</f>
        <v>1</v>
      </c>
      <c r="Z524" s="125">
        <f>1</f>
        <v>1</v>
      </c>
      <c r="AA524" s="125">
        <f>1</f>
        <v>1</v>
      </c>
      <c r="AB524" s="125">
        <f>1</f>
        <v>1</v>
      </c>
      <c r="AC524" s="125">
        <f>1</f>
        <v>1</v>
      </c>
      <c r="AD524" s="125">
        <f>1</f>
        <v>1</v>
      </c>
      <c r="AE524" s="125">
        <f>1</f>
        <v>1</v>
      </c>
      <c r="AF524" s="125">
        <f>1</f>
        <v>1</v>
      </c>
      <c r="AG524" s="126">
        <f>1</f>
        <v>1</v>
      </c>
      <c r="AH524" s="22"/>
    </row>
    <row r="525" spans="1:34" x14ac:dyDescent="0.25">
      <c r="A525" s="112"/>
      <c r="B525" s="136" t="s">
        <v>145</v>
      </c>
      <c r="C525" s="67" t="s">
        <v>59</v>
      </c>
      <c r="D525" s="125">
        <f>1</f>
        <v>1</v>
      </c>
      <c r="E525" s="125">
        <f>1</f>
        <v>1</v>
      </c>
      <c r="F525" s="125">
        <f>1</f>
        <v>1</v>
      </c>
      <c r="G525" s="125">
        <f>1</f>
        <v>1</v>
      </c>
      <c r="H525" s="125">
        <f>1</f>
        <v>1</v>
      </c>
      <c r="I525" s="125">
        <f>1</f>
        <v>1</v>
      </c>
      <c r="J525" s="125">
        <f>1</f>
        <v>1</v>
      </c>
      <c r="K525" s="125">
        <f>1</f>
        <v>1</v>
      </c>
      <c r="L525" s="125">
        <f>1</f>
        <v>1</v>
      </c>
      <c r="M525" s="125">
        <f>1</f>
        <v>1</v>
      </c>
      <c r="N525" s="125">
        <f>1</f>
        <v>1</v>
      </c>
      <c r="O525" s="125">
        <f>1</f>
        <v>1</v>
      </c>
      <c r="P525" s="125">
        <f>1</f>
        <v>1</v>
      </c>
      <c r="Q525" s="125">
        <f>1</f>
        <v>1</v>
      </c>
      <c r="R525" s="125">
        <f>1</f>
        <v>1</v>
      </c>
      <c r="S525" s="125">
        <f>1</f>
        <v>1</v>
      </c>
      <c r="T525" s="125">
        <f>1</f>
        <v>1</v>
      </c>
      <c r="U525" s="125">
        <f>1</f>
        <v>1</v>
      </c>
      <c r="V525" s="125">
        <f>1</f>
        <v>1</v>
      </c>
      <c r="W525" s="125">
        <f>1</f>
        <v>1</v>
      </c>
      <c r="X525" s="125">
        <f>1</f>
        <v>1</v>
      </c>
      <c r="Y525" s="125">
        <f>1</f>
        <v>1</v>
      </c>
      <c r="Z525" s="125">
        <f>1</f>
        <v>1</v>
      </c>
      <c r="AA525" s="125">
        <f>1</f>
        <v>1</v>
      </c>
      <c r="AB525" s="125">
        <f>1</f>
        <v>1</v>
      </c>
      <c r="AC525" s="125">
        <f>1</f>
        <v>1</v>
      </c>
      <c r="AD525" s="125">
        <f>1</f>
        <v>1</v>
      </c>
      <c r="AE525" s="125">
        <f>1</f>
        <v>1</v>
      </c>
      <c r="AF525" s="125">
        <f>1</f>
        <v>1</v>
      </c>
      <c r="AG525" s="126">
        <f>1</f>
        <v>1</v>
      </c>
      <c r="AH525" s="22"/>
    </row>
    <row r="526" spans="1:34" x14ac:dyDescent="0.25">
      <c r="A526" s="112"/>
      <c r="B526" s="136" t="s">
        <v>146</v>
      </c>
      <c r="C526" s="67" t="s">
        <v>59</v>
      </c>
      <c r="D526" s="125">
        <f>1</f>
        <v>1</v>
      </c>
      <c r="E526" s="125">
        <f>1</f>
        <v>1</v>
      </c>
      <c r="F526" s="125">
        <f>1</f>
        <v>1</v>
      </c>
      <c r="G526" s="125">
        <f>1</f>
        <v>1</v>
      </c>
      <c r="H526" s="125">
        <f>1</f>
        <v>1</v>
      </c>
      <c r="I526" s="125">
        <f>1</f>
        <v>1</v>
      </c>
      <c r="J526" s="125">
        <f>1</f>
        <v>1</v>
      </c>
      <c r="K526" s="125">
        <f>1</f>
        <v>1</v>
      </c>
      <c r="L526" s="125">
        <f>1</f>
        <v>1</v>
      </c>
      <c r="M526" s="125">
        <f>1</f>
        <v>1</v>
      </c>
      <c r="N526" s="125">
        <f>1</f>
        <v>1</v>
      </c>
      <c r="O526" s="125">
        <f>1</f>
        <v>1</v>
      </c>
      <c r="P526" s="125">
        <f>1</f>
        <v>1</v>
      </c>
      <c r="Q526" s="125">
        <f>1</f>
        <v>1</v>
      </c>
      <c r="R526" s="125">
        <f>1</f>
        <v>1</v>
      </c>
      <c r="S526" s="125">
        <f>1</f>
        <v>1</v>
      </c>
      <c r="T526" s="125">
        <f>1</f>
        <v>1</v>
      </c>
      <c r="U526" s="125">
        <f>1</f>
        <v>1</v>
      </c>
      <c r="V526" s="125">
        <f>1</f>
        <v>1</v>
      </c>
      <c r="W526" s="125">
        <f>1</f>
        <v>1</v>
      </c>
      <c r="X526" s="125">
        <f>1</f>
        <v>1</v>
      </c>
      <c r="Y526" s="125">
        <f>1</f>
        <v>1</v>
      </c>
      <c r="Z526" s="125">
        <f>1</f>
        <v>1</v>
      </c>
      <c r="AA526" s="125">
        <f>1</f>
        <v>1</v>
      </c>
      <c r="AB526" s="125">
        <f>1</f>
        <v>1</v>
      </c>
      <c r="AC526" s="125">
        <f>1</f>
        <v>1</v>
      </c>
      <c r="AD526" s="125">
        <f>1</f>
        <v>1</v>
      </c>
      <c r="AE526" s="125">
        <f>1</f>
        <v>1</v>
      </c>
      <c r="AF526" s="125">
        <f>1</f>
        <v>1</v>
      </c>
      <c r="AG526" s="126">
        <f>1</f>
        <v>1</v>
      </c>
      <c r="AH526" s="22"/>
    </row>
    <row r="527" spans="1:34" x14ac:dyDescent="0.25">
      <c r="A527" s="112"/>
      <c r="B527" s="136" t="s">
        <v>147</v>
      </c>
      <c r="C527" s="67" t="s">
        <v>59</v>
      </c>
      <c r="D527" s="125">
        <f>1</f>
        <v>1</v>
      </c>
      <c r="E527" s="125">
        <f>1</f>
        <v>1</v>
      </c>
      <c r="F527" s="125">
        <f>1</f>
        <v>1</v>
      </c>
      <c r="G527" s="125">
        <f>1</f>
        <v>1</v>
      </c>
      <c r="H527" s="125">
        <f>1</f>
        <v>1</v>
      </c>
      <c r="I527" s="125">
        <f>1</f>
        <v>1</v>
      </c>
      <c r="J527" s="125">
        <f>1</f>
        <v>1</v>
      </c>
      <c r="K527" s="125">
        <f>1</f>
        <v>1</v>
      </c>
      <c r="L527" s="125">
        <f>1</f>
        <v>1</v>
      </c>
      <c r="M527" s="125">
        <f>1</f>
        <v>1</v>
      </c>
      <c r="N527" s="125">
        <f>1</f>
        <v>1</v>
      </c>
      <c r="O527" s="125">
        <f>1</f>
        <v>1</v>
      </c>
      <c r="P527" s="125">
        <f>1</f>
        <v>1</v>
      </c>
      <c r="Q527" s="125">
        <f>1</f>
        <v>1</v>
      </c>
      <c r="R527" s="125">
        <f>1</f>
        <v>1</v>
      </c>
      <c r="S527" s="125">
        <f>1</f>
        <v>1</v>
      </c>
      <c r="T527" s="125">
        <f>1</f>
        <v>1</v>
      </c>
      <c r="U527" s="125">
        <f>1</f>
        <v>1</v>
      </c>
      <c r="V527" s="125">
        <f>1</f>
        <v>1</v>
      </c>
      <c r="W527" s="125">
        <f>1</f>
        <v>1</v>
      </c>
      <c r="X527" s="125">
        <f>1</f>
        <v>1</v>
      </c>
      <c r="Y527" s="125">
        <f>1</f>
        <v>1</v>
      </c>
      <c r="Z527" s="125">
        <f>1</f>
        <v>1</v>
      </c>
      <c r="AA527" s="125">
        <f>1</f>
        <v>1</v>
      </c>
      <c r="AB527" s="125">
        <f>1</f>
        <v>1</v>
      </c>
      <c r="AC527" s="125">
        <f>1</f>
        <v>1</v>
      </c>
      <c r="AD527" s="125">
        <f>1</f>
        <v>1</v>
      </c>
      <c r="AE527" s="125">
        <f>1</f>
        <v>1</v>
      </c>
      <c r="AF527" s="125">
        <f>1</f>
        <v>1</v>
      </c>
      <c r="AG527" s="126">
        <f>1</f>
        <v>1</v>
      </c>
      <c r="AH527" s="22"/>
    </row>
    <row r="528" spans="1:34" x14ac:dyDescent="0.25">
      <c r="A528" s="112"/>
      <c r="B528" s="136" t="s">
        <v>148</v>
      </c>
      <c r="C528" s="67" t="s">
        <v>59</v>
      </c>
      <c r="D528" s="125">
        <f>1</f>
        <v>1</v>
      </c>
      <c r="E528" s="125">
        <f>1</f>
        <v>1</v>
      </c>
      <c r="F528" s="125">
        <f>1</f>
        <v>1</v>
      </c>
      <c r="G528" s="125">
        <f>1</f>
        <v>1</v>
      </c>
      <c r="H528" s="125">
        <f>1</f>
        <v>1</v>
      </c>
      <c r="I528" s="125">
        <f>1</f>
        <v>1</v>
      </c>
      <c r="J528" s="125">
        <f>1</f>
        <v>1</v>
      </c>
      <c r="K528" s="125">
        <f>1</f>
        <v>1</v>
      </c>
      <c r="L528" s="125">
        <f>1</f>
        <v>1</v>
      </c>
      <c r="M528" s="125">
        <f>1</f>
        <v>1</v>
      </c>
      <c r="N528" s="125">
        <f>1</f>
        <v>1</v>
      </c>
      <c r="O528" s="125">
        <f>1</f>
        <v>1</v>
      </c>
      <c r="P528" s="125">
        <f>1</f>
        <v>1</v>
      </c>
      <c r="Q528" s="125">
        <f>1</f>
        <v>1</v>
      </c>
      <c r="R528" s="125">
        <f>1</f>
        <v>1</v>
      </c>
      <c r="S528" s="125">
        <f>1</f>
        <v>1</v>
      </c>
      <c r="T528" s="125">
        <f>1</f>
        <v>1</v>
      </c>
      <c r="U528" s="125">
        <f>1</f>
        <v>1</v>
      </c>
      <c r="V528" s="125">
        <f>1</f>
        <v>1</v>
      </c>
      <c r="W528" s="125">
        <f>1</f>
        <v>1</v>
      </c>
      <c r="X528" s="125">
        <f>1</f>
        <v>1</v>
      </c>
      <c r="Y528" s="125">
        <f>1</f>
        <v>1</v>
      </c>
      <c r="Z528" s="125">
        <f>1</f>
        <v>1</v>
      </c>
      <c r="AA528" s="125">
        <f>1</f>
        <v>1</v>
      </c>
      <c r="AB528" s="125">
        <f>1</f>
        <v>1</v>
      </c>
      <c r="AC528" s="125">
        <f>1</f>
        <v>1</v>
      </c>
      <c r="AD528" s="125">
        <f>1</f>
        <v>1</v>
      </c>
      <c r="AE528" s="125">
        <f>1</f>
        <v>1</v>
      </c>
      <c r="AF528" s="125">
        <f>1</f>
        <v>1</v>
      </c>
      <c r="AG528" s="126">
        <f>1</f>
        <v>1</v>
      </c>
      <c r="AH528" s="22"/>
    </row>
    <row r="529" spans="1:34" x14ac:dyDescent="0.25">
      <c r="A529" s="112"/>
      <c r="B529" s="136" t="s">
        <v>149</v>
      </c>
      <c r="C529" s="67" t="s">
        <v>59</v>
      </c>
      <c r="D529" s="125">
        <f>1</f>
        <v>1</v>
      </c>
      <c r="E529" s="125">
        <f>1</f>
        <v>1</v>
      </c>
      <c r="F529" s="125">
        <f>1</f>
        <v>1</v>
      </c>
      <c r="G529" s="125">
        <f>1</f>
        <v>1</v>
      </c>
      <c r="H529" s="125">
        <f>1</f>
        <v>1</v>
      </c>
      <c r="I529" s="125">
        <f>1</f>
        <v>1</v>
      </c>
      <c r="J529" s="125">
        <f>1</f>
        <v>1</v>
      </c>
      <c r="K529" s="125">
        <f>1</f>
        <v>1</v>
      </c>
      <c r="L529" s="125">
        <f>1</f>
        <v>1</v>
      </c>
      <c r="M529" s="125">
        <f>1</f>
        <v>1</v>
      </c>
      <c r="N529" s="125">
        <f>1</f>
        <v>1</v>
      </c>
      <c r="O529" s="125">
        <f>1</f>
        <v>1</v>
      </c>
      <c r="P529" s="125">
        <f>1</f>
        <v>1</v>
      </c>
      <c r="Q529" s="125">
        <f>1</f>
        <v>1</v>
      </c>
      <c r="R529" s="125">
        <f>1</f>
        <v>1</v>
      </c>
      <c r="S529" s="125">
        <f>1</f>
        <v>1</v>
      </c>
      <c r="T529" s="125">
        <f>1</f>
        <v>1</v>
      </c>
      <c r="U529" s="125">
        <f>1</f>
        <v>1</v>
      </c>
      <c r="V529" s="125">
        <f>1</f>
        <v>1</v>
      </c>
      <c r="W529" s="125">
        <f>1</f>
        <v>1</v>
      </c>
      <c r="X529" s="125">
        <f>1</f>
        <v>1</v>
      </c>
      <c r="Y529" s="125">
        <f>1</f>
        <v>1</v>
      </c>
      <c r="Z529" s="125">
        <f>1</f>
        <v>1</v>
      </c>
      <c r="AA529" s="125">
        <f>1</f>
        <v>1</v>
      </c>
      <c r="AB529" s="125">
        <f>1</f>
        <v>1</v>
      </c>
      <c r="AC529" s="125">
        <f>1</f>
        <v>1</v>
      </c>
      <c r="AD529" s="125">
        <f>1</f>
        <v>1</v>
      </c>
      <c r="AE529" s="125">
        <f>1</f>
        <v>1</v>
      </c>
      <c r="AF529" s="125">
        <f>1</f>
        <v>1</v>
      </c>
      <c r="AG529" s="126">
        <f>1</f>
        <v>1</v>
      </c>
      <c r="AH529" s="22"/>
    </row>
    <row r="530" spans="1:34" x14ac:dyDescent="0.25">
      <c r="A530" s="112"/>
      <c r="B530" s="136" t="s">
        <v>150</v>
      </c>
      <c r="C530" s="67" t="s">
        <v>59</v>
      </c>
      <c r="D530" s="125">
        <f>1</f>
        <v>1</v>
      </c>
      <c r="E530" s="125">
        <f>1</f>
        <v>1</v>
      </c>
      <c r="F530" s="125">
        <f>1</f>
        <v>1</v>
      </c>
      <c r="G530" s="125">
        <f>1</f>
        <v>1</v>
      </c>
      <c r="H530" s="125">
        <f>1</f>
        <v>1</v>
      </c>
      <c r="I530" s="125">
        <f>1</f>
        <v>1</v>
      </c>
      <c r="J530" s="125">
        <f>1</f>
        <v>1</v>
      </c>
      <c r="K530" s="125">
        <f>1</f>
        <v>1</v>
      </c>
      <c r="L530" s="125">
        <f>1</f>
        <v>1</v>
      </c>
      <c r="M530" s="125">
        <f>1</f>
        <v>1</v>
      </c>
      <c r="N530" s="125">
        <f>1</f>
        <v>1</v>
      </c>
      <c r="O530" s="125">
        <f>1</f>
        <v>1</v>
      </c>
      <c r="P530" s="125">
        <f>1</f>
        <v>1</v>
      </c>
      <c r="Q530" s="125">
        <f>1</f>
        <v>1</v>
      </c>
      <c r="R530" s="125">
        <f>1</f>
        <v>1</v>
      </c>
      <c r="S530" s="125">
        <f>1</f>
        <v>1</v>
      </c>
      <c r="T530" s="125">
        <f>1</f>
        <v>1</v>
      </c>
      <c r="U530" s="125">
        <f>1</f>
        <v>1</v>
      </c>
      <c r="V530" s="125">
        <f>1</f>
        <v>1</v>
      </c>
      <c r="W530" s="125">
        <f>1</f>
        <v>1</v>
      </c>
      <c r="X530" s="125">
        <f>1</f>
        <v>1</v>
      </c>
      <c r="Y530" s="125">
        <f>1</f>
        <v>1</v>
      </c>
      <c r="Z530" s="125">
        <f>1</f>
        <v>1</v>
      </c>
      <c r="AA530" s="125">
        <f>1</f>
        <v>1</v>
      </c>
      <c r="AB530" s="125">
        <f>1</f>
        <v>1</v>
      </c>
      <c r="AC530" s="125">
        <f>1</f>
        <v>1</v>
      </c>
      <c r="AD530" s="125">
        <f>1</f>
        <v>1</v>
      </c>
      <c r="AE530" s="125">
        <f>1</f>
        <v>1</v>
      </c>
      <c r="AF530" s="125">
        <f>1</f>
        <v>1</v>
      </c>
      <c r="AG530" s="126">
        <f>1</f>
        <v>1</v>
      </c>
      <c r="AH530" s="22"/>
    </row>
    <row r="531" spans="1:34" x14ac:dyDescent="0.25">
      <c r="A531" s="112"/>
      <c r="B531" s="136" t="s">
        <v>151</v>
      </c>
      <c r="C531" s="67" t="s">
        <v>59</v>
      </c>
      <c r="D531" s="125">
        <f>4</f>
        <v>4</v>
      </c>
      <c r="E531" s="125">
        <f>4</f>
        <v>4</v>
      </c>
      <c r="F531" s="125">
        <f>4</f>
        <v>4</v>
      </c>
      <c r="G531" s="125">
        <f>4</f>
        <v>4</v>
      </c>
      <c r="H531" s="125">
        <f>4</f>
        <v>4</v>
      </c>
      <c r="I531" s="125">
        <f>4</f>
        <v>4</v>
      </c>
      <c r="J531" s="125">
        <f>4</f>
        <v>4</v>
      </c>
      <c r="K531" s="125">
        <f>4</f>
        <v>4</v>
      </c>
      <c r="L531" s="125">
        <f>4</f>
        <v>4</v>
      </c>
      <c r="M531" s="125">
        <f>4</f>
        <v>4</v>
      </c>
      <c r="N531" s="125">
        <f>4</f>
        <v>4</v>
      </c>
      <c r="O531" s="125">
        <f>4</f>
        <v>4</v>
      </c>
      <c r="P531" s="125">
        <f>4</f>
        <v>4</v>
      </c>
      <c r="Q531" s="125">
        <f>4</f>
        <v>4</v>
      </c>
      <c r="R531" s="125">
        <f>4</f>
        <v>4</v>
      </c>
      <c r="S531" s="125">
        <f>4</f>
        <v>4</v>
      </c>
      <c r="T531" s="125">
        <f>4</f>
        <v>4</v>
      </c>
      <c r="U531" s="125">
        <f>4</f>
        <v>4</v>
      </c>
      <c r="V531" s="125">
        <f>4</f>
        <v>4</v>
      </c>
      <c r="W531" s="125">
        <f>4</f>
        <v>4</v>
      </c>
      <c r="X531" s="125">
        <f>4</f>
        <v>4</v>
      </c>
      <c r="Y531" s="125">
        <f>4</f>
        <v>4</v>
      </c>
      <c r="Z531" s="125">
        <f>4</f>
        <v>4</v>
      </c>
      <c r="AA531" s="125">
        <f>4</f>
        <v>4</v>
      </c>
      <c r="AB531" s="125">
        <f>4</f>
        <v>4</v>
      </c>
      <c r="AC531" s="125">
        <f>4</f>
        <v>4</v>
      </c>
      <c r="AD531" s="125">
        <f>4</f>
        <v>4</v>
      </c>
      <c r="AE531" s="125">
        <f>4</f>
        <v>4</v>
      </c>
      <c r="AF531" s="125">
        <f>4</f>
        <v>4</v>
      </c>
      <c r="AG531" s="126">
        <f>4</f>
        <v>4</v>
      </c>
      <c r="AH531" s="22"/>
    </row>
    <row r="532" spans="1:34" x14ac:dyDescent="0.25">
      <c r="A532" s="112"/>
      <c r="B532" s="136" t="s">
        <v>152</v>
      </c>
      <c r="C532" s="67" t="s">
        <v>59</v>
      </c>
      <c r="D532" s="125">
        <f>1</f>
        <v>1</v>
      </c>
      <c r="E532" s="125">
        <f>1</f>
        <v>1</v>
      </c>
      <c r="F532" s="125">
        <f>1</f>
        <v>1</v>
      </c>
      <c r="G532" s="125">
        <f>1</f>
        <v>1</v>
      </c>
      <c r="H532" s="125">
        <f>1</f>
        <v>1</v>
      </c>
      <c r="I532" s="125">
        <f>1</f>
        <v>1</v>
      </c>
      <c r="J532" s="125">
        <f>1</f>
        <v>1</v>
      </c>
      <c r="K532" s="125">
        <f>1</f>
        <v>1</v>
      </c>
      <c r="L532" s="125">
        <f>1</f>
        <v>1</v>
      </c>
      <c r="M532" s="125">
        <f>1</f>
        <v>1</v>
      </c>
      <c r="N532" s="125">
        <f>1</f>
        <v>1</v>
      </c>
      <c r="O532" s="125">
        <f>1</f>
        <v>1</v>
      </c>
      <c r="P532" s="125">
        <f>1</f>
        <v>1</v>
      </c>
      <c r="Q532" s="125">
        <f>1</f>
        <v>1</v>
      </c>
      <c r="R532" s="125">
        <f>1</f>
        <v>1</v>
      </c>
      <c r="S532" s="125">
        <f>1</f>
        <v>1</v>
      </c>
      <c r="T532" s="125">
        <f>1</f>
        <v>1</v>
      </c>
      <c r="U532" s="125">
        <f>1</f>
        <v>1</v>
      </c>
      <c r="V532" s="125">
        <f>1</f>
        <v>1</v>
      </c>
      <c r="W532" s="125">
        <f>1</f>
        <v>1</v>
      </c>
      <c r="X532" s="125">
        <f>1</f>
        <v>1</v>
      </c>
      <c r="Y532" s="125">
        <f>1</f>
        <v>1</v>
      </c>
      <c r="Z532" s="125">
        <f>1</f>
        <v>1</v>
      </c>
      <c r="AA532" s="125">
        <f>1</f>
        <v>1</v>
      </c>
      <c r="AB532" s="125">
        <f>1</f>
        <v>1</v>
      </c>
      <c r="AC532" s="125">
        <f>1</f>
        <v>1</v>
      </c>
      <c r="AD532" s="125">
        <f>1</f>
        <v>1</v>
      </c>
      <c r="AE532" s="125">
        <f>1</f>
        <v>1</v>
      </c>
      <c r="AF532" s="125">
        <f>1</f>
        <v>1</v>
      </c>
      <c r="AG532" s="126">
        <f>1</f>
        <v>1</v>
      </c>
      <c r="AH532" s="22"/>
    </row>
    <row r="533" spans="1:34" x14ac:dyDescent="0.25">
      <c r="A533" s="112"/>
      <c r="B533" s="136" t="s">
        <v>153</v>
      </c>
      <c r="C533" s="67" t="s">
        <v>59</v>
      </c>
      <c r="D533" s="125">
        <f>1</f>
        <v>1</v>
      </c>
      <c r="E533" s="125">
        <f>1</f>
        <v>1</v>
      </c>
      <c r="F533" s="125">
        <f>1</f>
        <v>1</v>
      </c>
      <c r="G533" s="125">
        <f>1</f>
        <v>1</v>
      </c>
      <c r="H533" s="125">
        <f>1</f>
        <v>1</v>
      </c>
      <c r="I533" s="125">
        <f>1</f>
        <v>1</v>
      </c>
      <c r="J533" s="125">
        <f>1</f>
        <v>1</v>
      </c>
      <c r="K533" s="125">
        <f>1</f>
        <v>1</v>
      </c>
      <c r="L533" s="125">
        <f>1</f>
        <v>1</v>
      </c>
      <c r="M533" s="125">
        <f>1</f>
        <v>1</v>
      </c>
      <c r="N533" s="125">
        <f>1</f>
        <v>1</v>
      </c>
      <c r="O533" s="125">
        <f>1</f>
        <v>1</v>
      </c>
      <c r="P533" s="125">
        <f>1</f>
        <v>1</v>
      </c>
      <c r="Q533" s="125">
        <f>1</f>
        <v>1</v>
      </c>
      <c r="R533" s="125">
        <f>1</f>
        <v>1</v>
      </c>
      <c r="S533" s="125">
        <f>1</f>
        <v>1</v>
      </c>
      <c r="T533" s="125">
        <f>1</f>
        <v>1</v>
      </c>
      <c r="U533" s="125">
        <f>1</f>
        <v>1</v>
      </c>
      <c r="V533" s="125">
        <f>1</f>
        <v>1</v>
      </c>
      <c r="W533" s="125">
        <f>1</f>
        <v>1</v>
      </c>
      <c r="X533" s="125">
        <f>1</f>
        <v>1</v>
      </c>
      <c r="Y533" s="125">
        <f>1</f>
        <v>1</v>
      </c>
      <c r="Z533" s="125">
        <f>1</f>
        <v>1</v>
      </c>
      <c r="AA533" s="125">
        <f>1</f>
        <v>1</v>
      </c>
      <c r="AB533" s="125">
        <f>1</f>
        <v>1</v>
      </c>
      <c r="AC533" s="125">
        <f>1</f>
        <v>1</v>
      </c>
      <c r="AD533" s="125">
        <f>1</f>
        <v>1</v>
      </c>
      <c r="AE533" s="125">
        <f>1</f>
        <v>1</v>
      </c>
      <c r="AF533" s="125">
        <f>1</f>
        <v>1</v>
      </c>
      <c r="AG533" s="126">
        <f>1</f>
        <v>1</v>
      </c>
      <c r="AH533" s="22"/>
    </row>
    <row r="534" spans="1:34" x14ac:dyDescent="0.25">
      <c r="A534" s="112"/>
      <c r="B534" s="136" t="s">
        <v>167</v>
      </c>
      <c r="C534" s="67" t="s">
        <v>59</v>
      </c>
      <c r="D534" s="125">
        <f>1</f>
        <v>1</v>
      </c>
      <c r="E534" s="125">
        <f>1</f>
        <v>1</v>
      </c>
      <c r="F534" s="125">
        <f>1</f>
        <v>1</v>
      </c>
      <c r="G534" s="125">
        <f>1</f>
        <v>1</v>
      </c>
      <c r="H534" s="125">
        <f>1</f>
        <v>1</v>
      </c>
      <c r="I534" s="125">
        <f>1</f>
        <v>1</v>
      </c>
      <c r="J534" s="125">
        <f>1</f>
        <v>1</v>
      </c>
      <c r="K534" s="125">
        <f>1</f>
        <v>1</v>
      </c>
      <c r="L534" s="125">
        <f>1</f>
        <v>1</v>
      </c>
      <c r="M534" s="125">
        <f>1</f>
        <v>1</v>
      </c>
      <c r="N534" s="125">
        <f>1</f>
        <v>1</v>
      </c>
      <c r="O534" s="125">
        <f>1</f>
        <v>1</v>
      </c>
      <c r="P534" s="125">
        <f>1</f>
        <v>1</v>
      </c>
      <c r="Q534" s="125">
        <f>1</f>
        <v>1</v>
      </c>
      <c r="R534" s="125">
        <f>1</f>
        <v>1</v>
      </c>
      <c r="S534" s="125">
        <f>1</f>
        <v>1</v>
      </c>
      <c r="T534" s="125">
        <f>1</f>
        <v>1</v>
      </c>
      <c r="U534" s="125">
        <f>1</f>
        <v>1</v>
      </c>
      <c r="V534" s="125">
        <f>1</f>
        <v>1</v>
      </c>
      <c r="W534" s="125">
        <f>1</f>
        <v>1</v>
      </c>
      <c r="X534" s="125">
        <f>1</f>
        <v>1</v>
      </c>
      <c r="Y534" s="125">
        <f>1</f>
        <v>1</v>
      </c>
      <c r="Z534" s="125">
        <f>1</f>
        <v>1</v>
      </c>
      <c r="AA534" s="125">
        <f>1</f>
        <v>1</v>
      </c>
      <c r="AB534" s="125">
        <f>1</f>
        <v>1</v>
      </c>
      <c r="AC534" s="125">
        <f>1</f>
        <v>1</v>
      </c>
      <c r="AD534" s="125">
        <f>1</f>
        <v>1</v>
      </c>
      <c r="AE534" s="125">
        <f>1</f>
        <v>1</v>
      </c>
      <c r="AF534" s="125">
        <f>1</f>
        <v>1</v>
      </c>
      <c r="AG534" s="126">
        <f>1</f>
        <v>1</v>
      </c>
      <c r="AH534" s="22"/>
    </row>
    <row r="535" spans="1:34" x14ac:dyDescent="0.25">
      <c r="A535" s="112"/>
      <c r="B535" s="136" t="s">
        <v>168</v>
      </c>
      <c r="C535" s="67" t="s">
        <v>59</v>
      </c>
      <c r="D535" s="125">
        <f>1</f>
        <v>1</v>
      </c>
      <c r="E535" s="125">
        <f>1</f>
        <v>1</v>
      </c>
      <c r="F535" s="125">
        <f>1</f>
        <v>1</v>
      </c>
      <c r="G535" s="125">
        <f>1</f>
        <v>1</v>
      </c>
      <c r="H535" s="125">
        <f>1</f>
        <v>1</v>
      </c>
      <c r="I535" s="125">
        <f>1</f>
        <v>1</v>
      </c>
      <c r="J535" s="125">
        <f>1</f>
        <v>1</v>
      </c>
      <c r="K535" s="125">
        <f>1</f>
        <v>1</v>
      </c>
      <c r="L535" s="125">
        <f>1</f>
        <v>1</v>
      </c>
      <c r="M535" s="125">
        <f>1</f>
        <v>1</v>
      </c>
      <c r="N535" s="125">
        <f>1</f>
        <v>1</v>
      </c>
      <c r="O535" s="125">
        <f>1</f>
        <v>1</v>
      </c>
      <c r="P535" s="125">
        <f>1</f>
        <v>1</v>
      </c>
      <c r="Q535" s="125">
        <f>1</f>
        <v>1</v>
      </c>
      <c r="R535" s="125">
        <f>1</f>
        <v>1</v>
      </c>
      <c r="S535" s="125">
        <f>1</f>
        <v>1</v>
      </c>
      <c r="T535" s="125">
        <f>1</f>
        <v>1</v>
      </c>
      <c r="U535" s="125">
        <f>1</f>
        <v>1</v>
      </c>
      <c r="V535" s="125">
        <f>1</f>
        <v>1</v>
      </c>
      <c r="W535" s="125">
        <f>1</f>
        <v>1</v>
      </c>
      <c r="X535" s="125">
        <f>1</f>
        <v>1</v>
      </c>
      <c r="Y535" s="125">
        <f>1</f>
        <v>1</v>
      </c>
      <c r="Z535" s="125">
        <f>1</f>
        <v>1</v>
      </c>
      <c r="AA535" s="125">
        <f>1</f>
        <v>1</v>
      </c>
      <c r="AB535" s="125">
        <f>1</f>
        <v>1</v>
      </c>
      <c r="AC535" s="125">
        <f>1</f>
        <v>1</v>
      </c>
      <c r="AD535" s="125">
        <f>1</f>
        <v>1</v>
      </c>
      <c r="AE535" s="125">
        <f>1</f>
        <v>1</v>
      </c>
      <c r="AF535" s="125">
        <f>1</f>
        <v>1</v>
      </c>
      <c r="AG535" s="126">
        <f>1</f>
        <v>1</v>
      </c>
      <c r="AH535" s="22"/>
    </row>
    <row r="536" spans="1:34" x14ac:dyDescent="0.25">
      <c r="A536" s="112"/>
      <c r="B536" s="136" t="s">
        <v>169</v>
      </c>
      <c r="C536" s="67" t="s">
        <v>59</v>
      </c>
      <c r="D536" s="125">
        <f>1</f>
        <v>1</v>
      </c>
      <c r="E536" s="125">
        <f>1</f>
        <v>1</v>
      </c>
      <c r="F536" s="125">
        <f>1</f>
        <v>1</v>
      </c>
      <c r="G536" s="125">
        <f>1</f>
        <v>1</v>
      </c>
      <c r="H536" s="125">
        <f>1</f>
        <v>1</v>
      </c>
      <c r="I536" s="125">
        <f>1</f>
        <v>1</v>
      </c>
      <c r="J536" s="125">
        <f>1</f>
        <v>1</v>
      </c>
      <c r="K536" s="125">
        <f>1</f>
        <v>1</v>
      </c>
      <c r="L536" s="125">
        <f>1</f>
        <v>1</v>
      </c>
      <c r="M536" s="125">
        <f>1</f>
        <v>1</v>
      </c>
      <c r="N536" s="125">
        <f>1</f>
        <v>1</v>
      </c>
      <c r="O536" s="125">
        <f>1</f>
        <v>1</v>
      </c>
      <c r="P536" s="125">
        <f>1</f>
        <v>1</v>
      </c>
      <c r="Q536" s="125">
        <f>1</f>
        <v>1</v>
      </c>
      <c r="R536" s="125">
        <f>1</f>
        <v>1</v>
      </c>
      <c r="S536" s="125">
        <f>1</f>
        <v>1</v>
      </c>
      <c r="T536" s="125">
        <f>1</f>
        <v>1</v>
      </c>
      <c r="U536" s="125">
        <f>1</f>
        <v>1</v>
      </c>
      <c r="V536" s="125">
        <f>1</f>
        <v>1</v>
      </c>
      <c r="W536" s="125">
        <f>1</f>
        <v>1</v>
      </c>
      <c r="X536" s="125">
        <f>1</f>
        <v>1</v>
      </c>
      <c r="Y536" s="125">
        <f>1</f>
        <v>1</v>
      </c>
      <c r="Z536" s="125">
        <f>1</f>
        <v>1</v>
      </c>
      <c r="AA536" s="125">
        <f>1</f>
        <v>1</v>
      </c>
      <c r="AB536" s="125">
        <f>1</f>
        <v>1</v>
      </c>
      <c r="AC536" s="125">
        <f>1</f>
        <v>1</v>
      </c>
      <c r="AD536" s="125">
        <f>1</f>
        <v>1</v>
      </c>
      <c r="AE536" s="125">
        <f>1</f>
        <v>1</v>
      </c>
      <c r="AF536" s="125">
        <f>1</f>
        <v>1</v>
      </c>
      <c r="AG536" s="126">
        <f>1</f>
        <v>1</v>
      </c>
      <c r="AH536" s="22"/>
    </row>
    <row r="537" spans="1:34" x14ac:dyDescent="0.25">
      <c r="A537" s="112"/>
      <c r="B537" s="136" t="s">
        <v>170</v>
      </c>
      <c r="C537" s="67" t="s">
        <v>59</v>
      </c>
      <c r="D537" s="125">
        <f>1</f>
        <v>1</v>
      </c>
      <c r="E537" s="125">
        <f>1</f>
        <v>1</v>
      </c>
      <c r="F537" s="125">
        <f>1</f>
        <v>1</v>
      </c>
      <c r="G537" s="125">
        <f>1</f>
        <v>1</v>
      </c>
      <c r="H537" s="125">
        <f>1</f>
        <v>1</v>
      </c>
      <c r="I537" s="125">
        <f>1</f>
        <v>1</v>
      </c>
      <c r="J537" s="125">
        <f>1</f>
        <v>1</v>
      </c>
      <c r="K537" s="125">
        <f>1</f>
        <v>1</v>
      </c>
      <c r="L537" s="125">
        <f>1</f>
        <v>1</v>
      </c>
      <c r="M537" s="125">
        <f>1</f>
        <v>1</v>
      </c>
      <c r="N537" s="125">
        <f>1</f>
        <v>1</v>
      </c>
      <c r="O537" s="125">
        <f>1</f>
        <v>1</v>
      </c>
      <c r="P537" s="125">
        <f>1</f>
        <v>1</v>
      </c>
      <c r="Q537" s="125">
        <f>1</f>
        <v>1</v>
      </c>
      <c r="R537" s="125">
        <f>1</f>
        <v>1</v>
      </c>
      <c r="S537" s="125">
        <f>1</f>
        <v>1</v>
      </c>
      <c r="T537" s="125">
        <f>1</f>
        <v>1</v>
      </c>
      <c r="U537" s="125">
        <f>1</f>
        <v>1</v>
      </c>
      <c r="V537" s="125">
        <f>1</f>
        <v>1</v>
      </c>
      <c r="W537" s="125">
        <f>1</f>
        <v>1</v>
      </c>
      <c r="X537" s="125">
        <f>1</f>
        <v>1</v>
      </c>
      <c r="Y537" s="125">
        <f>1</f>
        <v>1</v>
      </c>
      <c r="Z537" s="125">
        <f>1</f>
        <v>1</v>
      </c>
      <c r="AA537" s="125">
        <f>1</f>
        <v>1</v>
      </c>
      <c r="AB537" s="125">
        <f>1</f>
        <v>1</v>
      </c>
      <c r="AC537" s="125">
        <f>1</f>
        <v>1</v>
      </c>
      <c r="AD537" s="125">
        <f>1</f>
        <v>1</v>
      </c>
      <c r="AE537" s="125">
        <f>1</f>
        <v>1</v>
      </c>
      <c r="AF537" s="125">
        <f>1</f>
        <v>1</v>
      </c>
      <c r="AG537" s="126">
        <f>1</f>
        <v>1</v>
      </c>
      <c r="AH537" s="22"/>
    </row>
    <row r="538" spans="1:34" x14ac:dyDescent="0.25">
      <c r="A538" s="112"/>
      <c r="B538" s="136" t="s">
        <v>171</v>
      </c>
      <c r="C538" s="67" t="s">
        <v>59</v>
      </c>
      <c r="D538" s="125">
        <f>1</f>
        <v>1</v>
      </c>
      <c r="E538" s="125">
        <f>1</f>
        <v>1</v>
      </c>
      <c r="F538" s="125">
        <f>1</f>
        <v>1</v>
      </c>
      <c r="G538" s="125">
        <f>1</f>
        <v>1</v>
      </c>
      <c r="H538" s="125">
        <f>1</f>
        <v>1</v>
      </c>
      <c r="I538" s="125">
        <f>1</f>
        <v>1</v>
      </c>
      <c r="J538" s="125">
        <f>1</f>
        <v>1</v>
      </c>
      <c r="K538" s="125">
        <f>1</f>
        <v>1</v>
      </c>
      <c r="L538" s="125">
        <f>1</f>
        <v>1</v>
      </c>
      <c r="M538" s="125">
        <f>1</f>
        <v>1</v>
      </c>
      <c r="N538" s="125">
        <f>1</f>
        <v>1</v>
      </c>
      <c r="O538" s="125">
        <f>1</f>
        <v>1</v>
      </c>
      <c r="P538" s="125">
        <f>1</f>
        <v>1</v>
      </c>
      <c r="Q538" s="125">
        <f>1</f>
        <v>1</v>
      </c>
      <c r="R538" s="125">
        <f>1</f>
        <v>1</v>
      </c>
      <c r="S538" s="125">
        <f>1</f>
        <v>1</v>
      </c>
      <c r="T538" s="125">
        <f>1</f>
        <v>1</v>
      </c>
      <c r="U538" s="125">
        <f>1</f>
        <v>1</v>
      </c>
      <c r="V538" s="125">
        <f>1</f>
        <v>1</v>
      </c>
      <c r="W538" s="125">
        <f>1</f>
        <v>1</v>
      </c>
      <c r="X538" s="125">
        <f>1</f>
        <v>1</v>
      </c>
      <c r="Y538" s="125">
        <f>1</f>
        <v>1</v>
      </c>
      <c r="Z538" s="125">
        <f>1</f>
        <v>1</v>
      </c>
      <c r="AA538" s="125">
        <f>1</f>
        <v>1</v>
      </c>
      <c r="AB538" s="125">
        <f>1</f>
        <v>1</v>
      </c>
      <c r="AC538" s="125">
        <f>1</f>
        <v>1</v>
      </c>
      <c r="AD538" s="125">
        <f>1</f>
        <v>1</v>
      </c>
      <c r="AE538" s="125">
        <f>1</f>
        <v>1</v>
      </c>
      <c r="AF538" s="125">
        <f>1</f>
        <v>1</v>
      </c>
      <c r="AG538" s="126">
        <f>1</f>
        <v>1</v>
      </c>
      <c r="AH538" s="22"/>
    </row>
    <row r="539" spans="1:34" x14ac:dyDescent="0.25">
      <c r="A539" s="112"/>
      <c r="B539" s="136" t="s">
        <v>172</v>
      </c>
      <c r="C539" s="67" t="s">
        <v>59</v>
      </c>
      <c r="D539" s="125">
        <f>2</f>
        <v>2</v>
      </c>
      <c r="E539" s="125">
        <f>2</f>
        <v>2</v>
      </c>
      <c r="F539" s="125">
        <f>2</f>
        <v>2</v>
      </c>
      <c r="G539" s="125">
        <f>2</f>
        <v>2</v>
      </c>
      <c r="H539" s="125">
        <f>2</f>
        <v>2</v>
      </c>
      <c r="I539" s="125">
        <f>2</f>
        <v>2</v>
      </c>
      <c r="J539" s="125">
        <f>2</f>
        <v>2</v>
      </c>
      <c r="K539" s="125">
        <f>2</f>
        <v>2</v>
      </c>
      <c r="L539" s="125">
        <f>2</f>
        <v>2</v>
      </c>
      <c r="M539" s="125">
        <f>2</f>
        <v>2</v>
      </c>
      <c r="N539" s="125">
        <f>2</f>
        <v>2</v>
      </c>
      <c r="O539" s="125">
        <f>2</f>
        <v>2</v>
      </c>
      <c r="P539" s="125">
        <f>2</f>
        <v>2</v>
      </c>
      <c r="Q539" s="125">
        <f>2</f>
        <v>2</v>
      </c>
      <c r="R539" s="125">
        <f>2</f>
        <v>2</v>
      </c>
      <c r="S539" s="125">
        <f>2</f>
        <v>2</v>
      </c>
      <c r="T539" s="125">
        <f>2</f>
        <v>2</v>
      </c>
      <c r="U539" s="125">
        <f>2</f>
        <v>2</v>
      </c>
      <c r="V539" s="125">
        <f>2</f>
        <v>2</v>
      </c>
      <c r="W539" s="125">
        <f>2</f>
        <v>2</v>
      </c>
      <c r="X539" s="125">
        <f>2</f>
        <v>2</v>
      </c>
      <c r="Y539" s="125">
        <f>2</f>
        <v>2</v>
      </c>
      <c r="Z539" s="125">
        <f>2</f>
        <v>2</v>
      </c>
      <c r="AA539" s="125">
        <f>2</f>
        <v>2</v>
      </c>
      <c r="AB539" s="125">
        <f>2</f>
        <v>2</v>
      </c>
      <c r="AC539" s="125">
        <f>2</f>
        <v>2</v>
      </c>
      <c r="AD539" s="125">
        <f>2</f>
        <v>2</v>
      </c>
      <c r="AE539" s="125">
        <f>2</f>
        <v>2</v>
      </c>
      <c r="AF539" s="125">
        <f>2</f>
        <v>2</v>
      </c>
      <c r="AG539" s="126">
        <f>2</f>
        <v>2</v>
      </c>
      <c r="AH539" s="22"/>
    </row>
    <row r="540" spans="1:34" x14ac:dyDescent="0.25">
      <c r="A540" s="112"/>
      <c r="B540" s="136" t="s">
        <v>174</v>
      </c>
      <c r="C540" s="67" t="s">
        <v>59</v>
      </c>
      <c r="D540" s="125">
        <f>1</f>
        <v>1</v>
      </c>
      <c r="E540" s="125">
        <f>1</f>
        <v>1</v>
      </c>
      <c r="F540" s="125">
        <f>1</f>
        <v>1</v>
      </c>
      <c r="G540" s="125">
        <f>1</f>
        <v>1</v>
      </c>
      <c r="H540" s="125">
        <f>1</f>
        <v>1</v>
      </c>
      <c r="I540" s="125">
        <f>1</f>
        <v>1</v>
      </c>
      <c r="J540" s="125">
        <f>1</f>
        <v>1</v>
      </c>
      <c r="K540" s="125">
        <f>1</f>
        <v>1</v>
      </c>
      <c r="L540" s="125">
        <f>1</f>
        <v>1</v>
      </c>
      <c r="M540" s="125">
        <f>1</f>
        <v>1</v>
      </c>
      <c r="N540" s="125">
        <f>1</f>
        <v>1</v>
      </c>
      <c r="O540" s="125">
        <f>1</f>
        <v>1</v>
      </c>
      <c r="P540" s="125">
        <f>1</f>
        <v>1</v>
      </c>
      <c r="Q540" s="125">
        <f>1</f>
        <v>1</v>
      </c>
      <c r="R540" s="125">
        <f>1</f>
        <v>1</v>
      </c>
      <c r="S540" s="125">
        <f>1</f>
        <v>1</v>
      </c>
      <c r="T540" s="125">
        <f>1</f>
        <v>1</v>
      </c>
      <c r="U540" s="125">
        <f>1</f>
        <v>1</v>
      </c>
      <c r="V540" s="125">
        <f>1</f>
        <v>1</v>
      </c>
      <c r="W540" s="125">
        <f>1</f>
        <v>1</v>
      </c>
      <c r="X540" s="125">
        <f>1</f>
        <v>1</v>
      </c>
      <c r="Y540" s="125">
        <f>1</f>
        <v>1</v>
      </c>
      <c r="Z540" s="125">
        <f>1</f>
        <v>1</v>
      </c>
      <c r="AA540" s="125">
        <f>1</f>
        <v>1</v>
      </c>
      <c r="AB540" s="125">
        <f>1</f>
        <v>1</v>
      </c>
      <c r="AC540" s="125">
        <f>1</f>
        <v>1</v>
      </c>
      <c r="AD540" s="125">
        <f>1</f>
        <v>1</v>
      </c>
      <c r="AE540" s="125">
        <f>1</f>
        <v>1</v>
      </c>
      <c r="AF540" s="125">
        <f>1</f>
        <v>1</v>
      </c>
      <c r="AG540" s="126">
        <f>1</f>
        <v>1</v>
      </c>
      <c r="AH540" s="22"/>
    </row>
    <row r="541" spans="1:34" x14ac:dyDescent="0.25">
      <c r="A541" s="112"/>
      <c r="B541" s="136" t="s">
        <v>175</v>
      </c>
      <c r="C541" s="67" t="s">
        <v>59</v>
      </c>
      <c r="D541" s="125">
        <f>5</f>
        <v>5</v>
      </c>
      <c r="E541" s="125">
        <f>5</f>
        <v>5</v>
      </c>
      <c r="F541" s="125">
        <f>5</f>
        <v>5</v>
      </c>
      <c r="G541" s="125">
        <f>5</f>
        <v>5</v>
      </c>
      <c r="H541" s="125">
        <f>5</f>
        <v>5</v>
      </c>
      <c r="I541" s="125">
        <f>5</f>
        <v>5</v>
      </c>
      <c r="J541" s="125">
        <f>5</f>
        <v>5</v>
      </c>
      <c r="K541" s="125">
        <f>5</f>
        <v>5</v>
      </c>
      <c r="L541" s="125">
        <f>5</f>
        <v>5</v>
      </c>
      <c r="M541" s="125">
        <f>5</f>
        <v>5</v>
      </c>
      <c r="N541" s="125">
        <f>5</f>
        <v>5</v>
      </c>
      <c r="O541" s="125">
        <f>5</f>
        <v>5</v>
      </c>
      <c r="P541" s="125">
        <f>5</f>
        <v>5</v>
      </c>
      <c r="Q541" s="125">
        <f>5</f>
        <v>5</v>
      </c>
      <c r="R541" s="125">
        <f>5</f>
        <v>5</v>
      </c>
      <c r="S541" s="125">
        <f>5</f>
        <v>5</v>
      </c>
      <c r="T541" s="125">
        <f>5</f>
        <v>5</v>
      </c>
      <c r="U541" s="125">
        <f>5</f>
        <v>5</v>
      </c>
      <c r="V541" s="125">
        <f>5</f>
        <v>5</v>
      </c>
      <c r="W541" s="125">
        <f>5</f>
        <v>5</v>
      </c>
      <c r="X541" s="125">
        <f>5</f>
        <v>5</v>
      </c>
      <c r="Y541" s="125">
        <f>5</f>
        <v>5</v>
      </c>
      <c r="Z541" s="125">
        <f>5</f>
        <v>5</v>
      </c>
      <c r="AA541" s="125">
        <f>5</f>
        <v>5</v>
      </c>
      <c r="AB541" s="125">
        <f>5</f>
        <v>5</v>
      </c>
      <c r="AC541" s="125">
        <f>5</f>
        <v>5</v>
      </c>
      <c r="AD541" s="125">
        <f>5</f>
        <v>5</v>
      </c>
      <c r="AE541" s="125">
        <f>5</f>
        <v>5</v>
      </c>
      <c r="AF541" s="125">
        <f>5</f>
        <v>5</v>
      </c>
      <c r="AG541" s="126">
        <f>5</f>
        <v>5</v>
      </c>
      <c r="AH541" s="22"/>
    </row>
    <row r="542" spans="1:34" x14ac:dyDescent="0.25">
      <c r="A542" s="112"/>
      <c r="B542" s="136" t="s">
        <v>176</v>
      </c>
      <c r="C542" s="67" t="s">
        <v>59</v>
      </c>
      <c r="D542" s="125">
        <f>2</f>
        <v>2</v>
      </c>
      <c r="E542" s="125">
        <f>2</f>
        <v>2</v>
      </c>
      <c r="F542" s="125">
        <f>2</f>
        <v>2</v>
      </c>
      <c r="G542" s="125">
        <f>2</f>
        <v>2</v>
      </c>
      <c r="H542" s="125">
        <f>2</f>
        <v>2</v>
      </c>
      <c r="I542" s="125">
        <f>2</f>
        <v>2</v>
      </c>
      <c r="J542" s="125">
        <f>2</f>
        <v>2</v>
      </c>
      <c r="K542" s="125">
        <f>2</f>
        <v>2</v>
      </c>
      <c r="L542" s="125">
        <f>2</f>
        <v>2</v>
      </c>
      <c r="M542" s="125">
        <f>2</f>
        <v>2</v>
      </c>
      <c r="N542" s="125">
        <f>2</f>
        <v>2</v>
      </c>
      <c r="O542" s="125">
        <f>2</f>
        <v>2</v>
      </c>
      <c r="P542" s="125">
        <f>2</f>
        <v>2</v>
      </c>
      <c r="Q542" s="125">
        <f>2</f>
        <v>2</v>
      </c>
      <c r="R542" s="125">
        <f>2</f>
        <v>2</v>
      </c>
      <c r="S542" s="125">
        <f>2</f>
        <v>2</v>
      </c>
      <c r="T542" s="125">
        <f>2</f>
        <v>2</v>
      </c>
      <c r="U542" s="125">
        <f>2</f>
        <v>2</v>
      </c>
      <c r="V542" s="125">
        <f>2</f>
        <v>2</v>
      </c>
      <c r="W542" s="125">
        <f>2</f>
        <v>2</v>
      </c>
      <c r="X542" s="125">
        <f>2</f>
        <v>2</v>
      </c>
      <c r="Y542" s="125">
        <f>2</f>
        <v>2</v>
      </c>
      <c r="Z542" s="125">
        <f>2</f>
        <v>2</v>
      </c>
      <c r="AA542" s="125">
        <f>2</f>
        <v>2</v>
      </c>
      <c r="AB542" s="125">
        <f>2</f>
        <v>2</v>
      </c>
      <c r="AC542" s="125">
        <f>2</f>
        <v>2</v>
      </c>
      <c r="AD542" s="125">
        <f>2</f>
        <v>2</v>
      </c>
      <c r="AE542" s="125">
        <f>2</f>
        <v>2</v>
      </c>
      <c r="AF542" s="125">
        <f>2</f>
        <v>2</v>
      </c>
      <c r="AG542" s="126">
        <f>2</f>
        <v>2</v>
      </c>
      <c r="AH542" s="22"/>
    </row>
    <row r="543" spans="1:34" x14ac:dyDescent="0.25">
      <c r="A543" s="112"/>
      <c r="B543" s="136" t="s">
        <v>177</v>
      </c>
      <c r="C543" s="67" t="s">
        <v>59</v>
      </c>
      <c r="D543" s="125">
        <f>2</f>
        <v>2</v>
      </c>
      <c r="E543" s="125">
        <f>2</f>
        <v>2</v>
      </c>
      <c r="F543" s="125">
        <f>2</f>
        <v>2</v>
      </c>
      <c r="G543" s="125">
        <f>2</f>
        <v>2</v>
      </c>
      <c r="H543" s="125">
        <f>2</f>
        <v>2</v>
      </c>
      <c r="I543" s="125">
        <f>2</f>
        <v>2</v>
      </c>
      <c r="J543" s="125">
        <f>2</f>
        <v>2</v>
      </c>
      <c r="K543" s="125">
        <f>2</f>
        <v>2</v>
      </c>
      <c r="L543" s="125">
        <f>2</f>
        <v>2</v>
      </c>
      <c r="M543" s="125">
        <f>2</f>
        <v>2</v>
      </c>
      <c r="N543" s="125">
        <f>2</f>
        <v>2</v>
      </c>
      <c r="O543" s="125">
        <f>2</f>
        <v>2</v>
      </c>
      <c r="P543" s="125">
        <f>2</f>
        <v>2</v>
      </c>
      <c r="Q543" s="125">
        <f>2</f>
        <v>2</v>
      </c>
      <c r="R543" s="125">
        <f>2</f>
        <v>2</v>
      </c>
      <c r="S543" s="125">
        <f>2</f>
        <v>2</v>
      </c>
      <c r="T543" s="125">
        <f>2</f>
        <v>2</v>
      </c>
      <c r="U543" s="125">
        <f>2</f>
        <v>2</v>
      </c>
      <c r="V543" s="125">
        <f>2</f>
        <v>2</v>
      </c>
      <c r="W543" s="125">
        <f>2</f>
        <v>2</v>
      </c>
      <c r="X543" s="125">
        <f>2</f>
        <v>2</v>
      </c>
      <c r="Y543" s="125">
        <f>2</f>
        <v>2</v>
      </c>
      <c r="Z543" s="125">
        <f>2</f>
        <v>2</v>
      </c>
      <c r="AA543" s="125">
        <f>2</f>
        <v>2</v>
      </c>
      <c r="AB543" s="125">
        <f>2</f>
        <v>2</v>
      </c>
      <c r="AC543" s="125">
        <f>2</f>
        <v>2</v>
      </c>
      <c r="AD543" s="125">
        <f>2</f>
        <v>2</v>
      </c>
      <c r="AE543" s="125">
        <f>2</f>
        <v>2</v>
      </c>
      <c r="AF543" s="125">
        <f>2</f>
        <v>2</v>
      </c>
      <c r="AG543" s="126">
        <f>2</f>
        <v>2</v>
      </c>
      <c r="AH543" s="22"/>
    </row>
    <row r="544" spans="1:34" x14ac:dyDescent="0.25">
      <c r="A544" s="112"/>
      <c r="B544" s="136" t="s">
        <v>178</v>
      </c>
      <c r="C544" s="67" t="s">
        <v>59</v>
      </c>
      <c r="D544" s="125">
        <f>2</f>
        <v>2</v>
      </c>
      <c r="E544" s="125">
        <f>2</f>
        <v>2</v>
      </c>
      <c r="F544" s="125">
        <f>2</f>
        <v>2</v>
      </c>
      <c r="G544" s="125">
        <f>2</f>
        <v>2</v>
      </c>
      <c r="H544" s="125">
        <f>2</f>
        <v>2</v>
      </c>
      <c r="I544" s="125">
        <f>2</f>
        <v>2</v>
      </c>
      <c r="J544" s="125">
        <f>2</f>
        <v>2</v>
      </c>
      <c r="K544" s="125">
        <f>2</f>
        <v>2</v>
      </c>
      <c r="L544" s="125">
        <f>2</f>
        <v>2</v>
      </c>
      <c r="M544" s="125">
        <f>2</f>
        <v>2</v>
      </c>
      <c r="N544" s="125">
        <f>2</f>
        <v>2</v>
      </c>
      <c r="O544" s="125">
        <f>2</f>
        <v>2</v>
      </c>
      <c r="P544" s="125">
        <f>2</f>
        <v>2</v>
      </c>
      <c r="Q544" s="125">
        <f>2</f>
        <v>2</v>
      </c>
      <c r="R544" s="125">
        <f>2</f>
        <v>2</v>
      </c>
      <c r="S544" s="125">
        <f>2</f>
        <v>2</v>
      </c>
      <c r="T544" s="125">
        <f>2</f>
        <v>2</v>
      </c>
      <c r="U544" s="125">
        <f>2</f>
        <v>2</v>
      </c>
      <c r="V544" s="125">
        <f>2</f>
        <v>2</v>
      </c>
      <c r="W544" s="125">
        <f>2</f>
        <v>2</v>
      </c>
      <c r="X544" s="125">
        <f>2</f>
        <v>2</v>
      </c>
      <c r="Y544" s="125">
        <f>2</f>
        <v>2</v>
      </c>
      <c r="Z544" s="125">
        <f>2</f>
        <v>2</v>
      </c>
      <c r="AA544" s="125">
        <f>2</f>
        <v>2</v>
      </c>
      <c r="AB544" s="125">
        <f>2</f>
        <v>2</v>
      </c>
      <c r="AC544" s="125">
        <f>2</f>
        <v>2</v>
      </c>
      <c r="AD544" s="125">
        <f>2</f>
        <v>2</v>
      </c>
      <c r="AE544" s="125">
        <f>2</f>
        <v>2</v>
      </c>
      <c r="AF544" s="125">
        <f>2</f>
        <v>2</v>
      </c>
      <c r="AG544" s="126">
        <f>2</f>
        <v>2</v>
      </c>
      <c r="AH544" s="22"/>
    </row>
    <row r="545" spans="1:34" x14ac:dyDescent="0.25">
      <c r="A545" s="112"/>
      <c r="B545" s="136" t="s">
        <v>179</v>
      </c>
      <c r="C545" s="67" t="s">
        <v>59</v>
      </c>
      <c r="D545" s="125">
        <f>2</f>
        <v>2</v>
      </c>
      <c r="E545" s="125">
        <f>2</f>
        <v>2</v>
      </c>
      <c r="F545" s="125">
        <f>2</f>
        <v>2</v>
      </c>
      <c r="G545" s="125">
        <f>2</f>
        <v>2</v>
      </c>
      <c r="H545" s="125">
        <f>2</f>
        <v>2</v>
      </c>
      <c r="I545" s="125">
        <f>2</f>
        <v>2</v>
      </c>
      <c r="J545" s="125">
        <f>2</f>
        <v>2</v>
      </c>
      <c r="K545" s="125">
        <f>2</f>
        <v>2</v>
      </c>
      <c r="L545" s="125">
        <f>2</f>
        <v>2</v>
      </c>
      <c r="M545" s="125">
        <f>2</f>
        <v>2</v>
      </c>
      <c r="N545" s="125">
        <f>2</f>
        <v>2</v>
      </c>
      <c r="O545" s="125">
        <f>2</f>
        <v>2</v>
      </c>
      <c r="P545" s="125">
        <f>2</f>
        <v>2</v>
      </c>
      <c r="Q545" s="125">
        <f>2</f>
        <v>2</v>
      </c>
      <c r="R545" s="125">
        <f>2</f>
        <v>2</v>
      </c>
      <c r="S545" s="125">
        <f>2</f>
        <v>2</v>
      </c>
      <c r="T545" s="125">
        <f>2</f>
        <v>2</v>
      </c>
      <c r="U545" s="125">
        <f>2</f>
        <v>2</v>
      </c>
      <c r="V545" s="125">
        <f>2</f>
        <v>2</v>
      </c>
      <c r="W545" s="125">
        <f>2</f>
        <v>2</v>
      </c>
      <c r="X545" s="125">
        <f>2</f>
        <v>2</v>
      </c>
      <c r="Y545" s="125">
        <f>2</f>
        <v>2</v>
      </c>
      <c r="Z545" s="125">
        <f>2</f>
        <v>2</v>
      </c>
      <c r="AA545" s="125">
        <f>2</f>
        <v>2</v>
      </c>
      <c r="AB545" s="125">
        <f>2</f>
        <v>2</v>
      </c>
      <c r="AC545" s="125">
        <f>2</f>
        <v>2</v>
      </c>
      <c r="AD545" s="125">
        <f>2</f>
        <v>2</v>
      </c>
      <c r="AE545" s="125">
        <f>2</f>
        <v>2</v>
      </c>
      <c r="AF545" s="125">
        <f>2</f>
        <v>2</v>
      </c>
      <c r="AG545" s="126">
        <f>2</f>
        <v>2</v>
      </c>
      <c r="AH545" s="22"/>
    </row>
    <row r="546" spans="1:34" x14ac:dyDescent="0.25">
      <c r="A546" s="112"/>
      <c r="B546" s="120" t="s">
        <v>578</v>
      </c>
      <c r="C546" s="121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3"/>
      <c r="AH546" s="22"/>
    </row>
    <row r="547" spans="1:34" x14ac:dyDescent="0.25">
      <c r="A547" s="112"/>
      <c r="B547" s="120" t="s">
        <v>579</v>
      </c>
      <c r="C547" s="121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3"/>
      <c r="AH547" s="22"/>
    </row>
    <row r="548" spans="1:34" x14ac:dyDescent="0.25">
      <c r="A548" s="112"/>
      <c r="B548" s="136" t="s">
        <v>180</v>
      </c>
      <c r="C548" s="67" t="s">
        <v>59</v>
      </c>
      <c r="D548" s="125">
        <f>2</f>
        <v>2</v>
      </c>
      <c r="E548" s="125">
        <f>IF($B$5 &lt; 15,2,3)</f>
        <v>2</v>
      </c>
      <c r="F548" s="125">
        <f>IF($B$5 &lt; 15,2,3)</f>
        <v>2</v>
      </c>
      <c r="G548" s="125">
        <f>2</f>
        <v>2</v>
      </c>
      <c r="H548" s="125">
        <f>IF($B$5 &lt; 15,2,3)</f>
        <v>2</v>
      </c>
      <c r="I548" s="125">
        <f>IF($B$5 &lt; 15,2,3)</f>
        <v>2</v>
      </c>
      <c r="J548" s="125">
        <f>2</f>
        <v>2</v>
      </c>
      <c r="K548" s="125">
        <f>IF($B$5 &lt; 15,2,3)</f>
        <v>2</v>
      </c>
      <c r="L548" s="125">
        <f>2</f>
        <v>2</v>
      </c>
      <c r="M548" s="125">
        <f>IF($B$5 &lt; 15,2,3)</f>
        <v>2</v>
      </c>
      <c r="N548" s="125">
        <f>3</f>
        <v>3</v>
      </c>
      <c r="O548" s="125">
        <f>3</f>
        <v>3</v>
      </c>
      <c r="P548" s="125">
        <f>3</f>
        <v>3</v>
      </c>
      <c r="Q548" s="125">
        <f>3</f>
        <v>3</v>
      </c>
      <c r="R548" s="125">
        <f>3</f>
        <v>3</v>
      </c>
      <c r="S548" s="125">
        <f>3</f>
        <v>3</v>
      </c>
      <c r="T548" s="125">
        <f>3</f>
        <v>3</v>
      </c>
      <c r="U548" s="125">
        <f>3</f>
        <v>3</v>
      </c>
      <c r="V548" s="125">
        <f>3</f>
        <v>3</v>
      </c>
      <c r="W548" s="125">
        <f>3</f>
        <v>3</v>
      </c>
      <c r="X548" s="125">
        <f>2</f>
        <v>2</v>
      </c>
      <c r="Y548" s="125">
        <f>2</f>
        <v>2</v>
      </c>
      <c r="Z548" s="125">
        <f>2</f>
        <v>2</v>
      </c>
      <c r="AA548" s="125">
        <f>2</f>
        <v>2</v>
      </c>
      <c r="AB548" s="125">
        <f>2</f>
        <v>2</v>
      </c>
      <c r="AC548" s="125">
        <f>2</f>
        <v>2</v>
      </c>
      <c r="AD548" s="125">
        <f>2</f>
        <v>2</v>
      </c>
      <c r="AE548" s="125">
        <f>2</f>
        <v>2</v>
      </c>
      <c r="AF548" s="125">
        <f>2</f>
        <v>2</v>
      </c>
      <c r="AG548" s="126">
        <f>2</f>
        <v>2</v>
      </c>
      <c r="AH548" s="22"/>
    </row>
    <row r="549" spans="1:34" x14ac:dyDescent="0.25">
      <c r="A549" s="112"/>
      <c r="B549" s="136" t="s">
        <v>572</v>
      </c>
      <c r="C549" s="67" t="s">
        <v>59</v>
      </c>
      <c r="D549" s="125">
        <f>2</f>
        <v>2</v>
      </c>
      <c r="E549" s="125">
        <f>2</f>
        <v>2</v>
      </c>
      <c r="F549" s="125">
        <f>2</f>
        <v>2</v>
      </c>
      <c r="G549" s="125">
        <f>2</f>
        <v>2</v>
      </c>
      <c r="H549" s="125">
        <f>2</f>
        <v>2</v>
      </c>
      <c r="I549" s="125">
        <f>2</f>
        <v>2</v>
      </c>
      <c r="J549" s="125">
        <f>2</f>
        <v>2</v>
      </c>
      <c r="K549" s="125">
        <f>2</f>
        <v>2</v>
      </c>
      <c r="L549" s="125">
        <f>2</f>
        <v>2</v>
      </c>
      <c r="M549" s="125">
        <f>2</f>
        <v>2</v>
      </c>
      <c r="N549" s="125">
        <f>2</f>
        <v>2</v>
      </c>
      <c r="O549" s="125">
        <f>2</f>
        <v>2</v>
      </c>
      <c r="P549" s="125">
        <f>2</f>
        <v>2</v>
      </c>
      <c r="Q549" s="125">
        <f>2</f>
        <v>2</v>
      </c>
      <c r="R549" s="125">
        <f>2</f>
        <v>2</v>
      </c>
      <c r="S549" s="125">
        <f>2</f>
        <v>2</v>
      </c>
      <c r="T549" s="125">
        <f>2</f>
        <v>2</v>
      </c>
      <c r="U549" s="125">
        <f>2</f>
        <v>2</v>
      </c>
      <c r="V549" s="125">
        <f>2</f>
        <v>2</v>
      </c>
      <c r="W549" s="125">
        <f>2</f>
        <v>2</v>
      </c>
      <c r="X549" s="125">
        <f>2</f>
        <v>2</v>
      </c>
      <c r="Y549" s="125">
        <f>2</f>
        <v>2</v>
      </c>
      <c r="Z549" s="125">
        <f>2</f>
        <v>2</v>
      </c>
      <c r="AA549" s="125">
        <f>2</f>
        <v>2</v>
      </c>
      <c r="AB549" s="125">
        <f>2</f>
        <v>2</v>
      </c>
      <c r="AC549" s="125">
        <f>2</f>
        <v>2</v>
      </c>
      <c r="AD549" s="125">
        <f>2</f>
        <v>2</v>
      </c>
      <c r="AE549" s="125">
        <f>2</f>
        <v>2</v>
      </c>
      <c r="AF549" s="125">
        <f>2</f>
        <v>2</v>
      </c>
      <c r="AG549" s="126">
        <f>2</f>
        <v>2</v>
      </c>
      <c r="AH549" s="22"/>
    </row>
    <row r="550" spans="1:34" x14ac:dyDescent="0.25">
      <c r="A550" s="112"/>
      <c r="B550" s="136" t="s">
        <v>181</v>
      </c>
      <c r="C550" s="67" t="s">
        <v>59</v>
      </c>
      <c r="D550" s="125">
        <f>2</f>
        <v>2</v>
      </c>
      <c r="E550" s="125">
        <f>2</f>
        <v>2</v>
      </c>
      <c r="F550" s="125">
        <f>2</f>
        <v>2</v>
      </c>
      <c r="G550" s="125">
        <f>2</f>
        <v>2</v>
      </c>
      <c r="H550" s="125">
        <f>2</f>
        <v>2</v>
      </c>
      <c r="I550" s="125">
        <f>2</f>
        <v>2</v>
      </c>
      <c r="J550" s="125">
        <f>2</f>
        <v>2</v>
      </c>
      <c r="K550" s="125">
        <f>2</f>
        <v>2</v>
      </c>
      <c r="L550" s="125">
        <f>2</f>
        <v>2</v>
      </c>
      <c r="M550" s="125">
        <f>2</f>
        <v>2</v>
      </c>
      <c r="N550" s="125">
        <f>2</f>
        <v>2</v>
      </c>
      <c r="O550" s="125">
        <f>2</f>
        <v>2</v>
      </c>
      <c r="P550" s="125">
        <f>2</f>
        <v>2</v>
      </c>
      <c r="Q550" s="125">
        <f>2</f>
        <v>2</v>
      </c>
      <c r="R550" s="125">
        <f>2</f>
        <v>2</v>
      </c>
      <c r="S550" s="125">
        <f>2</f>
        <v>2</v>
      </c>
      <c r="T550" s="125">
        <f>2</f>
        <v>2</v>
      </c>
      <c r="U550" s="125">
        <f>2</f>
        <v>2</v>
      </c>
      <c r="V550" s="125">
        <f>2</f>
        <v>2</v>
      </c>
      <c r="W550" s="125">
        <f>2</f>
        <v>2</v>
      </c>
      <c r="X550" s="125">
        <f>2</f>
        <v>2</v>
      </c>
      <c r="Y550" s="125">
        <f>2</f>
        <v>2</v>
      </c>
      <c r="Z550" s="125">
        <f>2</f>
        <v>2</v>
      </c>
      <c r="AA550" s="125">
        <f>2</f>
        <v>2</v>
      </c>
      <c r="AB550" s="125">
        <f>2</f>
        <v>2</v>
      </c>
      <c r="AC550" s="125">
        <f>2</f>
        <v>2</v>
      </c>
      <c r="AD550" s="125">
        <f>2</f>
        <v>2</v>
      </c>
      <c r="AE550" s="125">
        <f>2</f>
        <v>2</v>
      </c>
      <c r="AF550" s="125">
        <f>2</f>
        <v>2</v>
      </c>
      <c r="AG550" s="126">
        <f>2</f>
        <v>2</v>
      </c>
      <c r="AH550" s="22"/>
    </row>
    <row r="551" spans="1:34" x14ac:dyDescent="0.25">
      <c r="A551" s="112"/>
      <c r="B551" s="136" t="s">
        <v>182</v>
      </c>
      <c r="C551" s="67" t="s">
        <v>59</v>
      </c>
      <c r="D551" s="125">
        <f>2</f>
        <v>2</v>
      </c>
      <c r="E551" s="125">
        <f>2</f>
        <v>2</v>
      </c>
      <c r="F551" s="125">
        <f>2</f>
        <v>2</v>
      </c>
      <c r="G551" s="125">
        <f>2</f>
        <v>2</v>
      </c>
      <c r="H551" s="125">
        <f>2</f>
        <v>2</v>
      </c>
      <c r="I551" s="125">
        <f>2</f>
        <v>2</v>
      </c>
      <c r="J551" s="125">
        <f>2</f>
        <v>2</v>
      </c>
      <c r="K551" s="125">
        <f>2</f>
        <v>2</v>
      </c>
      <c r="L551" s="125">
        <f>2</f>
        <v>2</v>
      </c>
      <c r="M551" s="125">
        <f>2</f>
        <v>2</v>
      </c>
      <c r="N551" s="125">
        <f>2</f>
        <v>2</v>
      </c>
      <c r="O551" s="125">
        <f>2</f>
        <v>2</v>
      </c>
      <c r="P551" s="125">
        <f>2</f>
        <v>2</v>
      </c>
      <c r="Q551" s="125">
        <f>2</f>
        <v>2</v>
      </c>
      <c r="R551" s="125">
        <f>2</f>
        <v>2</v>
      </c>
      <c r="S551" s="125">
        <f>2</f>
        <v>2</v>
      </c>
      <c r="T551" s="125">
        <f>2</f>
        <v>2</v>
      </c>
      <c r="U551" s="125">
        <f>2</f>
        <v>2</v>
      </c>
      <c r="V551" s="125">
        <f>2</f>
        <v>2</v>
      </c>
      <c r="W551" s="125">
        <f>2</f>
        <v>2</v>
      </c>
      <c r="X551" s="125">
        <f>2</f>
        <v>2</v>
      </c>
      <c r="Y551" s="125">
        <f>2</f>
        <v>2</v>
      </c>
      <c r="Z551" s="125">
        <f>2</f>
        <v>2</v>
      </c>
      <c r="AA551" s="125">
        <f>2</f>
        <v>2</v>
      </c>
      <c r="AB551" s="125">
        <f>2</f>
        <v>2</v>
      </c>
      <c r="AC551" s="125">
        <f>2</f>
        <v>2</v>
      </c>
      <c r="AD551" s="125">
        <f>2</f>
        <v>2</v>
      </c>
      <c r="AE551" s="125">
        <f>2</f>
        <v>2</v>
      </c>
      <c r="AF551" s="125">
        <f>2</f>
        <v>2</v>
      </c>
      <c r="AG551" s="126">
        <f>2</f>
        <v>2</v>
      </c>
      <c r="AH551" s="22"/>
    </row>
    <row r="552" spans="1:34" ht="25.5" x14ac:dyDescent="0.25">
      <c r="A552" s="112"/>
      <c r="B552" s="136" t="s">
        <v>189</v>
      </c>
      <c r="C552" s="67" t="s">
        <v>59</v>
      </c>
      <c r="D552" s="125">
        <f>1</f>
        <v>1</v>
      </c>
      <c r="E552" s="125">
        <f>1</f>
        <v>1</v>
      </c>
      <c r="F552" s="125">
        <f>1</f>
        <v>1</v>
      </c>
      <c r="G552" s="125">
        <f>1</f>
        <v>1</v>
      </c>
      <c r="H552" s="125">
        <f>1</f>
        <v>1</v>
      </c>
      <c r="I552" s="125">
        <f>1</f>
        <v>1</v>
      </c>
      <c r="J552" s="125">
        <f>1</f>
        <v>1</v>
      </c>
      <c r="K552" s="125">
        <f>1</f>
        <v>1</v>
      </c>
      <c r="L552" s="125">
        <f>1</f>
        <v>1</v>
      </c>
      <c r="M552" s="125">
        <f>1</f>
        <v>1</v>
      </c>
      <c r="N552" s="125">
        <f>1</f>
        <v>1</v>
      </c>
      <c r="O552" s="125">
        <f>1</f>
        <v>1</v>
      </c>
      <c r="P552" s="125">
        <f>1</f>
        <v>1</v>
      </c>
      <c r="Q552" s="125">
        <f>1</f>
        <v>1</v>
      </c>
      <c r="R552" s="125">
        <f>1</f>
        <v>1</v>
      </c>
      <c r="S552" s="125">
        <f>1</f>
        <v>1</v>
      </c>
      <c r="T552" s="125">
        <f>1</f>
        <v>1</v>
      </c>
      <c r="U552" s="125">
        <f>1</f>
        <v>1</v>
      </c>
      <c r="V552" s="125">
        <f>1</f>
        <v>1</v>
      </c>
      <c r="W552" s="125">
        <f>1</f>
        <v>1</v>
      </c>
      <c r="X552" s="125">
        <f>1</f>
        <v>1</v>
      </c>
      <c r="Y552" s="125">
        <f>1</f>
        <v>1</v>
      </c>
      <c r="Z552" s="125">
        <f>1</f>
        <v>1</v>
      </c>
      <c r="AA552" s="125">
        <f>1</f>
        <v>1</v>
      </c>
      <c r="AB552" s="125">
        <f>1</f>
        <v>1</v>
      </c>
      <c r="AC552" s="125">
        <f>1</f>
        <v>1</v>
      </c>
      <c r="AD552" s="125">
        <f>1</f>
        <v>1</v>
      </c>
      <c r="AE552" s="125">
        <f>1</f>
        <v>1</v>
      </c>
      <c r="AF552" s="125">
        <f>1</f>
        <v>1</v>
      </c>
      <c r="AG552" s="126">
        <f>1</f>
        <v>1</v>
      </c>
      <c r="AH552" s="22"/>
    </row>
    <row r="553" spans="1:34" x14ac:dyDescent="0.25">
      <c r="A553" s="112"/>
      <c r="B553" s="136" t="s">
        <v>183</v>
      </c>
      <c r="C553" s="67" t="s">
        <v>59</v>
      </c>
      <c r="D553" s="125">
        <f>2</f>
        <v>2</v>
      </c>
      <c r="E553" s="125">
        <f>2</f>
        <v>2</v>
      </c>
      <c r="F553" s="125">
        <f>2</f>
        <v>2</v>
      </c>
      <c r="G553" s="125">
        <f>2</f>
        <v>2</v>
      </c>
      <c r="H553" s="125">
        <f>2</f>
        <v>2</v>
      </c>
      <c r="I553" s="125">
        <f>2</f>
        <v>2</v>
      </c>
      <c r="J553" s="125">
        <f>2</f>
        <v>2</v>
      </c>
      <c r="K553" s="125">
        <f>2</f>
        <v>2</v>
      </c>
      <c r="L553" s="125">
        <f>2</f>
        <v>2</v>
      </c>
      <c r="M553" s="125">
        <f>2</f>
        <v>2</v>
      </c>
      <c r="N553" s="125">
        <f>2</f>
        <v>2</v>
      </c>
      <c r="O553" s="125">
        <f>2</f>
        <v>2</v>
      </c>
      <c r="P553" s="125">
        <f>2</f>
        <v>2</v>
      </c>
      <c r="Q553" s="125">
        <f>2</f>
        <v>2</v>
      </c>
      <c r="R553" s="125">
        <f>2</f>
        <v>2</v>
      </c>
      <c r="S553" s="125">
        <f>2</f>
        <v>2</v>
      </c>
      <c r="T553" s="125">
        <f>2</f>
        <v>2</v>
      </c>
      <c r="U553" s="125">
        <f>2</f>
        <v>2</v>
      </c>
      <c r="V553" s="125">
        <f>2</f>
        <v>2</v>
      </c>
      <c r="W553" s="125">
        <f>2</f>
        <v>2</v>
      </c>
      <c r="X553" s="125">
        <f>2</f>
        <v>2</v>
      </c>
      <c r="Y553" s="125">
        <f>2</f>
        <v>2</v>
      </c>
      <c r="Z553" s="125">
        <f>2</f>
        <v>2</v>
      </c>
      <c r="AA553" s="125">
        <f>2</f>
        <v>2</v>
      </c>
      <c r="AB553" s="125">
        <f>2</f>
        <v>2</v>
      </c>
      <c r="AC553" s="125">
        <f>2</f>
        <v>2</v>
      </c>
      <c r="AD553" s="125">
        <f>2</f>
        <v>2</v>
      </c>
      <c r="AE553" s="125">
        <f>2</f>
        <v>2</v>
      </c>
      <c r="AF553" s="125">
        <f>2</f>
        <v>2</v>
      </c>
      <c r="AG553" s="126">
        <f>2</f>
        <v>2</v>
      </c>
      <c r="AH553" s="22"/>
    </row>
    <row r="554" spans="1:34" ht="25.5" x14ac:dyDescent="0.25">
      <c r="A554" s="112"/>
      <c r="B554" s="136" t="s">
        <v>573</v>
      </c>
      <c r="C554" s="67" t="s">
        <v>59</v>
      </c>
      <c r="D554" s="125">
        <f>1</f>
        <v>1</v>
      </c>
      <c r="E554" s="125">
        <f>1</f>
        <v>1</v>
      </c>
      <c r="F554" s="125">
        <f>1</f>
        <v>1</v>
      </c>
      <c r="G554" s="125">
        <f>1</f>
        <v>1</v>
      </c>
      <c r="H554" s="125">
        <f>1</f>
        <v>1</v>
      </c>
      <c r="I554" s="125">
        <f>1</f>
        <v>1</v>
      </c>
      <c r="J554" s="125">
        <f>1</f>
        <v>1</v>
      </c>
      <c r="K554" s="125">
        <f>1</f>
        <v>1</v>
      </c>
      <c r="L554" s="125">
        <f>1</f>
        <v>1</v>
      </c>
      <c r="M554" s="125">
        <f>1</f>
        <v>1</v>
      </c>
      <c r="N554" s="125">
        <f>1</f>
        <v>1</v>
      </c>
      <c r="O554" s="125">
        <f>1</f>
        <v>1</v>
      </c>
      <c r="P554" s="125">
        <f>1</f>
        <v>1</v>
      </c>
      <c r="Q554" s="125">
        <f>1</f>
        <v>1</v>
      </c>
      <c r="R554" s="125">
        <f>1</f>
        <v>1</v>
      </c>
      <c r="S554" s="125">
        <f>1</f>
        <v>1</v>
      </c>
      <c r="T554" s="125">
        <f>1</f>
        <v>1</v>
      </c>
      <c r="U554" s="125">
        <f>1</f>
        <v>1</v>
      </c>
      <c r="V554" s="125">
        <f>1</f>
        <v>1</v>
      </c>
      <c r="W554" s="125">
        <f>1</f>
        <v>1</v>
      </c>
      <c r="X554" s="125">
        <f>1</f>
        <v>1</v>
      </c>
      <c r="Y554" s="125">
        <f>1</f>
        <v>1</v>
      </c>
      <c r="Z554" s="125">
        <f>1</f>
        <v>1</v>
      </c>
      <c r="AA554" s="125">
        <f>1</f>
        <v>1</v>
      </c>
      <c r="AB554" s="125">
        <f>1</f>
        <v>1</v>
      </c>
      <c r="AC554" s="125">
        <f>1</f>
        <v>1</v>
      </c>
      <c r="AD554" s="125">
        <f>1</f>
        <v>1</v>
      </c>
      <c r="AE554" s="125">
        <f>1</f>
        <v>1</v>
      </c>
      <c r="AF554" s="125">
        <f>1</f>
        <v>1</v>
      </c>
      <c r="AG554" s="126">
        <f>1</f>
        <v>1</v>
      </c>
      <c r="AH554" s="22"/>
    </row>
    <row r="555" spans="1:34" x14ac:dyDescent="0.25">
      <c r="A555" s="112"/>
      <c r="B555" s="136" t="s">
        <v>454</v>
      </c>
      <c r="C555" s="67" t="s">
        <v>59</v>
      </c>
      <c r="D555" s="125">
        <f>6</f>
        <v>6</v>
      </c>
      <c r="E555" s="125">
        <f>6</f>
        <v>6</v>
      </c>
      <c r="F555" s="125">
        <f>6</f>
        <v>6</v>
      </c>
      <c r="G555" s="125">
        <f>6</f>
        <v>6</v>
      </c>
      <c r="H555" s="125">
        <f>6</f>
        <v>6</v>
      </c>
      <c r="I555" s="125">
        <f>6</f>
        <v>6</v>
      </c>
      <c r="J555" s="125">
        <f>6</f>
        <v>6</v>
      </c>
      <c r="K555" s="125">
        <f>6</f>
        <v>6</v>
      </c>
      <c r="L555" s="125">
        <f>6</f>
        <v>6</v>
      </c>
      <c r="M555" s="125">
        <f>6</f>
        <v>6</v>
      </c>
      <c r="N555" s="125">
        <f>6</f>
        <v>6</v>
      </c>
      <c r="O555" s="125">
        <f>6</f>
        <v>6</v>
      </c>
      <c r="P555" s="125">
        <f>6</f>
        <v>6</v>
      </c>
      <c r="Q555" s="125">
        <f>6</f>
        <v>6</v>
      </c>
      <c r="R555" s="125">
        <f>6</f>
        <v>6</v>
      </c>
      <c r="S555" s="125">
        <f>6</f>
        <v>6</v>
      </c>
      <c r="T555" s="125">
        <f>6</f>
        <v>6</v>
      </c>
      <c r="U555" s="125">
        <f>6</f>
        <v>6</v>
      </c>
      <c r="V555" s="125">
        <f>6</f>
        <v>6</v>
      </c>
      <c r="W555" s="125">
        <f>6</f>
        <v>6</v>
      </c>
      <c r="X555" s="125">
        <f>6</f>
        <v>6</v>
      </c>
      <c r="Y555" s="125">
        <f>6</f>
        <v>6</v>
      </c>
      <c r="Z555" s="125">
        <f>6</f>
        <v>6</v>
      </c>
      <c r="AA555" s="125">
        <f>6</f>
        <v>6</v>
      </c>
      <c r="AB555" s="125">
        <f>6</f>
        <v>6</v>
      </c>
      <c r="AC555" s="125">
        <f>6</f>
        <v>6</v>
      </c>
      <c r="AD555" s="125">
        <f>6</f>
        <v>6</v>
      </c>
      <c r="AE555" s="125">
        <f>6</f>
        <v>6</v>
      </c>
      <c r="AF555" s="125">
        <f>6</f>
        <v>6</v>
      </c>
      <c r="AG555" s="126">
        <f>6</f>
        <v>6</v>
      </c>
      <c r="AH555" s="22"/>
    </row>
    <row r="556" spans="1:34" x14ac:dyDescent="0.25">
      <c r="A556" s="112"/>
      <c r="B556" s="120" t="s">
        <v>580</v>
      </c>
      <c r="C556" s="121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  <c r="AF556" s="127"/>
      <c r="AG556" s="128"/>
      <c r="AH556" s="22"/>
    </row>
    <row r="557" spans="1:34" x14ac:dyDescent="0.25">
      <c r="A557" s="112"/>
      <c r="B557" s="136" t="s">
        <v>574</v>
      </c>
      <c r="C557" s="67" t="s">
        <v>59</v>
      </c>
      <c r="D557" s="125">
        <f>8</f>
        <v>8</v>
      </c>
      <c r="E557" s="125">
        <f>8</f>
        <v>8</v>
      </c>
      <c r="F557" s="125">
        <f>8</f>
        <v>8</v>
      </c>
      <c r="G557" s="125">
        <f>8</f>
        <v>8</v>
      </c>
      <c r="H557" s="125">
        <f>8</f>
        <v>8</v>
      </c>
      <c r="I557" s="125">
        <f>8</f>
        <v>8</v>
      </c>
      <c r="J557" s="125">
        <f>8</f>
        <v>8</v>
      </c>
      <c r="K557" s="125">
        <f>8</f>
        <v>8</v>
      </c>
      <c r="L557" s="125">
        <f>8</f>
        <v>8</v>
      </c>
      <c r="M557" s="125">
        <f>8</f>
        <v>8</v>
      </c>
      <c r="N557" s="125">
        <f>8</f>
        <v>8</v>
      </c>
      <c r="O557" s="125">
        <f>8</f>
        <v>8</v>
      </c>
      <c r="P557" s="125">
        <f>8</f>
        <v>8</v>
      </c>
      <c r="Q557" s="125">
        <f>8</f>
        <v>8</v>
      </c>
      <c r="R557" s="125">
        <f>8</f>
        <v>8</v>
      </c>
      <c r="S557" s="125">
        <f>8</f>
        <v>8</v>
      </c>
      <c r="T557" s="125">
        <f>8</f>
        <v>8</v>
      </c>
      <c r="U557" s="125">
        <f>8</f>
        <v>8</v>
      </c>
      <c r="V557" s="125">
        <f>8</f>
        <v>8</v>
      </c>
      <c r="W557" s="125">
        <f>8</f>
        <v>8</v>
      </c>
      <c r="X557" s="125">
        <f>8</f>
        <v>8</v>
      </c>
      <c r="Y557" s="125">
        <f>8</f>
        <v>8</v>
      </c>
      <c r="Z557" s="125">
        <f>8</f>
        <v>8</v>
      </c>
      <c r="AA557" s="125">
        <f>8</f>
        <v>8</v>
      </c>
      <c r="AB557" s="125">
        <f>8</f>
        <v>8</v>
      </c>
      <c r="AC557" s="125">
        <f>8</f>
        <v>8</v>
      </c>
      <c r="AD557" s="125">
        <f>8</f>
        <v>8</v>
      </c>
      <c r="AE557" s="125">
        <f>8</f>
        <v>8</v>
      </c>
      <c r="AF557" s="125">
        <f>8</f>
        <v>8</v>
      </c>
      <c r="AG557" s="126">
        <f>8</f>
        <v>8</v>
      </c>
      <c r="AH557" s="22"/>
    </row>
    <row r="558" spans="1:34" x14ac:dyDescent="0.25">
      <c r="A558" s="112"/>
      <c r="B558" s="136" t="s">
        <v>184</v>
      </c>
      <c r="C558" s="67" t="s">
        <v>59</v>
      </c>
      <c r="D558" s="125">
        <f>8</f>
        <v>8</v>
      </c>
      <c r="E558" s="125">
        <f>8</f>
        <v>8</v>
      </c>
      <c r="F558" s="125">
        <f>8</f>
        <v>8</v>
      </c>
      <c r="G558" s="125">
        <f>8</f>
        <v>8</v>
      </c>
      <c r="H558" s="125">
        <f>8</f>
        <v>8</v>
      </c>
      <c r="I558" s="125">
        <f>8</f>
        <v>8</v>
      </c>
      <c r="J558" s="125">
        <f>8</f>
        <v>8</v>
      </c>
      <c r="K558" s="125">
        <f>8</f>
        <v>8</v>
      </c>
      <c r="L558" s="125">
        <f>8</f>
        <v>8</v>
      </c>
      <c r="M558" s="125">
        <f>8</f>
        <v>8</v>
      </c>
      <c r="N558" s="125">
        <f>8</f>
        <v>8</v>
      </c>
      <c r="O558" s="125">
        <f>8</f>
        <v>8</v>
      </c>
      <c r="P558" s="125">
        <f>8</f>
        <v>8</v>
      </c>
      <c r="Q558" s="125">
        <f>8</f>
        <v>8</v>
      </c>
      <c r="R558" s="125">
        <f>8</f>
        <v>8</v>
      </c>
      <c r="S558" s="125">
        <f>8</f>
        <v>8</v>
      </c>
      <c r="T558" s="125">
        <f>8</f>
        <v>8</v>
      </c>
      <c r="U558" s="125">
        <f>8</f>
        <v>8</v>
      </c>
      <c r="V558" s="125">
        <f>8</f>
        <v>8</v>
      </c>
      <c r="W558" s="125">
        <f>8</f>
        <v>8</v>
      </c>
      <c r="X558" s="125">
        <f>8</f>
        <v>8</v>
      </c>
      <c r="Y558" s="125">
        <f>8</f>
        <v>8</v>
      </c>
      <c r="Z558" s="125">
        <f>8</f>
        <v>8</v>
      </c>
      <c r="AA558" s="125">
        <f>8</f>
        <v>8</v>
      </c>
      <c r="AB558" s="125">
        <f>8</f>
        <v>8</v>
      </c>
      <c r="AC558" s="125">
        <f>8</f>
        <v>8</v>
      </c>
      <c r="AD558" s="125">
        <f>8</f>
        <v>8</v>
      </c>
      <c r="AE558" s="125">
        <f>8</f>
        <v>8</v>
      </c>
      <c r="AF558" s="125">
        <f>8</f>
        <v>8</v>
      </c>
      <c r="AG558" s="126">
        <f>8</f>
        <v>8</v>
      </c>
      <c r="AH558" s="22"/>
    </row>
    <row r="559" spans="1:34" x14ac:dyDescent="0.25">
      <c r="A559" s="112"/>
      <c r="B559" s="136" t="s">
        <v>185</v>
      </c>
      <c r="C559" s="67" t="s">
        <v>59</v>
      </c>
      <c r="D559" s="125">
        <f>8</f>
        <v>8</v>
      </c>
      <c r="E559" s="125">
        <f>8</f>
        <v>8</v>
      </c>
      <c r="F559" s="125">
        <f>8</f>
        <v>8</v>
      </c>
      <c r="G559" s="125">
        <f>8</f>
        <v>8</v>
      </c>
      <c r="H559" s="125">
        <f>8</f>
        <v>8</v>
      </c>
      <c r="I559" s="125">
        <f>8</f>
        <v>8</v>
      </c>
      <c r="J559" s="125">
        <f>8</f>
        <v>8</v>
      </c>
      <c r="K559" s="125">
        <f>8</f>
        <v>8</v>
      </c>
      <c r="L559" s="125">
        <f>8</f>
        <v>8</v>
      </c>
      <c r="M559" s="125">
        <f>8</f>
        <v>8</v>
      </c>
      <c r="N559" s="125">
        <f>8</f>
        <v>8</v>
      </c>
      <c r="O559" s="125">
        <f>8</f>
        <v>8</v>
      </c>
      <c r="P559" s="125">
        <f>8</f>
        <v>8</v>
      </c>
      <c r="Q559" s="125">
        <f>8</f>
        <v>8</v>
      </c>
      <c r="R559" s="125">
        <f>8</f>
        <v>8</v>
      </c>
      <c r="S559" s="125">
        <f>8</f>
        <v>8</v>
      </c>
      <c r="T559" s="125">
        <f>8</f>
        <v>8</v>
      </c>
      <c r="U559" s="125">
        <f>8</f>
        <v>8</v>
      </c>
      <c r="V559" s="125">
        <f>8</f>
        <v>8</v>
      </c>
      <c r="W559" s="125">
        <f>8</f>
        <v>8</v>
      </c>
      <c r="X559" s="125">
        <f>8</f>
        <v>8</v>
      </c>
      <c r="Y559" s="125">
        <f>8</f>
        <v>8</v>
      </c>
      <c r="Z559" s="125">
        <f>8</f>
        <v>8</v>
      </c>
      <c r="AA559" s="125">
        <f>8</f>
        <v>8</v>
      </c>
      <c r="AB559" s="125">
        <f>8</f>
        <v>8</v>
      </c>
      <c r="AC559" s="125">
        <f>8</f>
        <v>8</v>
      </c>
      <c r="AD559" s="125">
        <f>8</f>
        <v>8</v>
      </c>
      <c r="AE559" s="125">
        <f>8</f>
        <v>8</v>
      </c>
      <c r="AF559" s="125">
        <f>8</f>
        <v>8</v>
      </c>
      <c r="AG559" s="126">
        <f>8</f>
        <v>8</v>
      </c>
      <c r="AH559" s="22"/>
    </row>
    <row r="560" spans="1:34" x14ac:dyDescent="0.25">
      <c r="A560" s="112"/>
      <c r="B560" s="136" t="s">
        <v>186</v>
      </c>
      <c r="C560" s="67" t="s">
        <v>59</v>
      </c>
      <c r="D560" s="125">
        <f>2</f>
        <v>2</v>
      </c>
      <c r="E560" s="125">
        <f>2</f>
        <v>2</v>
      </c>
      <c r="F560" s="125">
        <f>2</f>
        <v>2</v>
      </c>
      <c r="G560" s="125">
        <f>2</f>
        <v>2</v>
      </c>
      <c r="H560" s="125">
        <f>2</f>
        <v>2</v>
      </c>
      <c r="I560" s="125">
        <f>2</f>
        <v>2</v>
      </c>
      <c r="J560" s="125">
        <f>2</f>
        <v>2</v>
      </c>
      <c r="K560" s="125">
        <f>2</f>
        <v>2</v>
      </c>
      <c r="L560" s="125">
        <f>2</f>
        <v>2</v>
      </c>
      <c r="M560" s="125">
        <f>2</f>
        <v>2</v>
      </c>
      <c r="N560" s="125">
        <f>2</f>
        <v>2</v>
      </c>
      <c r="O560" s="125">
        <f>2</f>
        <v>2</v>
      </c>
      <c r="P560" s="125">
        <f>2</f>
        <v>2</v>
      </c>
      <c r="Q560" s="125">
        <f>2</f>
        <v>2</v>
      </c>
      <c r="R560" s="125">
        <f>2</f>
        <v>2</v>
      </c>
      <c r="S560" s="125">
        <f>2</f>
        <v>2</v>
      </c>
      <c r="T560" s="125">
        <f>2</f>
        <v>2</v>
      </c>
      <c r="U560" s="125">
        <f>2</f>
        <v>2</v>
      </c>
      <c r="V560" s="125">
        <f>2</f>
        <v>2</v>
      </c>
      <c r="W560" s="125">
        <f>2</f>
        <v>2</v>
      </c>
      <c r="X560" s="125">
        <f t="shared" ref="X560:AG560" si="182">IF($B$5 &lt; 15,2,3)</f>
        <v>2</v>
      </c>
      <c r="Y560" s="125">
        <f t="shared" si="182"/>
        <v>2</v>
      </c>
      <c r="Z560" s="125">
        <f t="shared" si="182"/>
        <v>2</v>
      </c>
      <c r="AA560" s="125">
        <f t="shared" si="182"/>
        <v>2</v>
      </c>
      <c r="AB560" s="125">
        <f t="shared" si="182"/>
        <v>2</v>
      </c>
      <c r="AC560" s="125">
        <f t="shared" si="182"/>
        <v>2</v>
      </c>
      <c r="AD560" s="125">
        <f t="shared" si="182"/>
        <v>2</v>
      </c>
      <c r="AE560" s="125">
        <f t="shared" si="182"/>
        <v>2</v>
      </c>
      <c r="AF560" s="125">
        <f t="shared" si="182"/>
        <v>2</v>
      </c>
      <c r="AG560" s="126">
        <f t="shared" si="182"/>
        <v>2</v>
      </c>
      <c r="AH560" s="22"/>
    </row>
    <row r="561" spans="1:34" x14ac:dyDescent="0.25">
      <c r="A561" s="112"/>
      <c r="B561" s="136" t="s">
        <v>187</v>
      </c>
      <c r="C561" s="67" t="s">
        <v>59</v>
      </c>
      <c r="D561" s="125">
        <f>2</f>
        <v>2</v>
      </c>
      <c r="E561" s="125">
        <f>2</f>
        <v>2</v>
      </c>
      <c r="F561" s="125">
        <f>2</f>
        <v>2</v>
      </c>
      <c r="G561" s="125">
        <f>2</f>
        <v>2</v>
      </c>
      <c r="H561" s="125">
        <f>2</f>
        <v>2</v>
      </c>
      <c r="I561" s="125">
        <f>2</f>
        <v>2</v>
      </c>
      <c r="J561" s="125">
        <f>2</f>
        <v>2</v>
      </c>
      <c r="K561" s="125">
        <f>2</f>
        <v>2</v>
      </c>
      <c r="L561" s="125">
        <f>2</f>
        <v>2</v>
      </c>
      <c r="M561" s="125">
        <f>2</f>
        <v>2</v>
      </c>
      <c r="N561" s="125">
        <f>2</f>
        <v>2</v>
      </c>
      <c r="O561" s="125">
        <f>2</f>
        <v>2</v>
      </c>
      <c r="P561" s="125">
        <f>2</f>
        <v>2</v>
      </c>
      <c r="Q561" s="125">
        <f>2</f>
        <v>2</v>
      </c>
      <c r="R561" s="125">
        <f>2</f>
        <v>2</v>
      </c>
      <c r="S561" s="125">
        <f>2</f>
        <v>2</v>
      </c>
      <c r="T561" s="125">
        <f>2</f>
        <v>2</v>
      </c>
      <c r="U561" s="125">
        <f>2</f>
        <v>2</v>
      </c>
      <c r="V561" s="125">
        <f>2</f>
        <v>2</v>
      </c>
      <c r="W561" s="125">
        <f>2</f>
        <v>2</v>
      </c>
      <c r="X561" s="125">
        <f>2</f>
        <v>2</v>
      </c>
      <c r="Y561" s="125">
        <f>2</f>
        <v>2</v>
      </c>
      <c r="Z561" s="125">
        <f>2</f>
        <v>2</v>
      </c>
      <c r="AA561" s="125">
        <f>2</f>
        <v>2</v>
      </c>
      <c r="AB561" s="125">
        <f>2</f>
        <v>2</v>
      </c>
      <c r="AC561" s="125">
        <f>2</f>
        <v>2</v>
      </c>
      <c r="AD561" s="125">
        <f>2</f>
        <v>2</v>
      </c>
      <c r="AE561" s="125">
        <f>2</f>
        <v>2</v>
      </c>
      <c r="AF561" s="125">
        <f>2</f>
        <v>2</v>
      </c>
      <c r="AG561" s="126">
        <f>2</f>
        <v>2</v>
      </c>
      <c r="AH561" s="22"/>
    </row>
    <row r="562" spans="1:34" x14ac:dyDescent="0.25">
      <c r="A562" s="112"/>
      <c r="B562" s="136" t="s">
        <v>455</v>
      </c>
      <c r="C562" s="67" t="s">
        <v>59</v>
      </c>
      <c r="D562" s="125">
        <f>1</f>
        <v>1</v>
      </c>
      <c r="E562" s="125">
        <f>1</f>
        <v>1</v>
      </c>
      <c r="F562" s="125">
        <f>1</f>
        <v>1</v>
      </c>
      <c r="G562" s="125">
        <f>1</f>
        <v>1</v>
      </c>
      <c r="H562" s="125">
        <f>1</f>
        <v>1</v>
      </c>
      <c r="I562" s="125">
        <f>1</f>
        <v>1</v>
      </c>
      <c r="J562" s="125">
        <f>1</f>
        <v>1</v>
      </c>
      <c r="K562" s="125">
        <f>1</f>
        <v>1</v>
      </c>
      <c r="L562" s="125">
        <f>1</f>
        <v>1</v>
      </c>
      <c r="M562" s="125">
        <f>1</f>
        <v>1</v>
      </c>
      <c r="N562" s="125">
        <f>1</f>
        <v>1</v>
      </c>
      <c r="O562" s="125">
        <f>1</f>
        <v>1</v>
      </c>
      <c r="P562" s="125">
        <f>1</f>
        <v>1</v>
      </c>
      <c r="Q562" s="125">
        <f>1</f>
        <v>1</v>
      </c>
      <c r="R562" s="125">
        <f>1</f>
        <v>1</v>
      </c>
      <c r="S562" s="125">
        <f>1</f>
        <v>1</v>
      </c>
      <c r="T562" s="125">
        <f>1</f>
        <v>1</v>
      </c>
      <c r="U562" s="125">
        <f>1</f>
        <v>1</v>
      </c>
      <c r="V562" s="125">
        <f>1</f>
        <v>1</v>
      </c>
      <c r="W562" s="125">
        <f>1</f>
        <v>1</v>
      </c>
      <c r="X562" s="125">
        <f>1</f>
        <v>1</v>
      </c>
      <c r="Y562" s="125">
        <f>1</f>
        <v>1</v>
      </c>
      <c r="Z562" s="125">
        <f>1</f>
        <v>1</v>
      </c>
      <c r="AA562" s="125">
        <f>1</f>
        <v>1</v>
      </c>
      <c r="AB562" s="125">
        <f>1</f>
        <v>1</v>
      </c>
      <c r="AC562" s="125">
        <f>1</f>
        <v>1</v>
      </c>
      <c r="AD562" s="125">
        <f>1</f>
        <v>1</v>
      </c>
      <c r="AE562" s="125">
        <f>1</f>
        <v>1</v>
      </c>
      <c r="AF562" s="125">
        <f>1</f>
        <v>1</v>
      </c>
      <c r="AG562" s="126">
        <f>1</f>
        <v>1</v>
      </c>
      <c r="AH562" s="22"/>
    </row>
    <row r="563" spans="1:34" x14ac:dyDescent="0.25">
      <c r="A563" s="112"/>
      <c r="B563" s="120" t="s">
        <v>581</v>
      </c>
      <c r="C563" s="121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3"/>
      <c r="AH563" s="22"/>
    </row>
    <row r="564" spans="1:34" x14ac:dyDescent="0.25">
      <c r="A564" s="112"/>
      <c r="B564" s="136" t="s">
        <v>188</v>
      </c>
      <c r="C564" s="67" t="s">
        <v>59</v>
      </c>
      <c r="D564" s="125">
        <f>2</f>
        <v>2</v>
      </c>
      <c r="E564" s="125">
        <v>0</v>
      </c>
      <c r="F564" s="125">
        <v>0</v>
      </c>
      <c r="G564" s="125">
        <f>2</f>
        <v>2</v>
      </c>
      <c r="H564" s="125">
        <v>0</v>
      </c>
      <c r="I564" s="125">
        <v>0</v>
      </c>
      <c r="J564" s="125">
        <f>2</f>
        <v>2</v>
      </c>
      <c r="K564" s="125">
        <v>0</v>
      </c>
      <c r="L564" s="125">
        <f>2</f>
        <v>2</v>
      </c>
      <c r="M564" s="125">
        <v>0</v>
      </c>
      <c r="N564" s="125">
        <f>2</f>
        <v>2</v>
      </c>
      <c r="O564" s="125">
        <v>0</v>
      </c>
      <c r="P564" s="125">
        <v>0</v>
      </c>
      <c r="Q564" s="125">
        <f>2</f>
        <v>2</v>
      </c>
      <c r="R564" s="125">
        <v>0</v>
      </c>
      <c r="S564" s="125">
        <v>0</v>
      </c>
      <c r="T564" s="125">
        <f>2</f>
        <v>2</v>
      </c>
      <c r="U564" s="125">
        <v>0</v>
      </c>
      <c r="V564" s="125">
        <f>2</f>
        <v>2</v>
      </c>
      <c r="W564" s="125">
        <v>0</v>
      </c>
      <c r="X564" s="125">
        <f>2</f>
        <v>2</v>
      </c>
      <c r="Y564" s="125">
        <v>0</v>
      </c>
      <c r="Z564" s="125">
        <v>0</v>
      </c>
      <c r="AA564" s="125">
        <f>2</f>
        <v>2</v>
      </c>
      <c r="AB564" s="125">
        <v>0</v>
      </c>
      <c r="AC564" s="125">
        <v>0</v>
      </c>
      <c r="AD564" s="125">
        <f>2</f>
        <v>2</v>
      </c>
      <c r="AE564" s="125">
        <v>0</v>
      </c>
      <c r="AF564" s="125">
        <f>2</f>
        <v>2</v>
      </c>
      <c r="AG564" s="126">
        <v>0</v>
      </c>
      <c r="AH564" s="22"/>
    </row>
    <row r="565" spans="1:34" ht="25.5" x14ac:dyDescent="0.25">
      <c r="A565" s="112"/>
      <c r="B565" s="136" t="s">
        <v>189</v>
      </c>
      <c r="C565" s="67" t="s">
        <v>59</v>
      </c>
      <c r="D565" s="125">
        <f>1</f>
        <v>1</v>
      </c>
      <c r="E565" s="125">
        <v>0</v>
      </c>
      <c r="F565" s="125">
        <v>0</v>
      </c>
      <c r="G565" s="125">
        <f>1</f>
        <v>1</v>
      </c>
      <c r="H565" s="125">
        <v>0</v>
      </c>
      <c r="I565" s="125">
        <v>0</v>
      </c>
      <c r="J565" s="125">
        <f>1</f>
        <v>1</v>
      </c>
      <c r="K565" s="125">
        <v>0</v>
      </c>
      <c r="L565" s="125">
        <f>1</f>
        <v>1</v>
      </c>
      <c r="M565" s="125">
        <v>0</v>
      </c>
      <c r="N565" s="125">
        <f>1</f>
        <v>1</v>
      </c>
      <c r="O565" s="125">
        <v>0</v>
      </c>
      <c r="P565" s="125">
        <v>0</v>
      </c>
      <c r="Q565" s="125">
        <f>1</f>
        <v>1</v>
      </c>
      <c r="R565" s="125">
        <v>0</v>
      </c>
      <c r="S565" s="125">
        <v>0</v>
      </c>
      <c r="T565" s="125">
        <f>1</f>
        <v>1</v>
      </c>
      <c r="U565" s="125">
        <v>0</v>
      </c>
      <c r="V565" s="125">
        <f>1</f>
        <v>1</v>
      </c>
      <c r="W565" s="125">
        <v>0</v>
      </c>
      <c r="X565" s="125">
        <f>1</f>
        <v>1</v>
      </c>
      <c r="Y565" s="125">
        <v>0</v>
      </c>
      <c r="Z565" s="125">
        <v>0</v>
      </c>
      <c r="AA565" s="125">
        <f>1</f>
        <v>1</v>
      </c>
      <c r="AB565" s="125">
        <v>0</v>
      </c>
      <c r="AC565" s="125">
        <v>0</v>
      </c>
      <c r="AD565" s="125">
        <f>1</f>
        <v>1</v>
      </c>
      <c r="AE565" s="125">
        <v>0</v>
      </c>
      <c r="AF565" s="125">
        <f>1</f>
        <v>1</v>
      </c>
      <c r="AG565" s="126">
        <v>0</v>
      </c>
      <c r="AH565" s="22"/>
    </row>
    <row r="566" spans="1:34" x14ac:dyDescent="0.25">
      <c r="A566" s="112"/>
      <c r="B566" s="136" t="s">
        <v>190</v>
      </c>
      <c r="C566" s="67" t="s">
        <v>59</v>
      </c>
      <c r="D566" s="125">
        <f>2</f>
        <v>2</v>
      </c>
      <c r="E566" s="125">
        <v>0</v>
      </c>
      <c r="F566" s="125">
        <v>0</v>
      </c>
      <c r="G566" s="125">
        <f>2</f>
        <v>2</v>
      </c>
      <c r="H566" s="125">
        <v>0</v>
      </c>
      <c r="I566" s="125">
        <v>0</v>
      </c>
      <c r="J566" s="125">
        <f>2</f>
        <v>2</v>
      </c>
      <c r="K566" s="125">
        <v>0</v>
      </c>
      <c r="L566" s="125">
        <f>2</f>
        <v>2</v>
      </c>
      <c r="M566" s="125">
        <v>0</v>
      </c>
      <c r="N566" s="125">
        <f>2</f>
        <v>2</v>
      </c>
      <c r="O566" s="125">
        <v>0</v>
      </c>
      <c r="P566" s="125">
        <v>0</v>
      </c>
      <c r="Q566" s="125">
        <f>2</f>
        <v>2</v>
      </c>
      <c r="R566" s="125">
        <v>0</v>
      </c>
      <c r="S566" s="125">
        <v>0</v>
      </c>
      <c r="T566" s="125">
        <f>2</f>
        <v>2</v>
      </c>
      <c r="U566" s="125">
        <v>0</v>
      </c>
      <c r="V566" s="125">
        <f>2</f>
        <v>2</v>
      </c>
      <c r="W566" s="125">
        <v>0</v>
      </c>
      <c r="X566" s="125">
        <f>2</f>
        <v>2</v>
      </c>
      <c r="Y566" s="125">
        <v>0</v>
      </c>
      <c r="Z566" s="125">
        <v>0</v>
      </c>
      <c r="AA566" s="125">
        <f>2</f>
        <v>2</v>
      </c>
      <c r="AB566" s="125">
        <v>0</v>
      </c>
      <c r="AC566" s="125">
        <v>0</v>
      </c>
      <c r="AD566" s="125">
        <f>2</f>
        <v>2</v>
      </c>
      <c r="AE566" s="125">
        <v>0</v>
      </c>
      <c r="AF566" s="125">
        <f>2</f>
        <v>2</v>
      </c>
      <c r="AG566" s="126">
        <v>0</v>
      </c>
      <c r="AH566" s="22"/>
    </row>
    <row r="567" spans="1:34" x14ac:dyDescent="0.25">
      <c r="A567" s="112"/>
      <c r="B567" s="136" t="s">
        <v>455</v>
      </c>
      <c r="C567" s="67" t="s">
        <v>59</v>
      </c>
      <c r="D567" s="125">
        <f>1</f>
        <v>1</v>
      </c>
      <c r="E567" s="125">
        <v>0</v>
      </c>
      <c r="F567" s="125">
        <v>0</v>
      </c>
      <c r="G567" s="125">
        <f>1</f>
        <v>1</v>
      </c>
      <c r="H567" s="125">
        <v>0</v>
      </c>
      <c r="I567" s="125">
        <v>0</v>
      </c>
      <c r="J567" s="125">
        <f>1</f>
        <v>1</v>
      </c>
      <c r="K567" s="125">
        <v>0</v>
      </c>
      <c r="L567" s="125">
        <f>1</f>
        <v>1</v>
      </c>
      <c r="M567" s="125">
        <v>0</v>
      </c>
      <c r="N567" s="125">
        <f>1</f>
        <v>1</v>
      </c>
      <c r="O567" s="125">
        <v>0</v>
      </c>
      <c r="P567" s="125">
        <v>0</v>
      </c>
      <c r="Q567" s="125">
        <f>1</f>
        <v>1</v>
      </c>
      <c r="R567" s="125">
        <v>0</v>
      </c>
      <c r="S567" s="125">
        <v>0</v>
      </c>
      <c r="T567" s="125">
        <f>1</f>
        <v>1</v>
      </c>
      <c r="U567" s="125">
        <v>0</v>
      </c>
      <c r="V567" s="125">
        <f>1</f>
        <v>1</v>
      </c>
      <c r="W567" s="125">
        <v>0</v>
      </c>
      <c r="X567" s="125">
        <f>1</f>
        <v>1</v>
      </c>
      <c r="Y567" s="125">
        <v>0</v>
      </c>
      <c r="Z567" s="125">
        <v>0</v>
      </c>
      <c r="AA567" s="125">
        <f>1</f>
        <v>1</v>
      </c>
      <c r="AB567" s="125">
        <v>0</v>
      </c>
      <c r="AC567" s="125">
        <v>0</v>
      </c>
      <c r="AD567" s="125">
        <f>1</f>
        <v>1</v>
      </c>
      <c r="AE567" s="125">
        <v>0</v>
      </c>
      <c r="AF567" s="125">
        <f>1</f>
        <v>1</v>
      </c>
      <c r="AG567" s="126">
        <v>0</v>
      </c>
      <c r="AH567" s="22"/>
    </row>
    <row r="568" spans="1:34" x14ac:dyDescent="0.25">
      <c r="A568" s="112"/>
      <c r="B568" s="136" t="s">
        <v>191</v>
      </c>
      <c r="C568" s="67" t="s">
        <v>59</v>
      </c>
      <c r="D568" s="125">
        <v>0</v>
      </c>
      <c r="E568" s="125">
        <v>0</v>
      </c>
      <c r="F568" s="125">
        <f>1</f>
        <v>1</v>
      </c>
      <c r="G568" s="125">
        <v>0</v>
      </c>
      <c r="H568" s="125">
        <v>0</v>
      </c>
      <c r="I568" s="125">
        <f>1</f>
        <v>1</v>
      </c>
      <c r="J568" s="125">
        <v>0</v>
      </c>
      <c r="K568" s="125">
        <f>1</f>
        <v>1</v>
      </c>
      <c r="L568" s="125">
        <v>0</v>
      </c>
      <c r="M568" s="125">
        <f>1</f>
        <v>1</v>
      </c>
      <c r="N568" s="125">
        <v>0</v>
      </c>
      <c r="O568" s="125">
        <v>0</v>
      </c>
      <c r="P568" s="125">
        <f>1</f>
        <v>1</v>
      </c>
      <c r="Q568" s="125">
        <v>0</v>
      </c>
      <c r="R568" s="125">
        <v>0</v>
      </c>
      <c r="S568" s="125">
        <f>1</f>
        <v>1</v>
      </c>
      <c r="T568" s="125">
        <v>0</v>
      </c>
      <c r="U568" s="125">
        <f>1</f>
        <v>1</v>
      </c>
      <c r="V568" s="125">
        <v>0</v>
      </c>
      <c r="W568" s="125">
        <f>1</f>
        <v>1</v>
      </c>
      <c r="X568" s="125">
        <v>0</v>
      </c>
      <c r="Y568" s="125">
        <v>0</v>
      </c>
      <c r="Z568" s="125">
        <f>1</f>
        <v>1</v>
      </c>
      <c r="AA568" s="125">
        <v>0</v>
      </c>
      <c r="AB568" s="125">
        <v>0</v>
      </c>
      <c r="AC568" s="125">
        <f>1</f>
        <v>1</v>
      </c>
      <c r="AD568" s="125">
        <v>0</v>
      </c>
      <c r="AE568" s="125">
        <f>1</f>
        <v>1</v>
      </c>
      <c r="AF568" s="125">
        <v>0</v>
      </c>
      <c r="AG568" s="126">
        <f>1</f>
        <v>1</v>
      </c>
      <c r="AH568" s="22"/>
    </row>
    <row r="569" spans="1:34" ht="25.5" x14ac:dyDescent="0.25">
      <c r="A569" s="112"/>
      <c r="B569" s="136" t="s">
        <v>192</v>
      </c>
      <c r="C569" s="67" t="s">
        <v>59</v>
      </c>
      <c r="D569" s="125">
        <v>0</v>
      </c>
      <c r="E569" s="125">
        <v>0</v>
      </c>
      <c r="F569" s="125">
        <f>1</f>
        <v>1</v>
      </c>
      <c r="G569" s="125">
        <v>0</v>
      </c>
      <c r="H569" s="125">
        <v>0</v>
      </c>
      <c r="I569" s="125">
        <f>1</f>
        <v>1</v>
      </c>
      <c r="J569" s="125">
        <v>0</v>
      </c>
      <c r="K569" s="125">
        <f>1</f>
        <v>1</v>
      </c>
      <c r="L569" s="125">
        <v>0</v>
      </c>
      <c r="M569" s="125">
        <f>1</f>
        <v>1</v>
      </c>
      <c r="N569" s="125">
        <v>0</v>
      </c>
      <c r="O569" s="125">
        <v>0</v>
      </c>
      <c r="P569" s="125">
        <f>1</f>
        <v>1</v>
      </c>
      <c r="Q569" s="125">
        <v>0</v>
      </c>
      <c r="R569" s="125">
        <v>0</v>
      </c>
      <c r="S569" s="125">
        <f>1</f>
        <v>1</v>
      </c>
      <c r="T569" s="125">
        <v>0</v>
      </c>
      <c r="U569" s="125">
        <f>1</f>
        <v>1</v>
      </c>
      <c r="V569" s="125">
        <v>0</v>
      </c>
      <c r="W569" s="125">
        <f>1</f>
        <v>1</v>
      </c>
      <c r="X569" s="125">
        <v>0</v>
      </c>
      <c r="Y569" s="125">
        <v>0</v>
      </c>
      <c r="Z569" s="125">
        <f>1</f>
        <v>1</v>
      </c>
      <c r="AA569" s="125">
        <v>0</v>
      </c>
      <c r="AB569" s="125">
        <v>0</v>
      </c>
      <c r="AC569" s="125">
        <f>1</f>
        <v>1</v>
      </c>
      <c r="AD569" s="125">
        <v>0</v>
      </c>
      <c r="AE569" s="125">
        <f>1</f>
        <v>1</v>
      </c>
      <c r="AF569" s="125">
        <v>0</v>
      </c>
      <c r="AG569" s="126">
        <f>1</f>
        <v>1</v>
      </c>
      <c r="AH569" s="22"/>
    </row>
    <row r="570" spans="1:34" x14ac:dyDescent="0.25">
      <c r="A570" s="112"/>
      <c r="B570" s="137" t="s">
        <v>582</v>
      </c>
      <c r="C570" s="138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268"/>
      <c r="AH570" s="22"/>
    </row>
    <row r="571" spans="1:34" x14ac:dyDescent="0.25">
      <c r="A571" s="21"/>
      <c r="B571" s="120" t="s">
        <v>583</v>
      </c>
      <c r="C571" s="121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  <c r="AF571" s="127"/>
      <c r="AG571" s="128"/>
      <c r="AH571" s="22"/>
    </row>
    <row r="572" spans="1:34" x14ac:dyDescent="0.25">
      <c r="A572" s="21"/>
      <c r="B572" s="141" t="s">
        <v>584</v>
      </c>
      <c r="C572" s="125" t="s">
        <v>65</v>
      </c>
      <c r="D572" s="125">
        <f t="shared" ref="D572:AG572" si="183">2592*$B$5</f>
        <v>25920</v>
      </c>
      <c r="E572" s="125">
        <f t="shared" si="183"/>
        <v>25920</v>
      </c>
      <c r="F572" s="125">
        <f t="shared" si="183"/>
        <v>25920</v>
      </c>
      <c r="G572" s="125">
        <f t="shared" si="183"/>
        <v>25920</v>
      </c>
      <c r="H572" s="125">
        <f t="shared" si="183"/>
        <v>25920</v>
      </c>
      <c r="I572" s="125">
        <f t="shared" si="183"/>
        <v>25920</v>
      </c>
      <c r="J572" s="125">
        <f t="shared" si="183"/>
        <v>25920</v>
      </c>
      <c r="K572" s="125">
        <f t="shared" si="183"/>
        <v>25920</v>
      </c>
      <c r="L572" s="125">
        <f t="shared" si="183"/>
        <v>25920</v>
      </c>
      <c r="M572" s="125">
        <f t="shared" si="183"/>
        <v>25920</v>
      </c>
      <c r="N572" s="125">
        <f t="shared" si="183"/>
        <v>25920</v>
      </c>
      <c r="O572" s="125">
        <f t="shared" si="183"/>
        <v>25920</v>
      </c>
      <c r="P572" s="125">
        <f t="shared" si="183"/>
        <v>25920</v>
      </c>
      <c r="Q572" s="125">
        <f t="shared" si="183"/>
        <v>25920</v>
      </c>
      <c r="R572" s="125">
        <f t="shared" si="183"/>
        <v>25920</v>
      </c>
      <c r="S572" s="125">
        <f t="shared" si="183"/>
        <v>25920</v>
      </c>
      <c r="T572" s="125">
        <f t="shared" si="183"/>
        <v>25920</v>
      </c>
      <c r="U572" s="125">
        <f t="shared" si="183"/>
        <v>25920</v>
      </c>
      <c r="V572" s="125">
        <f t="shared" si="183"/>
        <v>25920</v>
      </c>
      <c r="W572" s="125">
        <f t="shared" si="183"/>
        <v>25920</v>
      </c>
      <c r="X572" s="125">
        <f t="shared" si="183"/>
        <v>25920</v>
      </c>
      <c r="Y572" s="125">
        <f t="shared" si="183"/>
        <v>25920</v>
      </c>
      <c r="Z572" s="125">
        <f t="shared" si="183"/>
        <v>25920</v>
      </c>
      <c r="AA572" s="125">
        <f t="shared" si="183"/>
        <v>25920</v>
      </c>
      <c r="AB572" s="125">
        <f t="shared" si="183"/>
        <v>25920</v>
      </c>
      <c r="AC572" s="125">
        <f t="shared" si="183"/>
        <v>25920</v>
      </c>
      <c r="AD572" s="125">
        <f t="shared" si="183"/>
        <v>25920</v>
      </c>
      <c r="AE572" s="125">
        <f t="shared" si="183"/>
        <v>25920</v>
      </c>
      <c r="AF572" s="125">
        <f t="shared" si="183"/>
        <v>25920</v>
      </c>
      <c r="AG572" s="126">
        <f t="shared" si="183"/>
        <v>25920</v>
      </c>
      <c r="AH572" s="22"/>
    </row>
    <row r="573" spans="1:34" x14ac:dyDescent="0.25">
      <c r="A573" s="21"/>
      <c r="B573" s="120" t="s">
        <v>585</v>
      </c>
      <c r="C573" s="121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  <c r="AF573" s="127"/>
      <c r="AG573" s="128"/>
      <c r="AH573" s="22"/>
    </row>
    <row r="574" spans="1:34" x14ac:dyDescent="0.25">
      <c r="A574" s="21"/>
      <c r="B574" s="141" t="s">
        <v>586</v>
      </c>
      <c r="C574" s="125" t="s">
        <v>65</v>
      </c>
      <c r="D574" s="125">
        <f t="shared" ref="D574:M574" si="184">-0.3467*$B$5^2 + 178.6*$B$5 - 70.833</f>
        <v>1680.4969999999998</v>
      </c>
      <c r="E574" s="125">
        <f t="shared" si="184"/>
        <v>1680.4969999999998</v>
      </c>
      <c r="F574" s="125">
        <f t="shared" si="184"/>
        <v>1680.4969999999998</v>
      </c>
      <c r="G574" s="125">
        <f t="shared" si="184"/>
        <v>1680.4969999999998</v>
      </c>
      <c r="H574" s="125">
        <f t="shared" si="184"/>
        <v>1680.4969999999998</v>
      </c>
      <c r="I574" s="125">
        <f t="shared" si="184"/>
        <v>1680.4969999999998</v>
      </c>
      <c r="J574" s="125">
        <f t="shared" si="184"/>
        <v>1680.4969999999998</v>
      </c>
      <c r="K574" s="125">
        <f t="shared" si="184"/>
        <v>1680.4969999999998</v>
      </c>
      <c r="L574" s="125">
        <f t="shared" si="184"/>
        <v>1680.4969999999998</v>
      </c>
      <c r="M574" s="125">
        <f t="shared" si="184"/>
        <v>1680.4969999999998</v>
      </c>
      <c r="N574" s="125">
        <f>-0.4975*$B$5^2 + 168.23*$B$5 - 132.5</f>
        <v>1500.05</v>
      </c>
      <c r="O574" s="125">
        <f>1.0225*$B$5^2 + 77.025*$B$5 + 1083.5</f>
        <v>1956</v>
      </c>
      <c r="P574" s="125">
        <f>1.0225*$B$5^2 + 77.025*$B$5 + 1083.5</f>
        <v>1956</v>
      </c>
      <c r="Q574" s="125">
        <f>-0.4975*$B$5^2 + 168.23*$B$5 - 132.5</f>
        <v>1500.05</v>
      </c>
      <c r="R574" s="125">
        <f>1.0225*$B$5^2 + 77.025*$B$5 + 1083.5</f>
        <v>1956</v>
      </c>
      <c r="S574" s="125">
        <f>1.0225*$B$5^2 + 77.025*$B$5 + 1083.5</f>
        <v>1956</v>
      </c>
      <c r="T574" s="125">
        <f>-0.4975*$B$5^2 + 168.23*$B$5 - 132.5</f>
        <v>1500.05</v>
      </c>
      <c r="U574" s="125">
        <f>1.0225*$B$5^2 + 77.025*$B$5 + 1083.5</f>
        <v>1956</v>
      </c>
      <c r="V574" s="125">
        <f>-0.4975*$B$5^2 + 168.23*$B$5 - 132.5</f>
        <v>1500.05</v>
      </c>
      <c r="W574" s="125">
        <f>1.0225*$B$5^2 + 77.025*$B$5 + 1083.5</f>
        <v>1956</v>
      </c>
      <c r="X574" s="125">
        <f t="shared" ref="X574:AG574" si="185">-0.52*$B$5^2 + 164.4*$B$5 - 101</f>
        <v>1491</v>
      </c>
      <c r="Y574" s="125">
        <f t="shared" si="185"/>
        <v>1491</v>
      </c>
      <c r="Z574" s="125">
        <f t="shared" si="185"/>
        <v>1491</v>
      </c>
      <c r="AA574" s="125">
        <f t="shared" si="185"/>
        <v>1491</v>
      </c>
      <c r="AB574" s="125">
        <f t="shared" si="185"/>
        <v>1491</v>
      </c>
      <c r="AC574" s="125">
        <f t="shared" si="185"/>
        <v>1491</v>
      </c>
      <c r="AD574" s="125">
        <f t="shared" si="185"/>
        <v>1491</v>
      </c>
      <c r="AE574" s="125">
        <f t="shared" si="185"/>
        <v>1491</v>
      </c>
      <c r="AF574" s="125">
        <f t="shared" si="185"/>
        <v>1491</v>
      </c>
      <c r="AG574" s="126">
        <f t="shared" si="185"/>
        <v>1491</v>
      </c>
      <c r="AH574" s="22"/>
    </row>
    <row r="575" spans="1:34" x14ac:dyDescent="0.25">
      <c r="A575" s="21"/>
      <c r="B575" s="141" t="s">
        <v>587</v>
      </c>
      <c r="C575" s="125" t="s">
        <v>65</v>
      </c>
      <c r="D575" s="125">
        <f>0.0036*$B$5^2 + 10.211*$B$5 + 1.63</f>
        <v>104.1</v>
      </c>
      <c r="E575" s="125">
        <f>0.0036*$B$5^2 + 10.211*$B$5 + 1.63</f>
        <v>104.1</v>
      </c>
      <c r="F575" s="125">
        <v>0</v>
      </c>
      <c r="G575" s="125">
        <f>0.0036*$B$5^2 + 10.211*$B$5 + 1.63</f>
        <v>104.1</v>
      </c>
      <c r="H575" s="125">
        <f>0.0036*$B$5^2 + 10.211*$B$5 + 1.63</f>
        <v>104.1</v>
      </c>
      <c r="I575" s="125">
        <v>0</v>
      </c>
      <c r="J575" s="125">
        <f>0.0036*$B$5^2 + 10.211*$B$5 + 1.63</f>
        <v>104.1</v>
      </c>
      <c r="K575" s="125">
        <v>0</v>
      </c>
      <c r="L575" s="125">
        <f>0.0036*$B$5^2 + 10.211*$B$5 + 1.63</f>
        <v>104.1</v>
      </c>
      <c r="M575" s="125">
        <v>0</v>
      </c>
      <c r="N575" s="125">
        <f>0.0022*$B$5^2 + 3.335*$B$5 + 0.4333</f>
        <v>34.003300000000003</v>
      </c>
      <c r="O575" s="125">
        <f>0.0022*$B$5^2 + 3.335*$B$5 + 0.4333</f>
        <v>34.003300000000003</v>
      </c>
      <c r="P575" s="125">
        <v>0</v>
      </c>
      <c r="Q575" s="125">
        <f>0.0022*$B$5^2 + 3.335*$B$5 + 0.4333</f>
        <v>34.003300000000003</v>
      </c>
      <c r="R575" s="125">
        <f>0.0022*$B$5^2 + 3.335*$B$5 + 0.4333</f>
        <v>34.003300000000003</v>
      </c>
      <c r="S575" s="125">
        <v>0</v>
      </c>
      <c r="T575" s="125">
        <f>0.0022*$B$5^2 + 3.335*$B$5 + 0.4333</f>
        <v>34.003300000000003</v>
      </c>
      <c r="U575" s="125">
        <v>0</v>
      </c>
      <c r="V575" s="125">
        <f>0.0022*$B$5^2 + 3.335*$B$5 + 0.4333</f>
        <v>34.003300000000003</v>
      </c>
      <c r="W575" s="125">
        <v>0</v>
      </c>
      <c r="X575" s="125">
        <f>0.0033*$B$5^2 + 3.3*$B$5 + 0.6667</f>
        <v>33.996699999999997</v>
      </c>
      <c r="Y575" s="125">
        <f>0.0033*$B$5^2 + 3.3*$B$5 + 0.6667</f>
        <v>33.996699999999997</v>
      </c>
      <c r="Z575" s="125">
        <v>0</v>
      </c>
      <c r="AA575" s="125">
        <f>0.0033*$B$5^2 + 3.3*$B$5 + 0.6667</f>
        <v>33.996699999999997</v>
      </c>
      <c r="AB575" s="125">
        <f>0.0033*$B$5^2 + 3.3*$B$5 + 0.6667</f>
        <v>33.996699999999997</v>
      </c>
      <c r="AC575" s="125">
        <v>0</v>
      </c>
      <c r="AD575" s="125">
        <f>0.0033*$B$5^2 + 3.3*$B$5 + 0.6667</f>
        <v>33.996699999999997</v>
      </c>
      <c r="AE575" s="125">
        <v>0</v>
      </c>
      <c r="AF575" s="125">
        <f>0.0033*$B$5^2 + 3.3*$B$5 + 0.6667</f>
        <v>33.996699999999997</v>
      </c>
      <c r="AG575" s="126">
        <v>0</v>
      </c>
      <c r="AH575" s="22"/>
    </row>
    <row r="576" spans="1:34" x14ac:dyDescent="0.25">
      <c r="A576" s="21"/>
      <c r="B576" s="141" t="s">
        <v>588</v>
      </c>
      <c r="C576" s="125" t="s">
        <v>65</v>
      </c>
      <c r="D576" s="125">
        <v>0</v>
      </c>
      <c r="E576" s="125">
        <v>0</v>
      </c>
      <c r="F576" s="125">
        <f>-0.3467*$B$5^2 + 178.6*$B$5 - 70.833</f>
        <v>1680.4969999999998</v>
      </c>
      <c r="G576" s="125">
        <v>0</v>
      </c>
      <c r="H576" s="125">
        <v>0</v>
      </c>
      <c r="I576" s="125">
        <f>-0.3467*$B$5^2 + 178.6*$B$5 - 70.833</f>
        <v>1680.4969999999998</v>
      </c>
      <c r="J576" s="125">
        <v>0</v>
      </c>
      <c r="K576" s="125">
        <f>-0.3467*$B$5^2 + 178.6*$B$5 - 70.833</f>
        <v>1680.4969999999998</v>
      </c>
      <c r="L576" s="125">
        <v>0</v>
      </c>
      <c r="M576" s="125">
        <f>-0.3467*$B$5^2 + 178.6*$B$5 - 70.833</f>
        <v>1680.4969999999998</v>
      </c>
      <c r="N576" s="125">
        <v>0</v>
      </c>
      <c r="O576" s="125">
        <v>0</v>
      </c>
      <c r="P576" s="125">
        <f>1.0225*$B$5^2 + 77.025*$B$5 + 1083.5</f>
        <v>1956</v>
      </c>
      <c r="Q576" s="125">
        <v>0</v>
      </c>
      <c r="R576" s="125">
        <v>0</v>
      </c>
      <c r="S576" s="125">
        <f>1.0225*$B$5^2 + 77.025*$B$5 + 1083.5</f>
        <v>1956</v>
      </c>
      <c r="T576" s="125">
        <v>0</v>
      </c>
      <c r="U576" s="125">
        <f>1.0225*$B$5^2 + 77.025*$B$5 + 1083.5</f>
        <v>1956</v>
      </c>
      <c r="V576" s="125">
        <v>0</v>
      </c>
      <c r="W576" s="125">
        <f>1.0225*$B$5^2 + 77.025*$B$5 + 1083.5</f>
        <v>1956</v>
      </c>
      <c r="X576" s="125">
        <v>0</v>
      </c>
      <c r="Y576" s="125">
        <v>0</v>
      </c>
      <c r="Z576" s="125">
        <f>-0.52*$B$5^2 + 164.4*$B$5 - 101</f>
        <v>1491</v>
      </c>
      <c r="AA576" s="125">
        <v>0</v>
      </c>
      <c r="AB576" s="125">
        <v>0</v>
      </c>
      <c r="AC576" s="125">
        <f>-0.52*$B$5^2 + 164.4*$B$5 - 101</f>
        <v>1491</v>
      </c>
      <c r="AD576" s="125">
        <v>0</v>
      </c>
      <c r="AE576" s="125">
        <f>-0.52*$B$5^2 + 164.4*$B$5 - 101</f>
        <v>1491</v>
      </c>
      <c r="AF576" s="125">
        <v>0</v>
      </c>
      <c r="AG576" s="126">
        <f>-0.52*$B$5^2 + 164.4*$B$5 - 101</f>
        <v>1491</v>
      </c>
      <c r="AH576" s="22"/>
    </row>
    <row r="577" spans="1:34" x14ac:dyDescent="0.25">
      <c r="A577" s="21"/>
      <c r="B577" s="120" t="s">
        <v>589</v>
      </c>
      <c r="C577" s="121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  <c r="AF577" s="127"/>
      <c r="AG577" s="128"/>
      <c r="AH577" s="22"/>
    </row>
    <row r="578" spans="1:34" x14ac:dyDescent="0.25">
      <c r="A578" s="21"/>
      <c r="B578" s="27" t="s">
        <v>590</v>
      </c>
      <c r="C578" s="125" t="s">
        <v>63</v>
      </c>
      <c r="D578" s="125">
        <f>66*$B$5 - 7*10^-12</f>
        <v>659.99999999999295</v>
      </c>
      <c r="E578" s="125">
        <f>-1.8*$B$5^2 + 120*$B$5 - 360</f>
        <v>660</v>
      </c>
      <c r="F578" s="125">
        <f>-0.8*$B$5^2 + 114*$B$5 - 640</f>
        <v>420</v>
      </c>
      <c r="G578" s="125">
        <f>66*$B$5 - 7*10^-12</f>
        <v>659.99999999999295</v>
      </c>
      <c r="H578" s="125">
        <f>-1.8*$B$5^2 + 120*$B$5 - 360</f>
        <v>660</v>
      </c>
      <c r="I578" s="125">
        <f>-0.8*$B$5^2 + 114*$B$5 - 640</f>
        <v>420</v>
      </c>
      <c r="J578" s="125">
        <f>66*$B$5 - 7*10^-12</f>
        <v>659.99999999999295</v>
      </c>
      <c r="K578" s="125">
        <f>-0.8*$B$5^2 + 114*$B$5 - 640</f>
        <v>420</v>
      </c>
      <c r="L578" s="125">
        <f>66*$B$5 - 7*10^-12</f>
        <v>659.99999999999295</v>
      </c>
      <c r="M578" s="125">
        <f>-0.8*$B$5^2 + 114*$B$5 - 640</f>
        <v>420</v>
      </c>
      <c r="N578" s="125">
        <f t="shared" ref="N578:AG578" si="186">0.1*$B$5^2 + 33*$B$5 + 80</f>
        <v>420</v>
      </c>
      <c r="O578" s="125">
        <f t="shared" si="186"/>
        <v>420</v>
      </c>
      <c r="P578" s="125">
        <f t="shared" si="186"/>
        <v>420</v>
      </c>
      <c r="Q578" s="125">
        <f t="shared" si="186"/>
        <v>420</v>
      </c>
      <c r="R578" s="125">
        <f t="shared" si="186"/>
        <v>420</v>
      </c>
      <c r="S578" s="125">
        <f t="shared" si="186"/>
        <v>420</v>
      </c>
      <c r="T578" s="125">
        <f t="shared" si="186"/>
        <v>420</v>
      </c>
      <c r="U578" s="125">
        <f t="shared" si="186"/>
        <v>420</v>
      </c>
      <c r="V578" s="125">
        <f t="shared" si="186"/>
        <v>420</v>
      </c>
      <c r="W578" s="125">
        <f t="shared" si="186"/>
        <v>420</v>
      </c>
      <c r="X578" s="125">
        <f t="shared" si="186"/>
        <v>420</v>
      </c>
      <c r="Y578" s="125">
        <f t="shared" si="186"/>
        <v>420</v>
      </c>
      <c r="Z578" s="125">
        <f t="shared" si="186"/>
        <v>420</v>
      </c>
      <c r="AA578" s="125">
        <f t="shared" si="186"/>
        <v>420</v>
      </c>
      <c r="AB578" s="125">
        <f t="shared" si="186"/>
        <v>420</v>
      </c>
      <c r="AC578" s="125">
        <f t="shared" si="186"/>
        <v>420</v>
      </c>
      <c r="AD578" s="125">
        <f t="shared" si="186"/>
        <v>420</v>
      </c>
      <c r="AE578" s="125">
        <f t="shared" si="186"/>
        <v>420</v>
      </c>
      <c r="AF578" s="125">
        <f t="shared" si="186"/>
        <v>420</v>
      </c>
      <c r="AG578" s="126">
        <f t="shared" si="186"/>
        <v>420</v>
      </c>
      <c r="AH578" s="22"/>
    </row>
    <row r="579" spans="1:34" x14ac:dyDescent="0.25">
      <c r="A579" s="21"/>
      <c r="B579" s="27" t="s">
        <v>904</v>
      </c>
      <c r="C579" s="125" t="s">
        <v>317</v>
      </c>
      <c r="D579" s="125">
        <f>60*$B$5 - 7*10^-12</f>
        <v>599.99999999999295</v>
      </c>
      <c r="E579" s="125">
        <f>-0.6*$B$5^2 + 78*$B$5 - 120</f>
        <v>600</v>
      </c>
      <c r="F579" s="125">
        <f>-0.2*$B$5^2 + 72*$B$5 - 160</f>
        <v>540</v>
      </c>
      <c r="G579" s="125">
        <f>60*$B$5 - 7*10^-12</f>
        <v>599.99999999999295</v>
      </c>
      <c r="H579" s="125">
        <f>-0.6*$B$5^2 + 78*$B$5 - 120</f>
        <v>600</v>
      </c>
      <c r="I579" s="125">
        <f>-0.2*$B$5^2 + 72*$B$5 - 160</f>
        <v>540</v>
      </c>
      <c r="J579" s="125">
        <f>60*$B$5 - 7*10^-12</f>
        <v>599.99999999999295</v>
      </c>
      <c r="K579" s="125">
        <f>-0.2*$B$5^2 + 72*$B$5 - 160</f>
        <v>540</v>
      </c>
      <c r="L579" s="125">
        <f>60*$B$5 - 7*10^-12</f>
        <v>599.99999999999295</v>
      </c>
      <c r="M579" s="125">
        <f>-0.2*$B$5^2 + 72*$B$5 - 160</f>
        <v>540</v>
      </c>
      <c r="N579" s="125">
        <f t="shared" ref="N579:AG579" si="187">0.1*$B$5^2 + 45*$B$5 + 80</f>
        <v>540</v>
      </c>
      <c r="O579" s="125">
        <f t="shared" si="187"/>
        <v>540</v>
      </c>
      <c r="P579" s="125">
        <f t="shared" si="187"/>
        <v>540</v>
      </c>
      <c r="Q579" s="125">
        <f t="shared" si="187"/>
        <v>540</v>
      </c>
      <c r="R579" s="125">
        <f t="shared" si="187"/>
        <v>540</v>
      </c>
      <c r="S579" s="125">
        <f t="shared" si="187"/>
        <v>540</v>
      </c>
      <c r="T579" s="125">
        <f t="shared" si="187"/>
        <v>540</v>
      </c>
      <c r="U579" s="125">
        <f t="shared" si="187"/>
        <v>540</v>
      </c>
      <c r="V579" s="125">
        <f t="shared" si="187"/>
        <v>540</v>
      </c>
      <c r="W579" s="125">
        <f t="shared" si="187"/>
        <v>540</v>
      </c>
      <c r="X579" s="125">
        <f t="shared" si="187"/>
        <v>540</v>
      </c>
      <c r="Y579" s="125">
        <f t="shared" si="187"/>
        <v>540</v>
      </c>
      <c r="Z579" s="125">
        <f t="shared" si="187"/>
        <v>540</v>
      </c>
      <c r="AA579" s="125">
        <f t="shared" si="187"/>
        <v>540</v>
      </c>
      <c r="AB579" s="125">
        <f t="shared" si="187"/>
        <v>540</v>
      </c>
      <c r="AC579" s="125">
        <f t="shared" si="187"/>
        <v>540</v>
      </c>
      <c r="AD579" s="125">
        <f t="shared" si="187"/>
        <v>540</v>
      </c>
      <c r="AE579" s="125">
        <f t="shared" si="187"/>
        <v>540</v>
      </c>
      <c r="AF579" s="125">
        <f t="shared" si="187"/>
        <v>540</v>
      </c>
      <c r="AG579" s="126">
        <f t="shared" si="187"/>
        <v>540</v>
      </c>
      <c r="AH579" s="22"/>
    </row>
    <row r="580" spans="1:34" x14ac:dyDescent="0.25">
      <c r="A580" s="21"/>
      <c r="B580" s="27" t="s">
        <v>621</v>
      </c>
      <c r="C580" s="125" t="s">
        <v>317</v>
      </c>
      <c r="D580" s="125">
        <f t="shared" ref="D580:M580" si="188">-0.1*$B$5^2 + 51*$B$5 - 20</f>
        <v>480</v>
      </c>
      <c r="E580" s="125">
        <f t="shared" si="188"/>
        <v>480</v>
      </c>
      <c r="F580" s="125">
        <f t="shared" si="188"/>
        <v>480</v>
      </c>
      <c r="G580" s="125">
        <f t="shared" si="188"/>
        <v>480</v>
      </c>
      <c r="H580" s="125">
        <f t="shared" si="188"/>
        <v>480</v>
      </c>
      <c r="I580" s="125">
        <f t="shared" si="188"/>
        <v>480</v>
      </c>
      <c r="J580" s="125">
        <f t="shared" si="188"/>
        <v>480</v>
      </c>
      <c r="K580" s="125">
        <f t="shared" si="188"/>
        <v>480</v>
      </c>
      <c r="L580" s="125">
        <f t="shared" si="188"/>
        <v>480</v>
      </c>
      <c r="M580" s="125">
        <f t="shared" si="188"/>
        <v>480</v>
      </c>
      <c r="N580" s="125">
        <f t="shared" ref="N580:AG580" si="189">36*$B$5 + 60</f>
        <v>420</v>
      </c>
      <c r="O580" s="125">
        <f t="shared" si="189"/>
        <v>420</v>
      </c>
      <c r="P580" s="125">
        <f t="shared" si="189"/>
        <v>420</v>
      </c>
      <c r="Q580" s="125">
        <f t="shared" si="189"/>
        <v>420</v>
      </c>
      <c r="R580" s="125">
        <f t="shared" si="189"/>
        <v>420</v>
      </c>
      <c r="S580" s="125">
        <f t="shared" si="189"/>
        <v>420</v>
      </c>
      <c r="T580" s="125">
        <f t="shared" si="189"/>
        <v>420</v>
      </c>
      <c r="U580" s="125">
        <f t="shared" si="189"/>
        <v>420</v>
      </c>
      <c r="V580" s="125">
        <f t="shared" si="189"/>
        <v>420</v>
      </c>
      <c r="W580" s="125">
        <f t="shared" si="189"/>
        <v>420</v>
      </c>
      <c r="X580" s="125">
        <f t="shared" si="189"/>
        <v>420</v>
      </c>
      <c r="Y580" s="125">
        <f t="shared" si="189"/>
        <v>420</v>
      </c>
      <c r="Z580" s="125">
        <f t="shared" si="189"/>
        <v>420</v>
      </c>
      <c r="AA580" s="125">
        <f t="shared" si="189"/>
        <v>420</v>
      </c>
      <c r="AB580" s="125">
        <f t="shared" si="189"/>
        <v>420</v>
      </c>
      <c r="AC580" s="125">
        <f t="shared" si="189"/>
        <v>420</v>
      </c>
      <c r="AD580" s="125">
        <f t="shared" si="189"/>
        <v>420</v>
      </c>
      <c r="AE580" s="125">
        <f t="shared" si="189"/>
        <v>420</v>
      </c>
      <c r="AF580" s="125">
        <f t="shared" si="189"/>
        <v>420</v>
      </c>
      <c r="AG580" s="126">
        <f t="shared" si="189"/>
        <v>420</v>
      </c>
      <c r="AH580" s="22"/>
    </row>
    <row r="581" spans="1:34" x14ac:dyDescent="0.25">
      <c r="A581" s="21"/>
      <c r="B581" s="27" t="s">
        <v>622</v>
      </c>
      <c r="C581" s="125" t="s">
        <v>63</v>
      </c>
      <c r="D581" s="125">
        <f t="shared" ref="D581:AG581" si="190">-0.1*$B$5^2 + 21*$B$5 - 20</f>
        <v>180</v>
      </c>
      <c r="E581" s="125">
        <f t="shared" si="190"/>
        <v>180</v>
      </c>
      <c r="F581" s="125">
        <f t="shared" si="190"/>
        <v>180</v>
      </c>
      <c r="G581" s="125">
        <f t="shared" si="190"/>
        <v>180</v>
      </c>
      <c r="H581" s="125">
        <f t="shared" si="190"/>
        <v>180</v>
      </c>
      <c r="I581" s="125">
        <f t="shared" si="190"/>
        <v>180</v>
      </c>
      <c r="J581" s="125">
        <f t="shared" si="190"/>
        <v>180</v>
      </c>
      <c r="K581" s="125">
        <f t="shared" si="190"/>
        <v>180</v>
      </c>
      <c r="L581" s="125">
        <f t="shared" si="190"/>
        <v>180</v>
      </c>
      <c r="M581" s="125">
        <f t="shared" si="190"/>
        <v>180</v>
      </c>
      <c r="N581" s="125">
        <f t="shared" si="190"/>
        <v>180</v>
      </c>
      <c r="O581" s="125">
        <f t="shared" si="190"/>
        <v>180</v>
      </c>
      <c r="P581" s="125">
        <f t="shared" si="190"/>
        <v>180</v>
      </c>
      <c r="Q581" s="125">
        <f t="shared" si="190"/>
        <v>180</v>
      </c>
      <c r="R581" s="125">
        <f t="shared" si="190"/>
        <v>180</v>
      </c>
      <c r="S581" s="125">
        <f t="shared" si="190"/>
        <v>180</v>
      </c>
      <c r="T581" s="125">
        <f t="shared" si="190"/>
        <v>180</v>
      </c>
      <c r="U581" s="125">
        <f t="shared" si="190"/>
        <v>180</v>
      </c>
      <c r="V581" s="125">
        <f t="shared" si="190"/>
        <v>180</v>
      </c>
      <c r="W581" s="125">
        <f t="shared" si="190"/>
        <v>180</v>
      </c>
      <c r="X581" s="125">
        <f t="shared" si="190"/>
        <v>180</v>
      </c>
      <c r="Y581" s="125">
        <f t="shared" si="190"/>
        <v>180</v>
      </c>
      <c r="Z581" s="125">
        <f t="shared" si="190"/>
        <v>180</v>
      </c>
      <c r="AA581" s="125">
        <f t="shared" si="190"/>
        <v>180</v>
      </c>
      <c r="AB581" s="125">
        <f t="shared" si="190"/>
        <v>180</v>
      </c>
      <c r="AC581" s="125">
        <f t="shared" si="190"/>
        <v>180</v>
      </c>
      <c r="AD581" s="125">
        <f t="shared" si="190"/>
        <v>180</v>
      </c>
      <c r="AE581" s="125">
        <f t="shared" si="190"/>
        <v>180</v>
      </c>
      <c r="AF581" s="125">
        <f t="shared" si="190"/>
        <v>180</v>
      </c>
      <c r="AG581" s="126">
        <f t="shared" si="190"/>
        <v>180</v>
      </c>
      <c r="AH581" s="22"/>
    </row>
    <row r="582" spans="1:34" x14ac:dyDescent="0.25">
      <c r="A582" s="21"/>
      <c r="B582" s="120" t="s">
        <v>591</v>
      </c>
      <c r="C582" s="121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  <c r="AF582" s="127"/>
      <c r="AG582" s="128"/>
      <c r="AH582" s="22"/>
    </row>
    <row r="583" spans="1:34" x14ac:dyDescent="0.25">
      <c r="A583" s="21"/>
      <c r="B583" s="120" t="s">
        <v>592</v>
      </c>
      <c r="C583" s="121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  <c r="AF583" s="127"/>
      <c r="AG583" s="128"/>
      <c r="AH583" s="22"/>
    </row>
    <row r="584" spans="1:34" x14ac:dyDescent="0.25">
      <c r="A584" s="21"/>
      <c r="B584" s="27" t="s">
        <v>593</v>
      </c>
      <c r="C584" s="67" t="s">
        <v>318</v>
      </c>
      <c r="D584" s="125">
        <f>0.2137*$B$5^2 - 6.4103*$B$5 + 134.31</f>
        <v>91.576999999999998</v>
      </c>
      <c r="E584" s="125">
        <f>0.1221*$B$5^2 + 5.4945*$B$5 + 24.42</f>
        <v>91.575000000000003</v>
      </c>
      <c r="F584" s="125">
        <f>0.1221*$B$5^2 + 5.4945*$B$5 + 24.42</f>
        <v>91.575000000000003</v>
      </c>
      <c r="G584" s="125">
        <f>0.2137*$B$5^2 - 6.4103*$B$5 + 134.31</f>
        <v>91.576999999999998</v>
      </c>
      <c r="H584" s="125">
        <f>0.1221*$B$5^2 + 5.4945*$B$5 + 24.42</f>
        <v>91.575000000000003</v>
      </c>
      <c r="I584" s="125">
        <f>0.1221*$B$5^2 + 5.4945*$B$5 + 24.42</f>
        <v>91.575000000000003</v>
      </c>
      <c r="J584" s="125">
        <f>0.2137*$B$5^2 - 6.4103*$B$5 + 134.31</f>
        <v>91.576999999999998</v>
      </c>
      <c r="K584" s="125">
        <f>0.1221*$B$5^2 + 5.4945*$B$5 + 24.42</f>
        <v>91.575000000000003</v>
      </c>
      <c r="L584" s="125">
        <f>0.2137*$B$5^2 - 6.4103*$B$5 + 134.31</f>
        <v>91.576999999999998</v>
      </c>
      <c r="M584" s="125">
        <f>0.1221*$B$5^2 + 5.4945*$B$5 + 24.42</f>
        <v>91.575000000000003</v>
      </c>
      <c r="N584" s="125">
        <f t="shared" ref="N584:W584" si="191">0.4274*$B$5^2 - 12.821*$B$5 + 268.62</f>
        <v>183.15</v>
      </c>
      <c r="O584" s="125">
        <f t="shared" si="191"/>
        <v>183.15</v>
      </c>
      <c r="P584" s="125">
        <f t="shared" si="191"/>
        <v>183.15</v>
      </c>
      <c r="Q584" s="125">
        <f t="shared" si="191"/>
        <v>183.15</v>
      </c>
      <c r="R584" s="125">
        <f t="shared" si="191"/>
        <v>183.15</v>
      </c>
      <c r="S584" s="125">
        <f t="shared" si="191"/>
        <v>183.15</v>
      </c>
      <c r="T584" s="125">
        <f t="shared" si="191"/>
        <v>183.15</v>
      </c>
      <c r="U584" s="125">
        <f t="shared" si="191"/>
        <v>183.15</v>
      </c>
      <c r="V584" s="125">
        <f t="shared" si="191"/>
        <v>183.15</v>
      </c>
      <c r="W584" s="125">
        <f t="shared" si="191"/>
        <v>183.15</v>
      </c>
      <c r="X584" s="125">
        <f t="shared" ref="X584:AG584" si="192">0.1831*$B$5^2 - 5.4945*$B$5 + 219.78</f>
        <v>183.14499999999998</v>
      </c>
      <c r="Y584" s="125">
        <f t="shared" si="192"/>
        <v>183.14499999999998</v>
      </c>
      <c r="Z584" s="125">
        <f t="shared" si="192"/>
        <v>183.14499999999998</v>
      </c>
      <c r="AA584" s="125">
        <f t="shared" si="192"/>
        <v>183.14499999999998</v>
      </c>
      <c r="AB584" s="125">
        <f t="shared" si="192"/>
        <v>183.14499999999998</v>
      </c>
      <c r="AC584" s="125">
        <f t="shared" si="192"/>
        <v>183.14499999999998</v>
      </c>
      <c r="AD584" s="125">
        <f t="shared" si="192"/>
        <v>183.14499999999998</v>
      </c>
      <c r="AE584" s="125">
        <f t="shared" si="192"/>
        <v>183.14499999999998</v>
      </c>
      <c r="AF584" s="125">
        <f t="shared" si="192"/>
        <v>183.14499999999998</v>
      </c>
      <c r="AG584" s="126">
        <f t="shared" si="192"/>
        <v>183.14499999999998</v>
      </c>
      <c r="AH584" s="22"/>
    </row>
    <row r="585" spans="1:34" x14ac:dyDescent="0.25">
      <c r="A585" s="21"/>
      <c r="B585" s="27" t="s">
        <v>594</v>
      </c>
      <c r="C585" s="67" t="s">
        <v>318</v>
      </c>
      <c r="D585" s="125">
        <f t="shared" ref="D585:AG585" si="193">0.89</f>
        <v>0.89</v>
      </c>
      <c r="E585" s="125">
        <f t="shared" si="193"/>
        <v>0.89</v>
      </c>
      <c r="F585" s="125">
        <f t="shared" si="193"/>
        <v>0.89</v>
      </c>
      <c r="G585" s="125">
        <f t="shared" si="193"/>
        <v>0.89</v>
      </c>
      <c r="H585" s="125">
        <f t="shared" si="193"/>
        <v>0.89</v>
      </c>
      <c r="I585" s="125">
        <f t="shared" si="193"/>
        <v>0.89</v>
      </c>
      <c r="J585" s="125">
        <f t="shared" si="193"/>
        <v>0.89</v>
      </c>
      <c r="K585" s="125">
        <f t="shared" si="193"/>
        <v>0.89</v>
      </c>
      <c r="L585" s="125">
        <f t="shared" si="193"/>
        <v>0.89</v>
      </c>
      <c r="M585" s="125">
        <f t="shared" si="193"/>
        <v>0.89</v>
      </c>
      <c r="N585" s="125">
        <f t="shared" si="193"/>
        <v>0.89</v>
      </c>
      <c r="O585" s="125">
        <f t="shared" si="193"/>
        <v>0.89</v>
      </c>
      <c r="P585" s="125">
        <f t="shared" si="193"/>
        <v>0.89</v>
      </c>
      <c r="Q585" s="125">
        <f t="shared" si="193"/>
        <v>0.89</v>
      </c>
      <c r="R585" s="125">
        <f t="shared" si="193"/>
        <v>0.89</v>
      </c>
      <c r="S585" s="125">
        <f t="shared" si="193"/>
        <v>0.89</v>
      </c>
      <c r="T585" s="125">
        <f t="shared" si="193"/>
        <v>0.89</v>
      </c>
      <c r="U585" s="125">
        <f t="shared" si="193"/>
        <v>0.89</v>
      </c>
      <c r="V585" s="125">
        <f t="shared" si="193"/>
        <v>0.89</v>
      </c>
      <c r="W585" s="125">
        <f t="shared" si="193"/>
        <v>0.89</v>
      </c>
      <c r="X585" s="125">
        <f t="shared" si="193"/>
        <v>0.89</v>
      </c>
      <c r="Y585" s="125">
        <f t="shared" si="193"/>
        <v>0.89</v>
      </c>
      <c r="Z585" s="125">
        <f t="shared" si="193"/>
        <v>0.89</v>
      </c>
      <c r="AA585" s="125">
        <f t="shared" si="193"/>
        <v>0.89</v>
      </c>
      <c r="AB585" s="125">
        <f t="shared" si="193"/>
        <v>0.89</v>
      </c>
      <c r="AC585" s="125">
        <f t="shared" si="193"/>
        <v>0.89</v>
      </c>
      <c r="AD585" s="125">
        <f t="shared" si="193"/>
        <v>0.89</v>
      </c>
      <c r="AE585" s="125">
        <f t="shared" si="193"/>
        <v>0.89</v>
      </c>
      <c r="AF585" s="125">
        <f t="shared" si="193"/>
        <v>0.89</v>
      </c>
      <c r="AG585" s="126">
        <f t="shared" si="193"/>
        <v>0.89</v>
      </c>
      <c r="AH585" s="22"/>
    </row>
    <row r="586" spans="1:34" x14ac:dyDescent="0.25">
      <c r="A586" s="21"/>
      <c r="B586" s="27" t="s">
        <v>595</v>
      </c>
      <c r="C586" s="67" t="s">
        <v>318</v>
      </c>
      <c r="D586" s="125">
        <f t="shared" ref="D586:AG586" si="194">25.92</f>
        <v>25.92</v>
      </c>
      <c r="E586" s="125">
        <f t="shared" si="194"/>
        <v>25.92</v>
      </c>
      <c r="F586" s="125">
        <f t="shared" si="194"/>
        <v>25.92</v>
      </c>
      <c r="G586" s="125">
        <f t="shared" si="194"/>
        <v>25.92</v>
      </c>
      <c r="H586" s="125">
        <f t="shared" si="194"/>
        <v>25.92</v>
      </c>
      <c r="I586" s="125">
        <f t="shared" si="194"/>
        <v>25.92</v>
      </c>
      <c r="J586" s="125">
        <f t="shared" si="194"/>
        <v>25.92</v>
      </c>
      <c r="K586" s="125">
        <f t="shared" si="194"/>
        <v>25.92</v>
      </c>
      <c r="L586" s="125">
        <f t="shared" si="194"/>
        <v>25.92</v>
      </c>
      <c r="M586" s="125">
        <f t="shared" si="194"/>
        <v>25.92</v>
      </c>
      <c r="N586" s="125">
        <f t="shared" si="194"/>
        <v>25.92</v>
      </c>
      <c r="O586" s="125">
        <f t="shared" si="194"/>
        <v>25.92</v>
      </c>
      <c r="P586" s="125">
        <f t="shared" si="194"/>
        <v>25.92</v>
      </c>
      <c r="Q586" s="125">
        <f t="shared" si="194"/>
        <v>25.92</v>
      </c>
      <c r="R586" s="125">
        <f t="shared" si="194"/>
        <v>25.92</v>
      </c>
      <c r="S586" s="125">
        <f t="shared" si="194"/>
        <v>25.92</v>
      </c>
      <c r="T586" s="125">
        <f t="shared" si="194"/>
        <v>25.92</v>
      </c>
      <c r="U586" s="125">
        <f t="shared" si="194"/>
        <v>25.92</v>
      </c>
      <c r="V586" s="125">
        <f t="shared" si="194"/>
        <v>25.92</v>
      </c>
      <c r="W586" s="125">
        <f t="shared" si="194"/>
        <v>25.92</v>
      </c>
      <c r="X586" s="125">
        <f t="shared" si="194"/>
        <v>25.92</v>
      </c>
      <c r="Y586" s="125">
        <f t="shared" si="194"/>
        <v>25.92</v>
      </c>
      <c r="Z586" s="125">
        <f t="shared" si="194"/>
        <v>25.92</v>
      </c>
      <c r="AA586" s="125">
        <f t="shared" si="194"/>
        <v>25.92</v>
      </c>
      <c r="AB586" s="125">
        <f t="shared" si="194"/>
        <v>25.92</v>
      </c>
      <c r="AC586" s="125">
        <f t="shared" si="194"/>
        <v>25.92</v>
      </c>
      <c r="AD586" s="125">
        <f t="shared" si="194"/>
        <v>25.92</v>
      </c>
      <c r="AE586" s="125">
        <f t="shared" si="194"/>
        <v>25.92</v>
      </c>
      <c r="AF586" s="125">
        <f t="shared" si="194"/>
        <v>25.92</v>
      </c>
      <c r="AG586" s="126">
        <f t="shared" si="194"/>
        <v>25.92</v>
      </c>
      <c r="AH586" s="22"/>
    </row>
    <row r="587" spans="1:34" x14ac:dyDescent="0.25">
      <c r="A587" s="21"/>
      <c r="B587" s="27" t="s">
        <v>596</v>
      </c>
      <c r="C587" s="67" t="s">
        <v>318</v>
      </c>
      <c r="D587" s="125">
        <f>7.2</f>
        <v>7.2</v>
      </c>
      <c r="E587" s="125">
        <f>180</f>
        <v>180</v>
      </c>
      <c r="F587" s="125">
        <f>7.2</f>
        <v>7.2</v>
      </c>
      <c r="G587" s="125">
        <f>7.2</f>
        <v>7.2</v>
      </c>
      <c r="H587" s="125">
        <f>180</f>
        <v>180</v>
      </c>
      <c r="I587" s="125">
        <f t="shared" ref="I587:N587" si="195">7.2</f>
        <v>7.2</v>
      </c>
      <c r="J587" s="125">
        <f t="shared" si="195"/>
        <v>7.2</v>
      </c>
      <c r="K587" s="125">
        <f t="shared" si="195"/>
        <v>7.2</v>
      </c>
      <c r="L587" s="125">
        <f t="shared" si="195"/>
        <v>7.2</v>
      </c>
      <c r="M587" s="125">
        <f t="shared" si="195"/>
        <v>7.2</v>
      </c>
      <c r="N587" s="125">
        <f t="shared" si="195"/>
        <v>7.2</v>
      </c>
      <c r="O587" s="125">
        <f>180</f>
        <v>180</v>
      </c>
      <c r="P587" s="125">
        <f>7.2</f>
        <v>7.2</v>
      </c>
      <c r="Q587" s="125">
        <f>7.2</f>
        <v>7.2</v>
      </c>
      <c r="R587" s="125">
        <f>180</f>
        <v>180</v>
      </c>
      <c r="S587" s="125">
        <f t="shared" ref="S587:X587" si="196">7.2</f>
        <v>7.2</v>
      </c>
      <c r="T587" s="125">
        <f t="shared" si="196"/>
        <v>7.2</v>
      </c>
      <c r="U587" s="125">
        <f t="shared" si="196"/>
        <v>7.2</v>
      </c>
      <c r="V587" s="125">
        <f t="shared" si="196"/>
        <v>7.2</v>
      </c>
      <c r="W587" s="125">
        <f t="shared" si="196"/>
        <v>7.2</v>
      </c>
      <c r="X587" s="125">
        <f t="shared" si="196"/>
        <v>7.2</v>
      </c>
      <c r="Y587" s="125">
        <f>180</f>
        <v>180</v>
      </c>
      <c r="Z587" s="125">
        <f>7.2</f>
        <v>7.2</v>
      </c>
      <c r="AA587" s="125">
        <f>7.2</f>
        <v>7.2</v>
      </c>
      <c r="AB587" s="125">
        <f>180</f>
        <v>180</v>
      </c>
      <c r="AC587" s="125">
        <f>7.2</f>
        <v>7.2</v>
      </c>
      <c r="AD587" s="125">
        <f>7.2</f>
        <v>7.2</v>
      </c>
      <c r="AE587" s="125">
        <f>7.2</f>
        <v>7.2</v>
      </c>
      <c r="AF587" s="125">
        <f>7.2</f>
        <v>7.2</v>
      </c>
      <c r="AG587" s="126">
        <f>7.2</f>
        <v>7.2</v>
      </c>
      <c r="AH587" s="22"/>
    </row>
    <row r="588" spans="1:34" x14ac:dyDescent="0.25">
      <c r="A588" s="21"/>
      <c r="B588" s="27" t="s">
        <v>597</v>
      </c>
      <c r="C588" s="67" t="s">
        <v>318</v>
      </c>
      <c r="D588" s="125">
        <f t="shared" ref="D588:AG588" si="197">307.2</f>
        <v>307.2</v>
      </c>
      <c r="E588" s="125">
        <f t="shared" si="197"/>
        <v>307.2</v>
      </c>
      <c r="F588" s="125">
        <f t="shared" si="197"/>
        <v>307.2</v>
      </c>
      <c r="G588" s="125">
        <f t="shared" si="197"/>
        <v>307.2</v>
      </c>
      <c r="H588" s="125">
        <f t="shared" si="197"/>
        <v>307.2</v>
      </c>
      <c r="I588" s="125">
        <f t="shared" si="197"/>
        <v>307.2</v>
      </c>
      <c r="J588" s="125">
        <f t="shared" si="197"/>
        <v>307.2</v>
      </c>
      <c r="K588" s="125">
        <f t="shared" si="197"/>
        <v>307.2</v>
      </c>
      <c r="L588" s="125">
        <f t="shared" si="197"/>
        <v>307.2</v>
      </c>
      <c r="M588" s="125">
        <f t="shared" si="197"/>
        <v>307.2</v>
      </c>
      <c r="N588" s="125">
        <f t="shared" si="197"/>
        <v>307.2</v>
      </c>
      <c r="O588" s="125">
        <f t="shared" si="197"/>
        <v>307.2</v>
      </c>
      <c r="P588" s="125">
        <f t="shared" si="197"/>
        <v>307.2</v>
      </c>
      <c r="Q588" s="125">
        <f t="shared" si="197"/>
        <v>307.2</v>
      </c>
      <c r="R588" s="125">
        <f t="shared" si="197"/>
        <v>307.2</v>
      </c>
      <c r="S588" s="125">
        <f t="shared" si="197"/>
        <v>307.2</v>
      </c>
      <c r="T588" s="125">
        <f t="shared" si="197"/>
        <v>307.2</v>
      </c>
      <c r="U588" s="125">
        <f t="shared" si="197"/>
        <v>307.2</v>
      </c>
      <c r="V588" s="125">
        <f t="shared" si="197"/>
        <v>307.2</v>
      </c>
      <c r="W588" s="125">
        <f t="shared" si="197"/>
        <v>307.2</v>
      </c>
      <c r="X588" s="125">
        <f t="shared" si="197"/>
        <v>307.2</v>
      </c>
      <c r="Y588" s="125">
        <f t="shared" si="197"/>
        <v>307.2</v>
      </c>
      <c r="Z588" s="125">
        <f t="shared" si="197"/>
        <v>307.2</v>
      </c>
      <c r="AA588" s="125">
        <f t="shared" si="197"/>
        <v>307.2</v>
      </c>
      <c r="AB588" s="125">
        <f t="shared" si="197"/>
        <v>307.2</v>
      </c>
      <c r="AC588" s="125">
        <f t="shared" si="197"/>
        <v>307.2</v>
      </c>
      <c r="AD588" s="125">
        <f t="shared" si="197"/>
        <v>307.2</v>
      </c>
      <c r="AE588" s="125">
        <f t="shared" si="197"/>
        <v>307.2</v>
      </c>
      <c r="AF588" s="125">
        <f t="shared" si="197"/>
        <v>307.2</v>
      </c>
      <c r="AG588" s="126">
        <f t="shared" si="197"/>
        <v>307.2</v>
      </c>
      <c r="AH588" s="22"/>
    </row>
    <row r="589" spans="1:34" x14ac:dyDescent="0.25">
      <c r="A589" s="21"/>
      <c r="B589" s="27" t="s">
        <v>598</v>
      </c>
      <c r="C589" s="67" t="s">
        <v>318</v>
      </c>
      <c r="D589" s="125">
        <f>216</f>
        <v>216</v>
      </c>
      <c r="E589" s="125">
        <f>216</f>
        <v>216</v>
      </c>
      <c r="F589" s="125">
        <f>216</f>
        <v>216</v>
      </c>
      <c r="G589" s="125">
        <f>216</f>
        <v>216</v>
      </c>
      <c r="H589" s="125">
        <f>216</f>
        <v>216</v>
      </c>
      <c r="I589" s="125">
        <f>216</f>
        <v>216</v>
      </c>
      <c r="J589" s="125">
        <f>216</f>
        <v>216</v>
      </c>
      <c r="K589" s="125">
        <f>216</f>
        <v>216</v>
      </c>
      <c r="L589" s="125">
        <f>216</f>
        <v>216</v>
      </c>
      <c r="M589" s="125">
        <f>216</f>
        <v>216</v>
      </c>
      <c r="N589" s="125">
        <f>216</f>
        <v>216</v>
      </c>
      <c r="O589" s="125">
        <f>216</f>
        <v>216</v>
      </c>
      <c r="P589" s="125">
        <f>216</f>
        <v>216</v>
      </c>
      <c r="Q589" s="125">
        <f>216</f>
        <v>216</v>
      </c>
      <c r="R589" s="125">
        <f>216</f>
        <v>216</v>
      </c>
      <c r="S589" s="125">
        <f>216</f>
        <v>216</v>
      </c>
      <c r="T589" s="125">
        <f>216</f>
        <v>216</v>
      </c>
      <c r="U589" s="125">
        <f>216</f>
        <v>216</v>
      </c>
      <c r="V589" s="125">
        <f>216</f>
        <v>216</v>
      </c>
      <c r="W589" s="125">
        <f>216</f>
        <v>216</v>
      </c>
      <c r="X589" s="125">
        <f>216</f>
        <v>216</v>
      </c>
      <c r="Y589" s="125">
        <f>216</f>
        <v>216</v>
      </c>
      <c r="Z589" s="125">
        <f>216</f>
        <v>216</v>
      </c>
      <c r="AA589" s="125">
        <f>216</f>
        <v>216</v>
      </c>
      <c r="AB589" s="125">
        <f>216</f>
        <v>216</v>
      </c>
      <c r="AC589" s="125">
        <f>216</f>
        <v>216</v>
      </c>
      <c r="AD589" s="125">
        <f>216</f>
        <v>216</v>
      </c>
      <c r="AE589" s="125">
        <f>216</f>
        <v>216</v>
      </c>
      <c r="AF589" s="125">
        <f>216</f>
        <v>216</v>
      </c>
      <c r="AG589" s="126">
        <f>216</f>
        <v>216</v>
      </c>
      <c r="AH589" s="22"/>
    </row>
    <row r="590" spans="1:34" x14ac:dyDescent="0.25">
      <c r="A590" s="21"/>
      <c r="B590" s="120" t="s">
        <v>599</v>
      </c>
      <c r="C590" s="121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  <c r="AF590" s="127"/>
      <c r="AG590" s="128"/>
      <c r="AH590" s="22"/>
    </row>
    <row r="591" spans="1:34" x14ac:dyDescent="0.25">
      <c r="A591" s="21"/>
      <c r="B591" s="27" t="s">
        <v>600</v>
      </c>
      <c r="C591" s="67" t="s">
        <v>318</v>
      </c>
      <c r="D591" s="125">
        <f>266.4</f>
        <v>266.39999999999998</v>
      </c>
      <c r="E591" s="125">
        <v>0</v>
      </c>
      <c r="F591" s="125">
        <v>0</v>
      </c>
      <c r="G591" s="125">
        <f>266.4</f>
        <v>266.39999999999998</v>
      </c>
      <c r="H591" s="125">
        <v>0</v>
      </c>
      <c r="I591" s="125">
        <v>0</v>
      </c>
      <c r="J591" s="125">
        <f>266.4</f>
        <v>266.39999999999998</v>
      </c>
      <c r="K591" s="125">
        <v>0</v>
      </c>
      <c r="L591" s="125">
        <f>266.4</f>
        <v>266.39999999999998</v>
      </c>
      <c r="M591" s="125">
        <v>0</v>
      </c>
      <c r="N591" s="125">
        <f>266.4</f>
        <v>266.39999999999998</v>
      </c>
      <c r="O591" s="125">
        <v>0</v>
      </c>
      <c r="P591" s="125">
        <v>0</v>
      </c>
      <c r="Q591" s="125">
        <f>266.4</f>
        <v>266.39999999999998</v>
      </c>
      <c r="R591" s="125">
        <v>0</v>
      </c>
      <c r="S591" s="125">
        <v>0</v>
      </c>
      <c r="T591" s="125">
        <f>266.4</f>
        <v>266.39999999999998</v>
      </c>
      <c r="U591" s="125">
        <v>0</v>
      </c>
      <c r="V591" s="125">
        <f>266.4</f>
        <v>266.39999999999998</v>
      </c>
      <c r="W591" s="125">
        <v>0</v>
      </c>
      <c r="X591" s="125">
        <f>266.4</f>
        <v>266.39999999999998</v>
      </c>
      <c r="Y591" s="125">
        <v>0</v>
      </c>
      <c r="Z591" s="125">
        <v>0</v>
      </c>
      <c r="AA591" s="125">
        <f>266.4</f>
        <v>266.39999999999998</v>
      </c>
      <c r="AB591" s="125">
        <v>0</v>
      </c>
      <c r="AC591" s="125">
        <v>0</v>
      </c>
      <c r="AD591" s="125">
        <f>266.4</f>
        <v>266.39999999999998</v>
      </c>
      <c r="AE591" s="125">
        <v>0</v>
      </c>
      <c r="AF591" s="125">
        <f>266.4</f>
        <v>266.39999999999998</v>
      </c>
      <c r="AG591" s="126">
        <v>0</v>
      </c>
      <c r="AH591" s="22"/>
    </row>
    <row r="592" spans="1:34" x14ac:dyDescent="0.25">
      <c r="A592" s="21"/>
      <c r="B592" s="27" t="s">
        <v>594</v>
      </c>
      <c r="C592" s="67" t="s">
        <v>318</v>
      </c>
      <c r="D592" s="125">
        <f>0.89</f>
        <v>0.89</v>
      </c>
      <c r="E592" s="125">
        <v>0</v>
      </c>
      <c r="F592" s="125">
        <v>0</v>
      </c>
      <c r="G592" s="125">
        <f>0.89</f>
        <v>0.89</v>
      </c>
      <c r="H592" s="125">
        <v>0</v>
      </c>
      <c r="I592" s="125">
        <v>0</v>
      </c>
      <c r="J592" s="125">
        <f>0.89</f>
        <v>0.89</v>
      </c>
      <c r="K592" s="125">
        <v>0</v>
      </c>
      <c r="L592" s="125">
        <f>0.89</f>
        <v>0.89</v>
      </c>
      <c r="M592" s="125">
        <v>0</v>
      </c>
      <c r="N592" s="125">
        <f>0.89</f>
        <v>0.89</v>
      </c>
      <c r="O592" s="125">
        <v>0</v>
      </c>
      <c r="P592" s="125">
        <v>0</v>
      </c>
      <c r="Q592" s="125">
        <f>0.89</f>
        <v>0.89</v>
      </c>
      <c r="R592" s="125">
        <v>0</v>
      </c>
      <c r="S592" s="125">
        <v>0</v>
      </c>
      <c r="T592" s="125">
        <f>0.89</f>
        <v>0.89</v>
      </c>
      <c r="U592" s="125">
        <v>0</v>
      </c>
      <c r="V592" s="125">
        <f>0.89</f>
        <v>0.89</v>
      </c>
      <c r="W592" s="125">
        <v>0</v>
      </c>
      <c r="X592" s="125">
        <f>0.89</f>
        <v>0.89</v>
      </c>
      <c r="Y592" s="125">
        <v>0</v>
      </c>
      <c r="Z592" s="125">
        <v>0</v>
      </c>
      <c r="AA592" s="125">
        <f>0.89</f>
        <v>0.89</v>
      </c>
      <c r="AB592" s="125">
        <v>0</v>
      </c>
      <c r="AC592" s="125">
        <v>0</v>
      </c>
      <c r="AD592" s="125">
        <f>0.89</f>
        <v>0.89</v>
      </c>
      <c r="AE592" s="125">
        <v>0</v>
      </c>
      <c r="AF592" s="125">
        <f>0.89</f>
        <v>0.89</v>
      </c>
      <c r="AG592" s="126">
        <v>0</v>
      </c>
      <c r="AH592" s="22"/>
    </row>
    <row r="593" spans="1:34" x14ac:dyDescent="0.25">
      <c r="A593" s="21"/>
      <c r="B593" s="27" t="s">
        <v>601</v>
      </c>
      <c r="C593" s="67" t="s">
        <v>318</v>
      </c>
      <c r="D593" s="125">
        <f>9.6</f>
        <v>9.6</v>
      </c>
      <c r="E593" s="125">
        <v>0</v>
      </c>
      <c r="F593" s="125">
        <v>0</v>
      </c>
      <c r="G593" s="125">
        <f>9.6</f>
        <v>9.6</v>
      </c>
      <c r="H593" s="125">
        <v>0</v>
      </c>
      <c r="I593" s="125">
        <v>0</v>
      </c>
      <c r="J593" s="125">
        <f>9.6</f>
        <v>9.6</v>
      </c>
      <c r="K593" s="125">
        <v>0</v>
      </c>
      <c r="L593" s="125">
        <f>9.6</f>
        <v>9.6</v>
      </c>
      <c r="M593" s="125">
        <v>0</v>
      </c>
      <c r="N593" s="125">
        <f>9.6</f>
        <v>9.6</v>
      </c>
      <c r="O593" s="125">
        <v>0</v>
      </c>
      <c r="P593" s="125">
        <v>0</v>
      </c>
      <c r="Q593" s="125">
        <f>9.6</f>
        <v>9.6</v>
      </c>
      <c r="R593" s="125">
        <v>0</v>
      </c>
      <c r="S593" s="125">
        <v>0</v>
      </c>
      <c r="T593" s="125">
        <f>9.6</f>
        <v>9.6</v>
      </c>
      <c r="U593" s="125">
        <v>0</v>
      </c>
      <c r="V593" s="125">
        <f>9.6</f>
        <v>9.6</v>
      </c>
      <c r="W593" s="125">
        <v>0</v>
      </c>
      <c r="X593" s="125">
        <f>9.6</f>
        <v>9.6</v>
      </c>
      <c r="Y593" s="125">
        <v>0</v>
      </c>
      <c r="Z593" s="125">
        <v>0</v>
      </c>
      <c r="AA593" s="125">
        <f>9.6</f>
        <v>9.6</v>
      </c>
      <c r="AB593" s="125">
        <v>0</v>
      </c>
      <c r="AC593" s="125">
        <v>0</v>
      </c>
      <c r="AD593" s="125">
        <f>9.6</f>
        <v>9.6</v>
      </c>
      <c r="AE593" s="125">
        <v>0</v>
      </c>
      <c r="AF593" s="125">
        <f>9.6</f>
        <v>9.6</v>
      </c>
      <c r="AG593" s="126">
        <v>0</v>
      </c>
      <c r="AH593" s="22"/>
    </row>
    <row r="594" spans="1:34" x14ac:dyDescent="0.25">
      <c r="A594" s="21"/>
      <c r="B594" s="27" t="s">
        <v>602</v>
      </c>
      <c r="C594" s="67" t="s">
        <v>318</v>
      </c>
      <c r="D594" s="125">
        <v>0</v>
      </c>
      <c r="E594" s="125">
        <v>0</v>
      </c>
      <c r="F594" s="125">
        <f>480</f>
        <v>480</v>
      </c>
      <c r="G594" s="125">
        <v>0</v>
      </c>
      <c r="H594" s="125">
        <v>0</v>
      </c>
      <c r="I594" s="125">
        <f>480</f>
        <v>480</v>
      </c>
      <c r="J594" s="125">
        <v>0</v>
      </c>
      <c r="K594" s="125">
        <f>480</f>
        <v>480</v>
      </c>
      <c r="L594" s="125">
        <v>0</v>
      </c>
      <c r="M594" s="125">
        <f>480</f>
        <v>480</v>
      </c>
      <c r="N594" s="125">
        <v>0</v>
      </c>
      <c r="O594" s="125">
        <v>0</v>
      </c>
      <c r="P594" s="125">
        <f>480</f>
        <v>480</v>
      </c>
      <c r="Q594" s="125">
        <v>0</v>
      </c>
      <c r="R594" s="125">
        <v>0</v>
      </c>
      <c r="S594" s="125">
        <f>480</f>
        <v>480</v>
      </c>
      <c r="T594" s="125">
        <v>0</v>
      </c>
      <c r="U594" s="125">
        <f>480</f>
        <v>480</v>
      </c>
      <c r="V594" s="125">
        <v>0</v>
      </c>
      <c r="W594" s="125">
        <f>480</f>
        <v>480</v>
      </c>
      <c r="X594" s="125">
        <v>0</v>
      </c>
      <c r="Y594" s="125">
        <v>0</v>
      </c>
      <c r="Z594" s="125">
        <f>480</f>
        <v>480</v>
      </c>
      <c r="AA594" s="125">
        <v>0</v>
      </c>
      <c r="AB594" s="125">
        <v>0</v>
      </c>
      <c r="AC594" s="125">
        <f>480</f>
        <v>480</v>
      </c>
      <c r="AD594" s="125">
        <v>0</v>
      </c>
      <c r="AE594" s="125">
        <f>480</f>
        <v>480</v>
      </c>
      <c r="AF594" s="125">
        <v>0</v>
      </c>
      <c r="AG594" s="126">
        <f>480</f>
        <v>480</v>
      </c>
      <c r="AH594" s="22"/>
    </row>
    <row r="595" spans="1:34" x14ac:dyDescent="0.25">
      <c r="A595" s="21"/>
      <c r="B595" s="27" t="s">
        <v>603</v>
      </c>
      <c r="C595" s="67" t="s">
        <v>318</v>
      </c>
      <c r="D595" s="125">
        <v>0</v>
      </c>
      <c r="E595" s="125">
        <v>0</v>
      </c>
      <c r="F595" s="125">
        <f>0.52*$B$5^2 - 15.6*$B$5 + 512</f>
        <v>408</v>
      </c>
      <c r="G595" s="125">
        <v>0</v>
      </c>
      <c r="H595" s="125">
        <v>0</v>
      </c>
      <c r="I595" s="125">
        <f>0.52*$B$5^2 - 15.6*$B$5 + 512</f>
        <v>408</v>
      </c>
      <c r="J595" s="125">
        <v>0</v>
      </c>
      <c r="K595" s="125">
        <f>0.52*$B$5^2 - 15.6*$B$5 + 512</f>
        <v>408</v>
      </c>
      <c r="L595" s="125">
        <v>0</v>
      </c>
      <c r="M595" s="125">
        <f>0.52*$B$5^2 - 15.6*$B$5 + 512</f>
        <v>408</v>
      </c>
      <c r="N595" s="125">
        <v>0</v>
      </c>
      <c r="O595" s="125">
        <v>0</v>
      </c>
      <c r="P595" s="125">
        <f>408</f>
        <v>408</v>
      </c>
      <c r="Q595" s="125">
        <v>0</v>
      </c>
      <c r="R595" s="125">
        <v>0</v>
      </c>
      <c r="S595" s="125">
        <f>408</f>
        <v>408</v>
      </c>
      <c r="T595" s="125">
        <v>0</v>
      </c>
      <c r="U595" s="125">
        <f>408</f>
        <v>408</v>
      </c>
      <c r="V595" s="125">
        <v>0</v>
      </c>
      <c r="W595" s="125">
        <f>408</f>
        <v>408</v>
      </c>
      <c r="X595" s="125">
        <v>0</v>
      </c>
      <c r="Y595" s="125">
        <v>0</v>
      </c>
      <c r="Z595" s="125">
        <f>-0.64*$B$5^2 + 38.4*$B$5 - 104</f>
        <v>216</v>
      </c>
      <c r="AA595" s="125">
        <v>0</v>
      </c>
      <c r="AB595" s="125">
        <v>0</v>
      </c>
      <c r="AC595" s="125">
        <f>-0.64*$B$5^2 + 38.4*$B$5 - 104</f>
        <v>216</v>
      </c>
      <c r="AD595" s="125">
        <v>0</v>
      </c>
      <c r="AE595" s="125">
        <f>-0.64*$B$5^2 + 38.4*$B$5 - 104</f>
        <v>216</v>
      </c>
      <c r="AF595" s="125">
        <v>0</v>
      </c>
      <c r="AG595" s="126">
        <f>-0.64*$B$5^2 + 38.4*$B$5 - 104</f>
        <v>216</v>
      </c>
      <c r="AH595" s="22"/>
    </row>
    <row r="596" spans="1:34" x14ac:dyDescent="0.25">
      <c r="A596" s="21"/>
      <c r="B596" s="120" t="s">
        <v>604</v>
      </c>
      <c r="C596" s="121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  <c r="AF596" s="127"/>
      <c r="AG596" s="128"/>
      <c r="AH596" s="22"/>
    </row>
    <row r="597" spans="1:34" x14ac:dyDescent="0.25">
      <c r="A597" s="21"/>
      <c r="B597" s="141" t="s">
        <v>605</v>
      </c>
      <c r="C597" s="125" t="s">
        <v>319</v>
      </c>
      <c r="D597" s="125">
        <f>1200</f>
        <v>1200</v>
      </c>
      <c r="E597" s="125">
        <f>1200</f>
        <v>1200</v>
      </c>
      <c r="F597" s="125">
        <f>1200</f>
        <v>1200</v>
      </c>
      <c r="G597" s="125">
        <f>1200</f>
        <v>1200</v>
      </c>
      <c r="H597" s="125">
        <f>1200</f>
        <v>1200</v>
      </c>
      <c r="I597" s="125">
        <f>1200</f>
        <v>1200</v>
      </c>
      <c r="J597" s="125">
        <f>1200</f>
        <v>1200</v>
      </c>
      <c r="K597" s="125">
        <f>1200</f>
        <v>1200</v>
      </c>
      <c r="L597" s="125">
        <f>1200</f>
        <v>1200</v>
      </c>
      <c r="M597" s="125">
        <f>1200</f>
        <v>1200</v>
      </c>
      <c r="N597" s="125">
        <f>1200</f>
        <v>1200</v>
      </c>
      <c r="O597" s="125">
        <f>1200</f>
        <v>1200</v>
      </c>
      <c r="P597" s="125">
        <f>1200</f>
        <v>1200</v>
      </c>
      <c r="Q597" s="125">
        <f>1200</f>
        <v>1200</v>
      </c>
      <c r="R597" s="125">
        <f>1200</f>
        <v>1200</v>
      </c>
      <c r="S597" s="125">
        <f>1200</f>
        <v>1200</v>
      </c>
      <c r="T597" s="125">
        <f>1200</f>
        <v>1200</v>
      </c>
      <c r="U597" s="125">
        <f>1200</f>
        <v>1200</v>
      </c>
      <c r="V597" s="125">
        <f>1200</f>
        <v>1200</v>
      </c>
      <c r="W597" s="125">
        <f>1200</f>
        <v>1200</v>
      </c>
      <c r="X597" s="125">
        <f>1200</f>
        <v>1200</v>
      </c>
      <c r="Y597" s="125">
        <f>1200</f>
        <v>1200</v>
      </c>
      <c r="Z597" s="125">
        <f>1200</f>
        <v>1200</v>
      </c>
      <c r="AA597" s="125">
        <f>1200</f>
        <v>1200</v>
      </c>
      <c r="AB597" s="125">
        <f>1200</f>
        <v>1200</v>
      </c>
      <c r="AC597" s="125">
        <f>1200</f>
        <v>1200</v>
      </c>
      <c r="AD597" s="125">
        <f>1200</f>
        <v>1200</v>
      </c>
      <c r="AE597" s="125">
        <f>1200</f>
        <v>1200</v>
      </c>
      <c r="AF597" s="125">
        <f>1200</f>
        <v>1200</v>
      </c>
      <c r="AG597" s="126">
        <f>1200</f>
        <v>1200</v>
      </c>
      <c r="AH597" s="22"/>
    </row>
    <row r="598" spans="1:34" x14ac:dyDescent="0.25">
      <c r="A598" s="21"/>
      <c r="B598" s="141" t="s">
        <v>606</v>
      </c>
      <c r="C598" s="125" t="s">
        <v>319</v>
      </c>
      <c r="D598" s="125">
        <f>240</f>
        <v>240</v>
      </c>
      <c r="E598" s="125">
        <f>240</f>
        <v>240</v>
      </c>
      <c r="F598" s="125">
        <f>240</f>
        <v>240</v>
      </c>
      <c r="G598" s="125">
        <f>240</f>
        <v>240</v>
      </c>
      <c r="H598" s="125">
        <f>240</f>
        <v>240</v>
      </c>
      <c r="I598" s="125">
        <f>240</f>
        <v>240</v>
      </c>
      <c r="J598" s="125">
        <f>240</f>
        <v>240</v>
      </c>
      <c r="K598" s="125">
        <f>240</f>
        <v>240</v>
      </c>
      <c r="L598" s="125">
        <f>240</f>
        <v>240</v>
      </c>
      <c r="M598" s="125">
        <f>240</f>
        <v>240</v>
      </c>
      <c r="N598" s="125">
        <f>240</f>
        <v>240</v>
      </c>
      <c r="O598" s="125">
        <f>240</f>
        <v>240</v>
      </c>
      <c r="P598" s="125">
        <f>240</f>
        <v>240</v>
      </c>
      <c r="Q598" s="125">
        <f>240</f>
        <v>240</v>
      </c>
      <c r="R598" s="125">
        <f>240</f>
        <v>240</v>
      </c>
      <c r="S598" s="125">
        <f>240</f>
        <v>240</v>
      </c>
      <c r="T598" s="125">
        <f>240</f>
        <v>240</v>
      </c>
      <c r="U598" s="125">
        <f>240</f>
        <v>240</v>
      </c>
      <c r="V598" s="125">
        <f>240</f>
        <v>240</v>
      </c>
      <c r="W598" s="125">
        <f>240</f>
        <v>240</v>
      </c>
      <c r="X598" s="125">
        <f>240</f>
        <v>240</v>
      </c>
      <c r="Y598" s="125">
        <f>240</f>
        <v>240</v>
      </c>
      <c r="Z598" s="125">
        <f>240</f>
        <v>240</v>
      </c>
      <c r="AA598" s="125">
        <f>240</f>
        <v>240</v>
      </c>
      <c r="AB598" s="125">
        <f>240</f>
        <v>240</v>
      </c>
      <c r="AC598" s="125">
        <f>240</f>
        <v>240</v>
      </c>
      <c r="AD598" s="125">
        <f>240</f>
        <v>240</v>
      </c>
      <c r="AE598" s="125">
        <f>240</f>
        <v>240</v>
      </c>
      <c r="AF598" s="125">
        <f>240</f>
        <v>240</v>
      </c>
      <c r="AG598" s="126">
        <f>240</f>
        <v>240</v>
      </c>
      <c r="AH598" s="22"/>
    </row>
    <row r="599" spans="1:34" x14ac:dyDescent="0.25">
      <c r="A599" s="21"/>
      <c r="B599" s="141" t="s">
        <v>607</v>
      </c>
      <c r="C599" s="125" t="s">
        <v>319</v>
      </c>
      <c r="D599" s="125">
        <f>120</f>
        <v>120</v>
      </c>
      <c r="E599" s="125">
        <f>120</f>
        <v>120</v>
      </c>
      <c r="F599" s="125">
        <f>120</f>
        <v>120</v>
      </c>
      <c r="G599" s="125">
        <f>120</f>
        <v>120</v>
      </c>
      <c r="H599" s="125">
        <f>120</f>
        <v>120</v>
      </c>
      <c r="I599" s="125">
        <f>120</f>
        <v>120</v>
      </c>
      <c r="J599" s="125">
        <f>120</f>
        <v>120</v>
      </c>
      <c r="K599" s="125">
        <f>120</f>
        <v>120</v>
      </c>
      <c r="L599" s="125">
        <f>120</f>
        <v>120</v>
      </c>
      <c r="M599" s="125">
        <f>120</f>
        <v>120</v>
      </c>
      <c r="N599" s="125">
        <f>120</f>
        <v>120</v>
      </c>
      <c r="O599" s="125">
        <f>120</f>
        <v>120</v>
      </c>
      <c r="P599" s="125">
        <f>120</f>
        <v>120</v>
      </c>
      <c r="Q599" s="125">
        <f>120</f>
        <v>120</v>
      </c>
      <c r="R599" s="125">
        <f>120</f>
        <v>120</v>
      </c>
      <c r="S599" s="125">
        <f>120</f>
        <v>120</v>
      </c>
      <c r="T599" s="125">
        <f>120</f>
        <v>120</v>
      </c>
      <c r="U599" s="125">
        <f>120</f>
        <v>120</v>
      </c>
      <c r="V599" s="125">
        <f>120</f>
        <v>120</v>
      </c>
      <c r="W599" s="125">
        <f>120</f>
        <v>120</v>
      </c>
      <c r="X599" s="125">
        <f>120</f>
        <v>120</v>
      </c>
      <c r="Y599" s="125">
        <f>120</f>
        <v>120</v>
      </c>
      <c r="Z599" s="125">
        <f>120</f>
        <v>120</v>
      </c>
      <c r="AA599" s="125">
        <f>120</f>
        <v>120</v>
      </c>
      <c r="AB599" s="125">
        <f>120</f>
        <v>120</v>
      </c>
      <c r="AC599" s="125">
        <f>120</f>
        <v>120</v>
      </c>
      <c r="AD599" s="125">
        <f>120</f>
        <v>120</v>
      </c>
      <c r="AE599" s="125">
        <f>120</f>
        <v>120</v>
      </c>
      <c r="AF599" s="125">
        <f>120</f>
        <v>120</v>
      </c>
      <c r="AG599" s="126">
        <f>120</f>
        <v>120</v>
      </c>
      <c r="AH599" s="22"/>
    </row>
    <row r="600" spans="1:34" x14ac:dyDescent="0.25">
      <c r="A600" s="21"/>
      <c r="B600" s="141" t="s">
        <v>608</v>
      </c>
      <c r="C600" s="125" t="s">
        <v>319</v>
      </c>
      <c r="D600" s="125">
        <f>240</f>
        <v>240</v>
      </c>
      <c r="E600" s="125">
        <f>240</f>
        <v>240</v>
      </c>
      <c r="F600" s="125">
        <f>240</f>
        <v>240</v>
      </c>
      <c r="G600" s="125">
        <f>240</f>
        <v>240</v>
      </c>
      <c r="H600" s="125">
        <f>240</f>
        <v>240</v>
      </c>
      <c r="I600" s="125">
        <f>240</f>
        <v>240</v>
      </c>
      <c r="J600" s="125">
        <f>240</f>
        <v>240</v>
      </c>
      <c r="K600" s="125">
        <f>240</f>
        <v>240</v>
      </c>
      <c r="L600" s="125">
        <f>240</f>
        <v>240</v>
      </c>
      <c r="M600" s="125">
        <f>240</f>
        <v>240</v>
      </c>
      <c r="N600" s="125">
        <f>240</f>
        <v>240</v>
      </c>
      <c r="O600" s="125">
        <f>240</f>
        <v>240</v>
      </c>
      <c r="P600" s="125">
        <f>240</f>
        <v>240</v>
      </c>
      <c r="Q600" s="125">
        <f>240</f>
        <v>240</v>
      </c>
      <c r="R600" s="125">
        <f>240</f>
        <v>240</v>
      </c>
      <c r="S600" s="125">
        <f>240</f>
        <v>240</v>
      </c>
      <c r="T600" s="125">
        <f>240</f>
        <v>240</v>
      </c>
      <c r="U600" s="125">
        <f>240</f>
        <v>240</v>
      </c>
      <c r="V600" s="125">
        <f>240</f>
        <v>240</v>
      </c>
      <c r="W600" s="125">
        <f>240</f>
        <v>240</v>
      </c>
      <c r="X600" s="125">
        <f>240</f>
        <v>240</v>
      </c>
      <c r="Y600" s="125">
        <f>240</f>
        <v>240</v>
      </c>
      <c r="Z600" s="125">
        <f>240</f>
        <v>240</v>
      </c>
      <c r="AA600" s="125">
        <f>240</f>
        <v>240</v>
      </c>
      <c r="AB600" s="125">
        <f>240</f>
        <v>240</v>
      </c>
      <c r="AC600" s="125">
        <f>240</f>
        <v>240</v>
      </c>
      <c r="AD600" s="125">
        <f>240</f>
        <v>240</v>
      </c>
      <c r="AE600" s="125">
        <f>240</f>
        <v>240</v>
      </c>
      <c r="AF600" s="125">
        <f>240</f>
        <v>240</v>
      </c>
      <c r="AG600" s="126">
        <f>240</f>
        <v>240</v>
      </c>
      <c r="AH600" s="22"/>
    </row>
    <row r="601" spans="1:34" x14ac:dyDescent="0.25">
      <c r="A601" s="21"/>
      <c r="B601" s="141" t="s">
        <v>609</v>
      </c>
      <c r="C601" s="125" t="s">
        <v>319</v>
      </c>
      <c r="D601" s="125">
        <f>240</f>
        <v>240</v>
      </c>
      <c r="E601" s="125">
        <f>240</f>
        <v>240</v>
      </c>
      <c r="F601" s="125">
        <f>240</f>
        <v>240</v>
      </c>
      <c r="G601" s="125">
        <f>240</f>
        <v>240</v>
      </c>
      <c r="H601" s="125">
        <f>240</f>
        <v>240</v>
      </c>
      <c r="I601" s="125">
        <f>240</f>
        <v>240</v>
      </c>
      <c r="J601" s="125">
        <f>240</f>
        <v>240</v>
      </c>
      <c r="K601" s="125">
        <f>240</f>
        <v>240</v>
      </c>
      <c r="L601" s="125">
        <f>240</f>
        <v>240</v>
      </c>
      <c r="M601" s="125">
        <f>240</f>
        <v>240</v>
      </c>
      <c r="N601" s="125">
        <f>240</f>
        <v>240</v>
      </c>
      <c r="O601" s="125">
        <f>240</f>
        <v>240</v>
      </c>
      <c r="P601" s="125">
        <f>240</f>
        <v>240</v>
      </c>
      <c r="Q601" s="125">
        <f>240</f>
        <v>240</v>
      </c>
      <c r="R601" s="125">
        <f>240</f>
        <v>240</v>
      </c>
      <c r="S601" s="125">
        <f>240</f>
        <v>240</v>
      </c>
      <c r="T601" s="125">
        <f>240</f>
        <v>240</v>
      </c>
      <c r="U601" s="125">
        <f>240</f>
        <v>240</v>
      </c>
      <c r="V601" s="125">
        <f>240</f>
        <v>240</v>
      </c>
      <c r="W601" s="125">
        <f>240</f>
        <v>240</v>
      </c>
      <c r="X601" s="125">
        <f>240</f>
        <v>240</v>
      </c>
      <c r="Y601" s="125">
        <f>240</f>
        <v>240</v>
      </c>
      <c r="Z601" s="125">
        <f>240</f>
        <v>240</v>
      </c>
      <c r="AA601" s="125">
        <f>240</f>
        <v>240</v>
      </c>
      <c r="AB601" s="125">
        <f>240</f>
        <v>240</v>
      </c>
      <c r="AC601" s="125">
        <f>240</f>
        <v>240</v>
      </c>
      <c r="AD601" s="125">
        <f>240</f>
        <v>240</v>
      </c>
      <c r="AE601" s="125">
        <f>240</f>
        <v>240</v>
      </c>
      <c r="AF601" s="125">
        <f>240</f>
        <v>240</v>
      </c>
      <c r="AG601" s="126">
        <f>240</f>
        <v>240</v>
      </c>
      <c r="AH601" s="22"/>
    </row>
    <row r="602" spans="1:34" x14ac:dyDescent="0.25">
      <c r="A602" s="21"/>
      <c r="B602" s="141" t="s">
        <v>610</v>
      </c>
      <c r="C602" s="125" t="s">
        <v>319</v>
      </c>
      <c r="D602" s="125">
        <f>240</f>
        <v>240</v>
      </c>
      <c r="E602" s="125">
        <f>240</f>
        <v>240</v>
      </c>
      <c r="F602" s="125">
        <f>240</f>
        <v>240</v>
      </c>
      <c r="G602" s="125">
        <f>240</f>
        <v>240</v>
      </c>
      <c r="H602" s="125">
        <f>240</f>
        <v>240</v>
      </c>
      <c r="I602" s="125">
        <f>240</f>
        <v>240</v>
      </c>
      <c r="J602" s="125">
        <f>240</f>
        <v>240</v>
      </c>
      <c r="K602" s="125">
        <f>240</f>
        <v>240</v>
      </c>
      <c r="L602" s="125">
        <f>240</f>
        <v>240</v>
      </c>
      <c r="M602" s="125">
        <f>240</f>
        <v>240</v>
      </c>
      <c r="N602" s="125">
        <f>240</f>
        <v>240</v>
      </c>
      <c r="O602" s="125">
        <f>240</f>
        <v>240</v>
      </c>
      <c r="P602" s="125">
        <f>240</f>
        <v>240</v>
      </c>
      <c r="Q602" s="125">
        <f>240</f>
        <v>240</v>
      </c>
      <c r="R602" s="125">
        <f>240</f>
        <v>240</v>
      </c>
      <c r="S602" s="125">
        <f>240</f>
        <v>240</v>
      </c>
      <c r="T602" s="125">
        <f>240</f>
        <v>240</v>
      </c>
      <c r="U602" s="125">
        <f>240</f>
        <v>240</v>
      </c>
      <c r="V602" s="125">
        <f>240</f>
        <v>240</v>
      </c>
      <c r="W602" s="125">
        <f>240</f>
        <v>240</v>
      </c>
      <c r="X602" s="125">
        <f>240</f>
        <v>240</v>
      </c>
      <c r="Y602" s="125">
        <f>240</f>
        <v>240</v>
      </c>
      <c r="Z602" s="125">
        <f>240</f>
        <v>240</v>
      </c>
      <c r="AA602" s="125">
        <f>240</f>
        <v>240</v>
      </c>
      <c r="AB602" s="125">
        <f>240</f>
        <v>240</v>
      </c>
      <c r="AC602" s="125">
        <f>240</f>
        <v>240</v>
      </c>
      <c r="AD602" s="125">
        <f>240</f>
        <v>240</v>
      </c>
      <c r="AE602" s="125">
        <f>240</f>
        <v>240</v>
      </c>
      <c r="AF602" s="125">
        <f>240</f>
        <v>240</v>
      </c>
      <c r="AG602" s="126">
        <f>240</f>
        <v>240</v>
      </c>
      <c r="AH602" s="22"/>
    </row>
    <row r="603" spans="1:34" x14ac:dyDescent="0.25">
      <c r="A603" s="21"/>
      <c r="B603" s="120" t="s">
        <v>611</v>
      </c>
      <c r="C603" s="121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  <c r="AF603" s="127"/>
      <c r="AG603" s="128"/>
      <c r="AH603" s="22"/>
    </row>
    <row r="604" spans="1:34" x14ac:dyDescent="0.25">
      <c r="A604" s="21"/>
      <c r="B604" s="141" t="s">
        <v>623</v>
      </c>
      <c r="C604" s="125" t="s">
        <v>60</v>
      </c>
      <c r="D604" s="125">
        <f>2</f>
        <v>2</v>
      </c>
      <c r="E604" s="125">
        <f>2</f>
        <v>2</v>
      </c>
      <c r="F604" s="125">
        <f>2</f>
        <v>2</v>
      </c>
      <c r="G604" s="125">
        <f>2</f>
        <v>2</v>
      </c>
      <c r="H604" s="125">
        <f>2</f>
        <v>2</v>
      </c>
      <c r="I604" s="125">
        <f>2</f>
        <v>2</v>
      </c>
      <c r="J604" s="125">
        <f>2</f>
        <v>2</v>
      </c>
      <c r="K604" s="125">
        <f>2</f>
        <v>2</v>
      </c>
      <c r="L604" s="125">
        <f>2</f>
        <v>2</v>
      </c>
      <c r="M604" s="125">
        <f>2</f>
        <v>2</v>
      </c>
      <c r="N604" s="125">
        <f>2</f>
        <v>2</v>
      </c>
      <c r="O604" s="125">
        <f>2</f>
        <v>2</v>
      </c>
      <c r="P604" s="125">
        <f>2</f>
        <v>2</v>
      </c>
      <c r="Q604" s="125">
        <f>2</f>
        <v>2</v>
      </c>
      <c r="R604" s="125">
        <f>2</f>
        <v>2</v>
      </c>
      <c r="S604" s="125">
        <f>2</f>
        <v>2</v>
      </c>
      <c r="T604" s="125">
        <f>2</f>
        <v>2</v>
      </c>
      <c r="U604" s="125">
        <f>2</f>
        <v>2</v>
      </c>
      <c r="V604" s="125">
        <f>2</f>
        <v>2</v>
      </c>
      <c r="W604" s="125">
        <f>2</f>
        <v>2</v>
      </c>
      <c r="X604" s="125">
        <f>2</f>
        <v>2</v>
      </c>
      <c r="Y604" s="125">
        <f>2</f>
        <v>2</v>
      </c>
      <c r="Z604" s="125">
        <f>2</f>
        <v>2</v>
      </c>
      <c r="AA604" s="125">
        <f>2</f>
        <v>2</v>
      </c>
      <c r="AB604" s="125">
        <f>2</f>
        <v>2</v>
      </c>
      <c r="AC604" s="125">
        <f>2</f>
        <v>2</v>
      </c>
      <c r="AD604" s="125">
        <f>2</f>
        <v>2</v>
      </c>
      <c r="AE604" s="125">
        <f>2</f>
        <v>2</v>
      </c>
      <c r="AF604" s="125">
        <f>2</f>
        <v>2</v>
      </c>
      <c r="AG604" s="126">
        <f>2</f>
        <v>2</v>
      </c>
      <c r="AH604" s="22"/>
    </row>
    <row r="605" spans="1:34" x14ac:dyDescent="0.25">
      <c r="A605" s="21"/>
      <c r="B605" s="141" t="s">
        <v>624</v>
      </c>
      <c r="C605" s="125" t="s">
        <v>60</v>
      </c>
      <c r="D605" s="125">
        <f>2</f>
        <v>2</v>
      </c>
      <c r="E605" s="125">
        <f>2</f>
        <v>2</v>
      </c>
      <c r="F605" s="125">
        <f>2</f>
        <v>2</v>
      </c>
      <c r="G605" s="125">
        <f>2</f>
        <v>2</v>
      </c>
      <c r="H605" s="125">
        <f>2</f>
        <v>2</v>
      </c>
      <c r="I605" s="125">
        <f>2</f>
        <v>2</v>
      </c>
      <c r="J605" s="125">
        <f>2</f>
        <v>2</v>
      </c>
      <c r="K605" s="125">
        <f>2</f>
        <v>2</v>
      </c>
      <c r="L605" s="125">
        <f>2</f>
        <v>2</v>
      </c>
      <c r="M605" s="125">
        <f>2</f>
        <v>2</v>
      </c>
      <c r="N605" s="125">
        <f>2</f>
        <v>2</v>
      </c>
      <c r="O605" s="125">
        <f>2</f>
        <v>2</v>
      </c>
      <c r="P605" s="125">
        <f>2</f>
        <v>2</v>
      </c>
      <c r="Q605" s="125">
        <f>2</f>
        <v>2</v>
      </c>
      <c r="R605" s="125">
        <f>2</f>
        <v>2</v>
      </c>
      <c r="S605" s="125">
        <f>2</f>
        <v>2</v>
      </c>
      <c r="T605" s="125">
        <f>2</f>
        <v>2</v>
      </c>
      <c r="U605" s="125">
        <f>2</f>
        <v>2</v>
      </c>
      <c r="V605" s="125">
        <f>2</f>
        <v>2</v>
      </c>
      <c r="W605" s="125">
        <f>2</f>
        <v>2</v>
      </c>
      <c r="X605" s="125">
        <f>2</f>
        <v>2</v>
      </c>
      <c r="Y605" s="125">
        <f>2</f>
        <v>2</v>
      </c>
      <c r="Z605" s="125">
        <f>2</f>
        <v>2</v>
      </c>
      <c r="AA605" s="125">
        <f>2</f>
        <v>2</v>
      </c>
      <c r="AB605" s="125">
        <f>2</f>
        <v>2</v>
      </c>
      <c r="AC605" s="125">
        <f>2</f>
        <v>2</v>
      </c>
      <c r="AD605" s="125">
        <f>2</f>
        <v>2</v>
      </c>
      <c r="AE605" s="125">
        <f>2</f>
        <v>2</v>
      </c>
      <c r="AF605" s="125">
        <f>2</f>
        <v>2</v>
      </c>
      <c r="AG605" s="126">
        <f>2</f>
        <v>2</v>
      </c>
      <c r="AH605" s="22"/>
    </row>
    <row r="606" spans="1:34" x14ac:dyDescent="0.25">
      <c r="A606" s="21"/>
      <c r="B606" s="141" t="s">
        <v>625</v>
      </c>
      <c r="C606" s="125" t="s">
        <v>60</v>
      </c>
      <c r="D606" s="125">
        <f>2</f>
        <v>2</v>
      </c>
      <c r="E606" s="125">
        <f>2</f>
        <v>2</v>
      </c>
      <c r="F606" s="125">
        <f>2</f>
        <v>2</v>
      </c>
      <c r="G606" s="125">
        <f>2</f>
        <v>2</v>
      </c>
      <c r="H606" s="125">
        <f>2</f>
        <v>2</v>
      </c>
      <c r="I606" s="125">
        <f>2</f>
        <v>2</v>
      </c>
      <c r="J606" s="125">
        <f>2</f>
        <v>2</v>
      </c>
      <c r="K606" s="125">
        <f>2</f>
        <v>2</v>
      </c>
      <c r="L606" s="125">
        <f>2</f>
        <v>2</v>
      </c>
      <c r="M606" s="125">
        <f>2</f>
        <v>2</v>
      </c>
      <c r="N606" s="125">
        <f>2</f>
        <v>2</v>
      </c>
      <c r="O606" s="125">
        <f>2</f>
        <v>2</v>
      </c>
      <c r="P606" s="125">
        <f>2</f>
        <v>2</v>
      </c>
      <c r="Q606" s="125">
        <f>2</f>
        <v>2</v>
      </c>
      <c r="R606" s="125">
        <f>2</f>
        <v>2</v>
      </c>
      <c r="S606" s="125">
        <f>2</f>
        <v>2</v>
      </c>
      <c r="T606" s="125">
        <f>2</f>
        <v>2</v>
      </c>
      <c r="U606" s="125">
        <f>2</f>
        <v>2</v>
      </c>
      <c r="V606" s="125">
        <f>2</f>
        <v>2</v>
      </c>
      <c r="W606" s="125">
        <f>2</f>
        <v>2</v>
      </c>
      <c r="X606" s="125">
        <f>2</f>
        <v>2</v>
      </c>
      <c r="Y606" s="125">
        <f>2</f>
        <v>2</v>
      </c>
      <c r="Z606" s="125">
        <f>2</f>
        <v>2</v>
      </c>
      <c r="AA606" s="125">
        <f>2</f>
        <v>2</v>
      </c>
      <c r="AB606" s="125">
        <f>2</f>
        <v>2</v>
      </c>
      <c r="AC606" s="125">
        <f>2</f>
        <v>2</v>
      </c>
      <c r="AD606" s="125">
        <f>2</f>
        <v>2</v>
      </c>
      <c r="AE606" s="125">
        <f>2</f>
        <v>2</v>
      </c>
      <c r="AF606" s="125">
        <f>2</f>
        <v>2</v>
      </c>
      <c r="AG606" s="126">
        <f>2</f>
        <v>2</v>
      </c>
      <c r="AH606" s="22"/>
    </row>
    <row r="607" spans="1:34" x14ac:dyDescent="0.25">
      <c r="A607" s="21"/>
      <c r="B607" s="141" t="s">
        <v>626</v>
      </c>
      <c r="C607" s="125" t="s">
        <v>60</v>
      </c>
      <c r="D607" s="125">
        <f>2</f>
        <v>2</v>
      </c>
      <c r="E607" s="125">
        <f>2</f>
        <v>2</v>
      </c>
      <c r="F607" s="125">
        <f>2</f>
        <v>2</v>
      </c>
      <c r="G607" s="125">
        <f>2</f>
        <v>2</v>
      </c>
      <c r="H607" s="125">
        <f>2</f>
        <v>2</v>
      </c>
      <c r="I607" s="125">
        <f>2</f>
        <v>2</v>
      </c>
      <c r="J607" s="125">
        <f>2</f>
        <v>2</v>
      </c>
      <c r="K607" s="125">
        <f>2</f>
        <v>2</v>
      </c>
      <c r="L607" s="125">
        <f>2</f>
        <v>2</v>
      </c>
      <c r="M607" s="125">
        <f>2</f>
        <v>2</v>
      </c>
      <c r="N607" s="125">
        <f>2</f>
        <v>2</v>
      </c>
      <c r="O607" s="125">
        <f>2</f>
        <v>2</v>
      </c>
      <c r="P607" s="125">
        <f>2</f>
        <v>2</v>
      </c>
      <c r="Q607" s="125">
        <f>2</f>
        <v>2</v>
      </c>
      <c r="R607" s="125">
        <f>2</f>
        <v>2</v>
      </c>
      <c r="S607" s="125">
        <f>2</f>
        <v>2</v>
      </c>
      <c r="T607" s="125">
        <f>2</f>
        <v>2</v>
      </c>
      <c r="U607" s="125">
        <f>2</f>
        <v>2</v>
      </c>
      <c r="V607" s="125">
        <f>2</f>
        <v>2</v>
      </c>
      <c r="W607" s="125">
        <f>2</f>
        <v>2</v>
      </c>
      <c r="X607" s="125">
        <f>2</f>
        <v>2</v>
      </c>
      <c r="Y607" s="125">
        <f>2</f>
        <v>2</v>
      </c>
      <c r="Z607" s="125">
        <f>2</f>
        <v>2</v>
      </c>
      <c r="AA607" s="125">
        <f>2</f>
        <v>2</v>
      </c>
      <c r="AB607" s="125">
        <f>2</f>
        <v>2</v>
      </c>
      <c r="AC607" s="125">
        <f>2</f>
        <v>2</v>
      </c>
      <c r="AD607" s="125">
        <f>2</f>
        <v>2</v>
      </c>
      <c r="AE607" s="125">
        <f>2</f>
        <v>2</v>
      </c>
      <c r="AF607" s="125">
        <f>2</f>
        <v>2</v>
      </c>
      <c r="AG607" s="126">
        <f>2</f>
        <v>2</v>
      </c>
      <c r="AH607" s="22"/>
    </row>
    <row r="608" spans="1:34" x14ac:dyDescent="0.25">
      <c r="A608" s="21"/>
      <c r="B608" s="141" t="s">
        <v>627</v>
      </c>
      <c r="C608" s="125" t="s">
        <v>60</v>
      </c>
      <c r="D608" s="125">
        <f>2</f>
        <v>2</v>
      </c>
      <c r="E608" s="125">
        <f>2</f>
        <v>2</v>
      </c>
      <c r="F608" s="125">
        <f>2</f>
        <v>2</v>
      </c>
      <c r="G608" s="125">
        <f>2</f>
        <v>2</v>
      </c>
      <c r="H608" s="125">
        <f>2</f>
        <v>2</v>
      </c>
      <c r="I608" s="125">
        <f>2</f>
        <v>2</v>
      </c>
      <c r="J608" s="125">
        <f>2</f>
        <v>2</v>
      </c>
      <c r="K608" s="125">
        <f>2</f>
        <v>2</v>
      </c>
      <c r="L608" s="125">
        <f>2</f>
        <v>2</v>
      </c>
      <c r="M608" s="125">
        <f>2</f>
        <v>2</v>
      </c>
      <c r="N608" s="125">
        <f>2</f>
        <v>2</v>
      </c>
      <c r="O608" s="125">
        <f>2</f>
        <v>2</v>
      </c>
      <c r="P608" s="125">
        <f>2</f>
        <v>2</v>
      </c>
      <c r="Q608" s="125">
        <f>2</f>
        <v>2</v>
      </c>
      <c r="R608" s="125">
        <f>2</f>
        <v>2</v>
      </c>
      <c r="S608" s="125">
        <f>2</f>
        <v>2</v>
      </c>
      <c r="T608" s="125">
        <f>2</f>
        <v>2</v>
      </c>
      <c r="U608" s="125">
        <f>2</f>
        <v>2</v>
      </c>
      <c r="V608" s="125">
        <f>2</f>
        <v>2</v>
      </c>
      <c r="W608" s="125">
        <f>2</f>
        <v>2</v>
      </c>
      <c r="X608" s="125">
        <f>2</f>
        <v>2</v>
      </c>
      <c r="Y608" s="125">
        <f>2</f>
        <v>2</v>
      </c>
      <c r="Z608" s="125">
        <f>2</f>
        <v>2</v>
      </c>
      <c r="AA608" s="125">
        <f>2</f>
        <v>2</v>
      </c>
      <c r="AB608" s="125">
        <f>2</f>
        <v>2</v>
      </c>
      <c r="AC608" s="125">
        <f>2</f>
        <v>2</v>
      </c>
      <c r="AD608" s="125">
        <f>2</f>
        <v>2</v>
      </c>
      <c r="AE608" s="125">
        <f>2</f>
        <v>2</v>
      </c>
      <c r="AF608" s="125">
        <f>2</f>
        <v>2</v>
      </c>
      <c r="AG608" s="126">
        <f>2</f>
        <v>2</v>
      </c>
      <c r="AH608" s="22"/>
    </row>
    <row r="609" spans="1:34" x14ac:dyDescent="0.25">
      <c r="A609" s="21"/>
      <c r="B609" s="141" t="s">
        <v>628</v>
      </c>
      <c r="C609" s="125" t="s">
        <v>60</v>
      </c>
      <c r="D609" s="125">
        <f>2</f>
        <v>2</v>
      </c>
      <c r="E609" s="125">
        <f>2</f>
        <v>2</v>
      </c>
      <c r="F609" s="125">
        <f>2</f>
        <v>2</v>
      </c>
      <c r="G609" s="125">
        <f>2</f>
        <v>2</v>
      </c>
      <c r="H609" s="125">
        <f>2</f>
        <v>2</v>
      </c>
      <c r="I609" s="125">
        <f>2</f>
        <v>2</v>
      </c>
      <c r="J609" s="125">
        <f>2</f>
        <v>2</v>
      </c>
      <c r="K609" s="125">
        <f>2</f>
        <v>2</v>
      </c>
      <c r="L609" s="125">
        <f>2</f>
        <v>2</v>
      </c>
      <c r="M609" s="125">
        <f>2</f>
        <v>2</v>
      </c>
      <c r="N609" s="125">
        <f>2</f>
        <v>2</v>
      </c>
      <c r="O609" s="125">
        <f>2</f>
        <v>2</v>
      </c>
      <c r="P609" s="125">
        <f>2</f>
        <v>2</v>
      </c>
      <c r="Q609" s="125">
        <f>2</f>
        <v>2</v>
      </c>
      <c r="R609" s="125">
        <f>2</f>
        <v>2</v>
      </c>
      <c r="S609" s="125">
        <f>2</f>
        <v>2</v>
      </c>
      <c r="T609" s="125">
        <f>2</f>
        <v>2</v>
      </c>
      <c r="U609" s="125">
        <f>2</f>
        <v>2</v>
      </c>
      <c r="V609" s="125">
        <f>2</f>
        <v>2</v>
      </c>
      <c r="W609" s="125">
        <f>2</f>
        <v>2</v>
      </c>
      <c r="X609" s="125">
        <f>2</f>
        <v>2</v>
      </c>
      <c r="Y609" s="125">
        <f>2</f>
        <v>2</v>
      </c>
      <c r="Z609" s="125">
        <f>2</f>
        <v>2</v>
      </c>
      <c r="AA609" s="125">
        <f>2</f>
        <v>2</v>
      </c>
      <c r="AB609" s="125">
        <f>2</f>
        <v>2</v>
      </c>
      <c r="AC609" s="125">
        <f>2</f>
        <v>2</v>
      </c>
      <c r="AD609" s="125">
        <f>2</f>
        <v>2</v>
      </c>
      <c r="AE609" s="125">
        <f>2</f>
        <v>2</v>
      </c>
      <c r="AF609" s="125">
        <f>2</f>
        <v>2</v>
      </c>
      <c r="AG609" s="126">
        <f>2</f>
        <v>2</v>
      </c>
      <c r="AH609" s="22"/>
    </row>
    <row r="610" spans="1:34" x14ac:dyDescent="0.25">
      <c r="A610" s="21"/>
      <c r="B610" s="141" t="s">
        <v>629</v>
      </c>
      <c r="C610" s="125" t="s">
        <v>60</v>
      </c>
      <c r="D610" s="125">
        <f>2</f>
        <v>2</v>
      </c>
      <c r="E610" s="125">
        <f>2</f>
        <v>2</v>
      </c>
      <c r="F610" s="125">
        <f>2</f>
        <v>2</v>
      </c>
      <c r="G610" s="125">
        <f>2</f>
        <v>2</v>
      </c>
      <c r="H610" s="125">
        <f>2</f>
        <v>2</v>
      </c>
      <c r="I610" s="125">
        <f>2</f>
        <v>2</v>
      </c>
      <c r="J610" s="125">
        <f>2</f>
        <v>2</v>
      </c>
      <c r="K610" s="125">
        <f>2</f>
        <v>2</v>
      </c>
      <c r="L610" s="125">
        <f>2</f>
        <v>2</v>
      </c>
      <c r="M610" s="125">
        <f>2</f>
        <v>2</v>
      </c>
      <c r="N610" s="125">
        <f>2</f>
        <v>2</v>
      </c>
      <c r="O610" s="125">
        <f>2</f>
        <v>2</v>
      </c>
      <c r="P610" s="125">
        <f>2</f>
        <v>2</v>
      </c>
      <c r="Q610" s="125">
        <f>2</f>
        <v>2</v>
      </c>
      <c r="R610" s="125">
        <f>2</f>
        <v>2</v>
      </c>
      <c r="S610" s="125">
        <f>2</f>
        <v>2</v>
      </c>
      <c r="T610" s="125">
        <f>2</f>
        <v>2</v>
      </c>
      <c r="U610" s="125">
        <f>2</f>
        <v>2</v>
      </c>
      <c r="V610" s="125">
        <f>2</f>
        <v>2</v>
      </c>
      <c r="W610" s="125">
        <f>2</f>
        <v>2</v>
      </c>
      <c r="X610" s="125">
        <f>2</f>
        <v>2</v>
      </c>
      <c r="Y610" s="125">
        <f>2</f>
        <v>2</v>
      </c>
      <c r="Z610" s="125">
        <f>2</f>
        <v>2</v>
      </c>
      <c r="AA610" s="125">
        <f>2</f>
        <v>2</v>
      </c>
      <c r="AB610" s="125">
        <f>2</f>
        <v>2</v>
      </c>
      <c r="AC610" s="125">
        <f>2</f>
        <v>2</v>
      </c>
      <c r="AD610" s="125">
        <f>2</f>
        <v>2</v>
      </c>
      <c r="AE610" s="125">
        <f>2</f>
        <v>2</v>
      </c>
      <c r="AF610" s="125">
        <f>2</f>
        <v>2</v>
      </c>
      <c r="AG610" s="126">
        <f>2</f>
        <v>2</v>
      </c>
      <c r="AH610" s="22"/>
    </row>
    <row r="611" spans="1:34" x14ac:dyDescent="0.25">
      <c r="A611" s="21"/>
      <c r="B611" s="141" t="s">
        <v>630</v>
      </c>
      <c r="C611" s="125" t="s">
        <v>60</v>
      </c>
      <c r="D611" s="125">
        <f>2</f>
        <v>2</v>
      </c>
      <c r="E611" s="125">
        <f>2</f>
        <v>2</v>
      </c>
      <c r="F611" s="125">
        <f>2</f>
        <v>2</v>
      </c>
      <c r="G611" s="125">
        <f>2</f>
        <v>2</v>
      </c>
      <c r="H611" s="125">
        <f>2</f>
        <v>2</v>
      </c>
      <c r="I611" s="125">
        <f>2</f>
        <v>2</v>
      </c>
      <c r="J611" s="125">
        <f>2</f>
        <v>2</v>
      </c>
      <c r="K611" s="125">
        <f>2</f>
        <v>2</v>
      </c>
      <c r="L611" s="125">
        <f>2</f>
        <v>2</v>
      </c>
      <c r="M611" s="125">
        <f>2</f>
        <v>2</v>
      </c>
      <c r="N611" s="125">
        <f>2</f>
        <v>2</v>
      </c>
      <c r="O611" s="125">
        <f>2</f>
        <v>2</v>
      </c>
      <c r="P611" s="125">
        <f>2</f>
        <v>2</v>
      </c>
      <c r="Q611" s="125">
        <f>2</f>
        <v>2</v>
      </c>
      <c r="R611" s="125">
        <f>2</f>
        <v>2</v>
      </c>
      <c r="S611" s="125">
        <f>2</f>
        <v>2</v>
      </c>
      <c r="T611" s="125">
        <f>2</f>
        <v>2</v>
      </c>
      <c r="U611" s="125">
        <f>2</f>
        <v>2</v>
      </c>
      <c r="V611" s="125">
        <f>2</f>
        <v>2</v>
      </c>
      <c r="W611" s="125">
        <f>2</f>
        <v>2</v>
      </c>
      <c r="X611" s="125">
        <f>2</f>
        <v>2</v>
      </c>
      <c r="Y611" s="125">
        <f>2</f>
        <v>2</v>
      </c>
      <c r="Z611" s="125">
        <f>2</f>
        <v>2</v>
      </c>
      <c r="AA611" s="125">
        <f>2</f>
        <v>2</v>
      </c>
      <c r="AB611" s="125">
        <f>2</f>
        <v>2</v>
      </c>
      <c r="AC611" s="125">
        <f>2</f>
        <v>2</v>
      </c>
      <c r="AD611" s="125">
        <f>2</f>
        <v>2</v>
      </c>
      <c r="AE611" s="125">
        <f>2</f>
        <v>2</v>
      </c>
      <c r="AF611" s="125">
        <f>2</f>
        <v>2</v>
      </c>
      <c r="AG611" s="126">
        <f>2</f>
        <v>2</v>
      </c>
      <c r="AH611" s="22"/>
    </row>
    <row r="612" spans="1:34" x14ac:dyDescent="0.25">
      <c r="A612" s="21"/>
      <c r="B612" s="141" t="s">
        <v>631</v>
      </c>
      <c r="C612" s="125" t="s">
        <v>60</v>
      </c>
      <c r="D612" s="125">
        <f>2</f>
        <v>2</v>
      </c>
      <c r="E612" s="125">
        <f>2</f>
        <v>2</v>
      </c>
      <c r="F612" s="125">
        <f>2</f>
        <v>2</v>
      </c>
      <c r="G612" s="125">
        <f>2</f>
        <v>2</v>
      </c>
      <c r="H612" s="125">
        <f>2</f>
        <v>2</v>
      </c>
      <c r="I612" s="125">
        <f>2</f>
        <v>2</v>
      </c>
      <c r="J612" s="125">
        <f>2</f>
        <v>2</v>
      </c>
      <c r="K612" s="125">
        <f>2</f>
        <v>2</v>
      </c>
      <c r="L612" s="125">
        <f>2</f>
        <v>2</v>
      </c>
      <c r="M612" s="125">
        <f>2</f>
        <v>2</v>
      </c>
      <c r="N612" s="125">
        <f>2</f>
        <v>2</v>
      </c>
      <c r="O612" s="125">
        <f>2</f>
        <v>2</v>
      </c>
      <c r="P612" s="125">
        <f>2</f>
        <v>2</v>
      </c>
      <c r="Q612" s="125">
        <f>2</f>
        <v>2</v>
      </c>
      <c r="R612" s="125">
        <f>2</f>
        <v>2</v>
      </c>
      <c r="S612" s="125">
        <f>2</f>
        <v>2</v>
      </c>
      <c r="T612" s="125">
        <f>2</f>
        <v>2</v>
      </c>
      <c r="U612" s="125">
        <f>2</f>
        <v>2</v>
      </c>
      <c r="V612" s="125">
        <f>2</f>
        <v>2</v>
      </c>
      <c r="W612" s="125">
        <f>2</f>
        <v>2</v>
      </c>
      <c r="X612" s="125">
        <f>2</f>
        <v>2</v>
      </c>
      <c r="Y612" s="125">
        <f>2</f>
        <v>2</v>
      </c>
      <c r="Z612" s="125">
        <f>2</f>
        <v>2</v>
      </c>
      <c r="AA612" s="125">
        <f>2</f>
        <v>2</v>
      </c>
      <c r="AB612" s="125">
        <f>2</f>
        <v>2</v>
      </c>
      <c r="AC612" s="125">
        <f>2</f>
        <v>2</v>
      </c>
      <c r="AD612" s="125">
        <f>2</f>
        <v>2</v>
      </c>
      <c r="AE612" s="125">
        <f>2</f>
        <v>2</v>
      </c>
      <c r="AF612" s="125">
        <f>2</f>
        <v>2</v>
      </c>
      <c r="AG612" s="126">
        <f>2</f>
        <v>2</v>
      </c>
      <c r="AH612" s="22"/>
    </row>
    <row r="613" spans="1:34" x14ac:dyDescent="0.25">
      <c r="A613" s="21"/>
      <c r="B613" s="141" t="s">
        <v>632</v>
      </c>
      <c r="C613" s="125" t="s">
        <v>60</v>
      </c>
      <c r="D613" s="125">
        <f>2</f>
        <v>2</v>
      </c>
      <c r="E613" s="125">
        <f>2</f>
        <v>2</v>
      </c>
      <c r="F613" s="125">
        <f>2</f>
        <v>2</v>
      </c>
      <c r="G613" s="125">
        <f>2</f>
        <v>2</v>
      </c>
      <c r="H613" s="125">
        <f>2</f>
        <v>2</v>
      </c>
      <c r="I613" s="125">
        <f>2</f>
        <v>2</v>
      </c>
      <c r="J613" s="125">
        <f>2</f>
        <v>2</v>
      </c>
      <c r="K613" s="125">
        <f>2</f>
        <v>2</v>
      </c>
      <c r="L613" s="125">
        <f>2</f>
        <v>2</v>
      </c>
      <c r="M613" s="125">
        <f>2</f>
        <v>2</v>
      </c>
      <c r="N613" s="125">
        <f>2</f>
        <v>2</v>
      </c>
      <c r="O613" s="125">
        <f>2</f>
        <v>2</v>
      </c>
      <c r="P613" s="125">
        <f>2</f>
        <v>2</v>
      </c>
      <c r="Q613" s="125">
        <f>2</f>
        <v>2</v>
      </c>
      <c r="R613" s="125">
        <f>2</f>
        <v>2</v>
      </c>
      <c r="S613" s="125">
        <f>2</f>
        <v>2</v>
      </c>
      <c r="T613" s="125">
        <f>2</f>
        <v>2</v>
      </c>
      <c r="U613" s="125">
        <f>2</f>
        <v>2</v>
      </c>
      <c r="V613" s="125">
        <f>2</f>
        <v>2</v>
      </c>
      <c r="W613" s="125">
        <f>2</f>
        <v>2</v>
      </c>
      <c r="X613" s="125">
        <f>2</f>
        <v>2</v>
      </c>
      <c r="Y613" s="125">
        <f>2</f>
        <v>2</v>
      </c>
      <c r="Z613" s="125">
        <f>2</f>
        <v>2</v>
      </c>
      <c r="AA613" s="125">
        <f>2</f>
        <v>2</v>
      </c>
      <c r="AB613" s="125">
        <f>2</f>
        <v>2</v>
      </c>
      <c r="AC613" s="125">
        <f>2</f>
        <v>2</v>
      </c>
      <c r="AD613" s="125">
        <f>2</f>
        <v>2</v>
      </c>
      <c r="AE613" s="125">
        <f>2</f>
        <v>2</v>
      </c>
      <c r="AF613" s="125">
        <f>2</f>
        <v>2</v>
      </c>
      <c r="AG613" s="126">
        <f>2</f>
        <v>2</v>
      </c>
      <c r="AH613" s="22"/>
    </row>
    <row r="614" spans="1:34" x14ac:dyDescent="0.25">
      <c r="A614" s="21"/>
      <c r="B614" s="141" t="s">
        <v>633</v>
      </c>
      <c r="C614" s="125" t="s">
        <v>60</v>
      </c>
      <c r="D614" s="125">
        <f>2</f>
        <v>2</v>
      </c>
      <c r="E614" s="125">
        <f>2</f>
        <v>2</v>
      </c>
      <c r="F614" s="125">
        <f>2</f>
        <v>2</v>
      </c>
      <c r="G614" s="125">
        <f>2</f>
        <v>2</v>
      </c>
      <c r="H614" s="125">
        <f>2</f>
        <v>2</v>
      </c>
      <c r="I614" s="125">
        <f>2</f>
        <v>2</v>
      </c>
      <c r="J614" s="125">
        <f>2</f>
        <v>2</v>
      </c>
      <c r="K614" s="125">
        <f>2</f>
        <v>2</v>
      </c>
      <c r="L614" s="125">
        <f>2</f>
        <v>2</v>
      </c>
      <c r="M614" s="125">
        <f>2</f>
        <v>2</v>
      </c>
      <c r="N614" s="125">
        <f>2</f>
        <v>2</v>
      </c>
      <c r="O614" s="125">
        <f>2</f>
        <v>2</v>
      </c>
      <c r="P614" s="125">
        <f>2</f>
        <v>2</v>
      </c>
      <c r="Q614" s="125">
        <f>2</f>
        <v>2</v>
      </c>
      <c r="R614" s="125">
        <f>2</f>
        <v>2</v>
      </c>
      <c r="S614" s="125">
        <f>2</f>
        <v>2</v>
      </c>
      <c r="T614" s="125">
        <f>2</f>
        <v>2</v>
      </c>
      <c r="U614" s="125">
        <f>2</f>
        <v>2</v>
      </c>
      <c r="V614" s="125">
        <f>2</f>
        <v>2</v>
      </c>
      <c r="W614" s="125">
        <f>2</f>
        <v>2</v>
      </c>
      <c r="X614" s="125">
        <f>2</f>
        <v>2</v>
      </c>
      <c r="Y614" s="125">
        <f>2</f>
        <v>2</v>
      </c>
      <c r="Z614" s="125">
        <f>2</f>
        <v>2</v>
      </c>
      <c r="AA614" s="125">
        <f>2</f>
        <v>2</v>
      </c>
      <c r="AB614" s="125">
        <f>2</f>
        <v>2</v>
      </c>
      <c r="AC614" s="125">
        <f>2</f>
        <v>2</v>
      </c>
      <c r="AD614" s="125">
        <f>2</f>
        <v>2</v>
      </c>
      <c r="AE614" s="125">
        <f>2</f>
        <v>2</v>
      </c>
      <c r="AF614" s="125">
        <f>2</f>
        <v>2</v>
      </c>
      <c r="AG614" s="126">
        <f>2</f>
        <v>2</v>
      </c>
      <c r="AH614" s="22"/>
    </row>
    <row r="615" spans="1:34" x14ac:dyDescent="0.25">
      <c r="A615" s="21"/>
      <c r="B615" s="141" t="s">
        <v>634</v>
      </c>
      <c r="C615" s="125" t="s">
        <v>60</v>
      </c>
      <c r="D615" s="125">
        <f>2</f>
        <v>2</v>
      </c>
      <c r="E615" s="125">
        <f>2</f>
        <v>2</v>
      </c>
      <c r="F615" s="125">
        <f>2</f>
        <v>2</v>
      </c>
      <c r="G615" s="125">
        <f>2</f>
        <v>2</v>
      </c>
      <c r="H615" s="125">
        <f>2</f>
        <v>2</v>
      </c>
      <c r="I615" s="125">
        <f>2</f>
        <v>2</v>
      </c>
      <c r="J615" s="125">
        <f>2</f>
        <v>2</v>
      </c>
      <c r="K615" s="125">
        <f>2</f>
        <v>2</v>
      </c>
      <c r="L615" s="125">
        <f>2</f>
        <v>2</v>
      </c>
      <c r="M615" s="125">
        <f>2</f>
        <v>2</v>
      </c>
      <c r="N615" s="125">
        <f>2</f>
        <v>2</v>
      </c>
      <c r="O615" s="125">
        <f>2</f>
        <v>2</v>
      </c>
      <c r="P615" s="125">
        <f>2</f>
        <v>2</v>
      </c>
      <c r="Q615" s="125">
        <f>2</f>
        <v>2</v>
      </c>
      <c r="R615" s="125">
        <f>2</f>
        <v>2</v>
      </c>
      <c r="S615" s="125">
        <f>2</f>
        <v>2</v>
      </c>
      <c r="T615" s="125">
        <f>2</f>
        <v>2</v>
      </c>
      <c r="U615" s="125">
        <f>2</f>
        <v>2</v>
      </c>
      <c r="V615" s="125">
        <f>2</f>
        <v>2</v>
      </c>
      <c r="W615" s="125">
        <f>2</f>
        <v>2</v>
      </c>
      <c r="X615" s="125">
        <f>2</f>
        <v>2</v>
      </c>
      <c r="Y615" s="125">
        <f>2</f>
        <v>2</v>
      </c>
      <c r="Z615" s="125">
        <f>2</f>
        <v>2</v>
      </c>
      <c r="AA615" s="125">
        <f>2</f>
        <v>2</v>
      </c>
      <c r="AB615" s="125">
        <f>2</f>
        <v>2</v>
      </c>
      <c r="AC615" s="125">
        <f>2</f>
        <v>2</v>
      </c>
      <c r="AD615" s="125">
        <f>2</f>
        <v>2</v>
      </c>
      <c r="AE615" s="125">
        <f>2</f>
        <v>2</v>
      </c>
      <c r="AF615" s="125">
        <f>2</f>
        <v>2</v>
      </c>
      <c r="AG615" s="126">
        <f>2</f>
        <v>2</v>
      </c>
      <c r="AH615" s="22"/>
    </row>
    <row r="616" spans="1:34" x14ac:dyDescent="0.25">
      <c r="A616" s="21"/>
      <c r="B616" s="141" t="s">
        <v>635</v>
      </c>
      <c r="C616" s="125" t="s">
        <v>60</v>
      </c>
      <c r="D616" s="125">
        <f>1</f>
        <v>1</v>
      </c>
      <c r="E616" s="125">
        <f>1</f>
        <v>1</v>
      </c>
      <c r="F616" s="125">
        <f>1</f>
        <v>1</v>
      </c>
      <c r="G616" s="125">
        <f>1</f>
        <v>1</v>
      </c>
      <c r="H616" s="125">
        <f>1</f>
        <v>1</v>
      </c>
      <c r="I616" s="125">
        <f>1</f>
        <v>1</v>
      </c>
      <c r="J616" s="125">
        <f>1</f>
        <v>1</v>
      </c>
      <c r="K616" s="125">
        <f>1</f>
        <v>1</v>
      </c>
      <c r="L616" s="125">
        <f>1</f>
        <v>1</v>
      </c>
      <c r="M616" s="125">
        <f>1</f>
        <v>1</v>
      </c>
      <c r="N616" s="125">
        <f>1</f>
        <v>1</v>
      </c>
      <c r="O616" s="125">
        <f>1</f>
        <v>1</v>
      </c>
      <c r="P616" s="125">
        <f>1</f>
        <v>1</v>
      </c>
      <c r="Q616" s="125">
        <f>1</f>
        <v>1</v>
      </c>
      <c r="R616" s="125">
        <f>1</f>
        <v>1</v>
      </c>
      <c r="S616" s="125">
        <f>1</f>
        <v>1</v>
      </c>
      <c r="T616" s="125">
        <f>1</f>
        <v>1</v>
      </c>
      <c r="U616" s="125">
        <f>1</f>
        <v>1</v>
      </c>
      <c r="V616" s="125">
        <f>1</f>
        <v>1</v>
      </c>
      <c r="W616" s="125">
        <f>1</f>
        <v>1</v>
      </c>
      <c r="X616" s="125">
        <f>1</f>
        <v>1</v>
      </c>
      <c r="Y616" s="125">
        <f>1</f>
        <v>1</v>
      </c>
      <c r="Z616" s="125">
        <f>1</f>
        <v>1</v>
      </c>
      <c r="AA616" s="125">
        <f>1</f>
        <v>1</v>
      </c>
      <c r="AB616" s="125">
        <f>1</f>
        <v>1</v>
      </c>
      <c r="AC616" s="125">
        <f>1</f>
        <v>1</v>
      </c>
      <c r="AD616" s="125">
        <f>1</f>
        <v>1</v>
      </c>
      <c r="AE616" s="125">
        <f>1</f>
        <v>1</v>
      </c>
      <c r="AF616" s="125">
        <f>1</f>
        <v>1</v>
      </c>
      <c r="AG616" s="126">
        <f>1</f>
        <v>1</v>
      </c>
      <c r="AH616" s="22"/>
    </row>
    <row r="617" spans="1:34" x14ac:dyDescent="0.25">
      <c r="A617" s="21"/>
      <c r="B617" s="141" t="s">
        <v>636</v>
      </c>
      <c r="C617" s="125" t="s">
        <v>60</v>
      </c>
      <c r="D617" s="125">
        <f>1</f>
        <v>1</v>
      </c>
      <c r="E617" s="125">
        <f>1</f>
        <v>1</v>
      </c>
      <c r="F617" s="125">
        <f>1</f>
        <v>1</v>
      </c>
      <c r="G617" s="125">
        <f>1</f>
        <v>1</v>
      </c>
      <c r="H617" s="125">
        <f>1</f>
        <v>1</v>
      </c>
      <c r="I617" s="125">
        <f>1</f>
        <v>1</v>
      </c>
      <c r="J617" s="125">
        <f>1</f>
        <v>1</v>
      </c>
      <c r="K617" s="125">
        <f>1</f>
        <v>1</v>
      </c>
      <c r="L617" s="125">
        <f>1</f>
        <v>1</v>
      </c>
      <c r="M617" s="125">
        <f>1</f>
        <v>1</v>
      </c>
      <c r="N617" s="125">
        <f>1</f>
        <v>1</v>
      </c>
      <c r="O617" s="125">
        <f>1</f>
        <v>1</v>
      </c>
      <c r="P617" s="125">
        <f>1</f>
        <v>1</v>
      </c>
      <c r="Q617" s="125">
        <f>1</f>
        <v>1</v>
      </c>
      <c r="R617" s="125">
        <f>1</f>
        <v>1</v>
      </c>
      <c r="S617" s="125">
        <f>1</f>
        <v>1</v>
      </c>
      <c r="T617" s="125">
        <f>1</f>
        <v>1</v>
      </c>
      <c r="U617" s="125">
        <f>1</f>
        <v>1</v>
      </c>
      <c r="V617" s="125">
        <f>1</f>
        <v>1</v>
      </c>
      <c r="W617" s="125">
        <f>1</f>
        <v>1</v>
      </c>
      <c r="X617" s="125">
        <f>1</f>
        <v>1</v>
      </c>
      <c r="Y617" s="125">
        <f>1</f>
        <v>1</v>
      </c>
      <c r="Z617" s="125">
        <f>1</f>
        <v>1</v>
      </c>
      <c r="AA617" s="125">
        <f>1</f>
        <v>1</v>
      </c>
      <c r="AB617" s="125">
        <f>1</f>
        <v>1</v>
      </c>
      <c r="AC617" s="125">
        <f>1</f>
        <v>1</v>
      </c>
      <c r="AD617" s="125">
        <f>1</f>
        <v>1</v>
      </c>
      <c r="AE617" s="125">
        <f>1</f>
        <v>1</v>
      </c>
      <c r="AF617" s="125">
        <f>1</f>
        <v>1</v>
      </c>
      <c r="AG617" s="126">
        <f>1</f>
        <v>1</v>
      </c>
      <c r="AH617" s="22"/>
    </row>
    <row r="618" spans="1:34" x14ac:dyDescent="0.25">
      <c r="A618" s="21"/>
      <c r="B618" s="141" t="s">
        <v>637</v>
      </c>
      <c r="C618" s="125" t="s">
        <v>60</v>
      </c>
      <c r="D618" s="125">
        <f>2</f>
        <v>2</v>
      </c>
      <c r="E618" s="125">
        <f>2</f>
        <v>2</v>
      </c>
      <c r="F618" s="125">
        <f>2</f>
        <v>2</v>
      </c>
      <c r="G618" s="125">
        <f>2</f>
        <v>2</v>
      </c>
      <c r="H618" s="125">
        <f>2</f>
        <v>2</v>
      </c>
      <c r="I618" s="125">
        <f>2</f>
        <v>2</v>
      </c>
      <c r="J618" s="125">
        <f>2</f>
        <v>2</v>
      </c>
      <c r="K618" s="125">
        <f>2</f>
        <v>2</v>
      </c>
      <c r="L618" s="125">
        <f>2</f>
        <v>2</v>
      </c>
      <c r="M618" s="125">
        <f>2</f>
        <v>2</v>
      </c>
      <c r="N618" s="125">
        <f>2</f>
        <v>2</v>
      </c>
      <c r="O618" s="125">
        <f>2</f>
        <v>2</v>
      </c>
      <c r="P618" s="125">
        <f>2</f>
        <v>2</v>
      </c>
      <c r="Q618" s="125">
        <f>2</f>
        <v>2</v>
      </c>
      <c r="R618" s="125">
        <f>2</f>
        <v>2</v>
      </c>
      <c r="S618" s="125">
        <f>2</f>
        <v>2</v>
      </c>
      <c r="T618" s="125">
        <f>2</f>
        <v>2</v>
      </c>
      <c r="U618" s="125">
        <f>2</f>
        <v>2</v>
      </c>
      <c r="V618" s="125">
        <f>2</f>
        <v>2</v>
      </c>
      <c r="W618" s="125">
        <f>2</f>
        <v>2</v>
      </c>
      <c r="X618" s="125">
        <f>2</f>
        <v>2</v>
      </c>
      <c r="Y618" s="125">
        <f>2</f>
        <v>2</v>
      </c>
      <c r="Z618" s="125">
        <f>2</f>
        <v>2</v>
      </c>
      <c r="AA618" s="125">
        <f>2</f>
        <v>2</v>
      </c>
      <c r="AB618" s="125">
        <f>2</f>
        <v>2</v>
      </c>
      <c r="AC618" s="125">
        <f>2</f>
        <v>2</v>
      </c>
      <c r="AD618" s="125">
        <f>2</f>
        <v>2</v>
      </c>
      <c r="AE618" s="125">
        <f>2</f>
        <v>2</v>
      </c>
      <c r="AF618" s="125">
        <f>2</f>
        <v>2</v>
      </c>
      <c r="AG618" s="126">
        <f>2</f>
        <v>2</v>
      </c>
      <c r="AH618" s="22"/>
    </row>
    <row r="619" spans="1:34" x14ac:dyDescent="0.25">
      <c r="A619" s="21"/>
      <c r="B619" s="141" t="s">
        <v>638</v>
      </c>
      <c r="C619" s="125" t="s">
        <v>60</v>
      </c>
      <c r="D619" s="125">
        <f>2</f>
        <v>2</v>
      </c>
      <c r="E619" s="125">
        <f>2</f>
        <v>2</v>
      </c>
      <c r="F619" s="125">
        <f>2</f>
        <v>2</v>
      </c>
      <c r="G619" s="125">
        <f>2</f>
        <v>2</v>
      </c>
      <c r="H619" s="125">
        <f>2</f>
        <v>2</v>
      </c>
      <c r="I619" s="125">
        <f>2</f>
        <v>2</v>
      </c>
      <c r="J619" s="125">
        <f>2</f>
        <v>2</v>
      </c>
      <c r="K619" s="125">
        <f>2</f>
        <v>2</v>
      </c>
      <c r="L619" s="125">
        <f>2</f>
        <v>2</v>
      </c>
      <c r="M619" s="125">
        <f>2</f>
        <v>2</v>
      </c>
      <c r="N619" s="125">
        <f>2</f>
        <v>2</v>
      </c>
      <c r="O619" s="125">
        <f>2</f>
        <v>2</v>
      </c>
      <c r="P619" s="125">
        <f>2</f>
        <v>2</v>
      </c>
      <c r="Q619" s="125">
        <f>2</f>
        <v>2</v>
      </c>
      <c r="R619" s="125">
        <f>2</f>
        <v>2</v>
      </c>
      <c r="S619" s="125">
        <f>2</f>
        <v>2</v>
      </c>
      <c r="T619" s="125">
        <f>2</f>
        <v>2</v>
      </c>
      <c r="U619" s="125">
        <f>2</f>
        <v>2</v>
      </c>
      <c r="V619" s="125">
        <f>2</f>
        <v>2</v>
      </c>
      <c r="W619" s="125">
        <f>2</f>
        <v>2</v>
      </c>
      <c r="X619" s="125">
        <f>2</f>
        <v>2</v>
      </c>
      <c r="Y619" s="125">
        <f>2</f>
        <v>2</v>
      </c>
      <c r="Z619" s="125">
        <f>2</f>
        <v>2</v>
      </c>
      <c r="AA619" s="125">
        <f>2</f>
        <v>2</v>
      </c>
      <c r="AB619" s="125">
        <f>2</f>
        <v>2</v>
      </c>
      <c r="AC619" s="125">
        <f>2</f>
        <v>2</v>
      </c>
      <c r="AD619" s="125">
        <f>2</f>
        <v>2</v>
      </c>
      <c r="AE619" s="125">
        <f>2</f>
        <v>2</v>
      </c>
      <c r="AF619" s="125">
        <f>2</f>
        <v>2</v>
      </c>
      <c r="AG619" s="126">
        <f>2</f>
        <v>2</v>
      </c>
      <c r="AH619" s="22"/>
    </row>
    <row r="620" spans="1:34" x14ac:dyDescent="0.25">
      <c r="A620" s="21"/>
      <c r="B620" s="141" t="s">
        <v>639</v>
      </c>
      <c r="C620" s="125" t="s">
        <v>60</v>
      </c>
      <c r="D620" s="125">
        <f>2</f>
        <v>2</v>
      </c>
      <c r="E620" s="125">
        <f>2</f>
        <v>2</v>
      </c>
      <c r="F620" s="125">
        <f>2</f>
        <v>2</v>
      </c>
      <c r="G620" s="125">
        <f>2</f>
        <v>2</v>
      </c>
      <c r="H620" s="125">
        <f>2</f>
        <v>2</v>
      </c>
      <c r="I620" s="125">
        <f>2</f>
        <v>2</v>
      </c>
      <c r="J620" s="125">
        <f>2</f>
        <v>2</v>
      </c>
      <c r="K620" s="125">
        <f>2</f>
        <v>2</v>
      </c>
      <c r="L620" s="125">
        <f>2</f>
        <v>2</v>
      </c>
      <c r="M620" s="125">
        <f>2</f>
        <v>2</v>
      </c>
      <c r="N620" s="125">
        <f>2</f>
        <v>2</v>
      </c>
      <c r="O620" s="125">
        <f>2</f>
        <v>2</v>
      </c>
      <c r="P620" s="125">
        <f>2</f>
        <v>2</v>
      </c>
      <c r="Q620" s="125">
        <f>2</f>
        <v>2</v>
      </c>
      <c r="R620" s="125">
        <f>2</f>
        <v>2</v>
      </c>
      <c r="S620" s="125">
        <f>2</f>
        <v>2</v>
      </c>
      <c r="T620" s="125">
        <f>2</f>
        <v>2</v>
      </c>
      <c r="U620" s="125">
        <f>2</f>
        <v>2</v>
      </c>
      <c r="V620" s="125">
        <f>2</f>
        <v>2</v>
      </c>
      <c r="W620" s="125">
        <f>2</f>
        <v>2</v>
      </c>
      <c r="X620" s="125">
        <f>2</f>
        <v>2</v>
      </c>
      <c r="Y620" s="125">
        <f>2</f>
        <v>2</v>
      </c>
      <c r="Z620" s="125">
        <f>2</f>
        <v>2</v>
      </c>
      <c r="AA620" s="125">
        <f>2</f>
        <v>2</v>
      </c>
      <c r="AB620" s="125">
        <f>2</f>
        <v>2</v>
      </c>
      <c r="AC620" s="125">
        <f>2</f>
        <v>2</v>
      </c>
      <c r="AD620" s="125">
        <f>2</f>
        <v>2</v>
      </c>
      <c r="AE620" s="125">
        <f>2</f>
        <v>2</v>
      </c>
      <c r="AF620" s="125">
        <f>2</f>
        <v>2</v>
      </c>
      <c r="AG620" s="126">
        <f>2</f>
        <v>2</v>
      </c>
      <c r="AH620" s="22"/>
    </row>
    <row r="621" spans="1:34" x14ac:dyDescent="0.25">
      <c r="A621" s="21"/>
      <c r="B621" s="141" t="s">
        <v>640</v>
      </c>
      <c r="C621" s="125" t="s">
        <v>60</v>
      </c>
      <c r="D621" s="125">
        <f>2</f>
        <v>2</v>
      </c>
      <c r="E621" s="125">
        <f>2</f>
        <v>2</v>
      </c>
      <c r="F621" s="125">
        <f>2</f>
        <v>2</v>
      </c>
      <c r="G621" s="125">
        <f>2</f>
        <v>2</v>
      </c>
      <c r="H621" s="125">
        <f>2</f>
        <v>2</v>
      </c>
      <c r="I621" s="125">
        <f>2</f>
        <v>2</v>
      </c>
      <c r="J621" s="125">
        <f>2</f>
        <v>2</v>
      </c>
      <c r="K621" s="125">
        <f>2</f>
        <v>2</v>
      </c>
      <c r="L621" s="125">
        <f>2</f>
        <v>2</v>
      </c>
      <c r="M621" s="125">
        <f>2</f>
        <v>2</v>
      </c>
      <c r="N621" s="125">
        <f>2</f>
        <v>2</v>
      </c>
      <c r="O621" s="125">
        <f>2</f>
        <v>2</v>
      </c>
      <c r="P621" s="125">
        <f>2</f>
        <v>2</v>
      </c>
      <c r="Q621" s="125">
        <f>2</f>
        <v>2</v>
      </c>
      <c r="R621" s="125">
        <f>2</f>
        <v>2</v>
      </c>
      <c r="S621" s="125">
        <f>2</f>
        <v>2</v>
      </c>
      <c r="T621" s="125">
        <f>2</f>
        <v>2</v>
      </c>
      <c r="U621" s="125">
        <f>2</f>
        <v>2</v>
      </c>
      <c r="V621" s="125">
        <f>2</f>
        <v>2</v>
      </c>
      <c r="W621" s="125">
        <f>2</f>
        <v>2</v>
      </c>
      <c r="X621" s="125">
        <f>2</f>
        <v>2</v>
      </c>
      <c r="Y621" s="125">
        <f>2</f>
        <v>2</v>
      </c>
      <c r="Z621" s="125">
        <f>2</f>
        <v>2</v>
      </c>
      <c r="AA621" s="125">
        <f>2</f>
        <v>2</v>
      </c>
      <c r="AB621" s="125">
        <f>2</f>
        <v>2</v>
      </c>
      <c r="AC621" s="125">
        <f>2</f>
        <v>2</v>
      </c>
      <c r="AD621" s="125">
        <f>2</f>
        <v>2</v>
      </c>
      <c r="AE621" s="125">
        <f>2</f>
        <v>2</v>
      </c>
      <c r="AF621" s="125">
        <f>2</f>
        <v>2</v>
      </c>
      <c r="AG621" s="126">
        <f>2</f>
        <v>2</v>
      </c>
      <c r="AH621" s="22"/>
    </row>
    <row r="622" spans="1:34" x14ac:dyDescent="0.25">
      <c r="A622" s="21"/>
      <c r="B622" s="141" t="s">
        <v>641</v>
      </c>
      <c r="C622" s="125" t="s">
        <v>60</v>
      </c>
      <c r="D622" s="125">
        <f>2</f>
        <v>2</v>
      </c>
      <c r="E622" s="125">
        <f>2</f>
        <v>2</v>
      </c>
      <c r="F622" s="125">
        <f>2</f>
        <v>2</v>
      </c>
      <c r="G622" s="125">
        <f>2</f>
        <v>2</v>
      </c>
      <c r="H622" s="125">
        <f>2</f>
        <v>2</v>
      </c>
      <c r="I622" s="125">
        <f>2</f>
        <v>2</v>
      </c>
      <c r="J622" s="125">
        <f>2</f>
        <v>2</v>
      </c>
      <c r="K622" s="125">
        <f>2</f>
        <v>2</v>
      </c>
      <c r="L622" s="125">
        <f>2</f>
        <v>2</v>
      </c>
      <c r="M622" s="125">
        <f>2</f>
        <v>2</v>
      </c>
      <c r="N622" s="125">
        <f>2</f>
        <v>2</v>
      </c>
      <c r="O622" s="125">
        <f>2</f>
        <v>2</v>
      </c>
      <c r="P622" s="125">
        <f>2</f>
        <v>2</v>
      </c>
      <c r="Q622" s="125">
        <f>2</f>
        <v>2</v>
      </c>
      <c r="R622" s="125">
        <f>2</f>
        <v>2</v>
      </c>
      <c r="S622" s="125">
        <f>2</f>
        <v>2</v>
      </c>
      <c r="T622" s="125">
        <f>2</f>
        <v>2</v>
      </c>
      <c r="U622" s="125">
        <f>2</f>
        <v>2</v>
      </c>
      <c r="V622" s="125">
        <f>2</f>
        <v>2</v>
      </c>
      <c r="W622" s="125">
        <f>2</f>
        <v>2</v>
      </c>
      <c r="X622" s="125">
        <f>2</f>
        <v>2</v>
      </c>
      <c r="Y622" s="125">
        <f>2</f>
        <v>2</v>
      </c>
      <c r="Z622" s="125">
        <f>2</f>
        <v>2</v>
      </c>
      <c r="AA622" s="125">
        <f>2</f>
        <v>2</v>
      </c>
      <c r="AB622" s="125">
        <f>2</f>
        <v>2</v>
      </c>
      <c r="AC622" s="125">
        <f>2</f>
        <v>2</v>
      </c>
      <c r="AD622" s="125">
        <f>2</f>
        <v>2</v>
      </c>
      <c r="AE622" s="125">
        <f>2</f>
        <v>2</v>
      </c>
      <c r="AF622" s="125">
        <f>2</f>
        <v>2</v>
      </c>
      <c r="AG622" s="126">
        <f>2</f>
        <v>2</v>
      </c>
      <c r="AH622" s="22"/>
    </row>
    <row r="623" spans="1:34" x14ac:dyDescent="0.25">
      <c r="A623" s="21"/>
      <c r="B623" s="141" t="s">
        <v>642</v>
      </c>
      <c r="C623" s="125" t="s">
        <v>60</v>
      </c>
      <c r="D623" s="125">
        <f>2</f>
        <v>2</v>
      </c>
      <c r="E623" s="125">
        <f>2</f>
        <v>2</v>
      </c>
      <c r="F623" s="125">
        <f>2</f>
        <v>2</v>
      </c>
      <c r="G623" s="125">
        <f>2</f>
        <v>2</v>
      </c>
      <c r="H623" s="125">
        <f>2</f>
        <v>2</v>
      </c>
      <c r="I623" s="125">
        <f>2</f>
        <v>2</v>
      </c>
      <c r="J623" s="125">
        <f>2</f>
        <v>2</v>
      </c>
      <c r="K623" s="125">
        <f>2</f>
        <v>2</v>
      </c>
      <c r="L623" s="125">
        <f>2</f>
        <v>2</v>
      </c>
      <c r="M623" s="125">
        <f>2</f>
        <v>2</v>
      </c>
      <c r="N623" s="125">
        <f>2</f>
        <v>2</v>
      </c>
      <c r="O623" s="125">
        <f>2</f>
        <v>2</v>
      </c>
      <c r="P623" s="125">
        <f>2</f>
        <v>2</v>
      </c>
      <c r="Q623" s="125">
        <f>2</f>
        <v>2</v>
      </c>
      <c r="R623" s="125">
        <f>2</f>
        <v>2</v>
      </c>
      <c r="S623" s="125">
        <f>2</f>
        <v>2</v>
      </c>
      <c r="T623" s="125">
        <f>2</f>
        <v>2</v>
      </c>
      <c r="U623" s="125">
        <f>2</f>
        <v>2</v>
      </c>
      <c r="V623" s="125">
        <f>2</f>
        <v>2</v>
      </c>
      <c r="W623" s="125">
        <f>2</f>
        <v>2</v>
      </c>
      <c r="X623" s="125">
        <f>2</f>
        <v>2</v>
      </c>
      <c r="Y623" s="125">
        <f>2</f>
        <v>2</v>
      </c>
      <c r="Z623" s="125">
        <f>2</f>
        <v>2</v>
      </c>
      <c r="AA623" s="125">
        <f>2</f>
        <v>2</v>
      </c>
      <c r="AB623" s="125">
        <f>2</f>
        <v>2</v>
      </c>
      <c r="AC623" s="125">
        <f>2</f>
        <v>2</v>
      </c>
      <c r="AD623" s="125">
        <f>2</f>
        <v>2</v>
      </c>
      <c r="AE623" s="125">
        <f>2</f>
        <v>2</v>
      </c>
      <c r="AF623" s="125">
        <f>2</f>
        <v>2</v>
      </c>
      <c r="AG623" s="126">
        <f>2</f>
        <v>2</v>
      </c>
      <c r="AH623" s="22"/>
    </row>
    <row r="624" spans="1:34" x14ac:dyDescent="0.25">
      <c r="A624" s="21"/>
      <c r="B624" s="141" t="s">
        <v>643</v>
      </c>
      <c r="C624" s="125" t="s">
        <v>60</v>
      </c>
      <c r="D624" s="125">
        <f>2</f>
        <v>2</v>
      </c>
      <c r="E624" s="125">
        <f>2</f>
        <v>2</v>
      </c>
      <c r="F624" s="125">
        <f>2</f>
        <v>2</v>
      </c>
      <c r="G624" s="125">
        <f>2</f>
        <v>2</v>
      </c>
      <c r="H624" s="125">
        <f>2</f>
        <v>2</v>
      </c>
      <c r="I624" s="125">
        <f>2</f>
        <v>2</v>
      </c>
      <c r="J624" s="125">
        <f>2</f>
        <v>2</v>
      </c>
      <c r="K624" s="125">
        <f>2</f>
        <v>2</v>
      </c>
      <c r="L624" s="125">
        <f>2</f>
        <v>2</v>
      </c>
      <c r="M624" s="125">
        <f>2</f>
        <v>2</v>
      </c>
      <c r="N624" s="125">
        <f>2</f>
        <v>2</v>
      </c>
      <c r="O624" s="125">
        <f>2</f>
        <v>2</v>
      </c>
      <c r="P624" s="125">
        <f>2</f>
        <v>2</v>
      </c>
      <c r="Q624" s="125">
        <f>2</f>
        <v>2</v>
      </c>
      <c r="R624" s="125">
        <f>2</f>
        <v>2</v>
      </c>
      <c r="S624" s="125">
        <f>2</f>
        <v>2</v>
      </c>
      <c r="T624" s="125">
        <f>2</f>
        <v>2</v>
      </c>
      <c r="U624" s="125">
        <f>2</f>
        <v>2</v>
      </c>
      <c r="V624" s="125">
        <f>2</f>
        <v>2</v>
      </c>
      <c r="W624" s="125">
        <f>2</f>
        <v>2</v>
      </c>
      <c r="X624" s="125">
        <f>2</f>
        <v>2</v>
      </c>
      <c r="Y624" s="125">
        <f>2</f>
        <v>2</v>
      </c>
      <c r="Z624" s="125">
        <f>2</f>
        <v>2</v>
      </c>
      <c r="AA624" s="125">
        <f>2</f>
        <v>2</v>
      </c>
      <c r="AB624" s="125">
        <f>2</f>
        <v>2</v>
      </c>
      <c r="AC624" s="125">
        <f>2</f>
        <v>2</v>
      </c>
      <c r="AD624" s="125">
        <f>2</f>
        <v>2</v>
      </c>
      <c r="AE624" s="125">
        <f>2</f>
        <v>2</v>
      </c>
      <c r="AF624" s="125">
        <f>2</f>
        <v>2</v>
      </c>
      <c r="AG624" s="126">
        <f>2</f>
        <v>2</v>
      </c>
      <c r="AH624" s="22"/>
    </row>
    <row r="625" spans="1:34" x14ac:dyDescent="0.25">
      <c r="A625" s="21"/>
      <c r="B625" s="141" t="s">
        <v>644</v>
      </c>
      <c r="C625" s="125" t="s">
        <v>60</v>
      </c>
      <c r="D625" s="125">
        <f>2</f>
        <v>2</v>
      </c>
      <c r="E625" s="125">
        <f>2</f>
        <v>2</v>
      </c>
      <c r="F625" s="125">
        <f>2</f>
        <v>2</v>
      </c>
      <c r="G625" s="125">
        <f>2</f>
        <v>2</v>
      </c>
      <c r="H625" s="125">
        <f>2</f>
        <v>2</v>
      </c>
      <c r="I625" s="125">
        <f>2</f>
        <v>2</v>
      </c>
      <c r="J625" s="125">
        <f>2</f>
        <v>2</v>
      </c>
      <c r="K625" s="125">
        <f>2</f>
        <v>2</v>
      </c>
      <c r="L625" s="125">
        <f>2</f>
        <v>2</v>
      </c>
      <c r="M625" s="125">
        <f>2</f>
        <v>2</v>
      </c>
      <c r="N625" s="125">
        <f>2</f>
        <v>2</v>
      </c>
      <c r="O625" s="125">
        <f>2</f>
        <v>2</v>
      </c>
      <c r="P625" s="125">
        <f>2</f>
        <v>2</v>
      </c>
      <c r="Q625" s="125">
        <f>2</f>
        <v>2</v>
      </c>
      <c r="R625" s="125">
        <f>2</f>
        <v>2</v>
      </c>
      <c r="S625" s="125">
        <f>2</f>
        <v>2</v>
      </c>
      <c r="T625" s="125">
        <f>2</f>
        <v>2</v>
      </c>
      <c r="U625" s="125">
        <f>2</f>
        <v>2</v>
      </c>
      <c r="V625" s="125">
        <f>2</f>
        <v>2</v>
      </c>
      <c r="W625" s="125">
        <f>2</f>
        <v>2</v>
      </c>
      <c r="X625" s="125">
        <f>2</f>
        <v>2</v>
      </c>
      <c r="Y625" s="125">
        <f>2</f>
        <v>2</v>
      </c>
      <c r="Z625" s="125">
        <f>2</f>
        <v>2</v>
      </c>
      <c r="AA625" s="125">
        <f>2</f>
        <v>2</v>
      </c>
      <c r="AB625" s="125">
        <f>2</f>
        <v>2</v>
      </c>
      <c r="AC625" s="125">
        <f>2</f>
        <v>2</v>
      </c>
      <c r="AD625" s="125">
        <f>2</f>
        <v>2</v>
      </c>
      <c r="AE625" s="125">
        <f>2</f>
        <v>2</v>
      </c>
      <c r="AF625" s="125">
        <f>2</f>
        <v>2</v>
      </c>
      <c r="AG625" s="126">
        <f>2</f>
        <v>2</v>
      </c>
      <c r="AH625" s="22"/>
    </row>
    <row r="626" spans="1:34" x14ac:dyDescent="0.25">
      <c r="A626" s="21"/>
      <c r="B626" s="141" t="s">
        <v>645</v>
      </c>
      <c r="C626" s="125" t="s">
        <v>60</v>
      </c>
      <c r="D626" s="125">
        <f>2</f>
        <v>2</v>
      </c>
      <c r="E626" s="125">
        <f>2</f>
        <v>2</v>
      </c>
      <c r="F626" s="125">
        <f>2</f>
        <v>2</v>
      </c>
      <c r="G626" s="125">
        <f>2</f>
        <v>2</v>
      </c>
      <c r="H626" s="125">
        <f>2</f>
        <v>2</v>
      </c>
      <c r="I626" s="125">
        <f>2</f>
        <v>2</v>
      </c>
      <c r="J626" s="125">
        <f>2</f>
        <v>2</v>
      </c>
      <c r="K626" s="125">
        <f>2</f>
        <v>2</v>
      </c>
      <c r="L626" s="125">
        <f>2</f>
        <v>2</v>
      </c>
      <c r="M626" s="125">
        <f>2</f>
        <v>2</v>
      </c>
      <c r="N626" s="125">
        <f>2</f>
        <v>2</v>
      </c>
      <c r="O626" s="125">
        <f>2</f>
        <v>2</v>
      </c>
      <c r="P626" s="125">
        <f>2</f>
        <v>2</v>
      </c>
      <c r="Q626" s="125">
        <f>2</f>
        <v>2</v>
      </c>
      <c r="R626" s="125">
        <f>2</f>
        <v>2</v>
      </c>
      <c r="S626" s="125">
        <f>2</f>
        <v>2</v>
      </c>
      <c r="T626" s="125">
        <f>2</f>
        <v>2</v>
      </c>
      <c r="U626" s="125">
        <f>2</f>
        <v>2</v>
      </c>
      <c r="V626" s="125">
        <f>2</f>
        <v>2</v>
      </c>
      <c r="W626" s="125">
        <f>2</f>
        <v>2</v>
      </c>
      <c r="X626" s="125">
        <f>2</f>
        <v>2</v>
      </c>
      <c r="Y626" s="125">
        <f>2</f>
        <v>2</v>
      </c>
      <c r="Z626" s="125">
        <f>2</f>
        <v>2</v>
      </c>
      <c r="AA626" s="125">
        <f>2</f>
        <v>2</v>
      </c>
      <c r="AB626" s="125">
        <f>2</f>
        <v>2</v>
      </c>
      <c r="AC626" s="125">
        <f>2</f>
        <v>2</v>
      </c>
      <c r="AD626" s="125">
        <f>2</f>
        <v>2</v>
      </c>
      <c r="AE626" s="125">
        <f>2</f>
        <v>2</v>
      </c>
      <c r="AF626" s="125">
        <f>2</f>
        <v>2</v>
      </c>
      <c r="AG626" s="126">
        <f>2</f>
        <v>2</v>
      </c>
      <c r="AH626" s="22"/>
    </row>
    <row r="627" spans="1:34" x14ac:dyDescent="0.25">
      <c r="A627" s="21"/>
      <c r="B627" s="141" t="s">
        <v>646</v>
      </c>
      <c r="C627" s="125" t="s">
        <v>60</v>
      </c>
      <c r="D627" s="125">
        <f>2</f>
        <v>2</v>
      </c>
      <c r="E627" s="125">
        <f>2</f>
        <v>2</v>
      </c>
      <c r="F627" s="125">
        <f>2</f>
        <v>2</v>
      </c>
      <c r="G627" s="125">
        <f>2</f>
        <v>2</v>
      </c>
      <c r="H627" s="125">
        <f>2</f>
        <v>2</v>
      </c>
      <c r="I627" s="125">
        <f>2</f>
        <v>2</v>
      </c>
      <c r="J627" s="125">
        <f>2</f>
        <v>2</v>
      </c>
      <c r="K627" s="125">
        <f>2</f>
        <v>2</v>
      </c>
      <c r="L627" s="125">
        <f>2</f>
        <v>2</v>
      </c>
      <c r="M627" s="125">
        <f>2</f>
        <v>2</v>
      </c>
      <c r="N627" s="125">
        <f>2</f>
        <v>2</v>
      </c>
      <c r="O627" s="125">
        <f>2</f>
        <v>2</v>
      </c>
      <c r="P627" s="125">
        <f>2</f>
        <v>2</v>
      </c>
      <c r="Q627" s="125">
        <f>2</f>
        <v>2</v>
      </c>
      <c r="R627" s="125">
        <f>2</f>
        <v>2</v>
      </c>
      <c r="S627" s="125">
        <f>2</f>
        <v>2</v>
      </c>
      <c r="T627" s="125">
        <f>2</f>
        <v>2</v>
      </c>
      <c r="U627" s="125">
        <f>2</f>
        <v>2</v>
      </c>
      <c r="V627" s="125">
        <f>2</f>
        <v>2</v>
      </c>
      <c r="W627" s="125">
        <f>2</f>
        <v>2</v>
      </c>
      <c r="X627" s="125">
        <f>2</f>
        <v>2</v>
      </c>
      <c r="Y627" s="125">
        <f>2</f>
        <v>2</v>
      </c>
      <c r="Z627" s="125">
        <f>2</f>
        <v>2</v>
      </c>
      <c r="AA627" s="125">
        <f>2</f>
        <v>2</v>
      </c>
      <c r="AB627" s="125">
        <f>2</f>
        <v>2</v>
      </c>
      <c r="AC627" s="125">
        <f>2</f>
        <v>2</v>
      </c>
      <c r="AD627" s="125">
        <f>2</f>
        <v>2</v>
      </c>
      <c r="AE627" s="125">
        <f>2</f>
        <v>2</v>
      </c>
      <c r="AF627" s="125">
        <f>2</f>
        <v>2</v>
      </c>
      <c r="AG627" s="126">
        <f>2</f>
        <v>2</v>
      </c>
      <c r="AH627" s="22"/>
    </row>
    <row r="628" spans="1:34" x14ac:dyDescent="0.25">
      <c r="A628" s="21"/>
      <c r="B628" s="141" t="s">
        <v>647</v>
      </c>
      <c r="C628" s="125" t="s">
        <v>60</v>
      </c>
      <c r="D628" s="125">
        <f>2</f>
        <v>2</v>
      </c>
      <c r="E628" s="125">
        <f>2</f>
        <v>2</v>
      </c>
      <c r="F628" s="125">
        <f>2</f>
        <v>2</v>
      </c>
      <c r="G628" s="125">
        <f>2</f>
        <v>2</v>
      </c>
      <c r="H628" s="125">
        <f>2</f>
        <v>2</v>
      </c>
      <c r="I628" s="125">
        <f>2</f>
        <v>2</v>
      </c>
      <c r="J628" s="125">
        <f>2</f>
        <v>2</v>
      </c>
      <c r="K628" s="125">
        <f>2</f>
        <v>2</v>
      </c>
      <c r="L628" s="125">
        <f>2</f>
        <v>2</v>
      </c>
      <c r="M628" s="125">
        <f>2</f>
        <v>2</v>
      </c>
      <c r="N628" s="125">
        <f>2</f>
        <v>2</v>
      </c>
      <c r="O628" s="125">
        <f>2</f>
        <v>2</v>
      </c>
      <c r="P628" s="125">
        <f>2</f>
        <v>2</v>
      </c>
      <c r="Q628" s="125">
        <f>2</f>
        <v>2</v>
      </c>
      <c r="R628" s="125">
        <f>2</f>
        <v>2</v>
      </c>
      <c r="S628" s="125">
        <f>2</f>
        <v>2</v>
      </c>
      <c r="T628" s="125">
        <f>2</f>
        <v>2</v>
      </c>
      <c r="U628" s="125">
        <f>2</f>
        <v>2</v>
      </c>
      <c r="V628" s="125">
        <f>2</f>
        <v>2</v>
      </c>
      <c r="W628" s="125">
        <f>2</f>
        <v>2</v>
      </c>
      <c r="X628" s="125">
        <f>2</f>
        <v>2</v>
      </c>
      <c r="Y628" s="125">
        <f>2</f>
        <v>2</v>
      </c>
      <c r="Z628" s="125">
        <f>2</f>
        <v>2</v>
      </c>
      <c r="AA628" s="125">
        <f>2</f>
        <v>2</v>
      </c>
      <c r="AB628" s="125">
        <f>2</f>
        <v>2</v>
      </c>
      <c r="AC628" s="125">
        <f>2</f>
        <v>2</v>
      </c>
      <c r="AD628" s="125">
        <f>2</f>
        <v>2</v>
      </c>
      <c r="AE628" s="125">
        <f>2</f>
        <v>2</v>
      </c>
      <c r="AF628" s="125">
        <f>2</f>
        <v>2</v>
      </c>
      <c r="AG628" s="126">
        <f>2</f>
        <v>2</v>
      </c>
      <c r="AH628" s="22"/>
    </row>
    <row r="629" spans="1:34" x14ac:dyDescent="0.25">
      <c r="A629" s="21"/>
      <c r="B629" s="141" t="s">
        <v>648</v>
      </c>
      <c r="C629" s="125" t="s">
        <v>60</v>
      </c>
      <c r="D629" s="125">
        <f>2</f>
        <v>2</v>
      </c>
      <c r="E629" s="125">
        <f>2</f>
        <v>2</v>
      </c>
      <c r="F629" s="125">
        <f>2</f>
        <v>2</v>
      </c>
      <c r="G629" s="125">
        <f>2</f>
        <v>2</v>
      </c>
      <c r="H629" s="125">
        <f>2</f>
        <v>2</v>
      </c>
      <c r="I629" s="125">
        <f>2</f>
        <v>2</v>
      </c>
      <c r="J629" s="125">
        <f>2</f>
        <v>2</v>
      </c>
      <c r="K629" s="125">
        <f>2</f>
        <v>2</v>
      </c>
      <c r="L629" s="125">
        <f>2</f>
        <v>2</v>
      </c>
      <c r="M629" s="125">
        <f>2</f>
        <v>2</v>
      </c>
      <c r="N629" s="125">
        <f>2</f>
        <v>2</v>
      </c>
      <c r="O629" s="125">
        <f>2</f>
        <v>2</v>
      </c>
      <c r="P629" s="125">
        <f>2</f>
        <v>2</v>
      </c>
      <c r="Q629" s="125">
        <f>2</f>
        <v>2</v>
      </c>
      <c r="R629" s="125">
        <f>2</f>
        <v>2</v>
      </c>
      <c r="S629" s="125">
        <f>2</f>
        <v>2</v>
      </c>
      <c r="T629" s="125">
        <f>2</f>
        <v>2</v>
      </c>
      <c r="U629" s="125">
        <f>2</f>
        <v>2</v>
      </c>
      <c r="V629" s="125">
        <f>2</f>
        <v>2</v>
      </c>
      <c r="W629" s="125">
        <f>2</f>
        <v>2</v>
      </c>
      <c r="X629" s="125">
        <f>2</f>
        <v>2</v>
      </c>
      <c r="Y629" s="125">
        <f>2</f>
        <v>2</v>
      </c>
      <c r="Z629" s="125">
        <f>2</f>
        <v>2</v>
      </c>
      <c r="AA629" s="125">
        <f>2</f>
        <v>2</v>
      </c>
      <c r="AB629" s="125">
        <f>2</f>
        <v>2</v>
      </c>
      <c r="AC629" s="125">
        <f>2</f>
        <v>2</v>
      </c>
      <c r="AD629" s="125">
        <f>2</f>
        <v>2</v>
      </c>
      <c r="AE629" s="125">
        <f>2</f>
        <v>2</v>
      </c>
      <c r="AF629" s="125">
        <f>2</f>
        <v>2</v>
      </c>
      <c r="AG629" s="126">
        <f>2</f>
        <v>2</v>
      </c>
      <c r="AH629" s="22"/>
    </row>
    <row r="630" spans="1:34" x14ac:dyDescent="0.25">
      <c r="A630" s="21"/>
      <c r="B630" s="141" t="s">
        <v>649</v>
      </c>
      <c r="C630" s="125" t="s">
        <v>60</v>
      </c>
      <c r="D630" s="125">
        <f>2</f>
        <v>2</v>
      </c>
      <c r="E630" s="125">
        <f>2</f>
        <v>2</v>
      </c>
      <c r="F630" s="125">
        <f>2</f>
        <v>2</v>
      </c>
      <c r="G630" s="125">
        <f>2</f>
        <v>2</v>
      </c>
      <c r="H630" s="125">
        <f>2</f>
        <v>2</v>
      </c>
      <c r="I630" s="125">
        <f>2</f>
        <v>2</v>
      </c>
      <c r="J630" s="125">
        <f>2</f>
        <v>2</v>
      </c>
      <c r="K630" s="125">
        <f>2</f>
        <v>2</v>
      </c>
      <c r="L630" s="125">
        <f>2</f>
        <v>2</v>
      </c>
      <c r="M630" s="125">
        <f>2</f>
        <v>2</v>
      </c>
      <c r="N630" s="125">
        <f>2</f>
        <v>2</v>
      </c>
      <c r="O630" s="125">
        <f>2</f>
        <v>2</v>
      </c>
      <c r="P630" s="125">
        <f>2</f>
        <v>2</v>
      </c>
      <c r="Q630" s="125">
        <f>2</f>
        <v>2</v>
      </c>
      <c r="R630" s="125">
        <f>2</f>
        <v>2</v>
      </c>
      <c r="S630" s="125">
        <f>2</f>
        <v>2</v>
      </c>
      <c r="T630" s="125">
        <f>2</f>
        <v>2</v>
      </c>
      <c r="U630" s="125">
        <f>2</f>
        <v>2</v>
      </c>
      <c r="V630" s="125">
        <f>2</f>
        <v>2</v>
      </c>
      <c r="W630" s="125">
        <f>2</f>
        <v>2</v>
      </c>
      <c r="X630" s="125">
        <f>2</f>
        <v>2</v>
      </c>
      <c r="Y630" s="125">
        <f>2</f>
        <v>2</v>
      </c>
      <c r="Z630" s="125">
        <f>2</f>
        <v>2</v>
      </c>
      <c r="AA630" s="125">
        <f>2</f>
        <v>2</v>
      </c>
      <c r="AB630" s="125">
        <f>2</f>
        <v>2</v>
      </c>
      <c r="AC630" s="125">
        <f>2</f>
        <v>2</v>
      </c>
      <c r="AD630" s="125">
        <f>2</f>
        <v>2</v>
      </c>
      <c r="AE630" s="125">
        <f>2</f>
        <v>2</v>
      </c>
      <c r="AF630" s="125">
        <f>2</f>
        <v>2</v>
      </c>
      <c r="AG630" s="126">
        <f>2</f>
        <v>2</v>
      </c>
      <c r="AH630" s="22"/>
    </row>
    <row r="631" spans="1:34" x14ac:dyDescent="0.25">
      <c r="A631" s="21"/>
      <c r="B631" s="141" t="s">
        <v>650</v>
      </c>
      <c r="C631" s="125" t="s">
        <v>60</v>
      </c>
      <c r="D631" s="125">
        <f>2</f>
        <v>2</v>
      </c>
      <c r="E631" s="125">
        <f>2</f>
        <v>2</v>
      </c>
      <c r="F631" s="125">
        <f>2</f>
        <v>2</v>
      </c>
      <c r="G631" s="125">
        <f>2</f>
        <v>2</v>
      </c>
      <c r="H631" s="125">
        <f>2</f>
        <v>2</v>
      </c>
      <c r="I631" s="125">
        <f>2</f>
        <v>2</v>
      </c>
      <c r="J631" s="125">
        <f>2</f>
        <v>2</v>
      </c>
      <c r="K631" s="125">
        <f>2</f>
        <v>2</v>
      </c>
      <c r="L631" s="125">
        <f>2</f>
        <v>2</v>
      </c>
      <c r="M631" s="125">
        <f>2</f>
        <v>2</v>
      </c>
      <c r="N631" s="125">
        <f>2</f>
        <v>2</v>
      </c>
      <c r="O631" s="125">
        <f>2</f>
        <v>2</v>
      </c>
      <c r="P631" s="125">
        <f>2</f>
        <v>2</v>
      </c>
      <c r="Q631" s="125">
        <f>2</f>
        <v>2</v>
      </c>
      <c r="R631" s="125">
        <f>2</f>
        <v>2</v>
      </c>
      <c r="S631" s="125">
        <f>2</f>
        <v>2</v>
      </c>
      <c r="T631" s="125">
        <f>2</f>
        <v>2</v>
      </c>
      <c r="U631" s="125">
        <f>2</f>
        <v>2</v>
      </c>
      <c r="V631" s="125">
        <f>2</f>
        <v>2</v>
      </c>
      <c r="W631" s="125">
        <f>2</f>
        <v>2</v>
      </c>
      <c r="X631" s="125">
        <f>2</f>
        <v>2</v>
      </c>
      <c r="Y631" s="125">
        <f>2</f>
        <v>2</v>
      </c>
      <c r="Z631" s="125">
        <f>2</f>
        <v>2</v>
      </c>
      <c r="AA631" s="125">
        <f>2</f>
        <v>2</v>
      </c>
      <c r="AB631" s="125">
        <f>2</f>
        <v>2</v>
      </c>
      <c r="AC631" s="125">
        <f>2</f>
        <v>2</v>
      </c>
      <c r="AD631" s="125">
        <f>2</f>
        <v>2</v>
      </c>
      <c r="AE631" s="125">
        <f>2</f>
        <v>2</v>
      </c>
      <c r="AF631" s="125">
        <f>2</f>
        <v>2</v>
      </c>
      <c r="AG631" s="126">
        <f>2</f>
        <v>2</v>
      </c>
      <c r="AH631" s="22"/>
    </row>
    <row r="632" spans="1:34" x14ac:dyDescent="0.25">
      <c r="A632" s="21"/>
      <c r="B632" s="141" t="s">
        <v>651</v>
      </c>
      <c r="C632" s="125" t="s">
        <v>60</v>
      </c>
      <c r="D632" s="125">
        <f>2</f>
        <v>2</v>
      </c>
      <c r="E632" s="125">
        <f>2</f>
        <v>2</v>
      </c>
      <c r="F632" s="125">
        <f>2</f>
        <v>2</v>
      </c>
      <c r="G632" s="125">
        <f>2</f>
        <v>2</v>
      </c>
      <c r="H632" s="125">
        <f>2</f>
        <v>2</v>
      </c>
      <c r="I632" s="125">
        <f>2</f>
        <v>2</v>
      </c>
      <c r="J632" s="125">
        <f>2</f>
        <v>2</v>
      </c>
      <c r="K632" s="125">
        <f>2</f>
        <v>2</v>
      </c>
      <c r="L632" s="125">
        <f>2</f>
        <v>2</v>
      </c>
      <c r="M632" s="125">
        <f>2</f>
        <v>2</v>
      </c>
      <c r="N632" s="125">
        <f>2</f>
        <v>2</v>
      </c>
      <c r="O632" s="125">
        <f>2</f>
        <v>2</v>
      </c>
      <c r="P632" s="125">
        <f>2</f>
        <v>2</v>
      </c>
      <c r="Q632" s="125">
        <f>2</f>
        <v>2</v>
      </c>
      <c r="R632" s="125">
        <f>2</f>
        <v>2</v>
      </c>
      <c r="S632" s="125">
        <f>2</f>
        <v>2</v>
      </c>
      <c r="T632" s="125">
        <f>2</f>
        <v>2</v>
      </c>
      <c r="U632" s="125">
        <f>2</f>
        <v>2</v>
      </c>
      <c r="V632" s="125">
        <f>2</f>
        <v>2</v>
      </c>
      <c r="W632" s="125">
        <f>2</f>
        <v>2</v>
      </c>
      <c r="X632" s="125">
        <f>2</f>
        <v>2</v>
      </c>
      <c r="Y632" s="125">
        <f>2</f>
        <v>2</v>
      </c>
      <c r="Z632" s="125">
        <f>2</f>
        <v>2</v>
      </c>
      <c r="AA632" s="125">
        <f>2</f>
        <v>2</v>
      </c>
      <c r="AB632" s="125">
        <f>2</f>
        <v>2</v>
      </c>
      <c r="AC632" s="125">
        <f>2</f>
        <v>2</v>
      </c>
      <c r="AD632" s="125">
        <f>2</f>
        <v>2</v>
      </c>
      <c r="AE632" s="125">
        <f>2</f>
        <v>2</v>
      </c>
      <c r="AF632" s="125">
        <f>2</f>
        <v>2</v>
      </c>
      <c r="AG632" s="126">
        <f>2</f>
        <v>2</v>
      </c>
      <c r="AH632" s="22"/>
    </row>
    <row r="633" spans="1:34" x14ac:dyDescent="0.25">
      <c r="A633" s="21"/>
      <c r="B633" s="141" t="s">
        <v>652</v>
      </c>
      <c r="C633" s="125" t="s">
        <v>60</v>
      </c>
      <c r="D633" s="125">
        <f>2</f>
        <v>2</v>
      </c>
      <c r="E633" s="125">
        <f>2</f>
        <v>2</v>
      </c>
      <c r="F633" s="125">
        <f>2</f>
        <v>2</v>
      </c>
      <c r="G633" s="125">
        <f>2</f>
        <v>2</v>
      </c>
      <c r="H633" s="125">
        <f>2</f>
        <v>2</v>
      </c>
      <c r="I633" s="125">
        <f>2</f>
        <v>2</v>
      </c>
      <c r="J633" s="125">
        <f>2</f>
        <v>2</v>
      </c>
      <c r="K633" s="125">
        <f>2</f>
        <v>2</v>
      </c>
      <c r="L633" s="125">
        <f>2</f>
        <v>2</v>
      </c>
      <c r="M633" s="125">
        <f>2</f>
        <v>2</v>
      </c>
      <c r="N633" s="125">
        <f>2</f>
        <v>2</v>
      </c>
      <c r="O633" s="125">
        <f>2</f>
        <v>2</v>
      </c>
      <c r="P633" s="125">
        <f>2</f>
        <v>2</v>
      </c>
      <c r="Q633" s="125">
        <f>2</f>
        <v>2</v>
      </c>
      <c r="R633" s="125">
        <f>2</f>
        <v>2</v>
      </c>
      <c r="S633" s="125">
        <f>2</f>
        <v>2</v>
      </c>
      <c r="T633" s="125">
        <f>2</f>
        <v>2</v>
      </c>
      <c r="U633" s="125">
        <f>2</f>
        <v>2</v>
      </c>
      <c r="V633" s="125">
        <f>2</f>
        <v>2</v>
      </c>
      <c r="W633" s="125">
        <f>2</f>
        <v>2</v>
      </c>
      <c r="X633" s="125">
        <f>2</f>
        <v>2</v>
      </c>
      <c r="Y633" s="125">
        <f>2</f>
        <v>2</v>
      </c>
      <c r="Z633" s="125">
        <f>2</f>
        <v>2</v>
      </c>
      <c r="AA633" s="125">
        <f>2</f>
        <v>2</v>
      </c>
      <c r="AB633" s="125">
        <f>2</f>
        <v>2</v>
      </c>
      <c r="AC633" s="125">
        <f>2</f>
        <v>2</v>
      </c>
      <c r="AD633" s="125">
        <f>2</f>
        <v>2</v>
      </c>
      <c r="AE633" s="125">
        <f>2</f>
        <v>2</v>
      </c>
      <c r="AF633" s="125">
        <f>2</f>
        <v>2</v>
      </c>
      <c r="AG633" s="126">
        <f>2</f>
        <v>2</v>
      </c>
      <c r="AH633" s="22"/>
    </row>
    <row r="634" spans="1:34" x14ac:dyDescent="0.25">
      <c r="A634" s="21"/>
      <c r="B634" s="141" t="s">
        <v>653</v>
      </c>
      <c r="C634" s="125" t="s">
        <v>60</v>
      </c>
      <c r="D634" s="125">
        <f>2</f>
        <v>2</v>
      </c>
      <c r="E634" s="125">
        <f>2</f>
        <v>2</v>
      </c>
      <c r="F634" s="125">
        <f>2</f>
        <v>2</v>
      </c>
      <c r="G634" s="125">
        <f>2</f>
        <v>2</v>
      </c>
      <c r="H634" s="125">
        <f>2</f>
        <v>2</v>
      </c>
      <c r="I634" s="125">
        <f>2</f>
        <v>2</v>
      </c>
      <c r="J634" s="125">
        <f>2</f>
        <v>2</v>
      </c>
      <c r="K634" s="125">
        <f>2</f>
        <v>2</v>
      </c>
      <c r="L634" s="125">
        <f>2</f>
        <v>2</v>
      </c>
      <c r="M634" s="125">
        <f>2</f>
        <v>2</v>
      </c>
      <c r="N634" s="125">
        <f>2</f>
        <v>2</v>
      </c>
      <c r="O634" s="125">
        <f>2</f>
        <v>2</v>
      </c>
      <c r="P634" s="125">
        <f>2</f>
        <v>2</v>
      </c>
      <c r="Q634" s="125">
        <f>2</f>
        <v>2</v>
      </c>
      <c r="R634" s="125">
        <f>2</f>
        <v>2</v>
      </c>
      <c r="S634" s="125">
        <f>2</f>
        <v>2</v>
      </c>
      <c r="T634" s="125">
        <f>2</f>
        <v>2</v>
      </c>
      <c r="U634" s="125">
        <f>2</f>
        <v>2</v>
      </c>
      <c r="V634" s="125">
        <f>2</f>
        <v>2</v>
      </c>
      <c r="W634" s="125">
        <f>2</f>
        <v>2</v>
      </c>
      <c r="X634" s="125">
        <f>2</f>
        <v>2</v>
      </c>
      <c r="Y634" s="125">
        <f>2</f>
        <v>2</v>
      </c>
      <c r="Z634" s="125">
        <f>2</f>
        <v>2</v>
      </c>
      <c r="AA634" s="125">
        <f>2</f>
        <v>2</v>
      </c>
      <c r="AB634" s="125">
        <f>2</f>
        <v>2</v>
      </c>
      <c r="AC634" s="125">
        <f>2</f>
        <v>2</v>
      </c>
      <c r="AD634" s="125">
        <f>2</f>
        <v>2</v>
      </c>
      <c r="AE634" s="125">
        <f>2</f>
        <v>2</v>
      </c>
      <c r="AF634" s="125">
        <f>2</f>
        <v>2</v>
      </c>
      <c r="AG634" s="126">
        <f>2</f>
        <v>2</v>
      </c>
      <c r="AH634" s="22"/>
    </row>
    <row r="635" spans="1:34" x14ac:dyDescent="0.25">
      <c r="A635" s="21"/>
      <c r="B635" s="141" t="s">
        <v>654</v>
      </c>
      <c r="C635" s="125" t="s">
        <v>60</v>
      </c>
      <c r="D635" s="125">
        <f>2</f>
        <v>2</v>
      </c>
      <c r="E635" s="125">
        <f>2</f>
        <v>2</v>
      </c>
      <c r="F635" s="125">
        <f>2</f>
        <v>2</v>
      </c>
      <c r="G635" s="125">
        <f>2</f>
        <v>2</v>
      </c>
      <c r="H635" s="125">
        <f>2</f>
        <v>2</v>
      </c>
      <c r="I635" s="125">
        <f>2</f>
        <v>2</v>
      </c>
      <c r="J635" s="125">
        <f>2</f>
        <v>2</v>
      </c>
      <c r="K635" s="125">
        <f>2</f>
        <v>2</v>
      </c>
      <c r="L635" s="125">
        <f>2</f>
        <v>2</v>
      </c>
      <c r="M635" s="125">
        <f>2</f>
        <v>2</v>
      </c>
      <c r="N635" s="125">
        <f>2</f>
        <v>2</v>
      </c>
      <c r="O635" s="125">
        <f>2</f>
        <v>2</v>
      </c>
      <c r="P635" s="125">
        <f>2</f>
        <v>2</v>
      </c>
      <c r="Q635" s="125">
        <f>2</f>
        <v>2</v>
      </c>
      <c r="R635" s="125">
        <f>2</f>
        <v>2</v>
      </c>
      <c r="S635" s="125">
        <f>2</f>
        <v>2</v>
      </c>
      <c r="T635" s="125">
        <f>2</f>
        <v>2</v>
      </c>
      <c r="U635" s="125">
        <f>2</f>
        <v>2</v>
      </c>
      <c r="V635" s="125">
        <f>2</f>
        <v>2</v>
      </c>
      <c r="W635" s="125">
        <f>2</f>
        <v>2</v>
      </c>
      <c r="X635" s="125">
        <f>2</f>
        <v>2</v>
      </c>
      <c r="Y635" s="125">
        <f>2</f>
        <v>2</v>
      </c>
      <c r="Z635" s="125">
        <f>2</f>
        <v>2</v>
      </c>
      <c r="AA635" s="125">
        <f>2</f>
        <v>2</v>
      </c>
      <c r="AB635" s="125">
        <f>2</f>
        <v>2</v>
      </c>
      <c r="AC635" s="125">
        <f>2</f>
        <v>2</v>
      </c>
      <c r="AD635" s="125">
        <f>2</f>
        <v>2</v>
      </c>
      <c r="AE635" s="125">
        <f>2</f>
        <v>2</v>
      </c>
      <c r="AF635" s="125">
        <f>2</f>
        <v>2</v>
      </c>
      <c r="AG635" s="126">
        <f>2</f>
        <v>2</v>
      </c>
      <c r="AH635" s="22"/>
    </row>
    <row r="636" spans="1:34" x14ac:dyDescent="0.25">
      <c r="A636" s="21"/>
      <c r="B636" s="141" t="s">
        <v>655</v>
      </c>
      <c r="C636" s="125" t="s">
        <v>60</v>
      </c>
      <c r="D636" s="125">
        <f>2</f>
        <v>2</v>
      </c>
      <c r="E636" s="125">
        <f>2</f>
        <v>2</v>
      </c>
      <c r="F636" s="125">
        <f>2</f>
        <v>2</v>
      </c>
      <c r="G636" s="125">
        <f>2</f>
        <v>2</v>
      </c>
      <c r="H636" s="125">
        <f>2</f>
        <v>2</v>
      </c>
      <c r="I636" s="125">
        <f>2</f>
        <v>2</v>
      </c>
      <c r="J636" s="125">
        <f>2</f>
        <v>2</v>
      </c>
      <c r="K636" s="125">
        <f>2</f>
        <v>2</v>
      </c>
      <c r="L636" s="125">
        <f>2</f>
        <v>2</v>
      </c>
      <c r="M636" s="125">
        <f>2</f>
        <v>2</v>
      </c>
      <c r="N636" s="125">
        <f>2</f>
        <v>2</v>
      </c>
      <c r="O636" s="125">
        <f>2</f>
        <v>2</v>
      </c>
      <c r="P636" s="125">
        <f>2</f>
        <v>2</v>
      </c>
      <c r="Q636" s="125">
        <f>2</f>
        <v>2</v>
      </c>
      <c r="R636" s="125">
        <f>2</f>
        <v>2</v>
      </c>
      <c r="S636" s="125">
        <f>2</f>
        <v>2</v>
      </c>
      <c r="T636" s="125">
        <f>2</f>
        <v>2</v>
      </c>
      <c r="U636" s="125">
        <f>2</f>
        <v>2</v>
      </c>
      <c r="V636" s="125">
        <f>2</f>
        <v>2</v>
      </c>
      <c r="W636" s="125">
        <f>2</f>
        <v>2</v>
      </c>
      <c r="X636" s="125">
        <f>2</f>
        <v>2</v>
      </c>
      <c r="Y636" s="125">
        <f>2</f>
        <v>2</v>
      </c>
      <c r="Z636" s="125">
        <f>2</f>
        <v>2</v>
      </c>
      <c r="AA636" s="125">
        <f>2</f>
        <v>2</v>
      </c>
      <c r="AB636" s="125">
        <f>2</f>
        <v>2</v>
      </c>
      <c r="AC636" s="125">
        <f>2</f>
        <v>2</v>
      </c>
      <c r="AD636" s="125">
        <f>2</f>
        <v>2</v>
      </c>
      <c r="AE636" s="125">
        <f>2</f>
        <v>2</v>
      </c>
      <c r="AF636" s="125">
        <f>2</f>
        <v>2</v>
      </c>
      <c r="AG636" s="126">
        <f>2</f>
        <v>2</v>
      </c>
      <c r="AH636" s="22"/>
    </row>
    <row r="637" spans="1:34" x14ac:dyDescent="0.25">
      <c r="A637" s="21"/>
      <c r="B637" s="141" t="s">
        <v>656</v>
      </c>
      <c r="C637" s="125" t="s">
        <v>60</v>
      </c>
      <c r="D637" s="125">
        <f>2</f>
        <v>2</v>
      </c>
      <c r="E637" s="125">
        <f>2</f>
        <v>2</v>
      </c>
      <c r="F637" s="125">
        <f>2</f>
        <v>2</v>
      </c>
      <c r="G637" s="125">
        <f>2</f>
        <v>2</v>
      </c>
      <c r="H637" s="125">
        <f>2</f>
        <v>2</v>
      </c>
      <c r="I637" s="125">
        <f>2</f>
        <v>2</v>
      </c>
      <c r="J637" s="125">
        <f>2</f>
        <v>2</v>
      </c>
      <c r="K637" s="125">
        <f>2</f>
        <v>2</v>
      </c>
      <c r="L637" s="125">
        <f>2</f>
        <v>2</v>
      </c>
      <c r="M637" s="125">
        <f>2</f>
        <v>2</v>
      </c>
      <c r="N637" s="125">
        <f>2</f>
        <v>2</v>
      </c>
      <c r="O637" s="125">
        <f>2</f>
        <v>2</v>
      </c>
      <c r="P637" s="125">
        <f>2</f>
        <v>2</v>
      </c>
      <c r="Q637" s="125">
        <f>2</f>
        <v>2</v>
      </c>
      <c r="R637" s="125">
        <f>2</f>
        <v>2</v>
      </c>
      <c r="S637" s="125">
        <f>2</f>
        <v>2</v>
      </c>
      <c r="T637" s="125">
        <f>2</f>
        <v>2</v>
      </c>
      <c r="U637" s="125">
        <f>2</f>
        <v>2</v>
      </c>
      <c r="V637" s="125">
        <f>2</f>
        <v>2</v>
      </c>
      <c r="W637" s="125">
        <f>2</f>
        <v>2</v>
      </c>
      <c r="X637" s="125">
        <f>2</f>
        <v>2</v>
      </c>
      <c r="Y637" s="125">
        <f>2</f>
        <v>2</v>
      </c>
      <c r="Z637" s="125">
        <f>2</f>
        <v>2</v>
      </c>
      <c r="AA637" s="125">
        <f>2</f>
        <v>2</v>
      </c>
      <c r="AB637" s="125">
        <f>2</f>
        <v>2</v>
      </c>
      <c r="AC637" s="125">
        <f>2</f>
        <v>2</v>
      </c>
      <c r="AD637" s="125">
        <f>2</f>
        <v>2</v>
      </c>
      <c r="AE637" s="125">
        <f>2</f>
        <v>2</v>
      </c>
      <c r="AF637" s="125">
        <f>2</f>
        <v>2</v>
      </c>
      <c r="AG637" s="126">
        <f>2</f>
        <v>2</v>
      </c>
      <c r="AH637" s="22"/>
    </row>
    <row r="638" spans="1:34" x14ac:dyDescent="0.25">
      <c r="A638" s="21"/>
      <c r="B638" s="141" t="s">
        <v>657</v>
      </c>
      <c r="C638" s="125" t="s">
        <v>60</v>
      </c>
      <c r="D638" s="125">
        <f>2</f>
        <v>2</v>
      </c>
      <c r="E638" s="125">
        <f>2</f>
        <v>2</v>
      </c>
      <c r="F638" s="125">
        <f>2</f>
        <v>2</v>
      </c>
      <c r="G638" s="125">
        <f>2</f>
        <v>2</v>
      </c>
      <c r="H638" s="125">
        <f>2</f>
        <v>2</v>
      </c>
      <c r="I638" s="125">
        <f>2</f>
        <v>2</v>
      </c>
      <c r="J638" s="125">
        <f>2</f>
        <v>2</v>
      </c>
      <c r="K638" s="125">
        <f>2</f>
        <v>2</v>
      </c>
      <c r="L638" s="125">
        <f>2</f>
        <v>2</v>
      </c>
      <c r="M638" s="125">
        <f>2</f>
        <v>2</v>
      </c>
      <c r="N638" s="125">
        <f>2</f>
        <v>2</v>
      </c>
      <c r="O638" s="125">
        <f>2</f>
        <v>2</v>
      </c>
      <c r="P638" s="125">
        <f>2</f>
        <v>2</v>
      </c>
      <c r="Q638" s="125">
        <f>2</f>
        <v>2</v>
      </c>
      <c r="R638" s="125">
        <f>2</f>
        <v>2</v>
      </c>
      <c r="S638" s="125">
        <f>2</f>
        <v>2</v>
      </c>
      <c r="T638" s="125">
        <f>2</f>
        <v>2</v>
      </c>
      <c r="U638" s="125">
        <f>2</f>
        <v>2</v>
      </c>
      <c r="V638" s="125">
        <f>2</f>
        <v>2</v>
      </c>
      <c r="W638" s="125">
        <f>2</f>
        <v>2</v>
      </c>
      <c r="X638" s="125">
        <f>2</f>
        <v>2</v>
      </c>
      <c r="Y638" s="125">
        <f>2</f>
        <v>2</v>
      </c>
      <c r="Z638" s="125">
        <f>2</f>
        <v>2</v>
      </c>
      <c r="AA638" s="125">
        <f>2</f>
        <v>2</v>
      </c>
      <c r="AB638" s="125">
        <f>2</f>
        <v>2</v>
      </c>
      <c r="AC638" s="125">
        <f>2</f>
        <v>2</v>
      </c>
      <c r="AD638" s="125">
        <f>2</f>
        <v>2</v>
      </c>
      <c r="AE638" s="125">
        <f>2</f>
        <v>2</v>
      </c>
      <c r="AF638" s="125">
        <f>2</f>
        <v>2</v>
      </c>
      <c r="AG638" s="126">
        <f>2</f>
        <v>2</v>
      </c>
      <c r="AH638" s="22"/>
    </row>
    <row r="639" spans="1:34" x14ac:dyDescent="0.25">
      <c r="A639" s="21"/>
      <c r="B639" s="141" t="s">
        <v>658</v>
      </c>
      <c r="C639" s="125" t="s">
        <v>60</v>
      </c>
      <c r="D639" s="125">
        <f>2</f>
        <v>2</v>
      </c>
      <c r="E639" s="125">
        <f>2</f>
        <v>2</v>
      </c>
      <c r="F639" s="125">
        <f>2</f>
        <v>2</v>
      </c>
      <c r="G639" s="125">
        <f>2</f>
        <v>2</v>
      </c>
      <c r="H639" s="125">
        <f>2</f>
        <v>2</v>
      </c>
      <c r="I639" s="125">
        <f>2</f>
        <v>2</v>
      </c>
      <c r="J639" s="125">
        <f>2</f>
        <v>2</v>
      </c>
      <c r="K639" s="125">
        <f>2</f>
        <v>2</v>
      </c>
      <c r="L639" s="125">
        <f>2</f>
        <v>2</v>
      </c>
      <c r="M639" s="125">
        <f>2</f>
        <v>2</v>
      </c>
      <c r="N639" s="125">
        <f>2</f>
        <v>2</v>
      </c>
      <c r="O639" s="125">
        <f>2</f>
        <v>2</v>
      </c>
      <c r="P639" s="125">
        <f>2</f>
        <v>2</v>
      </c>
      <c r="Q639" s="125">
        <f>2</f>
        <v>2</v>
      </c>
      <c r="R639" s="125">
        <f>2</f>
        <v>2</v>
      </c>
      <c r="S639" s="125">
        <f>2</f>
        <v>2</v>
      </c>
      <c r="T639" s="125">
        <f>2</f>
        <v>2</v>
      </c>
      <c r="U639" s="125">
        <f>2</f>
        <v>2</v>
      </c>
      <c r="V639" s="125">
        <f>2</f>
        <v>2</v>
      </c>
      <c r="W639" s="125">
        <f>2</f>
        <v>2</v>
      </c>
      <c r="X639" s="125">
        <f>2</f>
        <v>2</v>
      </c>
      <c r="Y639" s="125">
        <f>2</f>
        <v>2</v>
      </c>
      <c r="Z639" s="125">
        <f>2</f>
        <v>2</v>
      </c>
      <c r="AA639" s="125">
        <f>2</f>
        <v>2</v>
      </c>
      <c r="AB639" s="125">
        <f>2</f>
        <v>2</v>
      </c>
      <c r="AC639" s="125">
        <f>2</f>
        <v>2</v>
      </c>
      <c r="AD639" s="125">
        <f>2</f>
        <v>2</v>
      </c>
      <c r="AE639" s="125">
        <f>2</f>
        <v>2</v>
      </c>
      <c r="AF639" s="125">
        <f>2</f>
        <v>2</v>
      </c>
      <c r="AG639" s="126">
        <f>2</f>
        <v>2</v>
      </c>
      <c r="AH639" s="22"/>
    </row>
    <row r="640" spans="1:34" x14ac:dyDescent="0.25">
      <c r="A640" s="21"/>
      <c r="B640" s="141" t="s">
        <v>659</v>
      </c>
      <c r="C640" s="125" t="s">
        <v>60</v>
      </c>
      <c r="D640" s="125">
        <f>2</f>
        <v>2</v>
      </c>
      <c r="E640" s="125">
        <f>2</f>
        <v>2</v>
      </c>
      <c r="F640" s="125">
        <f>2</f>
        <v>2</v>
      </c>
      <c r="G640" s="125">
        <f>2</f>
        <v>2</v>
      </c>
      <c r="H640" s="125">
        <f>2</f>
        <v>2</v>
      </c>
      <c r="I640" s="125">
        <f>2</f>
        <v>2</v>
      </c>
      <c r="J640" s="125">
        <f>2</f>
        <v>2</v>
      </c>
      <c r="K640" s="125">
        <f>2</f>
        <v>2</v>
      </c>
      <c r="L640" s="125">
        <f>2</f>
        <v>2</v>
      </c>
      <c r="M640" s="125">
        <f>2</f>
        <v>2</v>
      </c>
      <c r="N640" s="125">
        <f>2</f>
        <v>2</v>
      </c>
      <c r="O640" s="125">
        <f>2</f>
        <v>2</v>
      </c>
      <c r="P640" s="125">
        <f>2</f>
        <v>2</v>
      </c>
      <c r="Q640" s="125">
        <f>2</f>
        <v>2</v>
      </c>
      <c r="R640" s="125">
        <f>2</f>
        <v>2</v>
      </c>
      <c r="S640" s="125">
        <f>2</f>
        <v>2</v>
      </c>
      <c r="T640" s="125">
        <f>2</f>
        <v>2</v>
      </c>
      <c r="U640" s="125">
        <f>2</f>
        <v>2</v>
      </c>
      <c r="V640" s="125">
        <f>2</f>
        <v>2</v>
      </c>
      <c r="W640" s="125">
        <f>2</f>
        <v>2</v>
      </c>
      <c r="X640" s="125">
        <f>2</f>
        <v>2</v>
      </c>
      <c r="Y640" s="125">
        <f>2</f>
        <v>2</v>
      </c>
      <c r="Z640" s="125">
        <f>2</f>
        <v>2</v>
      </c>
      <c r="AA640" s="125">
        <f>2</f>
        <v>2</v>
      </c>
      <c r="AB640" s="125">
        <f>2</f>
        <v>2</v>
      </c>
      <c r="AC640" s="125">
        <f>2</f>
        <v>2</v>
      </c>
      <c r="AD640" s="125">
        <f>2</f>
        <v>2</v>
      </c>
      <c r="AE640" s="125">
        <f>2</f>
        <v>2</v>
      </c>
      <c r="AF640" s="125">
        <f>2</f>
        <v>2</v>
      </c>
      <c r="AG640" s="126">
        <f>2</f>
        <v>2</v>
      </c>
      <c r="AH640" s="22"/>
    </row>
    <row r="641" spans="1:34" x14ac:dyDescent="0.25">
      <c r="A641" s="21"/>
      <c r="B641" s="141" t="s">
        <v>660</v>
      </c>
      <c r="C641" s="125" t="s">
        <v>60</v>
      </c>
      <c r="D641" s="125">
        <f>2</f>
        <v>2</v>
      </c>
      <c r="E641" s="125">
        <f>2</f>
        <v>2</v>
      </c>
      <c r="F641" s="125">
        <f>2</f>
        <v>2</v>
      </c>
      <c r="G641" s="125">
        <f>2</f>
        <v>2</v>
      </c>
      <c r="H641" s="125">
        <f>2</f>
        <v>2</v>
      </c>
      <c r="I641" s="125">
        <f>2</f>
        <v>2</v>
      </c>
      <c r="J641" s="125">
        <f>2</f>
        <v>2</v>
      </c>
      <c r="K641" s="125">
        <f>2</f>
        <v>2</v>
      </c>
      <c r="L641" s="125">
        <f>2</f>
        <v>2</v>
      </c>
      <c r="M641" s="125">
        <f>2</f>
        <v>2</v>
      </c>
      <c r="N641" s="125">
        <f>2</f>
        <v>2</v>
      </c>
      <c r="O641" s="125">
        <f>2</f>
        <v>2</v>
      </c>
      <c r="P641" s="125">
        <f>2</f>
        <v>2</v>
      </c>
      <c r="Q641" s="125">
        <f>2</f>
        <v>2</v>
      </c>
      <c r="R641" s="125">
        <f>2</f>
        <v>2</v>
      </c>
      <c r="S641" s="125">
        <f>2</f>
        <v>2</v>
      </c>
      <c r="T641" s="125">
        <f>2</f>
        <v>2</v>
      </c>
      <c r="U641" s="125">
        <f>2</f>
        <v>2</v>
      </c>
      <c r="V641" s="125">
        <f>2</f>
        <v>2</v>
      </c>
      <c r="W641" s="125">
        <f>2</f>
        <v>2</v>
      </c>
      <c r="X641" s="125">
        <f>2</f>
        <v>2</v>
      </c>
      <c r="Y641" s="125">
        <f>2</f>
        <v>2</v>
      </c>
      <c r="Z641" s="125">
        <f>2</f>
        <v>2</v>
      </c>
      <c r="AA641" s="125">
        <f>2</f>
        <v>2</v>
      </c>
      <c r="AB641" s="125">
        <f>2</f>
        <v>2</v>
      </c>
      <c r="AC641" s="125">
        <f>2</f>
        <v>2</v>
      </c>
      <c r="AD641" s="125">
        <f>2</f>
        <v>2</v>
      </c>
      <c r="AE641" s="125">
        <f>2</f>
        <v>2</v>
      </c>
      <c r="AF641" s="125">
        <f>2</f>
        <v>2</v>
      </c>
      <c r="AG641" s="126">
        <f>2</f>
        <v>2</v>
      </c>
      <c r="AH641" s="22"/>
    </row>
    <row r="642" spans="1:34" x14ac:dyDescent="0.25">
      <c r="A642" s="21"/>
      <c r="B642" s="141" t="s">
        <v>661</v>
      </c>
      <c r="C642" s="125" t="s">
        <v>60</v>
      </c>
      <c r="D642" s="125">
        <f>2</f>
        <v>2</v>
      </c>
      <c r="E642" s="125">
        <f>2</f>
        <v>2</v>
      </c>
      <c r="F642" s="125">
        <f>2</f>
        <v>2</v>
      </c>
      <c r="G642" s="125">
        <f>2</f>
        <v>2</v>
      </c>
      <c r="H642" s="125">
        <f>2</f>
        <v>2</v>
      </c>
      <c r="I642" s="125">
        <f>2</f>
        <v>2</v>
      </c>
      <c r="J642" s="125">
        <f>2</f>
        <v>2</v>
      </c>
      <c r="K642" s="125">
        <f>2</f>
        <v>2</v>
      </c>
      <c r="L642" s="125">
        <f>2</f>
        <v>2</v>
      </c>
      <c r="M642" s="125">
        <f>2</f>
        <v>2</v>
      </c>
      <c r="N642" s="125">
        <f>2</f>
        <v>2</v>
      </c>
      <c r="O642" s="125">
        <f>2</f>
        <v>2</v>
      </c>
      <c r="P642" s="125">
        <f>2</f>
        <v>2</v>
      </c>
      <c r="Q642" s="125">
        <f>2</f>
        <v>2</v>
      </c>
      <c r="R642" s="125">
        <f>2</f>
        <v>2</v>
      </c>
      <c r="S642" s="125">
        <f>2</f>
        <v>2</v>
      </c>
      <c r="T642" s="125">
        <f>2</f>
        <v>2</v>
      </c>
      <c r="U642" s="125">
        <f>2</f>
        <v>2</v>
      </c>
      <c r="V642" s="125">
        <f>2</f>
        <v>2</v>
      </c>
      <c r="W642" s="125">
        <f>2</f>
        <v>2</v>
      </c>
      <c r="X642" s="125">
        <f>2</f>
        <v>2</v>
      </c>
      <c r="Y642" s="125">
        <f>2</f>
        <v>2</v>
      </c>
      <c r="Z642" s="125">
        <f>2</f>
        <v>2</v>
      </c>
      <c r="AA642" s="125">
        <f>2</f>
        <v>2</v>
      </c>
      <c r="AB642" s="125">
        <f>2</f>
        <v>2</v>
      </c>
      <c r="AC642" s="125">
        <f>2</f>
        <v>2</v>
      </c>
      <c r="AD642" s="125">
        <f>2</f>
        <v>2</v>
      </c>
      <c r="AE642" s="125">
        <f>2</f>
        <v>2</v>
      </c>
      <c r="AF642" s="125">
        <f>2</f>
        <v>2</v>
      </c>
      <c r="AG642" s="126">
        <f>2</f>
        <v>2</v>
      </c>
      <c r="AH642" s="22"/>
    </row>
    <row r="643" spans="1:34" x14ac:dyDescent="0.25">
      <c r="A643" s="21"/>
      <c r="B643" s="141" t="s">
        <v>662</v>
      </c>
      <c r="C643" s="125" t="s">
        <v>60</v>
      </c>
      <c r="D643" s="125">
        <f>2</f>
        <v>2</v>
      </c>
      <c r="E643" s="125">
        <f>2</f>
        <v>2</v>
      </c>
      <c r="F643" s="125">
        <f>2</f>
        <v>2</v>
      </c>
      <c r="G643" s="125">
        <f>2</f>
        <v>2</v>
      </c>
      <c r="H643" s="125">
        <f>2</f>
        <v>2</v>
      </c>
      <c r="I643" s="125">
        <f>2</f>
        <v>2</v>
      </c>
      <c r="J643" s="125">
        <f>2</f>
        <v>2</v>
      </c>
      <c r="K643" s="125">
        <f>2</f>
        <v>2</v>
      </c>
      <c r="L643" s="125">
        <f>2</f>
        <v>2</v>
      </c>
      <c r="M643" s="125">
        <f>2</f>
        <v>2</v>
      </c>
      <c r="N643" s="125">
        <f>2</f>
        <v>2</v>
      </c>
      <c r="O643" s="125">
        <f>2</f>
        <v>2</v>
      </c>
      <c r="P643" s="125">
        <f>2</f>
        <v>2</v>
      </c>
      <c r="Q643" s="125">
        <f>2</f>
        <v>2</v>
      </c>
      <c r="R643" s="125">
        <f>2</f>
        <v>2</v>
      </c>
      <c r="S643" s="125">
        <f>2</f>
        <v>2</v>
      </c>
      <c r="T643" s="125">
        <f>2</f>
        <v>2</v>
      </c>
      <c r="U643" s="125">
        <f>2</f>
        <v>2</v>
      </c>
      <c r="V643" s="125">
        <f>2</f>
        <v>2</v>
      </c>
      <c r="W643" s="125">
        <f>2</f>
        <v>2</v>
      </c>
      <c r="X643" s="125">
        <f>2</f>
        <v>2</v>
      </c>
      <c r="Y643" s="125">
        <f>2</f>
        <v>2</v>
      </c>
      <c r="Z643" s="125">
        <f>2</f>
        <v>2</v>
      </c>
      <c r="AA643" s="125">
        <f>2</f>
        <v>2</v>
      </c>
      <c r="AB643" s="125">
        <f>2</f>
        <v>2</v>
      </c>
      <c r="AC643" s="125">
        <f>2</f>
        <v>2</v>
      </c>
      <c r="AD643" s="125">
        <f>2</f>
        <v>2</v>
      </c>
      <c r="AE643" s="125">
        <f>2</f>
        <v>2</v>
      </c>
      <c r="AF643" s="125">
        <f>2</f>
        <v>2</v>
      </c>
      <c r="AG643" s="126">
        <f>2</f>
        <v>2</v>
      </c>
      <c r="AH643" s="22"/>
    </row>
    <row r="644" spans="1:34" x14ac:dyDescent="0.25">
      <c r="A644" s="21"/>
      <c r="B644" s="141" t="s">
        <v>663</v>
      </c>
      <c r="C644" s="125" t="s">
        <v>60</v>
      </c>
      <c r="D644" s="125">
        <f>2</f>
        <v>2</v>
      </c>
      <c r="E644" s="125">
        <f>2</f>
        <v>2</v>
      </c>
      <c r="F644" s="125">
        <f>2</f>
        <v>2</v>
      </c>
      <c r="G644" s="125">
        <f>2</f>
        <v>2</v>
      </c>
      <c r="H644" s="125">
        <f>2</f>
        <v>2</v>
      </c>
      <c r="I644" s="125">
        <f>2</f>
        <v>2</v>
      </c>
      <c r="J644" s="125">
        <f>2</f>
        <v>2</v>
      </c>
      <c r="K644" s="125">
        <f>2</f>
        <v>2</v>
      </c>
      <c r="L644" s="125">
        <f>2</f>
        <v>2</v>
      </c>
      <c r="M644" s="125">
        <f>2</f>
        <v>2</v>
      </c>
      <c r="N644" s="125">
        <f>2</f>
        <v>2</v>
      </c>
      <c r="O644" s="125">
        <f>2</f>
        <v>2</v>
      </c>
      <c r="P644" s="125">
        <f>2</f>
        <v>2</v>
      </c>
      <c r="Q644" s="125">
        <f>2</f>
        <v>2</v>
      </c>
      <c r="R644" s="125">
        <f>2</f>
        <v>2</v>
      </c>
      <c r="S644" s="125">
        <f>2</f>
        <v>2</v>
      </c>
      <c r="T644" s="125">
        <f>2</f>
        <v>2</v>
      </c>
      <c r="U644" s="125">
        <f>2</f>
        <v>2</v>
      </c>
      <c r="V644" s="125">
        <f>2</f>
        <v>2</v>
      </c>
      <c r="W644" s="125">
        <f>2</f>
        <v>2</v>
      </c>
      <c r="X644" s="125">
        <f>2</f>
        <v>2</v>
      </c>
      <c r="Y644" s="125">
        <f>2</f>
        <v>2</v>
      </c>
      <c r="Z644" s="125">
        <f>2</f>
        <v>2</v>
      </c>
      <c r="AA644" s="125">
        <f>2</f>
        <v>2</v>
      </c>
      <c r="AB644" s="125">
        <f>2</f>
        <v>2</v>
      </c>
      <c r="AC644" s="125">
        <f>2</f>
        <v>2</v>
      </c>
      <c r="AD644" s="125">
        <f>2</f>
        <v>2</v>
      </c>
      <c r="AE644" s="125">
        <f>2</f>
        <v>2</v>
      </c>
      <c r="AF644" s="125">
        <f>2</f>
        <v>2</v>
      </c>
      <c r="AG644" s="126">
        <f>2</f>
        <v>2</v>
      </c>
      <c r="AH644" s="22"/>
    </row>
    <row r="645" spans="1:34" x14ac:dyDescent="0.25">
      <c r="A645" s="21"/>
      <c r="B645" s="141" t="s">
        <v>664</v>
      </c>
      <c r="C645" s="125" t="s">
        <v>60</v>
      </c>
      <c r="D645" s="125">
        <f>2</f>
        <v>2</v>
      </c>
      <c r="E645" s="125">
        <f>2</f>
        <v>2</v>
      </c>
      <c r="F645" s="125">
        <f>2</f>
        <v>2</v>
      </c>
      <c r="G645" s="125">
        <f>2</f>
        <v>2</v>
      </c>
      <c r="H645" s="125">
        <f>2</f>
        <v>2</v>
      </c>
      <c r="I645" s="125">
        <f>2</f>
        <v>2</v>
      </c>
      <c r="J645" s="125">
        <f>2</f>
        <v>2</v>
      </c>
      <c r="K645" s="125">
        <f>2</f>
        <v>2</v>
      </c>
      <c r="L645" s="125">
        <f>2</f>
        <v>2</v>
      </c>
      <c r="M645" s="125">
        <f>2</f>
        <v>2</v>
      </c>
      <c r="N645" s="125">
        <f>2</f>
        <v>2</v>
      </c>
      <c r="O645" s="125">
        <f>2</f>
        <v>2</v>
      </c>
      <c r="P645" s="125">
        <f>2</f>
        <v>2</v>
      </c>
      <c r="Q645" s="125">
        <f>2</f>
        <v>2</v>
      </c>
      <c r="R645" s="125">
        <f>2</f>
        <v>2</v>
      </c>
      <c r="S645" s="125">
        <f>2</f>
        <v>2</v>
      </c>
      <c r="T645" s="125">
        <f>2</f>
        <v>2</v>
      </c>
      <c r="U645" s="125">
        <f>2</f>
        <v>2</v>
      </c>
      <c r="V645" s="125">
        <f>2</f>
        <v>2</v>
      </c>
      <c r="W645" s="125">
        <f>2</f>
        <v>2</v>
      </c>
      <c r="X645" s="125">
        <f>2</f>
        <v>2</v>
      </c>
      <c r="Y645" s="125">
        <f>2</f>
        <v>2</v>
      </c>
      <c r="Z645" s="125">
        <f>2</f>
        <v>2</v>
      </c>
      <c r="AA645" s="125">
        <f>2</f>
        <v>2</v>
      </c>
      <c r="AB645" s="125">
        <f>2</f>
        <v>2</v>
      </c>
      <c r="AC645" s="125">
        <f>2</f>
        <v>2</v>
      </c>
      <c r="AD645" s="125">
        <f>2</f>
        <v>2</v>
      </c>
      <c r="AE645" s="125">
        <f>2</f>
        <v>2</v>
      </c>
      <c r="AF645" s="125">
        <f>2</f>
        <v>2</v>
      </c>
      <c r="AG645" s="126">
        <f>2</f>
        <v>2</v>
      </c>
      <c r="AH645" s="22"/>
    </row>
    <row r="646" spans="1:34" x14ac:dyDescent="0.25">
      <c r="A646" s="21"/>
      <c r="B646" s="141" t="s">
        <v>665</v>
      </c>
      <c r="C646" s="125" t="s">
        <v>60</v>
      </c>
      <c r="D646" s="125">
        <f>2</f>
        <v>2</v>
      </c>
      <c r="E646" s="125">
        <f>2</f>
        <v>2</v>
      </c>
      <c r="F646" s="125">
        <f>2</f>
        <v>2</v>
      </c>
      <c r="G646" s="125">
        <f>2</f>
        <v>2</v>
      </c>
      <c r="H646" s="125">
        <f>2</f>
        <v>2</v>
      </c>
      <c r="I646" s="125">
        <f>2</f>
        <v>2</v>
      </c>
      <c r="J646" s="125">
        <f>2</f>
        <v>2</v>
      </c>
      <c r="K646" s="125">
        <f>2</f>
        <v>2</v>
      </c>
      <c r="L646" s="125">
        <f>2</f>
        <v>2</v>
      </c>
      <c r="M646" s="125">
        <f>2</f>
        <v>2</v>
      </c>
      <c r="N646" s="125">
        <f>2</f>
        <v>2</v>
      </c>
      <c r="O646" s="125">
        <f>2</f>
        <v>2</v>
      </c>
      <c r="P646" s="125">
        <f>2</f>
        <v>2</v>
      </c>
      <c r="Q646" s="125">
        <f>2</f>
        <v>2</v>
      </c>
      <c r="R646" s="125">
        <f>2</f>
        <v>2</v>
      </c>
      <c r="S646" s="125">
        <f>2</f>
        <v>2</v>
      </c>
      <c r="T646" s="125">
        <f>2</f>
        <v>2</v>
      </c>
      <c r="U646" s="125">
        <f>2</f>
        <v>2</v>
      </c>
      <c r="V646" s="125">
        <f>2</f>
        <v>2</v>
      </c>
      <c r="W646" s="125">
        <f>2</f>
        <v>2</v>
      </c>
      <c r="X646" s="125">
        <f>2</f>
        <v>2</v>
      </c>
      <c r="Y646" s="125">
        <f>2</f>
        <v>2</v>
      </c>
      <c r="Z646" s="125">
        <f>2</f>
        <v>2</v>
      </c>
      <c r="AA646" s="125">
        <f>2</f>
        <v>2</v>
      </c>
      <c r="AB646" s="125">
        <f>2</f>
        <v>2</v>
      </c>
      <c r="AC646" s="125">
        <f>2</f>
        <v>2</v>
      </c>
      <c r="AD646" s="125">
        <f>2</f>
        <v>2</v>
      </c>
      <c r="AE646" s="125">
        <f>2</f>
        <v>2</v>
      </c>
      <c r="AF646" s="125">
        <f>2</f>
        <v>2</v>
      </c>
      <c r="AG646" s="126">
        <f>2</f>
        <v>2</v>
      </c>
      <c r="AH646" s="22"/>
    </row>
    <row r="647" spans="1:34" x14ac:dyDescent="0.25">
      <c r="A647" s="21"/>
      <c r="B647" s="141" t="s">
        <v>666</v>
      </c>
      <c r="C647" s="125" t="s">
        <v>60</v>
      </c>
      <c r="D647" s="125">
        <f>2</f>
        <v>2</v>
      </c>
      <c r="E647" s="125">
        <f>2</f>
        <v>2</v>
      </c>
      <c r="F647" s="125">
        <f>2</f>
        <v>2</v>
      </c>
      <c r="G647" s="125">
        <f>2</f>
        <v>2</v>
      </c>
      <c r="H647" s="125">
        <f>2</f>
        <v>2</v>
      </c>
      <c r="I647" s="125">
        <f>2</f>
        <v>2</v>
      </c>
      <c r="J647" s="125">
        <f>2</f>
        <v>2</v>
      </c>
      <c r="K647" s="125">
        <f>2</f>
        <v>2</v>
      </c>
      <c r="L647" s="125">
        <f>2</f>
        <v>2</v>
      </c>
      <c r="M647" s="125">
        <f>2</f>
        <v>2</v>
      </c>
      <c r="N647" s="125">
        <f>2</f>
        <v>2</v>
      </c>
      <c r="O647" s="125">
        <f>2</f>
        <v>2</v>
      </c>
      <c r="P647" s="125">
        <f>2</f>
        <v>2</v>
      </c>
      <c r="Q647" s="125">
        <f>2</f>
        <v>2</v>
      </c>
      <c r="R647" s="125">
        <f>2</f>
        <v>2</v>
      </c>
      <c r="S647" s="125">
        <f>2</f>
        <v>2</v>
      </c>
      <c r="T647" s="125">
        <f>2</f>
        <v>2</v>
      </c>
      <c r="U647" s="125">
        <f>2</f>
        <v>2</v>
      </c>
      <c r="V647" s="125">
        <f>2</f>
        <v>2</v>
      </c>
      <c r="W647" s="125">
        <f>2</f>
        <v>2</v>
      </c>
      <c r="X647" s="125">
        <f>2</f>
        <v>2</v>
      </c>
      <c r="Y647" s="125">
        <f>2</f>
        <v>2</v>
      </c>
      <c r="Z647" s="125">
        <f>2</f>
        <v>2</v>
      </c>
      <c r="AA647" s="125">
        <f>2</f>
        <v>2</v>
      </c>
      <c r="AB647" s="125">
        <f>2</f>
        <v>2</v>
      </c>
      <c r="AC647" s="125">
        <f>2</f>
        <v>2</v>
      </c>
      <c r="AD647" s="125">
        <f>2</f>
        <v>2</v>
      </c>
      <c r="AE647" s="125">
        <f>2</f>
        <v>2</v>
      </c>
      <c r="AF647" s="125">
        <f>2</f>
        <v>2</v>
      </c>
      <c r="AG647" s="126">
        <f>2</f>
        <v>2</v>
      </c>
      <c r="AH647" s="22"/>
    </row>
    <row r="648" spans="1:34" x14ac:dyDescent="0.25">
      <c r="A648" s="21"/>
      <c r="B648" s="141" t="s">
        <v>667</v>
      </c>
      <c r="C648" s="125" t="s">
        <v>60</v>
      </c>
      <c r="D648" s="125">
        <f>2</f>
        <v>2</v>
      </c>
      <c r="E648" s="125">
        <f>2</f>
        <v>2</v>
      </c>
      <c r="F648" s="125">
        <f>2</f>
        <v>2</v>
      </c>
      <c r="G648" s="125">
        <f>2</f>
        <v>2</v>
      </c>
      <c r="H648" s="125">
        <f>2</f>
        <v>2</v>
      </c>
      <c r="I648" s="125">
        <f>2</f>
        <v>2</v>
      </c>
      <c r="J648" s="125">
        <f>2</f>
        <v>2</v>
      </c>
      <c r="K648" s="125">
        <f>2</f>
        <v>2</v>
      </c>
      <c r="L648" s="125">
        <f>2</f>
        <v>2</v>
      </c>
      <c r="M648" s="125">
        <f>2</f>
        <v>2</v>
      </c>
      <c r="N648" s="125">
        <f>2</f>
        <v>2</v>
      </c>
      <c r="O648" s="125">
        <f>2</f>
        <v>2</v>
      </c>
      <c r="P648" s="125">
        <f>2</f>
        <v>2</v>
      </c>
      <c r="Q648" s="125">
        <f>2</f>
        <v>2</v>
      </c>
      <c r="R648" s="125">
        <f>2</f>
        <v>2</v>
      </c>
      <c r="S648" s="125">
        <f>2</f>
        <v>2</v>
      </c>
      <c r="T648" s="125">
        <f>2</f>
        <v>2</v>
      </c>
      <c r="U648" s="125">
        <f>2</f>
        <v>2</v>
      </c>
      <c r="V648" s="125">
        <f>2</f>
        <v>2</v>
      </c>
      <c r="W648" s="125">
        <f>2</f>
        <v>2</v>
      </c>
      <c r="X648" s="125">
        <f>2</f>
        <v>2</v>
      </c>
      <c r="Y648" s="125">
        <f>2</f>
        <v>2</v>
      </c>
      <c r="Z648" s="125">
        <f>2</f>
        <v>2</v>
      </c>
      <c r="AA648" s="125">
        <f>2</f>
        <v>2</v>
      </c>
      <c r="AB648" s="125">
        <f>2</f>
        <v>2</v>
      </c>
      <c r="AC648" s="125">
        <f>2</f>
        <v>2</v>
      </c>
      <c r="AD648" s="125">
        <f>2</f>
        <v>2</v>
      </c>
      <c r="AE648" s="125">
        <f>2</f>
        <v>2</v>
      </c>
      <c r="AF648" s="125">
        <f>2</f>
        <v>2</v>
      </c>
      <c r="AG648" s="126">
        <f>2</f>
        <v>2</v>
      </c>
      <c r="AH648" s="22"/>
    </row>
    <row r="649" spans="1:34" x14ac:dyDescent="0.25">
      <c r="A649" s="21"/>
      <c r="B649" s="141" t="s">
        <v>668</v>
      </c>
      <c r="C649" s="125" t="s">
        <v>60</v>
      </c>
      <c r="D649" s="125">
        <f>2</f>
        <v>2</v>
      </c>
      <c r="E649" s="125">
        <f>2</f>
        <v>2</v>
      </c>
      <c r="F649" s="125">
        <f>2</f>
        <v>2</v>
      </c>
      <c r="G649" s="125">
        <f>2</f>
        <v>2</v>
      </c>
      <c r="H649" s="125">
        <f>2</f>
        <v>2</v>
      </c>
      <c r="I649" s="125">
        <f>2</f>
        <v>2</v>
      </c>
      <c r="J649" s="125">
        <f>2</f>
        <v>2</v>
      </c>
      <c r="K649" s="125">
        <f>2</f>
        <v>2</v>
      </c>
      <c r="L649" s="125">
        <f>2</f>
        <v>2</v>
      </c>
      <c r="M649" s="125">
        <f>2</f>
        <v>2</v>
      </c>
      <c r="N649" s="125">
        <f>2</f>
        <v>2</v>
      </c>
      <c r="O649" s="125">
        <f>2</f>
        <v>2</v>
      </c>
      <c r="P649" s="125">
        <f>2</f>
        <v>2</v>
      </c>
      <c r="Q649" s="125">
        <f>2</f>
        <v>2</v>
      </c>
      <c r="R649" s="125">
        <f>2</f>
        <v>2</v>
      </c>
      <c r="S649" s="125">
        <f>2</f>
        <v>2</v>
      </c>
      <c r="T649" s="125">
        <f>2</f>
        <v>2</v>
      </c>
      <c r="U649" s="125">
        <f>2</f>
        <v>2</v>
      </c>
      <c r="V649" s="125">
        <f>2</f>
        <v>2</v>
      </c>
      <c r="W649" s="125">
        <f>2</f>
        <v>2</v>
      </c>
      <c r="X649" s="125">
        <f>2</f>
        <v>2</v>
      </c>
      <c r="Y649" s="125">
        <f>2</f>
        <v>2</v>
      </c>
      <c r="Z649" s="125">
        <f>2</f>
        <v>2</v>
      </c>
      <c r="AA649" s="125">
        <f>2</f>
        <v>2</v>
      </c>
      <c r="AB649" s="125">
        <f>2</f>
        <v>2</v>
      </c>
      <c r="AC649" s="125">
        <f>2</f>
        <v>2</v>
      </c>
      <c r="AD649" s="125">
        <f>2</f>
        <v>2</v>
      </c>
      <c r="AE649" s="125">
        <f>2</f>
        <v>2</v>
      </c>
      <c r="AF649" s="125">
        <f>2</f>
        <v>2</v>
      </c>
      <c r="AG649" s="126">
        <f>2</f>
        <v>2</v>
      </c>
      <c r="AH649" s="22"/>
    </row>
    <row r="650" spans="1:34" x14ac:dyDescent="0.25">
      <c r="A650" s="21"/>
      <c r="B650" s="141" t="s">
        <v>669</v>
      </c>
      <c r="C650" s="125" t="s">
        <v>60</v>
      </c>
      <c r="D650" s="125">
        <f>2</f>
        <v>2</v>
      </c>
      <c r="E650" s="125">
        <f>2</f>
        <v>2</v>
      </c>
      <c r="F650" s="125">
        <f>2</f>
        <v>2</v>
      </c>
      <c r="G650" s="125">
        <f>2</f>
        <v>2</v>
      </c>
      <c r="H650" s="125">
        <f>2</f>
        <v>2</v>
      </c>
      <c r="I650" s="125">
        <f>2</f>
        <v>2</v>
      </c>
      <c r="J650" s="125">
        <f>2</f>
        <v>2</v>
      </c>
      <c r="K650" s="125">
        <f>2</f>
        <v>2</v>
      </c>
      <c r="L650" s="125">
        <f>2</f>
        <v>2</v>
      </c>
      <c r="M650" s="125">
        <f>2</f>
        <v>2</v>
      </c>
      <c r="N650" s="125">
        <f>2</f>
        <v>2</v>
      </c>
      <c r="O650" s="125">
        <f>2</f>
        <v>2</v>
      </c>
      <c r="P650" s="125">
        <f>2</f>
        <v>2</v>
      </c>
      <c r="Q650" s="125">
        <f>2</f>
        <v>2</v>
      </c>
      <c r="R650" s="125">
        <f>2</f>
        <v>2</v>
      </c>
      <c r="S650" s="125">
        <f>2</f>
        <v>2</v>
      </c>
      <c r="T650" s="125">
        <f>2</f>
        <v>2</v>
      </c>
      <c r="U650" s="125">
        <f>2</f>
        <v>2</v>
      </c>
      <c r="V650" s="125">
        <f>2</f>
        <v>2</v>
      </c>
      <c r="W650" s="125">
        <f>2</f>
        <v>2</v>
      </c>
      <c r="X650" s="125">
        <f>2</f>
        <v>2</v>
      </c>
      <c r="Y650" s="125">
        <f>2</f>
        <v>2</v>
      </c>
      <c r="Z650" s="125">
        <f>2</f>
        <v>2</v>
      </c>
      <c r="AA650" s="125">
        <f>2</f>
        <v>2</v>
      </c>
      <c r="AB650" s="125">
        <f>2</f>
        <v>2</v>
      </c>
      <c r="AC650" s="125">
        <f>2</f>
        <v>2</v>
      </c>
      <c r="AD650" s="125">
        <f>2</f>
        <v>2</v>
      </c>
      <c r="AE650" s="125">
        <f>2</f>
        <v>2</v>
      </c>
      <c r="AF650" s="125">
        <f>2</f>
        <v>2</v>
      </c>
      <c r="AG650" s="126">
        <f>2</f>
        <v>2</v>
      </c>
      <c r="AH650" s="22"/>
    </row>
    <row r="651" spans="1:34" x14ac:dyDescent="0.25">
      <c r="A651" s="21"/>
      <c r="B651" s="141" t="s">
        <v>670</v>
      </c>
      <c r="C651" s="125" t="s">
        <v>60</v>
      </c>
      <c r="D651" s="125">
        <f>2</f>
        <v>2</v>
      </c>
      <c r="E651" s="125">
        <f>2</f>
        <v>2</v>
      </c>
      <c r="F651" s="125">
        <f>2</f>
        <v>2</v>
      </c>
      <c r="G651" s="125">
        <f>2</f>
        <v>2</v>
      </c>
      <c r="H651" s="125">
        <f>2</f>
        <v>2</v>
      </c>
      <c r="I651" s="125">
        <f>2</f>
        <v>2</v>
      </c>
      <c r="J651" s="125">
        <f>2</f>
        <v>2</v>
      </c>
      <c r="K651" s="125">
        <f>2</f>
        <v>2</v>
      </c>
      <c r="L651" s="125">
        <f>2</f>
        <v>2</v>
      </c>
      <c r="M651" s="125">
        <f>2</f>
        <v>2</v>
      </c>
      <c r="N651" s="125">
        <f>2</f>
        <v>2</v>
      </c>
      <c r="O651" s="125">
        <f>2</f>
        <v>2</v>
      </c>
      <c r="P651" s="125">
        <f>2</f>
        <v>2</v>
      </c>
      <c r="Q651" s="125">
        <f>2</f>
        <v>2</v>
      </c>
      <c r="R651" s="125">
        <f>2</f>
        <v>2</v>
      </c>
      <c r="S651" s="125">
        <f>2</f>
        <v>2</v>
      </c>
      <c r="T651" s="125">
        <f>2</f>
        <v>2</v>
      </c>
      <c r="U651" s="125">
        <f>2</f>
        <v>2</v>
      </c>
      <c r="V651" s="125">
        <f>2</f>
        <v>2</v>
      </c>
      <c r="W651" s="125">
        <f>2</f>
        <v>2</v>
      </c>
      <c r="X651" s="125">
        <f>2</f>
        <v>2</v>
      </c>
      <c r="Y651" s="125">
        <f>2</f>
        <v>2</v>
      </c>
      <c r="Z651" s="125">
        <f>2</f>
        <v>2</v>
      </c>
      <c r="AA651" s="125">
        <f>2</f>
        <v>2</v>
      </c>
      <c r="AB651" s="125">
        <f>2</f>
        <v>2</v>
      </c>
      <c r="AC651" s="125">
        <f>2</f>
        <v>2</v>
      </c>
      <c r="AD651" s="125">
        <f>2</f>
        <v>2</v>
      </c>
      <c r="AE651" s="125">
        <f>2</f>
        <v>2</v>
      </c>
      <c r="AF651" s="125">
        <f>2</f>
        <v>2</v>
      </c>
      <c r="AG651" s="126">
        <f>2</f>
        <v>2</v>
      </c>
      <c r="AH651" s="22"/>
    </row>
    <row r="652" spans="1:34" x14ac:dyDescent="0.25">
      <c r="A652" s="21"/>
      <c r="B652" s="141" t="s">
        <v>671</v>
      </c>
      <c r="C652" s="125" t="s">
        <v>60</v>
      </c>
      <c r="D652" s="125">
        <f>2</f>
        <v>2</v>
      </c>
      <c r="E652" s="125">
        <f>2</f>
        <v>2</v>
      </c>
      <c r="F652" s="125">
        <f>2</f>
        <v>2</v>
      </c>
      <c r="G652" s="125">
        <f>2</f>
        <v>2</v>
      </c>
      <c r="H652" s="125">
        <f>2</f>
        <v>2</v>
      </c>
      <c r="I652" s="125">
        <f>2</f>
        <v>2</v>
      </c>
      <c r="J652" s="125">
        <f>2</f>
        <v>2</v>
      </c>
      <c r="K652" s="125">
        <f>2</f>
        <v>2</v>
      </c>
      <c r="L652" s="125">
        <f>2</f>
        <v>2</v>
      </c>
      <c r="M652" s="125">
        <f>2</f>
        <v>2</v>
      </c>
      <c r="N652" s="125">
        <f>2</f>
        <v>2</v>
      </c>
      <c r="O652" s="125">
        <f>2</f>
        <v>2</v>
      </c>
      <c r="P652" s="125">
        <f>2</f>
        <v>2</v>
      </c>
      <c r="Q652" s="125">
        <f>2</f>
        <v>2</v>
      </c>
      <c r="R652" s="125">
        <f>2</f>
        <v>2</v>
      </c>
      <c r="S652" s="125">
        <f>2</f>
        <v>2</v>
      </c>
      <c r="T652" s="125">
        <f>2</f>
        <v>2</v>
      </c>
      <c r="U652" s="125">
        <f>2</f>
        <v>2</v>
      </c>
      <c r="V652" s="125">
        <f>2</f>
        <v>2</v>
      </c>
      <c r="W652" s="125">
        <f>2</f>
        <v>2</v>
      </c>
      <c r="X652" s="125">
        <f>2</f>
        <v>2</v>
      </c>
      <c r="Y652" s="125">
        <f>2</f>
        <v>2</v>
      </c>
      <c r="Z652" s="125">
        <f>2</f>
        <v>2</v>
      </c>
      <c r="AA652" s="125">
        <f>2</f>
        <v>2</v>
      </c>
      <c r="AB652" s="125">
        <f>2</f>
        <v>2</v>
      </c>
      <c r="AC652" s="125">
        <f>2</f>
        <v>2</v>
      </c>
      <c r="AD652" s="125">
        <f>2</f>
        <v>2</v>
      </c>
      <c r="AE652" s="125">
        <f>2</f>
        <v>2</v>
      </c>
      <c r="AF652" s="125">
        <f>2</f>
        <v>2</v>
      </c>
      <c r="AG652" s="126">
        <f>2</f>
        <v>2</v>
      </c>
      <c r="AH652" s="22"/>
    </row>
    <row r="653" spans="1:34" x14ac:dyDescent="0.25">
      <c r="A653" s="21"/>
      <c r="B653" s="141" t="s">
        <v>672</v>
      </c>
      <c r="C653" s="125" t="s">
        <v>60</v>
      </c>
      <c r="D653" s="125">
        <f>2</f>
        <v>2</v>
      </c>
      <c r="E653" s="125">
        <f>2</f>
        <v>2</v>
      </c>
      <c r="F653" s="125">
        <f>2</f>
        <v>2</v>
      </c>
      <c r="G653" s="125">
        <f>2</f>
        <v>2</v>
      </c>
      <c r="H653" s="125">
        <f>2</f>
        <v>2</v>
      </c>
      <c r="I653" s="125">
        <f>2</f>
        <v>2</v>
      </c>
      <c r="J653" s="125">
        <f>2</f>
        <v>2</v>
      </c>
      <c r="K653" s="125">
        <f>2</f>
        <v>2</v>
      </c>
      <c r="L653" s="125">
        <f>2</f>
        <v>2</v>
      </c>
      <c r="M653" s="125">
        <f>2</f>
        <v>2</v>
      </c>
      <c r="N653" s="125">
        <f>2</f>
        <v>2</v>
      </c>
      <c r="O653" s="125">
        <f>2</f>
        <v>2</v>
      </c>
      <c r="P653" s="125">
        <f>2</f>
        <v>2</v>
      </c>
      <c r="Q653" s="125">
        <f>2</f>
        <v>2</v>
      </c>
      <c r="R653" s="125">
        <f>2</f>
        <v>2</v>
      </c>
      <c r="S653" s="125">
        <f>2</f>
        <v>2</v>
      </c>
      <c r="T653" s="125">
        <f>2</f>
        <v>2</v>
      </c>
      <c r="U653" s="125">
        <f>2</f>
        <v>2</v>
      </c>
      <c r="V653" s="125">
        <f>2</f>
        <v>2</v>
      </c>
      <c r="W653" s="125">
        <f>2</f>
        <v>2</v>
      </c>
      <c r="X653" s="125">
        <f>2</f>
        <v>2</v>
      </c>
      <c r="Y653" s="125">
        <f>2</f>
        <v>2</v>
      </c>
      <c r="Z653" s="125">
        <f>2</f>
        <v>2</v>
      </c>
      <c r="AA653" s="125">
        <f>2</f>
        <v>2</v>
      </c>
      <c r="AB653" s="125">
        <f>2</f>
        <v>2</v>
      </c>
      <c r="AC653" s="125">
        <f>2</f>
        <v>2</v>
      </c>
      <c r="AD653" s="125">
        <f>2</f>
        <v>2</v>
      </c>
      <c r="AE653" s="125">
        <f>2</f>
        <v>2</v>
      </c>
      <c r="AF653" s="125">
        <f>2</f>
        <v>2</v>
      </c>
      <c r="AG653" s="126">
        <f>2</f>
        <v>2</v>
      </c>
      <c r="AH653" s="22"/>
    </row>
    <row r="654" spans="1:34" x14ac:dyDescent="0.25">
      <c r="A654" s="21"/>
      <c r="B654" s="141" t="s">
        <v>673</v>
      </c>
      <c r="C654" s="125" t="s">
        <v>60</v>
      </c>
      <c r="D654" s="125">
        <f>2</f>
        <v>2</v>
      </c>
      <c r="E654" s="125">
        <f>2</f>
        <v>2</v>
      </c>
      <c r="F654" s="125">
        <f>2</f>
        <v>2</v>
      </c>
      <c r="G654" s="125">
        <f>2</f>
        <v>2</v>
      </c>
      <c r="H654" s="125">
        <f>2</f>
        <v>2</v>
      </c>
      <c r="I654" s="125">
        <f>2</f>
        <v>2</v>
      </c>
      <c r="J654" s="125">
        <f>2</f>
        <v>2</v>
      </c>
      <c r="K654" s="125">
        <f>2</f>
        <v>2</v>
      </c>
      <c r="L654" s="125">
        <f>2</f>
        <v>2</v>
      </c>
      <c r="M654" s="125">
        <f>2</f>
        <v>2</v>
      </c>
      <c r="N654" s="125">
        <f>2</f>
        <v>2</v>
      </c>
      <c r="O654" s="125">
        <f>2</f>
        <v>2</v>
      </c>
      <c r="P654" s="125">
        <f>2</f>
        <v>2</v>
      </c>
      <c r="Q654" s="125">
        <f>2</f>
        <v>2</v>
      </c>
      <c r="R654" s="125">
        <f>2</f>
        <v>2</v>
      </c>
      <c r="S654" s="125">
        <f>2</f>
        <v>2</v>
      </c>
      <c r="T654" s="125">
        <f>2</f>
        <v>2</v>
      </c>
      <c r="U654" s="125">
        <f>2</f>
        <v>2</v>
      </c>
      <c r="V654" s="125">
        <f>2</f>
        <v>2</v>
      </c>
      <c r="W654" s="125">
        <f>2</f>
        <v>2</v>
      </c>
      <c r="X654" s="125">
        <f>2</f>
        <v>2</v>
      </c>
      <c r="Y654" s="125">
        <f>2</f>
        <v>2</v>
      </c>
      <c r="Z654" s="125">
        <f>2</f>
        <v>2</v>
      </c>
      <c r="AA654" s="125">
        <f>2</f>
        <v>2</v>
      </c>
      <c r="AB654" s="125">
        <f>2</f>
        <v>2</v>
      </c>
      <c r="AC654" s="125">
        <f>2</f>
        <v>2</v>
      </c>
      <c r="AD654" s="125">
        <f>2</f>
        <v>2</v>
      </c>
      <c r="AE654" s="125">
        <f>2</f>
        <v>2</v>
      </c>
      <c r="AF654" s="125">
        <f>2</f>
        <v>2</v>
      </c>
      <c r="AG654" s="126">
        <f>2</f>
        <v>2</v>
      </c>
      <c r="AH654" s="22"/>
    </row>
    <row r="655" spans="1:34" x14ac:dyDescent="0.25">
      <c r="A655" s="21"/>
      <c r="B655" s="141" t="s">
        <v>674</v>
      </c>
      <c r="C655" s="125" t="s">
        <v>60</v>
      </c>
      <c r="D655" s="125">
        <f>2</f>
        <v>2</v>
      </c>
      <c r="E655" s="125">
        <f>2</f>
        <v>2</v>
      </c>
      <c r="F655" s="125">
        <f>2</f>
        <v>2</v>
      </c>
      <c r="G655" s="125">
        <f>2</f>
        <v>2</v>
      </c>
      <c r="H655" s="125">
        <f>2</f>
        <v>2</v>
      </c>
      <c r="I655" s="125">
        <f>2</f>
        <v>2</v>
      </c>
      <c r="J655" s="125">
        <f>2</f>
        <v>2</v>
      </c>
      <c r="K655" s="125">
        <f>2</f>
        <v>2</v>
      </c>
      <c r="L655" s="125">
        <f>2</f>
        <v>2</v>
      </c>
      <c r="M655" s="125">
        <f>2</f>
        <v>2</v>
      </c>
      <c r="N655" s="125">
        <f>2</f>
        <v>2</v>
      </c>
      <c r="O655" s="125">
        <f>2</f>
        <v>2</v>
      </c>
      <c r="P655" s="125">
        <f>2</f>
        <v>2</v>
      </c>
      <c r="Q655" s="125">
        <f>2</f>
        <v>2</v>
      </c>
      <c r="R655" s="125">
        <f>2</f>
        <v>2</v>
      </c>
      <c r="S655" s="125">
        <f>2</f>
        <v>2</v>
      </c>
      <c r="T655" s="125">
        <f>2</f>
        <v>2</v>
      </c>
      <c r="U655" s="125">
        <f>2</f>
        <v>2</v>
      </c>
      <c r="V655" s="125">
        <f>2</f>
        <v>2</v>
      </c>
      <c r="W655" s="125">
        <f>2</f>
        <v>2</v>
      </c>
      <c r="X655" s="125">
        <f>2</f>
        <v>2</v>
      </c>
      <c r="Y655" s="125">
        <f>2</f>
        <v>2</v>
      </c>
      <c r="Z655" s="125">
        <f>2</f>
        <v>2</v>
      </c>
      <c r="AA655" s="125">
        <f>2</f>
        <v>2</v>
      </c>
      <c r="AB655" s="125">
        <f>2</f>
        <v>2</v>
      </c>
      <c r="AC655" s="125">
        <f>2</f>
        <v>2</v>
      </c>
      <c r="AD655" s="125">
        <f>2</f>
        <v>2</v>
      </c>
      <c r="AE655" s="125">
        <f>2</f>
        <v>2</v>
      </c>
      <c r="AF655" s="125">
        <f>2</f>
        <v>2</v>
      </c>
      <c r="AG655" s="126">
        <f>2</f>
        <v>2</v>
      </c>
      <c r="AH655" s="22"/>
    </row>
    <row r="656" spans="1:34" x14ac:dyDescent="0.25">
      <c r="A656" s="21"/>
      <c r="B656" s="141" t="s">
        <v>675</v>
      </c>
      <c r="C656" s="125" t="s">
        <v>60</v>
      </c>
      <c r="D656" s="125">
        <f>2</f>
        <v>2</v>
      </c>
      <c r="E656" s="125">
        <f>2</f>
        <v>2</v>
      </c>
      <c r="F656" s="125">
        <f>2</f>
        <v>2</v>
      </c>
      <c r="G656" s="125">
        <f>2</f>
        <v>2</v>
      </c>
      <c r="H656" s="125">
        <f>2</f>
        <v>2</v>
      </c>
      <c r="I656" s="125">
        <f>2</f>
        <v>2</v>
      </c>
      <c r="J656" s="125">
        <f>2</f>
        <v>2</v>
      </c>
      <c r="K656" s="125">
        <f>2</f>
        <v>2</v>
      </c>
      <c r="L656" s="125">
        <f>2</f>
        <v>2</v>
      </c>
      <c r="M656" s="125">
        <f>2</f>
        <v>2</v>
      </c>
      <c r="N656" s="125">
        <f>2</f>
        <v>2</v>
      </c>
      <c r="O656" s="125">
        <f>2</f>
        <v>2</v>
      </c>
      <c r="P656" s="125">
        <f>2</f>
        <v>2</v>
      </c>
      <c r="Q656" s="125">
        <f>2</f>
        <v>2</v>
      </c>
      <c r="R656" s="125">
        <f>2</f>
        <v>2</v>
      </c>
      <c r="S656" s="125">
        <f>2</f>
        <v>2</v>
      </c>
      <c r="T656" s="125">
        <f>2</f>
        <v>2</v>
      </c>
      <c r="U656" s="125">
        <f>2</f>
        <v>2</v>
      </c>
      <c r="V656" s="125">
        <f>2</f>
        <v>2</v>
      </c>
      <c r="W656" s="125">
        <f>2</f>
        <v>2</v>
      </c>
      <c r="X656" s="125">
        <f>2</f>
        <v>2</v>
      </c>
      <c r="Y656" s="125">
        <f>2</f>
        <v>2</v>
      </c>
      <c r="Z656" s="125">
        <f>2</f>
        <v>2</v>
      </c>
      <c r="AA656" s="125">
        <f>2</f>
        <v>2</v>
      </c>
      <c r="AB656" s="125">
        <f>2</f>
        <v>2</v>
      </c>
      <c r="AC656" s="125">
        <f>2</f>
        <v>2</v>
      </c>
      <c r="AD656" s="125">
        <f>2</f>
        <v>2</v>
      </c>
      <c r="AE656" s="125">
        <f>2</f>
        <v>2</v>
      </c>
      <c r="AF656" s="125">
        <f>2</f>
        <v>2</v>
      </c>
      <c r="AG656" s="126">
        <f>2</f>
        <v>2</v>
      </c>
      <c r="AH656" s="22"/>
    </row>
    <row r="657" spans="1:34" x14ac:dyDescent="0.25">
      <c r="A657" s="21"/>
      <c r="B657" s="141" t="s">
        <v>676</v>
      </c>
      <c r="C657" s="125" t="s">
        <v>60</v>
      </c>
      <c r="D657" s="125">
        <f>2</f>
        <v>2</v>
      </c>
      <c r="E657" s="125">
        <f>2</f>
        <v>2</v>
      </c>
      <c r="F657" s="125">
        <f>2</f>
        <v>2</v>
      </c>
      <c r="G657" s="125">
        <f>2</f>
        <v>2</v>
      </c>
      <c r="H657" s="125">
        <f>2</f>
        <v>2</v>
      </c>
      <c r="I657" s="125">
        <f>2</f>
        <v>2</v>
      </c>
      <c r="J657" s="125">
        <f>2</f>
        <v>2</v>
      </c>
      <c r="K657" s="125">
        <f>2</f>
        <v>2</v>
      </c>
      <c r="L657" s="125">
        <f>2</f>
        <v>2</v>
      </c>
      <c r="M657" s="125">
        <f>2</f>
        <v>2</v>
      </c>
      <c r="N657" s="125">
        <f>2</f>
        <v>2</v>
      </c>
      <c r="O657" s="125">
        <f>2</f>
        <v>2</v>
      </c>
      <c r="P657" s="125">
        <f>2</f>
        <v>2</v>
      </c>
      <c r="Q657" s="125">
        <f>2</f>
        <v>2</v>
      </c>
      <c r="R657" s="125">
        <f>2</f>
        <v>2</v>
      </c>
      <c r="S657" s="125">
        <f>2</f>
        <v>2</v>
      </c>
      <c r="T657" s="125">
        <f>2</f>
        <v>2</v>
      </c>
      <c r="U657" s="125">
        <f>2</f>
        <v>2</v>
      </c>
      <c r="V657" s="125">
        <f>2</f>
        <v>2</v>
      </c>
      <c r="W657" s="125">
        <f>2</f>
        <v>2</v>
      </c>
      <c r="X657" s="125">
        <f>2</f>
        <v>2</v>
      </c>
      <c r="Y657" s="125">
        <f>2</f>
        <v>2</v>
      </c>
      <c r="Z657" s="125">
        <f>2</f>
        <v>2</v>
      </c>
      <c r="AA657" s="125">
        <f>2</f>
        <v>2</v>
      </c>
      <c r="AB657" s="125">
        <f>2</f>
        <v>2</v>
      </c>
      <c r="AC657" s="125">
        <f>2</f>
        <v>2</v>
      </c>
      <c r="AD657" s="125">
        <f>2</f>
        <v>2</v>
      </c>
      <c r="AE657" s="125">
        <f>2</f>
        <v>2</v>
      </c>
      <c r="AF657" s="125">
        <f>2</f>
        <v>2</v>
      </c>
      <c r="AG657" s="126">
        <f>2</f>
        <v>2</v>
      </c>
      <c r="AH657" s="22"/>
    </row>
    <row r="658" spans="1:34" x14ac:dyDescent="0.25">
      <c r="A658" s="21"/>
      <c r="B658" s="141" t="s">
        <v>677</v>
      </c>
      <c r="C658" s="125" t="s">
        <v>60</v>
      </c>
      <c r="D658" s="125">
        <f>2</f>
        <v>2</v>
      </c>
      <c r="E658" s="125">
        <f>2</f>
        <v>2</v>
      </c>
      <c r="F658" s="125">
        <f>2</f>
        <v>2</v>
      </c>
      <c r="G658" s="125">
        <f>2</f>
        <v>2</v>
      </c>
      <c r="H658" s="125">
        <f>2</f>
        <v>2</v>
      </c>
      <c r="I658" s="125">
        <f>2</f>
        <v>2</v>
      </c>
      <c r="J658" s="125">
        <f>2</f>
        <v>2</v>
      </c>
      <c r="K658" s="125">
        <f>2</f>
        <v>2</v>
      </c>
      <c r="L658" s="125">
        <f>2</f>
        <v>2</v>
      </c>
      <c r="M658" s="125">
        <f>2</f>
        <v>2</v>
      </c>
      <c r="N658" s="125">
        <f>2</f>
        <v>2</v>
      </c>
      <c r="O658" s="125">
        <f>2</f>
        <v>2</v>
      </c>
      <c r="P658" s="125">
        <f>2</f>
        <v>2</v>
      </c>
      <c r="Q658" s="125">
        <f>2</f>
        <v>2</v>
      </c>
      <c r="R658" s="125">
        <f>2</f>
        <v>2</v>
      </c>
      <c r="S658" s="125">
        <f>2</f>
        <v>2</v>
      </c>
      <c r="T658" s="125">
        <f>2</f>
        <v>2</v>
      </c>
      <c r="U658" s="125">
        <f>2</f>
        <v>2</v>
      </c>
      <c r="V658" s="125">
        <f>2</f>
        <v>2</v>
      </c>
      <c r="W658" s="125">
        <f>2</f>
        <v>2</v>
      </c>
      <c r="X658" s="125">
        <f>2</f>
        <v>2</v>
      </c>
      <c r="Y658" s="125">
        <f>2</f>
        <v>2</v>
      </c>
      <c r="Z658" s="125">
        <f>2</f>
        <v>2</v>
      </c>
      <c r="AA658" s="125">
        <f>2</f>
        <v>2</v>
      </c>
      <c r="AB658" s="125">
        <f>2</f>
        <v>2</v>
      </c>
      <c r="AC658" s="125">
        <f>2</f>
        <v>2</v>
      </c>
      <c r="AD658" s="125">
        <f>2</f>
        <v>2</v>
      </c>
      <c r="AE658" s="125">
        <f>2</f>
        <v>2</v>
      </c>
      <c r="AF658" s="125">
        <f>2</f>
        <v>2</v>
      </c>
      <c r="AG658" s="126">
        <f>2</f>
        <v>2</v>
      </c>
      <c r="AH658" s="22"/>
    </row>
    <row r="659" spans="1:34" x14ac:dyDescent="0.25">
      <c r="A659" s="21"/>
      <c r="B659" s="141" t="s">
        <v>678</v>
      </c>
      <c r="C659" s="125" t="s">
        <v>60</v>
      </c>
      <c r="D659" s="125">
        <f>2</f>
        <v>2</v>
      </c>
      <c r="E659" s="125">
        <f>2</f>
        <v>2</v>
      </c>
      <c r="F659" s="125">
        <f>2</f>
        <v>2</v>
      </c>
      <c r="G659" s="125">
        <f>2</f>
        <v>2</v>
      </c>
      <c r="H659" s="125">
        <f>2</f>
        <v>2</v>
      </c>
      <c r="I659" s="125">
        <f>2</f>
        <v>2</v>
      </c>
      <c r="J659" s="125">
        <f>2</f>
        <v>2</v>
      </c>
      <c r="K659" s="125">
        <f>2</f>
        <v>2</v>
      </c>
      <c r="L659" s="125">
        <f>2</f>
        <v>2</v>
      </c>
      <c r="M659" s="125">
        <f>2</f>
        <v>2</v>
      </c>
      <c r="N659" s="125">
        <f>2</f>
        <v>2</v>
      </c>
      <c r="O659" s="125">
        <f>2</f>
        <v>2</v>
      </c>
      <c r="P659" s="125">
        <f>2</f>
        <v>2</v>
      </c>
      <c r="Q659" s="125">
        <f>2</f>
        <v>2</v>
      </c>
      <c r="R659" s="125">
        <f>2</f>
        <v>2</v>
      </c>
      <c r="S659" s="125">
        <f>2</f>
        <v>2</v>
      </c>
      <c r="T659" s="125">
        <f>2</f>
        <v>2</v>
      </c>
      <c r="U659" s="125">
        <f>2</f>
        <v>2</v>
      </c>
      <c r="V659" s="125">
        <f>2</f>
        <v>2</v>
      </c>
      <c r="W659" s="125">
        <f>2</f>
        <v>2</v>
      </c>
      <c r="X659" s="125">
        <f>2</f>
        <v>2</v>
      </c>
      <c r="Y659" s="125">
        <f>2</f>
        <v>2</v>
      </c>
      <c r="Z659" s="125">
        <f>2</f>
        <v>2</v>
      </c>
      <c r="AA659" s="125">
        <f>2</f>
        <v>2</v>
      </c>
      <c r="AB659" s="125">
        <f>2</f>
        <v>2</v>
      </c>
      <c r="AC659" s="125">
        <f>2</f>
        <v>2</v>
      </c>
      <c r="AD659" s="125">
        <f>2</f>
        <v>2</v>
      </c>
      <c r="AE659" s="125">
        <f>2</f>
        <v>2</v>
      </c>
      <c r="AF659" s="125">
        <f>2</f>
        <v>2</v>
      </c>
      <c r="AG659" s="126">
        <f>2</f>
        <v>2</v>
      </c>
      <c r="AH659" s="22"/>
    </row>
    <row r="660" spans="1:34" x14ac:dyDescent="0.25">
      <c r="A660" s="21"/>
      <c r="B660" s="141" t="s">
        <v>679</v>
      </c>
      <c r="C660" s="125" t="s">
        <v>60</v>
      </c>
      <c r="D660" s="125">
        <f>2</f>
        <v>2</v>
      </c>
      <c r="E660" s="125">
        <f>2</f>
        <v>2</v>
      </c>
      <c r="F660" s="125">
        <f>2</f>
        <v>2</v>
      </c>
      <c r="G660" s="125">
        <f>2</f>
        <v>2</v>
      </c>
      <c r="H660" s="125">
        <f>2</f>
        <v>2</v>
      </c>
      <c r="I660" s="125">
        <f>2</f>
        <v>2</v>
      </c>
      <c r="J660" s="125">
        <f>2</f>
        <v>2</v>
      </c>
      <c r="K660" s="125">
        <f>2</f>
        <v>2</v>
      </c>
      <c r="L660" s="125">
        <f>2</f>
        <v>2</v>
      </c>
      <c r="M660" s="125">
        <f>2</f>
        <v>2</v>
      </c>
      <c r="N660" s="125">
        <f>2</f>
        <v>2</v>
      </c>
      <c r="O660" s="125">
        <f>2</f>
        <v>2</v>
      </c>
      <c r="P660" s="125">
        <f>2</f>
        <v>2</v>
      </c>
      <c r="Q660" s="125">
        <f>2</f>
        <v>2</v>
      </c>
      <c r="R660" s="125">
        <f>2</f>
        <v>2</v>
      </c>
      <c r="S660" s="125">
        <f>2</f>
        <v>2</v>
      </c>
      <c r="T660" s="125">
        <f>2</f>
        <v>2</v>
      </c>
      <c r="U660" s="125">
        <f>2</f>
        <v>2</v>
      </c>
      <c r="V660" s="125">
        <f>2</f>
        <v>2</v>
      </c>
      <c r="W660" s="125">
        <f>2</f>
        <v>2</v>
      </c>
      <c r="X660" s="125">
        <f>2</f>
        <v>2</v>
      </c>
      <c r="Y660" s="125">
        <f>2</f>
        <v>2</v>
      </c>
      <c r="Z660" s="125">
        <f>2</f>
        <v>2</v>
      </c>
      <c r="AA660" s="125">
        <f>2</f>
        <v>2</v>
      </c>
      <c r="AB660" s="125">
        <f>2</f>
        <v>2</v>
      </c>
      <c r="AC660" s="125">
        <f>2</f>
        <v>2</v>
      </c>
      <c r="AD660" s="125">
        <f>2</f>
        <v>2</v>
      </c>
      <c r="AE660" s="125">
        <f>2</f>
        <v>2</v>
      </c>
      <c r="AF660" s="125">
        <f>2</f>
        <v>2</v>
      </c>
      <c r="AG660" s="126">
        <f>2</f>
        <v>2</v>
      </c>
      <c r="AH660" s="22"/>
    </row>
    <row r="661" spans="1:34" x14ac:dyDescent="0.25">
      <c r="A661" s="21"/>
      <c r="B661" s="141" t="s">
        <v>680</v>
      </c>
      <c r="C661" s="125" t="s">
        <v>60</v>
      </c>
      <c r="D661" s="125">
        <f>2</f>
        <v>2</v>
      </c>
      <c r="E661" s="125">
        <f>2</f>
        <v>2</v>
      </c>
      <c r="F661" s="125">
        <f>2</f>
        <v>2</v>
      </c>
      <c r="G661" s="125">
        <f>2</f>
        <v>2</v>
      </c>
      <c r="H661" s="125">
        <f>2</f>
        <v>2</v>
      </c>
      <c r="I661" s="125">
        <f>2</f>
        <v>2</v>
      </c>
      <c r="J661" s="125">
        <f>2</f>
        <v>2</v>
      </c>
      <c r="K661" s="125">
        <f>2</f>
        <v>2</v>
      </c>
      <c r="L661" s="125">
        <f>2</f>
        <v>2</v>
      </c>
      <c r="M661" s="125">
        <f>2</f>
        <v>2</v>
      </c>
      <c r="N661" s="125">
        <f>2</f>
        <v>2</v>
      </c>
      <c r="O661" s="125">
        <f>2</f>
        <v>2</v>
      </c>
      <c r="P661" s="125">
        <f>2</f>
        <v>2</v>
      </c>
      <c r="Q661" s="125">
        <f>2</f>
        <v>2</v>
      </c>
      <c r="R661" s="125">
        <f>2</f>
        <v>2</v>
      </c>
      <c r="S661" s="125">
        <f>2</f>
        <v>2</v>
      </c>
      <c r="T661" s="125">
        <f>2</f>
        <v>2</v>
      </c>
      <c r="U661" s="125">
        <f>2</f>
        <v>2</v>
      </c>
      <c r="V661" s="125">
        <f>2</f>
        <v>2</v>
      </c>
      <c r="W661" s="125">
        <f>2</f>
        <v>2</v>
      </c>
      <c r="X661" s="125">
        <f>2</f>
        <v>2</v>
      </c>
      <c r="Y661" s="125">
        <f>2</f>
        <v>2</v>
      </c>
      <c r="Z661" s="125">
        <f>2</f>
        <v>2</v>
      </c>
      <c r="AA661" s="125">
        <f>2</f>
        <v>2</v>
      </c>
      <c r="AB661" s="125">
        <f>2</f>
        <v>2</v>
      </c>
      <c r="AC661" s="125">
        <f>2</f>
        <v>2</v>
      </c>
      <c r="AD661" s="125">
        <f>2</f>
        <v>2</v>
      </c>
      <c r="AE661" s="125">
        <f>2</f>
        <v>2</v>
      </c>
      <c r="AF661" s="125">
        <f>2</f>
        <v>2</v>
      </c>
      <c r="AG661" s="126">
        <f>2</f>
        <v>2</v>
      </c>
      <c r="AH661" s="22"/>
    </row>
    <row r="662" spans="1:34" x14ac:dyDescent="0.25">
      <c r="A662" s="21"/>
      <c r="B662" s="141" t="s">
        <v>681</v>
      </c>
      <c r="C662" s="125" t="s">
        <v>60</v>
      </c>
      <c r="D662" s="125">
        <f>2</f>
        <v>2</v>
      </c>
      <c r="E662" s="125">
        <f>2</f>
        <v>2</v>
      </c>
      <c r="F662" s="125">
        <f>2</f>
        <v>2</v>
      </c>
      <c r="G662" s="125">
        <f>2</f>
        <v>2</v>
      </c>
      <c r="H662" s="125">
        <f>2</f>
        <v>2</v>
      </c>
      <c r="I662" s="125">
        <f>2</f>
        <v>2</v>
      </c>
      <c r="J662" s="125">
        <f>2</f>
        <v>2</v>
      </c>
      <c r="K662" s="125">
        <f>2</f>
        <v>2</v>
      </c>
      <c r="L662" s="125">
        <f>2</f>
        <v>2</v>
      </c>
      <c r="M662" s="125">
        <f>2</f>
        <v>2</v>
      </c>
      <c r="N662" s="125">
        <f>2</f>
        <v>2</v>
      </c>
      <c r="O662" s="125">
        <f>2</f>
        <v>2</v>
      </c>
      <c r="P662" s="125">
        <f>2</f>
        <v>2</v>
      </c>
      <c r="Q662" s="125">
        <f>2</f>
        <v>2</v>
      </c>
      <c r="R662" s="125">
        <f>2</f>
        <v>2</v>
      </c>
      <c r="S662" s="125">
        <f>2</f>
        <v>2</v>
      </c>
      <c r="T662" s="125">
        <f>2</f>
        <v>2</v>
      </c>
      <c r="U662" s="125">
        <f>2</f>
        <v>2</v>
      </c>
      <c r="V662" s="125">
        <f>2</f>
        <v>2</v>
      </c>
      <c r="W662" s="125">
        <f>2</f>
        <v>2</v>
      </c>
      <c r="X662" s="125">
        <f>2</f>
        <v>2</v>
      </c>
      <c r="Y662" s="125">
        <f>2</f>
        <v>2</v>
      </c>
      <c r="Z662" s="125">
        <f>2</f>
        <v>2</v>
      </c>
      <c r="AA662" s="125">
        <f>2</f>
        <v>2</v>
      </c>
      <c r="AB662" s="125">
        <f>2</f>
        <v>2</v>
      </c>
      <c r="AC662" s="125">
        <f>2</f>
        <v>2</v>
      </c>
      <c r="AD662" s="125">
        <f>2</f>
        <v>2</v>
      </c>
      <c r="AE662" s="125">
        <f>2</f>
        <v>2</v>
      </c>
      <c r="AF662" s="125">
        <f>2</f>
        <v>2</v>
      </c>
      <c r="AG662" s="126">
        <f>2</f>
        <v>2</v>
      </c>
      <c r="AH662" s="22"/>
    </row>
    <row r="663" spans="1:34" x14ac:dyDescent="0.25">
      <c r="A663" s="21"/>
      <c r="B663" s="141" t="s">
        <v>682</v>
      </c>
      <c r="C663" s="125" t="s">
        <v>60</v>
      </c>
      <c r="D663" s="125">
        <f>2</f>
        <v>2</v>
      </c>
      <c r="E663" s="125">
        <f>2</f>
        <v>2</v>
      </c>
      <c r="F663" s="125">
        <f>2</f>
        <v>2</v>
      </c>
      <c r="G663" s="125">
        <f>2</f>
        <v>2</v>
      </c>
      <c r="H663" s="125">
        <f>2</f>
        <v>2</v>
      </c>
      <c r="I663" s="125">
        <f>2</f>
        <v>2</v>
      </c>
      <c r="J663" s="125">
        <f>2</f>
        <v>2</v>
      </c>
      <c r="K663" s="125">
        <f>2</f>
        <v>2</v>
      </c>
      <c r="L663" s="125">
        <f>2</f>
        <v>2</v>
      </c>
      <c r="M663" s="125">
        <f>2</f>
        <v>2</v>
      </c>
      <c r="N663" s="125">
        <f>2</f>
        <v>2</v>
      </c>
      <c r="O663" s="125">
        <f>2</f>
        <v>2</v>
      </c>
      <c r="P663" s="125">
        <f>2</f>
        <v>2</v>
      </c>
      <c r="Q663" s="125">
        <f>2</f>
        <v>2</v>
      </c>
      <c r="R663" s="125">
        <f>2</f>
        <v>2</v>
      </c>
      <c r="S663" s="125">
        <f>2</f>
        <v>2</v>
      </c>
      <c r="T663" s="125">
        <f>2</f>
        <v>2</v>
      </c>
      <c r="U663" s="125">
        <f>2</f>
        <v>2</v>
      </c>
      <c r="V663" s="125">
        <f>2</f>
        <v>2</v>
      </c>
      <c r="W663" s="125">
        <f>2</f>
        <v>2</v>
      </c>
      <c r="X663" s="125">
        <f>2</f>
        <v>2</v>
      </c>
      <c r="Y663" s="125">
        <f>2</f>
        <v>2</v>
      </c>
      <c r="Z663" s="125">
        <f>2</f>
        <v>2</v>
      </c>
      <c r="AA663" s="125">
        <f>2</f>
        <v>2</v>
      </c>
      <c r="AB663" s="125">
        <f>2</f>
        <v>2</v>
      </c>
      <c r="AC663" s="125">
        <f>2</f>
        <v>2</v>
      </c>
      <c r="AD663" s="125">
        <f>2</f>
        <v>2</v>
      </c>
      <c r="AE663" s="125">
        <f>2</f>
        <v>2</v>
      </c>
      <c r="AF663" s="125">
        <f>2</f>
        <v>2</v>
      </c>
      <c r="AG663" s="126">
        <f>2</f>
        <v>2</v>
      </c>
      <c r="AH663" s="22"/>
    </row>
    <row r="664" spans="1:34" x14ac:dyDescent="0.25">
      <c r="A664" s="21"/>
      <c r="B664" s="141" t="s">
        <v>683</v>
      </c>
      <c r="C664" s="125" t="s">
        <v>60</v>
      </c>
      <c r="D664" s="125">
        <f>2</f>
        <v>2</v>
      </c>
      <c r="E664" s="125">
        <f>2</f>
        <v>2</v>
      </c>
      <c r="F664" s="125">
        <f>2</f>
        <v>2</v>
      </c>
      <c r="G664" s="125">
        <f>2</f>
        <v>2</v>
      </c>
      <c r="H664" s="125">
        <f>2</f>
        <v>2</v>
      </c>
      <c r="I664" s="125">
        <f>2</f>
        <v>2</v>
      </c>
      <c r="J664" s="125">
        <f>2</f>
        <v>2</v>
      </c>
      <c r="K664" s="125">
        <f>2</f>
        <v>2</v>
      </c>
      <c r="L664" s="125">
        <f>2</f>
        <v>2</v>
      </c>
      <c r="M664" s="125">
        <f>2</f>
        <v>2</v>
      </c>
      <c r="N664" s="125">
        <f>2</f>
        <v>2</v>
      </c>
      <c r="O664" s="125">
        <f>2</f>
        <v>2</v>
      </c>
      <c r="P664" s="125">
        <f>2</f>
        <v>2</v>
      </c>
      <c r="Q664" s="125">
        <f>2</f>
        <v>2</v>
      </c>
      <c r="R664" s="125">
        <f>2</f>
        <v>2</v>
      </c>
      <c r="S664" s="125">
        <f>2</f>
        <v>2</v>
      </c>
      <c r="T664" s="125">
        <f>2</f>
        <v>2</v>
      </c>
      <c r="U664" s="125">
        <f>2</f>
        <v>2</v>
      </c>
      <c r="V664" s="125">
        <f>2</f>
        <v>2</v>
      </c>
      <c r="W664" s="125">
        <f>2</f>
        <v>2</v>
      </c>
      <c r="X664" s="125">
        <f>2</f>
        <v>2</v>
      </c>
      <c r="Y664" s="125">
        <f>2</f>
        <v>2</v>
      </c>
      <c r="Z664" s="125">
        <f>2</f>
        <v>2</v>
      </c>
      <c r="AA664" s="125">
        <f>2</f>
        <v>2</v>
      </c>
      <c r="AB664" s="125">
        <f>2</f>
        <v>2</v>
      </c>
      <c r="AC664" s="125">
        <f>2</f>
        <v>2</v>
      </c>
      <c r="AD664" s="125">
        <f>2</f>
        <v>2</v>
      </c>
      <c r="AE664" s="125">
        <f>2</f>
        <v>2</v>
      </c>
      <c r="AF664" s="125">
        <f>2</f>
        <v>2</v>
      </c>
      <c r="AG664" s="126">
        <f>2</f>
        <v>2</v>
      </c>
      <c r="AH664" s="22"/>
    </row>
    <row r="665" spans="1:34" x14ac:dyDescent="0.25">
      <c r="A665" s="21"/>
      <c r="B665" s="141" t="s">
        <v>684</v>
      </c>
      <c r="C665" s="125" t="s">
        <v>60</v>
      </c>
      <c r="D665" s="125">
        <f>2</f>
        <v>2</v>
      </c>
      <c r="E665" s="125">
        <f>2</f>
        <v>2</v>
      </c>
      <c r="F665" s="125">
        <f>2</f>
        <v>2</v>
      </c>
      <c r="G665" s="125">
        <f>2</f>
        <v>2</v>
      </c>
      <c r="H665" s="125">
        <f>2</f>
        <v>2</v>
      </c>
      <c r="I665" s="125">
        <f>2</f>
        <v>2</v>
      </c>
      <c r="J665" s="125">
        <f>2</f>
        <v>2</v>
      </c>
      <c r="K665" s="125">
        <f>2</f>
        <v>2</v>
      </c>
      <c r="L665" s="125">
        <f>2</f>
        <v>2</v>
      </c>
      <c r="M665" s="125">
        <f>2</f>
        <v>2</v>
      </c>
      <c r="N665" s="125">
        <f>2</f>
        <v>2</v>
      </c>
      <c r="O665" s="125">
        <f>2</f>
        <v>2</v>
      </c>
      <c r="P665" s="125">
        <f>2</f>
        <v>2</v>
      </c>
      <c r="Q665" s="125">
        <f>2</f>
        <v>2</v>
      </c>
      <c r="R665" s="125">
        <f>2</f>
        <v>2</v>
      </c>
      <c r="S665" s="125">
        <f>2</f>
        <v>2</v>
      </c>
      <c r="T665" s="125">
        <f>2</f>
        <v>2</v>
      </c>
      <c r="U665" s="125">
        <f>2</f>
        <v>2</v>
      </c>
      <c r="V665" s="125">
        <f>2</f>
        <v>2</v>
      </c>
      <c r="W665" s="125">
        <f>2</f>
        <v>2</v>
      </c>
      <c r="X665" s="125">
        <f>2</f>
        <v>2</v>
      </c>
      <c r="Y665" s="125">
        <f>2</f>
        <v>2</v>
      </c>
      <c r="Z665" s="125">
        <f>2</f>
        <v>2</v>
      </c>
      <c r="AA665" s="125">
        <f>2</f>
        <v>2</v>
      </c>
      <c r="AB665" s="125">
        <f>2</f>
        <v>2</v>
      </c>
      <c r="AC665" s="125">
        <f>2</f>
        <v>2</v>
      </c>
      <c r="AD665" s="125">
        <f>2</f>
        <v>2</v>
      </c>
      <c r="AE665" s="125">
        <f>2</f>
        <v>2</v>
      </c>
      <c r="AF665" s="125">
        <f>2</f>
        <v>2</v>
      </c>
      <c r="AG665" s="126">
        <f>2</f>
        <v>2</v>
      </c>
      <c r="AH665" s="22"/>
    </row>
    <row r="666" spans="1:34" x14ac:dyDescent="0.25">
      <c r="A666" s="21"/>
      <c r="B666" s="141" t="s">
        <v>685</v>
      </c>
      <c r="C666" s="125" t="s">
        <v>60</v>
      </c>
      <c r="D666" s="125">
        <f>2</f>
        <v>2</v>
      </c>
      <c r="E666" s="125">
        <f>2</f>
        <v>2</v>
      </c>
      <c r="F666" s="125">
        <f>2</f>
        <v>2</v>
      </c>
      <c r="G666" s="125">
        <f>2</f>
        <v>2</v>
      </c>
      <c r="H666" s="125">
        <f>2</f>
        <v>2</v>
      </c>
      <c r="I666" s="125">
        <f>2</f>
        <v>2</v>
      </c>
      <c r="J666" s="125">
        <f>2</f>
        <v>2</v>
      </c>
      <c r="K666" s="125">
        <f>2</f>
        <v>2</v>
      </c>
      <c r="L666" s="125">
        <f>2</f>
        <v>2</v>
      </c>
      <c r="M666" s="125">
        <f>2</f>
        <v>2</v>
      </c>
      <c r="N666" s="125">
        <f>2</f>
        <v>2</v>
      </c>
      <c r="O666" s="125">
        <f>2</f>
        <v>2</v>
      </c>
      <c r="P666" s="125">
        <f>2</f>
        <v>2</v>
      </c>
      <c r="Q666" s="125">
        <f>2</f>
        <v>2</v>
      </c>
      <c r="R666" s="125">
        <f>2</f>
        <v>2</v>
      </c>
      <c r="S666" s="125">
        <f>2</f>
        <v>2</v>
      </c>
      <c r="T666" s="125">
        <f>2</f>
        <v>2</v>
      </c>
      <c r="U666" s="125">
        <f>2</f>
        <v>2</v>
      </c>
      <c r="V666" s="125">
        <f>2</f>
        <v>2</v>
      </c>
      <c r="W666" s="125">
        <f>2</f>
        <v>2</v>
      </c>
      <c r="X666" s="125">
        <f>2</f>
        <v>2</v>
      </c>
      <c r="Y666" s="125">
        <f>2</f>
        <v>2</v>
      </c>
      <c r="Z666" s="125">
        <f>2</f>
        <v>2</v>
      </c>
      <c r="AA666" s="125">
        <f>2</f>
        <v>2</v>
      </c>
      <c r="AB666" s="125">
        <f>2</f>
        <v>2</v>
      </c>
      <c r="AC666" s="125">
        <f>2</f>
        <v>2</v>
      </c>
      <c r="AD666" s="125">
        <f>2</f>
        <v>2</v>
      </c>
      <c r="AE666" s="125">
        <f>2</f>
        <v>2</v>
      </c>
      <c r="AF666" s="125">
        <f>2</f>
        <v>2</v>
      </c>
      <c r="AG666" s="126">
        <f>2</f>
        <v>2</v>
      </c>
      <c r="AH666" s="22"/>
    </row>
    <row r="667" spans="1:34" x14ac:dyDescent="0.25">
      <c r="A667" s="21"/>
      <c r="B667" s="141" t="s">
        <v>686</v>
      </c>
      <c r="C667" s="125" t="s">
        <v>60</v>
      </c>
      <c r="D667" s="125">
        <f>2</f>
        <v>2</v>
      </c>
      <c r="E667" s="125">
        <f>2</f>
        <v>2</v>
      </c>
      <c r="F667" s="125">
        <f>2</f>
        <v>2</v>
      </c>
      <c r="G667" s="125">
        <f>2</f>
        <v>2</v>
      </c>
      <c r="H667" s="125">
        <f>2</f>
        <v>2</v>
      </c>
      <c r="I667" s="125">
        <f>2</f>
        <v>2</v>
      </c>
      <c r="J667" s="125">
        <f>2</f>
        <v>2</v>
      </c>
      <c r="K667" s="125">
        <f>2</f>
        <v>2</v>
      </c>
      <c r="L667" s="125">
        <f>2</f>
        <v>2</v>
      </c>
      <c r="M667" s="125">
        <f>2</f>
        <v>2</v>
      </c>
      <c r="N667" s="125">
        <f>2</f>
        <v>2</v>
      </c>
      <c r="O667" s="125">
        <f>2</f>
        <v>2</v>
      </c>
      <c r="P667" s="125">
        <f>2</f>
        <v>2</v>
      </c>
      <c r="Q667" s="125">
        <f>2</f>
        <v>2</v>
      </c>
      <c r="R667" s="125">
        <f>2</f>
        <v>2</v>
      </c>
      <c r="S667" s="125">
        <f>2</f>
        <v>2</v>
      </c>
      <c r="T667" s="125">
        <f>2</f>
        <v>2</v>
      </c>
      <c r="U667" s="125">
        <f>2</f>
        <v>2</v>
      </c>
      <c r="V667" s="125">
        <f>2</f>
        <v>2</v>
      </c>
      <c r="W667" s="125">
        <f>2</f>
        <v>2</v>
      </c>
      <c r="X667" s="125">
        <f>2</f>
        <v>2</v>
      </c>
      <c r="Y667" s="125">
        <f>2</f>
        <v>2</v>
      </c>
      <c r="Z667" s="125">
        <f>2</f>
        <v>2</v>
      </c>
      <c r="AA667" s="125">
        <f>2</f>
        <v>2</v>
      </c>
      <c r="AB667" s="125">
        <f>2</f>
        <v>2</v>
      </c>
      <c r="AC667" s="125">
        <f>2</f>
        <v>2</v>
      </c>
      <c r="AD667" s="125">
        <f>2</f>
        <v>2</v>
      </c>
      <c r="AE667" s="125">
        <f>2</f>
        <v>2</v>
      </c>
      <c r="AF667" s="125">
        <f>2</f>
        <v>2</v>
      </c>
      <c r="AG667" s="126">
        <f>2</f>
        <v>2</v>
      </c>
      <c r="AH667" s="22"/>
    </row>
    <row r="668" spans="1:34" x14ac:dyDescent="0.25">
      <c r="A668" s="21"/>
      <c r="B668" s="141" t="s">
        <v>687</v>
      </c>
      <c r="C668" s="125" t="s">
        <v>60</v>
      </c>
      <c r="D668" s="125">
        <f>2</f>
        <v>2</v>
      </c>
      <c r="E668" s="125">
        <f>2</f>
        <v>2</v>
      </c>
      <c r="F668" s="125">
        <f>2</f>
        <v>2</v>
      </c>
      <c r="G668" s="125">
        <f>2</f>
        <v>2</v>
      </c>
      <c r="H668" s="125">
        <f>2</f>
        <v>2</v>
      </c>
      <c r="I668" s="125">
        <f>2</f>
        <v>2</v>
      </c>
      <c r="J668" s="125">
        <f>2</f>
        <v>2</v>
      </c>
      <c r="K668" s="125">
        <f>2</f>
        <v>2</v>
      </c>
      <c r="L668" s="125">
        <f>2</f>
        <v>2</v>
      </c>
      <c r="M668" s="125">
        <f>2</f>
        <v>2</v>
      </c>
      <c r="N668" s="125">
        <f>2</f>
        <v>2</v>
      </c>
      <c r="O668" s="125">
        <f>2</f>
        <v>2</v>
      </c>
      <c r="P668" s="125">
        <f>2</f>
        <v>2</v>
      </c>
      <c r="Q668" s="125">
        <f>2</f>
        <v>2</v>
      </c>
      <c r="R668" s="125">
        <f>2</f>
        <v>2</v>
      </c>
      <c r="S668" s="125">
        <f>2</f>
        <v>2</v>
      </c>
      <c r="T668" s="125">
        <f>2</f>
        <v>2</v>
      </c>
      <c r="U668" s="125">
        <f>2</f>
        <v>2</v>
      </c>
      <c r="V668" s="125">
        <f>2</f>
        <v>2</v>
      </c>
      <c r="W668" s="125">
        <f>2</f>
        <v>2</v>
      </c>
      <c r="X668" s="125">
        <f>2</f>
        <v>2</v>
      </c>
      <c r="Y668" s="125">
        <f>2</f>
        <v>2</v>
      </c>
      <c r="Z668" s="125">
        <f>2</f>
        <v>2</v>
      </c>
      <c r="AA668" s="125">
        <f>2</f>
        <v>2</v>
      </c>
      <c r="AB668" s="125">
        <f>2</f>
        <v>2</v>
      </c>
      <c r="AC668" s="125">
        <f>2</f>
        <v>2</v>
      </c>
      <c r="AD668" s="125">
        <f>2</f>
        <v>2</v>
      </c>
      <c r="AE668" s="125">
        <f>2</f>
        <v>2</v>
      </c>
      <c r="AF668" s="125">
        <f>2</f>
        <v>2</v>
      </c>
      <c r="AG668" s="126">
        <f>2</f>
        <v>2</v>
      </c>
      <c r="AH668" s="22"/>
    </row>
    <row r="669" spans="1:34" x14ac:dyDescent="0.25">
      <c r="A669" s="21"/>
      <c r="B669" s="141" t="s">
        <v>688</v>
      </c>
      <c r="C669" s="125" t="s">
        <v>60</v>
      </c>
      <c r="D669" s="125">
        <f>2</f>
        <v>2</v>
      </c>
      <c r="E669" s="125">
        <f>2</f>
        <v>2</v>
      </c>
      <c r="F669" s="125">
        <f>2</f>
        <v>2</v>
      </c>
      <c r="G669" s="125">
        <f>2</f>
        <v>2</v>
      </c>
      <c r="H669" s="125">
        <f>2</f>
        <v>2</v>
      </c>
      <c r="I669" s="125">
        <f>2</f>
        <v>2</v>
      </c>
      <c r="J669" s="125">
        <f>2</f>
        <v>2</v>
      </c>
      <c r="K669" s="125">
        <f>2</f>
        <v>2</v>
      </c>
      <c r="L669" s="125">
        <f>2</f>
        <v>2</v>
      </c>
      <c r="M669" s="125">
        <f>2</f>
        <v>2</v>
      </c>
      <c r="N669" s="125">
        <f>2</f>
        <v>2</v>
      </c>
      <c r="O669" s="125">
        <f>2</f>
        <v>2</v>
      </c>
      <c r="P669" s="125">
        <f>2</f>
        <v>2</v>
      </c>
      <c r="Q669" s="125">
        <f>2</f>
        <v>2</v>
      </c>
      <c r="R669" s="125">
        <f>2</f>
        <v>2</v>
      </c>
      <c r="S669" s="125">
        <f>2</f>
        <v>2</v>
      </c>
      <c r="T669" s="125">
        <f>2</f>
        <v>2</v>
      </c>
      <c r="U669" s="125">
        <f>2</f>
        <v>2</v>
      </c>
      <c r="V669" s="125">
        <f>2</f>
        <v>2</v>
      </c>
      <c r="W669" s="125">
        <f>2</f>
        <v>2</v>
      </c>
      <c r="X669" s="125">
        <f>2</f>
        <v>2</v>
      </c>
      <c r="Y669" s="125">
        <f>2</f>
        <v>2</v>
      </c>
      <c r="Z669" s="125">
        <f>2</f>
        <v>2</v>
      </c>
      <c r="AA669" s="125">
        <f>2</f>
        <v>2</v>
      </c>
      <c r="AB669" s="125">
        <f>2</f>
        <v>2</v>
      </c>
      <c r="AC669" s="125">
        <f>2</f>
        <v>2</v>
      </c>
      <c r="AD669" s="125">
        <f>2</f>
        <v>2</v>
      </c>
      <c r="AE669" s="125">
        <f>2</f>
        <v>2</v>
      </c>
      <c r="AF669" s="125">
        <f>2</f>
        <v>2</v>
      </c>
      <c r="AG669" s="126">
        <f>2</f>
        <v>2</v>
      </c>
      <c r="AH669" s="22"/>
    </row>
    <row r="670" spans="1:34" x14ac:dyDescent="0.25">
      <c r="A670" s="21"/>
      <c r="B670" s="141" t="s">
        <v>689</v>
      </c>
      <c r="C670" s="125" t="s">
        <v>60</v>
      </c>
      <c r="D670" s="125">
        <f>2</f>
        <v>2</v>
      </c>
      <c r="E670" s="125">
        <f>2</f>
        <v>2</v>
      </c>
      <c r="F670" s="125">
        <f>2</f>
        <v>2</v>
      </c>
      <c r="G670" s="125">
        <f>2</f>
        <v>2</v>
      </c>
      <c r="H670" s="125">
        <f>2</f>
        <v>2</v>
      </c>
      <c r="I670" s="125">
        <f>2</f>
        <v>2</v>
      </c>
      <c r="J670" s="125">
        <f>2</f>
        <v>2</v>
      </c>
      <c r="K670" s="125">
        <f>2</f>
        <v>2</v>
      </c>
      <c r="L670" s="125">
        <f>2</f>
        <v>2</v>
      </c>
      <c r="M670" s="125">
        <f>2</f>
        <v>2</v>
      </c>
      <c r="N670" s="125">
        <f>2</f>
        <v>2</v>
      </c>
      <c r="O670" s="125">
        <f>2</f>
        <v>2</v>
      </c>
      <c r="P670" s="125">
        <f>2</f>
        <v>2</v>
      </c>
      <c r="Q670" s="125">
        <f>2</f>
        <v>2</v>
      </c>
      <c r="R670" s="125">
        <f>2</f>
        <v>2</v>
      </c>
      <c r="S670" s="125">
        <f>2</f>
        <v>2</v>
      </c>
      <c r="T670" s="125">
        <f>2</f>
        <v>2</v>
      </c>
      <c r="U670" s="125">
        <f>2</f>
        <v>2</v>
      </c>
      <c r="V670" s="125">
        <f>2</f>
        <v>2</v>
      </c>
      <c r="W670" s="125">
        <f>2</f>
        <v>2</v>
      </c>
      <c r="X670" s="125">
        <f>2</f>
        <v>2</v>
      </c>
      <c r="Y670" s="125">
        <f>2</f>
        <v>2</v>
      </c>
      <c r="Z670" s="125">
        <f>2</f>
        <v>2</v>
      </c>
      <c r="AA670" s="125">
        <f>2</f>
        <v>2</v>
      </c>
      <c r="AB670" s="125">
        <f>2</f>
        <v>2</v>
      </c>
      <c r="AC670" s="125">
        <f>2</f>
        <v>2</v>
      </c>
      <c r="AD670" s="125">
        <f>2</f>
        <v>2</v>
      </c>
      <c r="AE670" s="125">
        <f>2</f>
        <v>2</v>
      </c>
      <c r="AF670" s="125">
        <f>2</f>
        <v>2</v>
      </c>
      <c r="AG670" s="126">
        <f>2</f>
        <v>2</v>
      </c>
      <c r="AH670" s="22"/>
    </row>
    <row r="671" spans="1:34" x14ac:dyDescent="0.25">
      <c r="A671" s="21"/>
      <c r="B671" s="141" t="s">
        <v>690</v>
      </c>
      <c r="C671" s="125" t="s">
        <v>60</v>
      </c>
      <c r="D671" s="125">
        <f>2</f>
        <v>2</v>
      </c>
      <c r="E671" s="125">
        <f>2</f>
        <v>2</v>
      </c>
      <c r="F671" s="125">
        <f>2</f>
        <v>2</v>
      </c>
      <c r="G671" s="125">
        <f>2</f>
        <v>2</v>
      </c>
      <c r="H671" s="125">
        <f>2</f>
        <v>2</v>
      </c>
      <c r="I671" s="125">
        <f>2</f>
        <v>2</v>
      </c>
      <c r="J671" s="125">
        <f>2</f>
        <v>2</v>
      </c>
      <c r="K671" s="125">
        <f>2</f>
        <v>2</v>
      </c>
      <c r="L671" s="125">
        <f>2</f>
        <v>2</v>
      </c>
      <c r="M671" s="125">
        <f>2</f>
        <v>2</v>
      </c>
      <c r="N671" s="125">
        <f>2</f>
        <v>2</v>
      </c>
      <c r="O671" s="125">
        <f>2</f>
        <v>2</v>
      </c>
      <c r="P671" s="125">
        <f>2</f>
        <v>2</v>
      </c>
      <c r="Q671" s="125">
        <f>2</f>
        <v>2</v>
      </c>
      <c r="R671" s="125">
        <f>2</f>
        <v>2</v>
      </c>
      <c r="S671" s="125">
        <f>2</f>
        <v>2</v>
      </c>
      <c r="T671" s="125">
        <f>2</f>
        <v>2</v>
      </c>
      <c r="U671" s="125">
        <f>2</f>
        <v>2</v>
      </c>
      <c r="V671" s="125">
        <f>2</f>
        <v>2</v>
      </c>
      <c r="W671" s="125">
        <f>2</f>
        <v>2</v>
      </c>
      <c r="X671" s="125">
        <f>2</f>
        <v>2</v>
      </c>
      <c r="Y671" s="125">
        <f>2</f>
        <v>2</v>
      </c>
      <c r="Z671" s="125">
        <f>2</f>
        <v>2</v>
      </c>
      <c r="AA671" s="125">
        <f>2</f>
        <v>2</v>
      </c>
      <c r="AB671" s="125">
        <f>2</f>
        <v>2</v>
      </c>
      <c r="AC671" s="125">
        <f>2</f>
        <v>2</v>
      </c>
      <c r="AD671" s="125">
        <f>2</f>
        <v>2</v>
      </c>
      <c r="AE671" s="125">
        <f>2</f>
        <v>2</v>
      </c>
      <c r="AF671" s="125">
        <f>2</f>
        <v>2</v>
      </c>
      <c r="AG671" s="126">
        <f>2</f>
        <v>2</v>
      </c>
      <c r="AH671" s="22"/>
    </row>
    <row r="672" spans="1:34" x14ac:dyDescent="0.25">
      <c r="A672" s="21"/>
      <c r="B672" s="141" t="s">
        <v>691</v>
      </c>
      <c r="C672" s="125" t="s">
        <v>60</v>
      </c>
      <c r="D672" s="125">
        <f>2</f>
        <v>2</v>
      </c>
      <c r="E672" s="125">
        <f>2</f>
        <v>2</v>
      </c>
      <c r="F672" s="125">
        <f>2</f>
        <v>2</v>
      </c>
      <c r="G672" s="125">
        <f>2</f>
        <v>2</v>
      </c>
      <c r="H672" s="125">
        <f>2</f>
        <v>2</v>
      </c>
      <c r="I672" s="125">
        <f>2</f>
        <v>2</v>
      </c>
      <c r="J672" s="125">
        <f>2</f>
        <v>2</v>
      </c>
      <c r="K672" s="125">
        <f>2</f>
        <v>2</v>
      </c>
      <c r="L672" s="125">
        <f>2</f>
        <v>2</v>
      </c>
      <c r="M672" s="125">
        <f>2</f>
        <v>2</v>
      </c>
      <c r="N672" s="125">
        <f>2</f>
        <v>2</v>
      </c>
      <c r="O672" s="125">
        <f>2</f>
        <v>2</v>
      </c>
      <c r="P672" s="125">
        <f>2</f>
        <v>2</v>
      </c>
      <c r="Q672" s="125">
        <f>2</f>
        <v>2</v>
      </c>
      <c r="R672" s="125">
        <f>2</f>
        <v>2</v>
      </c>
      <c r="S672" s="125">
        <f>2</f>
        <v>2</v>
      </c>
      <c r="T672" s="125">
        <f>2</f>
        <v>2</v>
      </c>
      <c r="U672" s="125">
        <f>2</f>
        <v>2</v>
      </c>
      <c r="V672" s="125">
        <f>2</f>
        <v>2</v>
      </c>
      <c r="W672" s="125">
        <f>2</f>
        <v>2</v>
      </c>
      <c r="X672" s="125">
        <f>2</f>
        <v>2</v>
      </c>
      <c r="Y672" s="125">
        <f>2</f>
        <v>2</v>
      </c>
      <c r="Z672" s="125">
        <f>2</f>
        <v>2</v>
      </c>
      <c r="AA672" s="125">
        <f>2</f>
        <v>2</v>
      </c>
      <c r="AB672" s="125">
        <f>2</f>
        <v>2</v>
      </c>
      <c r="AC672" s="125">
        <f>2</f>
        <v>2</v>
      </c>
      <c r="AD672" s="125">
        <f>2</f>
        <v>2</v>
      </c>
      <c r="AE672" s="125">
        <f>2</f>
        <v>2</v>
      </c>
      <c r="AF672" s="125">
        <f>2</f>
        <v>2</v>
      </c>
      <c r="AG672" s="126">
        <f>2</f>
        <v>2</v>
      </c>
      <c r="AH672" s="22"/>
    </row>
    <row r="673" spans="1:34" x14ac:dyDescent="0.25">
      <c r="A673" s="21"/>
      <c r="B673" s="141" t="s">
        <v>692</v>
      </c>
      <c r="C673" s="125" t="s">
        <v>60</v>
      </c>
      <c r="D673" s="125">
        <f>2</f>
        <v>2</v>
      </c>
      <c r="E673" s="125">
        <f>2</f>
        <v>2</v>
      </c>
      <c r="F673" s="125">
        <f>2</f>
        <v>2</v>
      </c>
      <c r="G673" s="125">
        <f>2</f>
        <v>2</v>
      </c>
      <c r="H673" s="125">
        <f>2</f>
        <v>2</v>
      </c>
      <c r="I673" s="125">
        <f>2</f>
        <v>2</v>
      </c>
      <c r="J673" s="125">
        <f>2</f>
        <v>2</v>
      </c>
      <c r="K673" s="125">
        <f>2</f>
        <v>2</v>
      </c>
      <c r="L673" s="125">
        <f>2</f>
        <v>2</v>
      </c>
      <c r="M673" s="125">
        <f>2</f>
        <v>2</v>
      </c>
      <c r="N673" s="125">
        <f>2</f>
        <v>2</v>
      </c>
      <c r="O673" s="125">
        <f>2</f>
        <v>2</v>
      </c>
      <c r="P673" s="125">
        <f>2</f>
        <v>2</v>
      </c>
      <c r="Q673" s="125">
        <f>2</f>
        <v>2</v>
      </c>
      <c r="R673" s="125">
        <f>2</f>
        <v>2</v>
      </c>
      <c r="S673" s="125">
        <f>2</f>
        <v>2</v>
      </c>
      <c r="T673" s="125">
        <f>2</f>
        <v>2</v>
      </c>
      <c r="U673" s="125">
        <f>2</f>
        <v>2</v>
      </c>
      <c r="V673" s="125">
        <f>2</f>
        <v>2</v>
      </c>
      <c r="W673" s="125">
        <f>2</f>
        <v>2</v>
      </c>
      <c r="X673" s="125">
        <f>2</f>
        <v>2</v>
      </c>
      <c r="Y673" s="125">
        <f>2</f>
        <v>2</v>
      </c>
      <c r="Z673" s="125">
        <f>2</f>
        <v>2</v>
      </c>
      <c r="AA673" s="125">
        <f>2</f>
        <v>2</v>
      </c>
      <c r="AB673" s="125">
        <f>2</f>
        <v>2</v>
      </c>
      <c r="AC673" s="125">
        <f>2</f>
        <v>2</v>
      </c>
      <c r="AD673" s="125">
        <f>2</f>
        <v>2</v>
      </c>
      <c r="AE673" s="125">
        <f>2</f>
        <v>2</v>
      </c>
      <c r="AF673" s="125">
        <f>2</f>
        <v>2</v>
      </c>
      <c r="AG673" s="126">
        <f>2</f>
        <v>2</v>
      </c>
      <c r="AH673" s="22"/>
    </row>
    <row r="674" spans="1:34" x14ac:dyDescent="0.25">
      <c r="A674" s="21"/>
      <c r="B674" s="141" t="s">
        <v>693</v>
      </c>
      <c r="C674" s="125" t="s">
        <v>60</v>
      </c>
      <c r="D674" s="125">
        <f>2</f>
        <v>2</v>
      </c>
      <c r="E674" s="125">
        <f>2</f>
        <v>2</v>
      </c>
      <c r="F674" s="125">
        <f>2</f>
        <v>2</v>
      </c>
      <c r="G674" s="125">
        <f>2</f>
        <v>2</v>
      </c>
      <c r="H674" s="125">
        <f>2</f>
        <v>2</v>
      </c>
      <c r="I674" s="125">
        <f>2</f>
        <v>2</v>
      </c>
      <c r="J674" s="125">
        <f>2</f>
        <v>2</v>
      </c>
      <c r="K674" s="125">
        <f>2</f>
        <v>2</v>
      </c>
      <c r="L674" s="125">
        <f>2</f>
        <v>2</v>
      </c>
      <c r="M674" s="125">
        <f>2</f>
        <v>2</v>
      </c>
      <c r="N674" s="125">
        <f>2</f>
        <v>2</v>
      </c>
      <c r="O674" s="125">
        <f>2</f>
        <v>2</v>
      </c>
      <c r="P674" s="125">
        <f>2</f>
        <v>2</v>
      </c>
      <c r="Q674" s="125">
        <f>2</f>
        <v>2</v>
      </c>
      <c r="R674" s="125">
        <f>2</f>
        <v>2</v>
      </c>
      <c r="S674" s="125">
        <f>2</f>
        <v>2</v>
      </c>
      <c r="T674" s="125">
        <f>2</f>
        <v>2</v>
      </c>
      <c r="U674" s="125">
        <f>2</f>
        <v>2</v>
      </c>
      <c r="V674" s="125">
        <f>2</f>
        <v>2</v>
      </c>
      <c r="W674" s="125">
        <f>2</f>
        <v>2</v>
      </c>
      <c r="X674" s="125">
        <f>2</f>
        <v>2</v>
      </c>
      <c r="Y674" s="125">
        <f>2</f>
        <v>2</v>
      </c>
      <c r="Z674" s="125">
        <f>2</f>
        <v>2</v>
      </c>
      <c r="AA674" s="125">
        <f>2</f>
        <v>2</v>
      </c>
      <c r="AB674" s="125">
        <f>2</f>
        <v>2</v>
      </c>
      <c r="AC674" s="125">
        <f>2</f>
        <v>2</v>
      </c>
      <c r="AD674" s="125">
        <f>2</f>
        <v>2</v>
      </c>
      <c r="AE674" s="125">
        <f>2</f>
        <v>2</v>
      </c>
      <c r="AF674" s="125">
        <f>2</f>
        <v>2</v>
      </c>
      <c r="AG674" s="126">
        <f>2</f>
        <v>2</v>
      </c>
      <c r="AH674" s="22"/>
    </row>
    <row r="675" spans="1:34" x14ac:dyDescent="0.25">
      <c r="A675" s="21"/>
      <c r="B675" s="141" t="s">
        <v>694</v>
      </c>
      <c r="C675" s="125" t="s">
        <v>60</v>
      </c>
      <c r="D675" s="125">
        <f>2</f>
        <v>2</v>
      </c>
      <c r="E675" s="125">
        <f>2</f>
        <v>2</v>
      </c>
      <c r="F675" s="125">
        <f>2</f>
        <v>2</v>
      </c>
      <c r="G675" s="125">
        <f>2</f>
        <v>2</v>
      </c>
      <c r="H675" s="125">
        <f>2</f>
        <v>2</v>
      </c>
      <c r="I675" s="125">
        <f>2</f>
        <v>2</v>
      </c>
      <c r="J675" s="125">
        <f>2</f>
        <v>2</v>
      </c>
      <c r="K675" s="125">
        <f>2</f>
        <v>2</v>
      </c>
      <c r="L675" s="125">
        <f>2</f>
        <v>2</v>
      </c>
      <c r="M675" s="125">
        <f>2</f>
        <v>2</v>
      </c>
      <c r="N675" s="125">
        <f>2</f>
        <v>2</v>
      </c>
      <c r="O675" s="125">
        <f>2</f>
        <v>2</v>
      </c>
      <c r="P675" s="125">
        <f>2</f>
        <v>2</v>
      </c>
      <c r="Q675" s="125">
        <f>2</f>
        <v>2</v>
      </c>
      <c r="R675" s="125">
        <f>2</f>
        <v>2</v>
      </c>
      <c r="S675" s="125">
        <f>2</f>
        <v>2</v>
      </c>
      <c r="T675" s="125">
        <f>2</f>
        <v>2</v>
      </c>
      <c r="U675" s="125">
        <f>2</f>
        <v>2</v>
      </c>
      <c r="V675" s="125">
        <f>2</f>
        <v>2</v>
      </c>
      <c r="W675" s="125">
        <f>2</f>
        <v>2</v>
      </c>
      <c r="X675" s="125">
        <f>2</f>
        <v>2</v>
      </c>
      <c r="Y675" s="125">
        <f>2</f>
        <v>2</v>
      </c>
      <c r="Z675" s="125">
        <f>2</f>
        <v>2</v>
      </c>
      <c r="AA675" s="125">
        <f>2</f>
        <v>2</v>
      </c>
      <c r="AB675" s="125">
        <f>2</f>
        <v>2</v>
      </c>
      <c r="AC675" s="125">
        <f>2</f>
        <v>2</v>
      </c>
      <c r="AD675" s="125">
        <f>2</f>
        <v>2</v>
      </c>
      <c r="AE675" s="125">
        <f>2</f>
        <v>2</v>
      </c>
      <c r="AF675" s="125">
        <f>2</f>
        <v>2</v>
      </c>
      <c r="AG675" s="126">
        <f>2</f>
        <v>2</v>
      </c>
      <c r="AH675" s="22"/>
    </row>
    <row r="676" spans="1:34" x14ac:dyDescent="0.25">
      <c r="A676" s="21"/>
      <c r="B676" s="141" t="s">
        <v>695</v>
      </c>
      <c r="C676" s="125" t="s">
        <v>60</v>
      </c>
      <c r="D676" s="125">
        <f>2</f>
        <v>2</v>
      </c>
      <c r="E676" s="125">
        <f>2</f>
        <v>2</v>
      </c>
      <c r="F676" s="125">
        <f>2</f>
        <v>2</v>
      </c>
      <c r="G676" s="125">
        <f>2</f>
        <v>2</v>
      </c>
      <c r="H676" s="125">
        <f>2</f>
        <v>2</v>
      </c>
      <c r="I676" s="125">
        <f>2</f>
        <v>2</v>
      </c>
      <c r="J676" s="125">
        <f>2</f>
        <v>2</v>
      </c>
      <c r="K676" s="125">
        <f>2</f>
        <v>2</v>
      </c>
      <c r="L676" s="125">
        <f>2</f>
        <v>2</v>
      </c>
      <c r="M676" s="125">
        <f>2</f>
        <v>2</v>
      </c>
      <c r="N676" s="125">
        <f>2</f>
        <v>2</v>
      </c>
      <c r="O676" s="125">
        <f>2</f>
        <v>2</v>
      </c>
      <c r="P676" s="125">
        <f>2</f>
        <v>2</v>
      </c>
      <c r="Q676" s="125">
        <f>2</f>
        <v>2</v>
      </c>
      <c r="R676" s="125">
        <f>2</f>
        <v>2</v>
      </c>
      <c r="S676" s="125">
        <f>2</f>
        <v>2</v>
      </c>
      <c r="T676" s="125">
        <f>2</f>
        <v>2</v>
      </c>
      <c r="U676" s="125">
        <f>2</f>
        <v>2</v>
      </c>
      <c r="V676" s="125">
        <f>2</f>
        <v>2</v>
      </c>
      <c r="W676" s="125">
        <f>2</f>
        <v>2</v>
      </c>
      <c r="X676" s="125">
        <f>2</f>
        <v>2</v>
      </c>
      <c r="Y676" s="125">
        <f>2</f>
        <v>2</v>
      </c>
      <c r="Z676" s="125">
        <f>2</f>
        <v>2</v>
      </c>
      <c r="AA676" s="125">
        <f>2</f>
        <v>2</v>
      </c>
      <c r="AB676" s="125">
        <f>2</f>
        <v>2</v>
      </c>
      <c r="AC676" s="125">
        <f>2</f>
        <v>2</v>
      </c>
      <c r="AD676" s="125">
        <f>2</f>
        <v>2</v>
      </c>
      <c r="AE676" s="125">
        <f>2</f>
        <v>2</v>
      </c>
      <c r="AF676" s="125">
        <f>2</f>
        <v>2</v>
      </c>
      <c r="AG676" s="126">
        <f>2</f>
        <v>2</v>
      </c>
      <c r="AH676" s="22"/>
    </row>
    <row r="677" spans="1:34" x14ac:dyDescent="0.25">
      <c r="A677" s="21"/>
      <c r="B677" s="141" t="s">
        <v>696</v>
      </c>
      <c r="C677" s="125" t="s">
        <v>60</v>
      </c>
      <c r="D677" s="125">
        <f>2</f>
        <v>2</v>
      </c>
      <c r="E677" s="125">
        <f>2</f>
        <v>2</v>
      </c>
      <c r="F677" s="125">
        <f>2</f>
        <v>2</v>
      </c>
      <c r="G677" s="125">
        <f>2</f>
        <v>2</v>
      </c>
      <c r="H677" s="125">
        <f>2</f>
        <v>2</v>
      </c>
      <c r="I677" s="125">
        <f>2</f>
        <v>2</v>
      </c>
      <c r="J677" s="125">
        <f>2</f>
        <v>2</v>
      </c>
      <c r="K677" s="125">
        <f>2</f>
        <v>2</v>
      </c>
      <c r="L677" s="125">
        <f>2</f>
        <v>2</v>
      </c>
      <c r="M677" s="125">
        <f>2</f>
        <v>2</v>
      </c>
      <c r="N677" s="125">
        <f>2</f>
        <v>2</v>
      </c>
      <c r="O677" s="125">
        <f>2</f>
        <v>2</v>
      </c>
      <c r="P677" s="125">
        <f>2</f>
        <v>2</v>
      </c>
      <c r="Q677" s="125">
        <f>2</f>
        <v>2</v>
      </c>
      <c r="R677" s="125">
        <f>2</f>
        <v>2</v>
      </c>
      <c r="S677" s="125">
        <f>2</f>
        <v>2</v>
      </c>
      <c r="T677" s="125">
        <f>2</f>
        <v>2</v>
      </c>
      <c r="U677" s="125">
        <f>2</f>
        <v>2</v>
      </c>
      <c r="V677" s="125">
        <f>2</f>
        <v>2</v>
      </c>
      <c r="W677" s="125">
        <f>2</f>
        <v>2</v>
      </c>
      <c r="X677" s="125">
        <f>2</f>
        <v>2</v>
      </c>
      <c r="Y677" s="125">
        <f>2</f>
        <v>2</v>
      </c>
      <c r="Z677" s="125">
        <f>2</f>
        <v>2</v>
      </c>
      <c r="AA677" s="125">
        <f>2</f>
        <v>2</v>
      </c>
      <c r="AB677" s="125">
        <f>2</f>
        <v>2</v>
      </c>
      <c r="AC677" s="125">
        <f>2</f>
        <v>2</v>
      </c>
      <c r="AD677" s="125">
        <f>2</f>
        <v>2</v>
      </c>
      <c r="AE677" s="125">
        <f>2</f>
        <v>2</v>
      </c>
      <c r="AF677" s="125">
        <f>2</f>
        <v>2</v>
      </c>
      <c r="AG677" s="126">
        <f>2</f>
        <v>2</v>
      </c>
      <c r="AH677" s="22"/>
    </row>
    <row r="678" spans="1:34" x14ac:dyDescent="0.25">
      <c r="A678" s="21"/>
      <c r="B678" s="141" t="s">
        <v>697</v>
      </c>
      <c r="C678" s="125" t="s">
        <v>60</v>
      </c>
      <c r="D678" s="125">
        <f>2</f>
        <v>2</v>
      </c>
      <c r="E678" s="125">
        <f>2</f>
        <v>2</v>
      </c>
      <c r="F678" s="125">
        <f>2</f>
        <v>2</v>
      </c>
      <c r="G678" s="125">
        <f>2</f>
        <v>2</v>
      </c>
      <c r="H678" s="125">
        <f>2</f>
        <v>2</v>
      </c>
      <c r="I678" s="125">
        <f>2</f>
        <v>2</v>
      </c>
      <c r="J678" s="125">
        <f>2</f>
        <v>2</v>
      </c>
      <c r="K678" s="125">
        <f>2</f>
        <v>2</v>
      </c>
      <c r="L678" s="125">
        <f>2</f>
        <v>2</v>
      </c>
      <c r="M678" s="125">
        <f>2</f>
        <v>2</v>
      </c>
      <c r="N678" s="125">
        <f>2</f>
        <v>2</v>
      </c>
      <c r="O678" s="125">
        <f>2</f>
        <v>2</v>
      </c>
      <c r="P678" s="125">
        <f>2</f>
        <v>2</v>
      </c>
      <c r="Q678" s="125">
        <f>2</f>
        <v>2</v>
      </c>
      <c r="R678" s="125">
        <f>2</f>
        <v>2</v>
      </c>
      <c r="S678" s="125">
        <f>2</f>
        <v>2</v>
      </c>
      <c r="T678" s="125">
        <f>2</f>
        <v>2</v>
      </c>
      <c r="U678" s="125">
        <f>2</f>
        <v>2</v>
      </c>
      <c r="V678" s="125">
        <f>2</f>
        <v>2</v>
      </c>
      <c r="W678" s="125">
        <f>2</f>
        <v>2</v>
      </c>
      <c r="X678" s="125">
        <f>2</f>
        <v>2</v>
      </c>
      <c r="Y678" s="125">
        <f>2</f>
        <v>2</v>
      </c>
      <c r="Z678" s="125">
        <f>2</f>
        <v>2</v>
      </c>
      <c r="AA678" s="125">
        <f>2</f>
        <v>2</v>
      </c>
      <c r="AB678" s="125">
        <f>2</f>
        <v>2</v>
      </c>
      <c r="AC678" s="125">
        <f>2</f>
        <v>2</v>
      </c>
      <c r="AD678" s="125">
        <f>2</f>
        <v>2</v>
      </c>
      <c r="AE678" s="125">
        <f>2</f>
        <v>2</v>
      </c>
      <c r="AF678" s="125">
        <f>2</f>
        <v>2</v>
      </c>
      <c r="AG678" s="126">
        <f>2</f>
        <v>2</v>
      </c>
      <c r="AH678" s="22"/>
    </row>
    <row r="679" spans="1:34" x14ac:dyDescent="0.25">
      <c r="A679" s="21"/>
      <c r="B679" s="141" t="s">
        <v>698</v>
      </c>
      <c r="C679" s="125" t="s">
        <v>60</v>
      </c>
      <c r="D679" s="125">
        <f>2</f>
        <v>2</v>
      </c>
      <c r="E679" s="125">
        <f>2</f>
        <v>2</v>
      </c>
      <c r="F679" s="125">
        <f>2</f>
        <v>2</v>
      </c>
      <c r="G679" s="125">
        <f>2</f>
        <v>2</v>
      </c>
      <c r="H679" s="125">
        <f>2</f>
        <v>2</v>
      </c>
      <c r="I679" s="125">
        <f>2</f>
        <v>2</v>
      </c>
      <c r="J679" s="125">
        <f>2</f>
        <v>2</v>
      </c>
      <c r="K679" s="125">
        <f>2</f>
        <v>2</v>
      </c>
      <c r="L679" s="125">
        <f>2</f>
        <v>2</v>
      </c>
      <c r="M679" s="125">
        <f>2</f>
        <v>2</v>
      </c>
      <c r="N679" s="125">
        <f>2</f>
        <v>2</v>
      </c>
      <c r="O679" s="125">
        <f>2</f>
        <v>2</v>
      </c>
      <c r="P679" s="125">
        <f>2</f>
        <v>2</v>
      </c>
      <c r="Q679" s="125">
        <f>2</f>
        <v>2</v>
      </c>
      <c r="R679" s="125">
        <f>2</f>
        <v>2</v>
      </c>
      <c r="S679" s="125">
        <f>2</f>
        <v>2</v>
      </c>
      <c r="T679" s="125">
        <f>2</f>
        <v>2</v>
      </c>
      <c r="U679" s="125">
        <f>2</f>
        <v>2</v>
      </c>
      <c r="V679" s="125">
        <f>2</f>
        <v>2</v>
      </c>
      <c r="W679" s="125">
        <f>2</f>
        <v>2</v>
      </c>
      <c r="X679" s="125">
        <f>2</f>
        <v>2</v>
      </c>
      <c r="Y679" s="125">
        <f>2</f>
        <v>2</v>
      </c>
      <c r="Z679" s="125">
        <f>2</f>
        <v>2</v>
      </c>
      <c r="AA679" s="125">
        <f>2</f>
        <v>2</v>
      </c>
      <c r="AB679" s="125">
        <f>2</f>
        <v>2</v>
      </c>
      <c r="AC679" s="125">
        <f>2</f>
        <v>2</v>
      </c>
      <c r="AD679" s="125">
        <f>2</f>
        <v>2</v>
      </c>
      <c r="AE679" s="125">
        <f>2</f>
        <v>2</v>
      </c>
      <c r="AF679" s="125">
        <f>2</f>
        <v>2</v>
      </c>
      <c r="AG679" s="126">
        <f>2</f>
        <v>2</v>
      </c>
      <c r="AH679" s="22"/>
    </row>
    <row r="680" spans="1:34" x14ac:dyDescent="0.25">
      <c r="A680" s="21"/>
      <c r="B680" s="141" t="s">
        <v>699</v>
      </c>
      <c r="C680" s="125" t="s">
        <v>60</v>
      </c>
      <c r="D680" s="125">
        <f>2</f>
        <v>2</v>
      </c>
      <c r="E680" s="125">
        <f>2</f>
        <v>2</v>
      </c>
      <c r="F680" s="125">
        <f>2</f>
        <v>2</v>
      </c>
      <c r="G680" s="125">
        <f>2</f>
        <v>2</v>
      </c>
      <c r="H680" s="125">
        <f>2</f>
        <v>2</v>
      </c>
      <c r="I680" s="125">
        <f>2</f>
        <v>2</v>
      </c>
      <c r="J680" s="125">
        <f>2</f>
        <v>2</v>
      </c>
      <c r="K680" s="125">
        <f>2</f>
        <v>2</v>
      </c>
      <c r="L680" s="125">
        <f>2</f>
        <v>2</v>
      </c>
      <c r="M680" s="125">
        <f>2</f>
        <v>2</v>
      </c>
      <c r="N680" s="125">
        <f>2</f>
        <v>2</v>
      </c>
      <c r="O680" s="125">
        <f>2</f>
        <v>2</v>
      </c>
      <c r="P680" s="125">
        <f>2</f>
        <v>2</v>
      </c>
      <c r="Q680" s="125">
        <f>2</f>
        <v>2</v>
      </c>
      <c r="R680" s="125">
        <f>2</f>
        <v>2</v>
      </c>
      <c r="S680" s="125">
        <f>2</f>
        <v>2</v>
      </c>
      <c r="T680" s="125">
        <f>2</f>
        <v>2</v>
      </c>
      <c r="U680" s="125">
        <f>2</f>
        <v>2</v>
      </c>
      <c r="V680" s="125">
        <f>2</f>
        <v>2</v>
      </c>
      <c r="W680" s="125">
        <f>2</f>
        <v>2</v>
      </c>
      <c r="X680" s="125">
        <f>2</f>
        <v>2</v>
      </c>
      <c r="Y680" s="125">
        <f>2</f>
        <v>2</v>
      </c>
      <c r="Z680" s="125">
        <f>2</f>
        <v>2</v>
      </c>
      <c r="AA680" s="125">
        <f>2</f>
        <v>2</v>
      </c>
      <c r="AB680" s="125">
        <f>2</f>
        <v>2</v>
      </c>
      <c r="AC680" s="125">
        <f>2</f>
        <v>2</v>
      </c>
      <c r="AD680" s="125">
        <f>2</f>
        <v>2</v>
      </c>
      <c r="AE680" s="125">
        <f>2</f>
        <v>2</v>
      </c>
      <c r="AF680" s="125">
        <f>2</f>
        <v>2</v>
      </c>
      <c r="AG680" s="126">
        <f>2</f>
        <v>2</v>
      </c>
      <c r="AH680" s="22"/>
    </row>
    <row r="681" spans="1:34" x14ac:dyDescent="0.25">
      <c r="A681" s="21"/>
      <c r="B681" s="141" t="s">
        <v>700</v>
      </c>
      <c r="C681" s="125" t="s">
        <v>60</v>
      </c>
      <c r="D681" s="125">
        <f>2</f>
        <v>2</v>
      </c>
      <c r="E681" s="125">
        <f>2</f>
        <v>2</v>
      </c>
      <c r="F681" s="125">
        <f>2</f>
        <v>2</v>
      </c>
      <c r="G681" s="125">
        <f>2</f>
        <v>2</v>
      </c>
      <c r="H681" s="125">
        <f>2</f>
        <v>2</v>
      </c>
      <c r="I681" s="125">
        <f>2</f>
        <v>2</v>
      </c>
      <c r="J681" s="125">
        <f>2</f>
        <v>2</v>
      </c>
      <c r="K681" s="125">
        <f>2</f>
        <v>2</v>
      </c>
      <c r="L681" s="125">
        <f>2</f>
        <v>2</v>
      </c>
      <c r="M681" s="125">
        <f>2</f>
        <v>2</v>
      </c>
      <c r="N681" s="125">
        <f>2</f>
        <v>2</v>
      </c>
      <c r="O681" s="125">
        <f>2</f>
        <v>2</v>
      </c>
      <c r="P681" s="125">
        <f>2</f>
        <v>2</v>
      </c>
      <c r="Q681" s="125">
        <f>2</f>
        <v>2</v>
      </c>
      <c r="R681" s="125">
        <f>2</f>
        <v>2</v>
      </c>
      <c r="S681" s="125">
        <f>2</f>
        <v>2</v>
      </c>
      <c r="T681" s="125">
        <f>2</f>
        <v>2</v>
      </c>
      <c r="U681" s="125">
        <f>2</f>
        <v>2</v>
      </c>
      <c r="V681" s="125">
        <f>2</f>
        <v>2</v>
      </c>
      <c r="W681" s="125">
        <f>2</f>
        <v>2</v>
      </c>
      <c r="X681" s="125">
        <f>2</f>
        <v>2</v>
      </c>
      <c r="Y681" s="125">
        <f>2</f>
        <v>2</v>
      </c>
      <c r="Z681" s="125">
        <f>2</f>
        <v>2</v>
      </c>
      <c r="AA681" s="125">
        <f>2</f>
        <v>2</v>
      </c>
      <c r="AB681" s="125">
        <f>2</f>
        <v>2</v>
      </c>
      <c r="AC681" s="125">
        <f>2</f>
        <v>2</v>
      </c>
      <c r="AD681" s="125">
        <f>2</f>
        <v>2</v>
      </c>
      <c r="AE681" s="125">
        <f>2</f>
        <v>2</v>
      </c>
      <c r="AF681" s="125">
        <f>2</f>
        <v>2</v>
      </c>
      <c r="AG681" s="126">
        <f>2</f>
        <v>2</v>
      </c>
      <c r="AH681" s="22"/>
    </row>
    <row r="682" spans="1:34" x14ac:dyDescent="0.25">
      <c r="A682" s="21"/>
      <c r="B682" s="141" t="s">
        <v>701</v>
      </c>
      <c r="C682" s="125" t="s">
        <v>60</v>
      </c>
      <c r="D682" s="125">
        <f>2</f>
        <v>2</v>
      </c>
      <c r="E682" s="125">
        <f>2</f>
        <v>2</v>
      </c>
      <c r="F682" s="125">
        <f>2</f>
        <v>2</v>
      </c>
      <c r="G682" s="125">
        <f>2</f>
        <v>2</v>
      </c>
      <c r="H682" s="125">
        <f>2</f>
        <v>2</v>
      </c>
      <c r="I682" s="125">
        <f>2</f>
        <v>2</v>
      </c>
      <c r="J682" s="125">
        <f>2</f>
        <v>2</v>
      </c>
      <c r="K682" s="125">
        <f>2</f>
        <v>2</v>
      </c>
      <c r="L682" s="125">
        <f>2</f>
        <v>2</v>
      </c>
      <c r="M682" s="125">
        <f>2</f>
        <v>2</v>
      </c>
      <c r="N682" s="125">
        <f>2</f>
        <v>2</v>
      </c>
      <c r="O682" s="125">
        <f>2</f>
        <v>2</v>
      </c>
      <c r="P682" s="125">
        <f>2</f>
        <v>2</v>
      </c>
      <c r="Q682" s="125">
        <f>2</f>
        <v>2</v>
      </c>
      <c r="R682" s="125">
        <f>2</f>
        <v>2</v>
      </c>
      <c r="S682" s="125">
        <f>2</f>
        <v>2</v>
      </c>
      <c r="T682" s="125">
        <f>2</f>
        <v>2</v>
      </c>
      <c r="U682" s="125">
        <f>2</f>
        <v>2</v>
      </c>
      <c r="V682" s="125">
        <f>2</f>
        <v>2</v>
      </c>
      <c r="W682" s="125">
        <f>2</f>
        <v>2</v>
      </c>
      <c r="X682" s="125">
        <f>2</f>
        <v>2</v>
      </c>
      <c r="Y682" s="125">
        <f>2</f>
        <v>2</v>
      </c>
      <c r="Z682" s="125">
        <f>2</f>
        <v>2</v>
      </c>
      <c r="AA682" s="125">
        <f>2</f>
        <v>2</v>
      </c>
      <c r="AB682" s="125">
        <f>2</f>
        <v>2</v>
      </c>
      <c r="AC682" s="125">
        <f>2</f>
        <v>2</v>
      </c>
      <c r="AD682" s="125">
        <f>2</f>
        <v>2</v>
      </c>
      <c r="AE682" s="125">
        <f>2</f>
        <v>2</v>
      </c>
      <c r="AF682" s="125">
        <f>2</f>
        <v>2</v>
      </c>
      <c r="AG682" s="126">
        <f>2</f>
        <v>2</v>
      </c>
      <c r="AH682" s="22"/>
    </row>
    <row r="683" spans="1:34" x14ac:dyDescent="0.25">
      <c r="A683" s="21"/>
      <c r="B683" s="141" t="s">
        <v>702</v>
      </c>
      <c r="C683" s="125" t="s">
        <v>60</v>
      </c>
      <c r="D683" s="125">
        <f>2</f>
        <v>2</v>
      </c>
      <c r="E683" s="125">
        <f>2</f>
        <v>2</v>
      </c>
      <c r="F683" s="125">
        <f>2</f>
        <v>2</v>
      </c>
      <c r="G683" s="125">
        <f>2</f>
        <v>2</v>
      </c>
      <c r="H683" s="125">
        <f>2</f>
        <v>2</v>
      </c>
      <c r="I683" s="125">
        <f>2</f>
        <v>2</v>
      </c>
      <c r="J683" s="125">
        <f>2</f>
        <v>2</v>
      </c>
      <c r="K683" s="125">
        <f>2</f>
        <v>2</v>
      </c>
      <c r="L683" s="125">
        <f>2</f>
        <v>2</v>
      </c>
      <c r="M683" s="125">
        <f>2</f>
        <v>2</v>
      </c>
      <c r="N683" s="125">
        <f>2</f>
        <v>2</v>
      </c>
      <c r="O683" s="125">
        <f>2</f>
        <v>2</v>
      </c>
      <c r="P683" s="125">
        <f>2</f>
        <v>2</v>
      </c>
      <c r="Q683" s="125">
        <f>2</f>
        <v>2</v>
      </c>
      <c r="R683" s="125">
        <f>2</f>
        <v>2</v>
      </c>
      <c r="S683" s="125">
        <f>2</f>
        <v>2</v>
      </c>
      <c r="T683" s="125">
        <f>2</f>
        <v>2</v>
      </c>
      <c r="U683" s="125">
        <f>2</f>
        <v>2</v>
      </c>
      <c r="V683" s="125">
        <f>2</f>
        <v>2</v>
      </c>
      <c r="W683" s="125">
        <f>2</f>
        <v>2</v>
      </c>
      <c r="X683" s="125">
        <f>2</f>
        <v>2</v>
      </c>
      <c r="Y683" s="125">
        <f>2</f>
        <v>2</v>
      </c>
      <c r="Z683" s="125">
        <f>2</f>
        <v>2</v>
      </c>
      <c r="AA683" s="125">
        <f>2</f>
        <v>2</v>
      </c>
      <c r="AB683" s="125">
        <f>2</f>
        <v>2</v>
      </c>
      <c r="AC683" s="125">
        <f>2</f>
        <v>2</v>
      </c>
      <c r="AD683" s="125">
        <f>2</f>
        <v>2</v>
      </c>
      <c r="AE683" s="125">
        <f>2</f>
        <v>2</v>
      </c>
      <c r="AF683" s="125">
        <f>2</f>
        <v>2</v>
      </c>
      <c r="AG683" s="126">
        <f>2</f>
        <v>2</v>
      </c>
      <c r="AH683" s="22"/>
    </row>
    <row r="684" spans="1:34" x14ac:dyDescent="0.25">
      <c r="A684" s="21"/>
      <c r="B684" s="141" t="s">
        <v>703</v>
      </c>
      <c r="C684" s="125" t="s">
        <v>60</v>
      </c>
      <c r="D684" s="125">
        <f>2</f>
        <v>2</v>
      </c>
      <c r="E684" s="125">
        <f>2</f>
        <v>2</v>
      </c>
      <c r="F684" s="125">
        <f>2</f>
        <v>2</v>
      </c>
      <c r="G684" s="125">
        <f>2</f>
        <v>2</v>
      </c>
      <c r="H684" s="125">
        <f>2</f>
        <v>2</v>
      </c>
      <c r="I684" s="125">
        <f>2</f>
        <v>2</v>
      </c>
      <c r="J684" s="125">
        <f>2</f>
        <v>2</v>
      </c>
      <c r="K684" s="125">
        <f>2</f>
        <v>2</v>
      </c>
      <c r="L684" s="125">
        <f>2</f>
        <v>2</v>
      </c>
      <c r="M684" s="125">
        <f>2</f>
        <v>2</v>
      </c>
      <c r="N684" s="125">
        <f>2</f>
        <v>2</v>
      </c>
      <c r="O684" s="125">
        <f>2</f>
        <v>2</v>
      </c>
      <c r="P684" s="125">
        <f>2</f>
        <v>2</v>
      </c>
      <c r="Q684" s="125">
        <f>2</f>
        <v>2</v>
      </c>
      <c r="R684" s="125">
        <f>2</f>
        <v>2</v>
      </c>
      <c r="S684" s="125">
        <f>2</f>
        <v>2</v>
      </c>
      <c r="T684" s="125">
        <f>2</f>
        <v>2</v>
      </c>
      <c r="U684" s="125">
        <f>2</f>
        <v>2</v>
      </c>
      <c r="V684" s="125">
        <f>2</f>
        <v>2</v>
      </c>
      <c r="W684" s="125">
        <f>2</f>
        <v>2</v>
      </c>
      <c r="X684" s="125">
        <f>2</f>
        <v>2</v>
      </c>
      <c r="Y684" s="125">
        <f>2</f>
        <v>2</v>
      </c>
      <c r="Z684" s="125">
        <f>2</f>
        <v>2</v>
      </c>
      <c r="AA684" s="125">
        <f>2</f>
        <v>2</v>
      </c>
      <c r="AB684" s="125">
        <f>2</f>
        <v>2</v>
      </c>
      <c r="AC684" s="125">
        <f>2</f>
        <v>2</v>
      </c>
      <c r="AD684" s="125">
        <f>2</f>
        <v>2</v>
      </c>
      <c r="AE684" s="125">
        <f>2</f>
        <v>2</v>
      </c>
      <c r="AF684" s="125">
        <f>2</f>
        <v>2</v>
      </c>
      <c r="AG684" s="126">
        <f>2</f>
        <v>2</v>
      </c>
      <c r="AH684" s="22"/>
    </row>
    <row r="685" spans="1:34" x14ac:dyDescent="0.25">
      <c r="A685" s="21"/>
      <c r="B685" s="141" t="s">
        <v>704</v>
      </c>
      <c r="C685" s="125" t="s">
        <v>60</v>
      </c>
      <c r="D685" s="125">
        <f>2</f>
        <v>2</v>
      </c>
      <c r="E685" s="125">
        <f>2</f>
        <v>2</v>
      </c>
      <c r="F685" s="125">
        <f>2</f>
        <v>2</v>
      </c>
      <c r="G685" s="125">
        <f>2</f>
        <v>2</v>
      </c>
      <c r="H685" s="125">
        <f>2</f>
        <v>2</v>
      </c>
      <c r="I685" s="125">
        <f>2</f>
        <v>2</v>
      </c>
      <c r="J685" s="125">
        <f>2</f>
        <v>2</v>
      </c>
      <c r="K685" s="125">
        <f>2</f>
        <v>2</v>
      </c>
      <c r="L685" s="125">
        <f>2</f>
        <v>2</v>
      </c>
      <c r="M685" s="125">
        <f>2</f>
        <v>2</v>
      </c>
      <c r="N685" s="125">
        <f>2</f>
        <v>2</v>
      </c>
      <c r="O685" s="125">
        <f>2</f>
        <v>2</v>
      </c>
      <c r="P685" s="125">
        <f>2</f>
        <v>2</v>
      </c>
      <c r="Q685" s="125">
        <f>2</f>
        <v>2</v>
      </c>
      <c r="R685" s="125">
        <f>2</f>
        <v>2</v>
      </c>
      <c r="S685" s="125">
        <f>2</f>
        <v>2</v>
      </c>
      <c r="T685" s="125">
        <f>2</f>
        <v>2</v>
      </c>
      <c r="U685" s="125">
        <f>2</f>
        <v>2</v>
      </c>
      <c r="V685" s="125">
        <f>2</f>
        <v>2</v>
      </c>
      <c r="W685" s="125">
        <f>2</f>
        <v>2</v>
      </c>
      <c r="X685" s="125">
        <f>2</f>
        <v>2</v>
      </c>
      <c r="Y685" s="125">
        <f>2</f>
        <v>2</v>
      </c>
      <c r="Z685" s="125">
        <f>2</f>
        <v>2</v>
      </c>
      <c r="AA685" s="125">
        <f>2</f>
        <v>2</v>
      </c>
      <c r="AB685" s="125">
        <f>2</f>
        <v>2</v>
      </c>
      <c r="AC685" s="125">
        <f>2</f>
        <v>2</v>
      </c>
      <c r="AD685" s="125">
        <f>2</f>
        <v>2</v>
      </c>
      <c r="AE685" s="125">
        <f>2</f>
        <v>2</v>
      </c>
      <c r="AF685" s="125">
        <f>2</f>
        <v>2</v>
      </c>
      <c r="AG685" s="126">
        <f>2</f>
        <v>2</v>
      </c>
      <c r="AH685" s="22"/>
    </row>
    <row r="686" spans="1:34" x14ac:dyDescent="0.25">
      <c r="A686" s="21"/>
      <c r="B686" s="141" t="s">
        <v>705</v>
      </c>
      <c r="C686" s="125" t="s">
        <v>60</v>
      </c>
      <c r="D686" s="125">
        <f>1</f>
        <v>1</v>
      </c>
      <c r="E686" s="125">
        <f>1</f>
        <v>1</v>
      </c>
      <c r="F686" s="125">
        <f>1</f>
        <v>1</v>
      </c>
      <c r="G686" s="125">
        <f>1</f>
        <v>1</v>
      </c>
      <c r="H686" s="125">
        <f>1</f>
        <v>1</v>
      </c>
      <c r="I686" s="125">
        <f>1</f>
        <v>1</v>
      </c>
      <c r="J686" s="125">
        <f>1</f>
        <v>1</v>
      </c>
      <c r="K686" s="125">
        <f>1</f>
        <v>1</v>
      </c>
      <c r="L686" s="125">
        <f>1</f>
        <v>1</v>
      </c>
      <c r="M686" s="125">
        <f>1</f>
        <v>1</v>
      </c>
      <c r="N686" s="125">
        <f>1</f>
        <v>1</v>
      </c>
      <c r="O686" s="125">
        <f>1</f>
        <v>1</v>
      </c>
      <c r="P686" s="125">
        <f>1</f>
        <v>1</v>
      </c>
      <c r="Q686" s="125">
        <f>1</f>
        <v>1</v>
      </c>
      <c r="R686" s="125">
        <f>1</f>
        <v>1</v>
      </c>
      <c r="S686" s="125">
        <f>1</f>
        <v>1</v>
      </c>
      <c r="T686" s="125">
        <f>1</f>
        <v>1</v>
      </c>
      <c r="U686" s="125">
        <f>1</f>
        <v>1</v>
      </c>
      <c r="V686" s="125">
        <f>1</f>
        <v>1</v>
      </c>
      <c r="W686" s="125">
        <f>1</f>
        <v>1</v>
      </c>
      <c r="X686" s="125">
        <f>1</f>
        <v>1</v>
      </c>
      <c r="Y686" s="125">
        <f>1</f>
        <v>1</v>
      </c>
      <c r="Z686" s="125">
        <f>1</f>
        <v>1</v>
      </c>
      <c r="AA686" s="125">
        <f>1</f>
        <v>1</v>
      </c>
      <c r="AB686" s="125">
        <f>1</f>
        <v>1</v>
      </c>
      <c r="AC686" s="125">
        <f>1</f>
        <v>1</v>
      </c>
      <c r="AD686" s="125">
        <f>1</f>
        <v>1</v>
      </c>
      <c r="AE686" s="125">
        <f>1</f>
        <v>1</v>
      </c>
      <c r="AF686" s="125">
        <f>1</f>
        <v>1</v>
      </c>
      <c r="AG686" s="126">
        <f>1</f>
        <v>1</v>
      </c>
      <c r="AH686" s="22"/>
    </row>
    <row r="687" spans="1:34" ht="13.5" thickBot="1" x14ac:dyDescent="0.3">
      <c r="A687" s="21"/>
      <c r="B687" s="142" t="s">
        <v>706</v>
      </c>
      <c r="C687" s="143" t="s">
        <v>60</v>
      </c>
      <c r="D687" s="143">
        <f>2</f>
        <v>2</v>
      </c>
      <c r="E687" s="143">
        <f>2</f>
        <v>2</v>
      </c>
      <c r="F687" s="143">
        <f>2</f>
        <v>2</v>
      </c>
      <c r="G687" s="143">
        <f>2</f>
        <v>2</v>
      </c>
      <c r="H687" s="143">
        <f>2</f>
        <v>2</v>
      </c>
      <c r="I687" s="143">
        <f>2</f>
        <v>2</v>
      </c>
      <c r="J687" s="143">
        <f>2</f>
        <v>2</v>
      </c>
      <c r="K687" s="143">
        <f>2</f>
        <v>2</v>
      </c>
      <c r="L687" s="143">
        <f>2</f>
        <v>2</v>
      </c>
      <c r="M687" s="143">
        <f>2</f>
        <v>2</v>
      </c>
      <c r="N687" s="143">
        <f>2</f>
        <v>2</v>
      </c>
      <c r="O687" s="143">
        <f>2</f>
        <v>2</v>
      </c>
      <c r="P687" s="143">
        <f>2</f>
        <v>2</v>
      </c>
      <c r="Q687" s="143">
        <f>2</f>
        <v>2</v>
      </c>
      <c r="R687" s="143">
        <f>2</f>
        <v>2</v>
      </c>
      <c r="S687" s="143">
        <f>2</f>
        <v>2</v>
      </c>
      <c r="T687" s="143">
        <f>2</f>
        <v>2</v>
      </c>
      <c r="U687" s="143">
        <f>2</f>
        <v>2</v>
      </c>
      <c r="V687" s="143">
        <f>2</f>
        <v>2</v>
      </c>
      <c r="W687" s="143">
        <f>2</f>
        <v>2</v>
      </c>
      <c r="X687" s="143">
        <f>2</f>
        <v>2</v>
      </c>
      <c r="Y687" s="143">
        <f>2</f>
        <v>2</v>
      </c>
      <c r="Z687" s="143">
        <f>2</f>
        <v>2</v>
      </c>
      <c r="AA687" s="143">
        <f>2</f>
        <v>2</v>
      </c>
      <c r="AB687" s="143">
        <f>2</f>
        <v>2</v>
      </c>
      <c r="AC687" s="143">
        <f>2</f>
        <v>2</v>
      </c>
      <c r="AD687" s="143">
        <f>2</f>
        <v>2</v>
      </c>
      <c r="AE687" s="143">
        <f>2</f>
        <v>2</v>
      </c>
      <c r="AF687" s="143">
        <f>2</f>
        <v>2</v>
      </c>
      <c r="AG687" s="144">
        <f>2</f>
        <v>2</v>
      </c>
      <c r="AH687" s="22"/>
    </row>
    <row r="688" spans="1:34" x14ac:dyDescent="0.2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7"/>
    </row>
    <row r="689" spans="4:33" hidden="1" x14ac:dyDescent="0.25"/>
    <row r="690" spans="4:33" hidden="1" x14ac:dyDescent="0.25"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</row>
  </sheetData>
  <mergeCells count="6">
    <mergeCell ref="X8:AG8"/>
    <mergeCell ref="A1:C2"/>
    <mergeCell ref="B8:B9"/>
    <mergeCell ref="C8:C9"/>
    <mergeCell ref="D8:M8"/>
    <mergeCell ref="N8:W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AH690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D10" sqref="D10"/>
    </sheetView>
  </sheetViews>
  <sheetFormatPr defaultColWidth="0" defaultRowHeight="12.75" zeroHeight="1" x14ac:dyDescent="0.25"/>
  <cols>
    <col min="1" max="1" width="10.875" style="109" customWidth="1"/>
    <col min="2" max="2" width="50.875" style="109" customWidth="1"/>
    <col min="3" max="3" width="10.875" style="109" customWidth="1"/>
    <col min="4" max="33" width="11.875" style="109" customWidth="1"/>
    <col min="34" max="34" width="10.875" style="109" customWidth="1"/>
    <col min="35" max="16384" width="10.875" style="109" hidden="1"/>
  </cols>
  <sheetData>
    <row r="1" spans="1:34" x14ac:dyDescent="0.25">
      <c r="A1" s="384" t="s">
        <v>758</v>
      </c>
      <c r="B1" s="384"/>
      <c r="C1" s="38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x14ac:dyDescent="0.25">
      <c r="A2" s="386"/>
      <c r="B2" s="386"/>
      <c r="C2" s="386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1"/>
    </row>
    <row r="3" spans="1:34" ht="13.5" thickBot="1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22"/>
    </row>
    <row r="4" spans="1:34" x14ac:dyDescent="0.25">
      <c r="A4" s="112"/>
      <c r="B4" s="113" t="s">
        <v>496</v>
      </c>
      <c r="C4" s="112"/>
      <c r="D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22"/>
    </row>
    <row r="5" spans="1:34" ht="13.5" thickBot="1" x14ac:dyDescent="0.3">
      <c r="A5" s="112"/>
      <c r="B5" s="114">
        <f>'Dados (F)'!C14</f>
        <v>10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22"/>
    </row>
    <row r="6" spans="1:34" ht="12.95" customHeight="1" x14ac:dyDescent="0.25">
      <c r="A6" s="112"/>
      <c r="B6" s="112" t="s">
        <v>497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22"/>
    </row>
    <row r="7" spans="1:34" ht="13.5" thickBot="1" x14ac:dyDescent="0.3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22"/>
    </row>
    <row r="8" spans="1:34" x14ac:dyDescent="0.25">
      <c r="A8" s="112"/>
      <c r="B8" s="395" t="s">
        <v>52</v>
      </c>
      <c r="C8" s="393" t="s">
        <v>53</v>
      </c>
      <c r="D8" s="393" t="s">
        <v>712</v>
      </c>
      <c r="E8" s="393"/>
      <c r="F8" s="393"/>
      <c r="G8" s="393"/>
      <c r="H8" s="393"/>
      <c r="I8" s="393"/>
      <c r="J8" s="393"/>
      <c r="K8" s="393"/>
      <c r="L8" s="393"/>
      <c r="M8" s="393"/>
      <c r="N8" s="393" t="s">
        <v>713</v>
      </c>
      <c r="O8" s="393"/>
      <c r="P8" s="393"/>
      <c r="Q8" s="393"/>
      <c r="R8" s="393"/>
      <c r="S8" s="393"/>
      <c r="T8" s="393"/>
      <c r="U8" s="393"/>
      <c r="V8" s="393"/>
      <c r="W8" s="393"/>
      <c r="X8" s="393" t="s">
        <v>714</v>
      </c>
      <c r="Y8" s="393"/>
      <c r="Z8" s="393"/>
      <c r="AA8" s="393"/>
      <c r="AB8" s="393"/>
      <c r="AC8" s="393"/>
      <c r="AD8" s="393"/>
      <c r="AE8" s="393"/>
      <c r="AF8" s="393"/>
      <c r="AG8" s="394"/>
      <c r="AH8" s="22"/>
    </row>
    <row r="9" spans="1:34" ht="13.5" thickBot="1" x14ac:dyDescent="0.3">
      <c r="A9" s="112"/>
      <c r="B9" s="396"/>
      <c r="C9" s="369"/>
      <c r="D9" s="269" t="s">
        <v>466</v>
      </c>
      <c r="E9" s="269" t="s">
        <v>467</v>
      </c>
      <c r="F9" s="269" t="s">
        <v>468</v>
      </c>
      <c r="G9" s="269" t="s">
        <v>469</v>
      </c>
      <c r="H9" s="269" t="s">
        <v>470</v>
      </c>
      <c r="I9" s="269" t="s">
        <v>471</v>
      </c>
      <c r="J9" s="269" t="s">
        <v>472</v>
      </c>
      <c r="K9" s="269" t="s">
        <v>473</v>
      </c>
      <c r="L9" s="269" t="s">
        <v>474</v>
      </c>
      <c r="M9" s="269" t="s">
        <v>475</v>
      </c>
      <c r="N9" s="269" t="s">
        <v>476</v>
      </c>
      <c r="O9" s="269" t="s">
        <v>477</v>
      </c>
      <c r="P9" s="269" t="s">
        <v>478</v>
      </c>
      <c r="Q9" s="269" t="s">
        <v>479</v>
      </c>
      <c r="R9" s="269" t="s">
        <v>480</v>
      </c>
      <c r="S9" s="269" t="s">
        <v>481</v>
      </c>
      <c r="T9" s="269" t="s">
        <v>482</v>
      </c>
      <c r="U9" s="269" t="s">
        <v>483</v>
      </c>
      <c r="V9" s="269" t="s">
        <v>484</v>
      </c>
      <c r="W9" s="269" t="s">
        <v>485</v>
      </c>
      <c r="X9" s="269" t="s">
        <v>486</v>
      </c>
      <c r="Y9" s="269" t="s">
        <v>487</v>
      </c>
      <c r="Z9" s="269" t="s">
        <v>488</v>
      </c>
      <c r="AA9" s="269" t="s">
        <v>489</v>
      </c>
      <c r="AB9" s="269" t="s">
        <v>490</v>
      </c>
      <c r="AC9" s="269" t="s">
        <v>491</v>
      </c>
      <c r="AD9" s="269" t="s">
        <v>492</v>
      </c>
      <c r="AE9" s="269" t="s">
        <v>493</v>
      </c>
      <c r="AF9" s="269" t="s">
        <v>494</v>
      </c>
      <c r="AG9" s="271" t="s">
        <v>495</v>
      </c>
      <c r="AH9" s="22"/>
    </row>
    <row r="10" spans="1:34" x14ac:dyDescent="0.25">
      <c r="A10" s="112"/>
      <c r="B10" s="117" t="s">
        <v>521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9"/>
      <c r="AH10" s="22"/>
    </row>
    <row r="11" spans="1:34" x14ac:dyDescent="0.25">
      <c r="A11" s="112"/>
      <c r="B11" s="120" t="s">
        <v>498</v>
      </c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3"/>
      <c r="AH11" s="22"/>
    </row>
    <row r="12" spans="1:34" x14ac:dyDescent="0.25">
      <c r="A12" s="112"/>
      <c r="B12" s="124" t="s">
        <v>502</v>
      </c>
      <c r="C12" s="67" t="s">
        <v>57</v>
      </c>
      <c r="D12" s="125">
        <f>IF('Quant. mod. (oc)'!D12&lt;0,0,'Quant. mod. (oc)'!D12)</f>
        <v>1015</v>
      </c>
      <c r="E12" s="125">
        <f>IF('Quant. mod. (oc)'!E12&lt;0,0,'Quant. mod. (oc)'!E12)</f>
        <v>1218</v>
      </c>
      <c r="F12" s="125">
        <f>IF('Quant. mod. (oc)'!F12&lt;0,0,'Quant. mod. (oc)'!F12)</f>
        <v>1223.97</v>
      </c>
      <c r="G12" s="125">
        <f>IF('Quant. mod. (oc)'!G12&lt;0,0,'Quant. mod. (oc)'!G12)</f>
        <v>1015</v>
      </c>
      <c r="H12" s="125">
        <f>IF('Quant. mod. (oc)'!H12&lt;0,0,'Quant. mod. (oc)'!H12)</f>
        <v>1218</v>
      </c>
      <c r="I12" s="125">
        <f>IF('Quant. mod. (oc)'!I12&lt;0,0,'Quant. mod. (oc)'!I12)</f>
        <v>1224</v>
      </c>
      <c r="J12" s="125">
        <f>IF('Quant. mod. (oc)'!J12&lt;0,0,'Quant. mod. (oc)'!J12)</f>
        <v>1015</v>
      </c>
      <c r="K12" s="125">
        <f>IF('Quant. mod. (oc)'!K12&lt;0,0,'Quant. mod. (oc)'!K12)</f>
        <v>1224</v>
      </c>
      <c r="L12" s="125">
        <f>IF('Quant. mod. (oc)'!L12&lt;0,0,'Quant. mod. (oc)'!L12)</f>
        <v>1015</v>
      </c>
      <c r="M12" s="125">
        <f>IF('Quant. mod. (oc)'!M12&lt;0,0,'Quant. mod. (oc)'!M12)</f>
        <v>1250</v>
      </c>
      <c r="N12" s="125">
        <f>IF('Quant. mod. (oc)'!N12&lt;0,0,'Quant. mod. (oc)'!N12)</f>
        <v>1050</v>
      </c>
      <c r="O12" s="125">
        <f>IF('Quant. mod. (oc)'!O12&lt;0,0,'Quant. mod. (oc)'!O12)</f>
        <v>1073</v>
      </c>
      <c r="P12" s="125">
        <f>IF('Quant. mod. (oc)'!P12&lt;0,0,'Quant. mod. (oc)'!P12)</f>
        <v>1174</v>
      </c>
      <c r="Q12" s="125">
        <f>IF('Quant. mod. (oc)'!Q12&lt;0,0,'Quant. mod. (oc)'!Q12)</f>
        <v>1050</v>
      </c>
      <c r="R12" s="125">
        <f>IF('Quant. mod. (oc)'!R12&lt;0,0,'Quant. mod. (oc)'!R12)</f>
        <v>1102</v>
      </c>
      <c r="S12" s="125">
        <f>IF('Quant. mod. (oc)'!S12&lt;0,0,'Quant. mod. (oc)'!S12)</f>
        <v>1174</v>
      </c>
      <c r="T12" s="125">
        <f>IF('Quant. mod. (oc)'!T12&lt;0,0,'Quant. mod. (oc)'!T12)</f>
        <v>1050</v>
      </c>
      <c r="U12" s="125">
        <f>IF('Quant. mod. (oc)'!U12&lt;0,0,'Quant. mod. (oc)'!U12)</f>
        <v>1174.03</v>
      </c>
      <c r="V12" s="125">
        <f>IF('Quant. mod. (oc)'!V12&lt;0,0,'Quant. mod. (oc)'!V12)</f>
        <v>1050</v>
      </c>
      <c r="W12" s="125">
        <f>IF('Quant. mod. (oc)'!W12&lt;0,0,'Quant. mod. (oc)'!W12)</f>
        <v>1174.03</v>
      </c>
      <c r="X12" s="125">
        <f>IF('Quant. mod. (oc)'!X12&lt;0,0,'Quant. mod. (oc)'!X12)</f>
        <v>1015</v>
      </c>
      <c r="Y12" s="125">
        <f>IF('Quant. mod. (oc)'!Y12&lt;0,0,'Quant. mod. (oc)'!Y12)</f>
        <v>1036</v>
      </c>
      <c r="Z12" s="125">
        <f>IF('Quant. mod. (oc)'!Z12&lt;0,0,'Quant. mod. (oc)'!Z12)</f>
        <v>1092</v>
      </c>
      <c r="AA12" s="125">
        <f>IF('Quant. mod. (oc)'!AA12&lt;0,0,'Quant. mod. (oc)'!AA12)</f>
        <v>986</v>
      </c>
      <c r="AB12" s="125">
        <f>IF('Quant. mod. (oc)'!AB12&lt;0,0,'Quant. mod. (oc)'!AB12)</f>
        <v>1064</v>
      </c>
      <c r="AC12" s="125">
        <f>IF('Quant. mod. (oc)'!AC12&lt;0,0,'Quant. mod. (oc)'!AC12)</f>
        <v>1092</v>
      </c>
      <c r="AD12" s="125">
        <f>IF('Quant. mod. (oc)'!AD12&lt;0,0,'Quant. mod. (oc)'!AD12)</f>
        <v>1015</v>
      </c>
      <c r="AE12" s="125">
        <f>IF('Quant. mod. (oc)'!AE12&lt;0,0,'Quant. mod. (oc)'!AE12)</f>
        <v>1092</v>
      </c>
      <c r="AF12" s="125">
        <f>IF('Quant. mod. (oc)'!AF12&lt;0,0,'Quant. mod. (oc)'!AF12)</f>
        <v>1092</v>
      </c>
      <c r="AG12" s="126">
        <f>IF('Quant. mod. (oc)'!AG12&lt;0,0,'Quant. mod. (oc)'!AG12)</f>
        <v>1116</v>
      </c>
      <c r="AH12" s="22"/>
    </row>
    <row r="13" spans="1:34" x14ac:dyDescent="0.25">
      <c r="A13" s="112"/>
      <c r="B13" s="124" t="s">
        <v>503</v>
      </c>
      <c r="C13" s="67" t="s">
        <v>57</v>
      </c>
      <c r="D13" s="125">
        <f>IF('Quant. mod. (oc)'!D13&lt;0,0,'Quant. mod. (oc)'!D13)</f>
        <v>770</v>
      </c>
      <c r="E13" s="125">
        <f>IF('Quant. mod. (oc)'!E13&lt;0,0,'Quant. mod. (oc)'!E13)</f>
        <v>1176</v>
      </c>
      <c r="F13" s="125">
        <f>IF('Quant. mod. (oc)'!F13&lt;0,0,'Quant. mod. (oc)'!F13)</f>
        <v>144</v>
      </c>
      <c r="G13" s="125">
        <f>IF('Quant. mod. (oc)'!G13&lt;0,0,'Quant. mod. (oc)'!G13)</f>
        <v>770</v>
      </c>
      <c r="H13" s="125">
        <f>IF('Quant. mod. (oc)'!H13&lt;0,0,'Quant. mod. (oc)'!H13)</f>
        <v>1176</v>
      </c>
      <c r="I13" s="125">
        <f>IF('Quant. mod. (oc)'!I13&lt;0,0,'Quant. mod. (oc)'!I13)</f>
        <v>144</v>
      </c>
      <c r="J13" s="125">
        <f>IF('Quant. mod. (oc)'!J13&lt;0,0,'Quant. mod. (oc)'!J13)</f>
        <v>770</v>
      </c>
      <c r="K13" s="125">
        <f>IF('Quant. mod. (oc)'!K13&lt;0,0,'Quant. mod. (oc)'!K13)</f>
        <v>144</v>
      </c>
      <c r="L13" s="125">
        <f>IF('Quant. mod. (oc)'!L13&lt;0,0,'Quant. mod. (oc)'!L13)</f>
        <v>770</v>
      </c>
      <c r="M13" s="125">
        <f>IF('Quant. mod. (oc)'!M13&lt;0,0,'Quant. mod. (oc)'!M13)</f>
        <v>156</v>
      </c>
      <c r="N13" s="125">
        <f>IF('Quant. mod. (oc)'!N13&lt;0,0,'Quant. mod. (oc)'!N13)</f>
        <v>630</v>
      </c>
      <c r="O13" s="125">
        <f>IF('Quant. mod. (oc)'!O13&lt;0,0,'Quant. mod. (oc)'!O13)</f>
        <v>851</v>
      </c>
      <c r="P13" s="125">
        <f>IF('Quant. mod. (oc)'!P13&lt;0,0,'Quant. mod. (oc)'!P13)</f>
        <v>156</v>
      </c>
      <c r="Q13" s="125">
        <f>IF('Quant. mod. (oc)'!Q13&lt;0,0,'Quant. mod. (oc)'!Q13)</f>
        <v>630</v>
      </c>
      <c r="R13" s="125">
        <f>IF('Quant. mod. (oc)'!R13&lt;0,0,'Quant. mod. (oc)'!R13)</f>
        <v>874</v>
      </c>
      <c r="S13" s="125">
        <f>IF('Quant. mod. (oc)'!S13&lt;0,0,'Quant. mod. (oc)'!S13)</f>
        <v>156</v>
      </c>
      <c r="T13" s="125">
        <f>IF('Quant. mod. (oc)'!T13&lt;0,0,'Quant. mod. (oc)'!T13)</f>
        <v>630</v>
      </c>
      <c r="U13" s="125">
        <f>IF('Quant. mod. (oc)'!U13&lt;0,0,'Quant. mod. (oc)'!U13)</f>
        <v>156</v>
      </c>
      <c r="V13" s="125">
        <f>IF('Quant. mod. (oc)'!V13&lt;0,0,'Quant. mod. (oc)'!V13)</f>
        <v>630</v>
      </c>
      <c r="W13" s="125">
        <f>IF('Quant. mod. (oc)'!W13&lt;0,0,'Quant. mod. (oc)'!W13)</f>
        <v>156</v>
      </c>
      <c r="X13" s="125">
        <f>IF('Quant. mod. (oc)'!X13&lt;0,0,'Quant. mod. (oc)'!X13)</f>
        <v>630</v>
      </c>
      <c r="Y13" s="125">
        <f>IF('Quant. mod. (oc)'!Y13&lt;0,0,'Quant. mod. (oc)'!Y13)</f>
        <v>851</v>
      </c>
      <c r="Z13" s="125">
        <f>IF('Quant. mod. (oc)'!Z13&lt;0,0,'Quant. mod. (oc)'!Z13)</f>
        <v>132</v>
      </c>
      <c r="AA13" s="125">
        <f>IF('Quant. mod. (oc)'!AA13&lt;0,0,'Quant. mod. (oc)'!AA13)</f>
        <v>612</v>
      </c>
      <c r="AB13" s="125">
        <f>IF('Quant. mod. (oc)'!AB13&lt;0,0,'Quant. mod. (oc)'!AB13)</f>
        <v>874</v>
      </c>
      <c r="AC13" s="125">
        <f>IF('Quant. mod. (oc)'!AC13&lt;0,0,'Quant. mod. (oc)'!AC13)</f>
        <v>132</v>
      </c>
      <c r="AD13" s="125">
        <f>IF('Quant. mod. (oc)'!AD13&lt;0,0,'Quant. mod. (oc)'!AD13)</f>
        <v>630</v>
      </c>
      <c r="AE13" s="125">
        <f>IF('Quant. mod. (oc)'!AE13&lt;0,0,'Quant. mod. (oc)'!AE13)</f>
        <v>132</v>
      </c>
      <c r="AF13" s="125">
        <f>IF('Quant. mod. (oc)'!AF13&lt;0,0,'Quant. mod. (oc)'!AF13)</f>
        <v>132</v>
      </c>
      <c r="AG13" s="126">
        <f>IF('Quant. mod. (oc)'!AG13&lt;0,0,'Quant. mod. (oc)'!AG13)</f>
        <v>144</v>
      </c>
      <c r="AH13" s="22"/>
    </row>
    <row r="14" spans="1:34" x14ac:dyDescent="0.25">
      <c r="A14" s="112"/>
      <c r="B14" s="120" t="s">
        <v>499</v>
      </c>
      <c r="C14" s="121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8"/>
      <c r="AH14" s="22"/>
    </row>
    <row r="15" spans="1:34" x14ac:dyDescent="0.25">
      <c r="A15" s="112"/>
      <c r="B15" s="120" t="s">
        <v>500</v>
      </c>
      <c r="C15" s="12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8"/>
      <c r="AH15" s="22"/>
    </row>
    <row r="16" spans="1:34" ht="25.5" x14ac:dyDescent="0.25">
      <c r="A16" s="112"/>
      <c r="B16" s="270" t="s">
        <v>505</v>
      </c>
      <c r="C16" s="67" t="s">
        <v>57</v>
      </c>
      <c r="D16" s="125">
        <f>IF('Quant. mod. (oc)'!D16&lt;0,0,'Quant. mod. (oc)'!D16)</f>
        <v>1015</v>
      </c>
      <c r="E16" s="125">
        <f>IF('Quant. mod. (oc)'!E16&lt;0,0,'Quant. mod. (oc)'!E16)</f>
        <v>1218</v>
      </c>
      <c r="F16" s="125">
        <f>IF('Quant. mod. (oc)'!F16&lt;0,0,'Quant. mod. (oc)'!F16)</f>
        <v>1223.97</v>
      </c>
      <c r="G16" s="125">
        <f>IF('Quant. mod. (oc)'!G16&lt;0,0,'Quant. mod. (oc)'!G16)</f>
        <v>1015</v>
      </c>
      <c r="H16" s="125">
        <f>IF('Quant. mod. (oc)'!H16&lt;0,0,'Quant. mod. (oc)'!H16)</f>
        <v>1218</v>
      </c>
      <c r="I16" s="125">
        <f>IF('Quant. mod. (oc)'!I16&lt;0,0,'Quant. mod. (oc)'!I16)</f>
        <v>1224</v>
      </c>
      <c r="J16" s="125">
        <f>IF('Quant. mod. (oc)'!J16&lt;0,0,'Quant. mod. (oc)'!J16)</f>
        <v>1015</v>
      </c>
      <c r="K16" s="125">
        <f>IF('Quant. mod. (oc)'!K16&lt;0,0,'Quant. mod. (oc)'!K16)</f>
        <v>1224</v>
      </c>
      <c r="L16" s="125">
        <f>IF('Quant. mod. (oc)'!L16&lt;0,0,'Quant. mod. (oc)'!L16)</f>
        <v>1015</v>
      </c>
      <c r="M16" s="125">
        <f>IF('Quant. mod. (oc)'!M16&lt;0,0,'Quant. mod. (oc)'!M16)</f>
        <v>1250</v>
      </c>
      <c r="N16" s="125">
        <f>IF('Quant. mod. (oc)'!N16&lt;0,0,'Quant. mod. (oc)'!N16)</f>
        <v>1050</v>
      </c>
      <c r="O16" s="125">
        <f>IF('Quant. mod. (oc)'!O16&lt;0,0,'Quant. mod. (oc)'!O16)</f>
        <v>1073</v>
      </c>
      <c r="P16" s="125">
        <f>IF('Quant. mod. (oc)'!P16&lt;0,0,'Quant. mod. (oc)'!P16)</f>
        <v>1174</v>
      </c>
      <c r="Q16" s="125">
        <f>IF('Quant. mod. (oc)'!Q16&lt;0,0,'Quant. mod. (oc)'!Q16)</f>
        <v>1050</v>
      </c>
      <c r="R16" s="125">
        <f>IF('Quant. mod. (oc)'!R16&lt;0,0,'Quant. mod. (oc)'!R16)</f>
        <v>1102</v>
      </c>
      <c r="S16" s="125">
        <f>IF('Quant. mod. (oc)'!S16&lt;0,0,'Quant. mod. (oc)'!S16)</f>
        <v>1174</v>
      </c>
      <c r="T16" s="125">
        <f>IF('Quant. mod. (oc)'!T16&lt;0,0,'Quant. mod. (oc)'!T16)</f>
        <v>1050</v>
      </c>
      <c r="U16" s="125">
        <f>IF('Quant. mod. (oc)'!U16&lt;0,0,'Quant. mod. (oc)'!U16)</f>
        <v>1174.03</v>
      </c>
      <c r="V16" s="125">
        <f>IF('Quant. mod. (oc)'!V16&lt;0,0,'Quant. mod. (oc)'!V16)</f>
        <v>1050</v>
      </c>
      <c r="W16" s="125">
        <f>IF('Quant. mod. (oc)'!W16&lt;0,0,'Quant. mod. (oc)'!W16)</f>
        <v>1174.03</v>
      </c>
      <c r="X16" s="125">
        <f>IF('Quant. mod. (oc)'!X16&lt;0,0,'Quant. mod. (oc)'!X16)</f>
        <v>1015</v>
      </c>
      <c r="Y16" s="125">
        <f>IF('Quant. mod. (oc)'!Y16&lt;0,0,'Quant. mod. (oc)'!Y16)</f>
        <v>1036</v>
      </c>
      <c r="Z16" s="125">
        <f>IF('Quant. mod. (oc)'!Z16&lt;0,0,'Quant. mod. (oc)'!Z16)</f>
        <v>1092</v>
      </c>
      <c r="AA16" s="125">
        <f>IF('Quant. mod. (oc)'!AA16&lt;0,0,'Quant. mod. (oc)'!AA16)</f>
        <v>986</v>
      </c>
      <c r="AB16" s="125">
        <f>IF('Quant. mod. (oc)'!AB16&lt;0,0,'Quant. mod. (oc)'!AB16)</f>
        <v>1064</v>
      </c>
      <c r="AC16" s="125">
        <f>IF('Quant. mod. (oc)'!AC16&lt;0,0,'Quant. mod. (oc)'!AC16)</f>
        <v>1092</v>
      </c>
      <c r="AD16" s="125">
        <f>IF('Quant. mod. (oc)'!AD16&lt;0,0,'Quant. mod. (oc)'!AD16)</f>
        <v>1015</v>
      </c>
      <c r="AE16" s="125">
        <f>IF('Quant. mod. (oc)'!AE16&lt;0,0,'Quant. mod. (oc)'!AE16)</f>
        <v>1092</v>
      </c>
      <c r="AF16" s="125">
        <f>IF('Quant. mod. (oc)'!AF16&lt;0,0,'Quant. mod. (oc)'!AF16)</f>
        <v>1092</v>
      </c>
      <c r="AG16" s="126">
        <f>IF('Quant. mod. (oc)'!AG16&lt;0,0,'Quant. mod. (oc)'!AG16)</f>
        <v>1116</v>
      </c>
      <c r="AH16" s="22"/>
    </row>
    <row r="17" spans="1:34" x14ac:dyDescent="0.25">
      <c r="A17" s="112"/>
      <c r="B17" s="270" t="s">
        <v>58</v>
      </c>
      <c r="C17" s="67" t="s">
        <v>57</v>
      </c>
      <c r="D17" s="125">
        <f>IF('Quant. mod. (oc)'!D17&lt;0,0,'Quant. mod. (oc)'!D17)</f>
        <v>1015</v>
      </c>
      <c r="E17" s="125">
        <f>IF('Quant. mod. (oc)'!E17&lt;0,0,'Quant. mod. (oc)'!E17)</f>
        <v>1218</v>
      </c>
      <c r="F17" s="125">
        <f>IF('Quant. mod. (oc)'!F17&lt;0,0,'Quant. mod. (oc)'!F17)</f>
        <v>1223.97</v>
      </c>
      <c r="G17" s="125">
        <f>IF('Quant. mod. (oc)'!G17&lt;0,0,'Quant. mod. (oc)'!G17)</f>
        <v>1015</v>
      </c>
      <c r="H17" s="125">
        <f>IF('Quant. mod. (oc)'!H17&lt;0,0,'Quant. mod. (oc)'!H17)</f>
        <v>1218</v>
      </c>
      <c r="I17" s="125">
        <f>IF('Quant. mod. (oc)'!I17&lt;0,0,'Quant. mod. (oc)'!I17)</f>
        <v>1224</v>
      </c>
      <c r="J17" s="125">
        <f>IF('Quant. mod. (oc)'!J17&lt;0,0,'Quant. mod. (oc)'!J17)</f>
        <v>1015</v>
      </c>
      <c r="K17" s="125">
        <f>IF('Quant. mod. (oc)'!K17&lt;0,0,'Quant. mod. (oc)'!K17)</f>
        <v>1224</v>
      </c>
      <c r="L17" s="125">
        <f>IF('Quant. mod. (oc)'!L17&lt;0,0,'Quant. mod. (oc)'!L17)</f>
        <v>1015</v>
      </c>
      <c r="M17" s="125">
        <f>IF('Quant. mod. (oc)'!M17&lt;0,0,'Quant. mod. (oc)'!M17)</f>
        <v>1250</v>
      </c>
      <c r="N17" s="125">
        <f>IF('Quant. mod. (oc)'!N17&lt;0,0,'Quant. mod. (oc)'!N17)</f>
        <v>1050</v>
      </c>
      <c r="O17" s="125">
        <f>IF('Quant. mod. (oc)'!O17&lt;0,0,'Quant. mod. (oc)'!O17)</f>
        <v>1073</v>
      </c>
      <c r="P17" s="125">
        <f>IF('Quant. mod. (oc)'!P17&lt;0,0,'Quant. mod. (oc)'!P17)</f>
        <v>1174</v>
      </c>
      <c r="Q17" s="125">
        <f>IF('Quant. mod. (oc)'!Q17&lt;0,0,'Quant. mod. (oc)'!Q17)</f>
        <v>1050</v>
      </c>
      <c r="R17" s="125">
        <f>IF('Quant. mod. (oc)'!R17&lt;0,0,'Quant. mod. (oc)'!R17)</f>
        <v>1102</v>
      </c>
      <c r="S17" s="125">
        <f>IF('Quant. mod. (oc)'!S17&lt;0,0,'Quant. mod. (oc)'!S17)</f>
        <v>1174</v>
      </c>
      <c r="T17" s="125">
        <f>IF('Quant. mod. (oc)'!T17&lt;0,0,'Quant. mod. (oc)'!T17)</f>
        <v>1050</v>
      </c>
      <c r="U17" s="125">
        <f>IF('Quant. mod. (oc)'!U17&lt;0,0,'Quant. mod. (oc)'!U17)</f>
        <v>1174.03</v>
      </c>
      <c r="V17" s="125">
        <f>IF('Quant. mod. (oc)'!V17&lt;0,0,'Quant. mod. (oc)'!V17)</f>
        <v>1050</v>
      </c>
      <c r="W17" s="125">
        <f>IF('Quant. mod. (oc)'!W17&lt;0,0,'Quant. mod. (oc)'!W17)</f>
        <v>1174.03</v>
      </c>
      <c r="X17" s="125">
        <f>IF('Quant. mod. (oc)'!X17&lt;0,0,'Quant. mod. (oc)'!X17)</f>
        <v>1015</v>
      </c>
      <c r="Y17" s="125">
        <f>IF('Quant. mod. (oc)'!Y17&lt;0,0,'Quant. mod. (oc)'!Y17)</f>
        <v>1036</v>
      </c>
      <c r="Z17" s="125">
        <f>IF('Quant. mod. (oc)'!Z17&lt;0,0,'Quant. mod. (oc)'!Z17)</f>
        <v>1092</v>
      </c>
      <c r="AA17" s="125">
        <f>IF('Quant. mod. (oc)'!AA17&lt;0,0,'Quant. mod. (oc)'!AA17)</f>
        <v>986</v>
      </c>
      <c r="AB17" s="125">
        <f>IF('Quant. mod. (oc)'!AB17&lt;0,0,'Quant. mod. (oc)'!AB17)</f>
        <v>1064</v>
      </c>
      <c r="AC17" s="125">
        <f>IF('Quant. mod. (oc)'!AC17&lt;0,0,'Quant. mod. (oc)'!AC17)</f>
        <v>1092</v>
      </c>
      <c r="AD17" s="125">
        <f>IF('Quant. mod. (oc)'!AD17&lt;0,0,'Quant. mod. (oc)'!AD17)</f>
        <v>1015</v>
      </c>
      <c r="AE17" s="125">
        <f>IF('Quant. mod. (oc)'!AE17&lt;0,0,'Quant. mod. (oc)'!AE17)</f>
        <v>1092</v>
      </c>
      <c r="AF17" s="125">
        <f>IF('Quant. mod. (oc)'!AF17&lt;0,0,'Quant. mod. (oc)'!AF17)</f>
        <v>1092</v>
      </c>
      <c r="AG17" s="126">
        <f>IF('Quant. mod. (oc)'!AG17&lt;0,0,'Quant. mod. (oc)'!AG17)</f>
        <v>1116</v>
      </c>
      <c r="AH17" s="22"/>
    </row>
    <row r="18" spans="1:34" ht="38.25" x14ac:dyDescent="0.25">
      <c r="A18" s="112"/>
      <c r="B18" s="270" t="s">
        <v>292</v>
      </c>
      <c r="C18" s="67" t="s">
        <v>57</v>
      </c>
      <c r="D18" s="125">
        <f>IF('Quant. mod. (oc)'!D18&lt;0,0,'Quant. mod. (oc)'!D18)</f>
        <v>184.8</v>
      </c>
      <c r="E18" s="125">
        <f>IF('Quant. mod. (oc)'!E18&lt;0,0,'Quant. mod. (oc)'!E18)</f>
        <v>199.5</v>
      </c>
      <c r="F18" s="125">
        <f>IF('Quant. mod. (oc)'!F18&lt;0,0,'Quant. mod. (oc)'!F18)</f>
        <v>249.9</v>
      </c>
      <c r="G18" s="125">
        <f>IF('Quant. mod. (oc)'!G18&lt;0,0,'Quant. mod. (oc)'!G18)</f>
        <v>184.79999999999998</v>
      </c>
      <c r="H18" s="125">
        <f>IF('Quant. mod. (oc)'!H18&lt;0,0,'Quant. mod. (oc)'!H18)</f>
        <v>199.5</v>
      </c>
      <c r="I18" s="125">
        <f>IF('Quant. mod. (oc)'!I18&lt;0,0,'Quant. mod. (oc)'!I18)</f>
        <v>249.89999999999998</v>
      </c>
      <c r="J18" s="125">
        <f>IF('Quant. mod. (oc)'!J18&lt;0,0,'Quant. mod. (oc)'!J18)</f>
        <v>184.8</v>
      </c>
      <c r="K18" s="125">
        <f>IF('Quant. mod. (oc)'!K18&lt;0,0,'Quant. mod. (oc)'!K18)</f>
        <v>249.89999999999998</v>
      </c>
      <c r="L18" s="125">
        <f>IF('Quant. mod. (oc)'!L18&lt;0,0,'Quant. mod. (oc)'!L18)</f>
        <v>184.79999999999998</v>
      </c>
      <c r="M18" s="125">
        <f>IF('Quant. mod. (oc)'!M18&lt;0,0,'Quant. mod. (oc)'!M18)</f>
        <v>252</v>
      </c>
      <c r="N18" s="125">
        <f>IF('Quant. mod. (oc)'!N18&lt;0,0,'Quant. mod. (oc)'!N18)</f>
        <v>189</v>
      </c>
      <c r="O18" s="125">
        <f>IF('Quant. mod. (oc)'!O18&lt;0,0,'Quant. mod. (oc)'!O18)</f>
        <v>189</v>
      </c>
      <c r="P18" s="125">
        <f>IF('Quant. mod. (oc)'!P18&lt;0,0,'Quant. mod. (oc)'!P18)</f>
        <v>243.6</v>
      </c>
      <c r="Q18" s="125">
        <f>IF('Quant. mod. (oc)'!Q18&lt;0,0,'Quant. mod. (oc)'!Q18)</f>
        <v>189</v>
      </c>
      <c r="R18" s="125">
        <f>IF('Quant. mod. (oc)'!R18&lt;0,0,'Quant. mod. (oc)'!R18)</f>
        <v>191.0999999999998</v>
      </c>
      <c r="S18" s="125">
        <f>IF('Quant. mod. (oc)'!S18&lt;0,0,'Quant. mod. (oc)'!S18)</f>
        <v>243.6</v>
      </c>
      <c r="T18" s="125">
        <f>IF('Quant. mod. (oc)'!T18&lt;0,0,'Quant. mod. (oc)'!T18)</f>
        <v>189</v>
      </c>
      <c r="U18" s="125">
        <f>IF('Quant. mod. (oc)'!U18&lt;0,0,'Quant. mod. (oc)'!U18)</f>
        <v>243.60000000000002</v>
      </c>
      <c r="V18" s="125">
        <f>IF('Quant. mod. (oc)'!V18&lt;0,0,'Quant. mod. (oc)'!V18)</f>
        <v>189</v>
      </c>
      <c r="W18" s="125">
        <f>IF('Quant. mod. (oc)'!W18&lt;0,0,'Quant. mod. (oc)'!W18)</f>
        <v>243.60000000000002</v>
      </c>
      <c r="X18" s="125">
        <f>IF('Quant. mod. (oc)'!X18&lt;0,0,'Quant. mod. (oc)'!X18)</f>
        <v>184.80000000000038</v>
      </c>
      <c r="Y18" s="125">
        <f>IF('Quant. mod. (oc)'!Y18&lt;0,0,'Quant. mod. (oc)'!Y18)</f>
        <v>184.8</v>
      </c>
      <c r="Z18" s="125">
        <f>IF('Quant. mod. (oc)'!Z18&lt;0,0,'Quant. mod. (oc)'!Z18)</f>
        <v>235.2</v>
      </c>
      <c r="AA18" s="125">
        <f>IF('Quant. mod. (oc)'!AA18&lt;0,0,'Quant. mod. (oc)'!AA18)</f>
        <v>182.7</v>
      </c>
      <c r="AB18" s="125">
        <f>IF('Quant. mod. (oc)'!AB18&lt;0,0,'Quant. mod. (oc)'!AB18)</f>
        <v>186.9</v>
      </c>
      <c r="AC18" s="125">
        <f>IF('Quant. mod. (oc)'!AC18&lt;0,0,'Quant. mod. (oc)'!AC18)</f>
        <v>235.20000000000002</v>
      </c>
      <c r="AD18" s="125">
        <f>IF('Quant. mod. (oc)'!AD18&lt;0,0,'Quant. mod. (oc)'!AD18)</f>
        <v>184.80000000000038</v>
      </c>
      <c r="AE18" s="125">
        <f>IF('Quant. mod. (oc)'!AE18&lt;0,0,'Quant. mod. (oc)'!AE18)</f>
        <v>235.20000000000002</v>
      </c>
      <c r="AF18" s="125">
        <f>IF('Quant. mod. (oc)'!AF18&lt;0,0,'Quant. mod. (oc)'!AF18)</f>
        <v>235.20000000000002</v>
      </c>
      <c r="AG18" s="126">
        <f>IF('Quant. mod. (oc)'!AG18&lt;0,0,'Quant. mod. (oc)'!AG18)</f>
        <v>237.3</v>
      </c>
      <c r="AH18" s="22"/>
    </row>
    <row r="19" spans="1:34" ht="25.5" x14ac:dyDescent="0.25">
      <c r="A19" s="112"/>
      <c r="B19" s="270" t="s">
        <v>76</v>
      </c>
      <c r="C19" s="67" t="s">
        <v>57</v>
      </c>
      <c r="D19" s="125">
        <f>IF('Quant. mod. (oc)'!D19&lt;0,0,'Quant. mod. (oc)'!D19)</f>
        <v>8.4</v>
      </c>
      <c r="E19" s="125">
        <f>IF('Quant. mod. (oc)'!E19&lt;0,0,'Quant. mod. (oc)'!E19)</f>
        <v>8.4</v>
      </c>
      <c r="F19" s="125">
        <f>IF('Quant. mod. (oc)'!F19&lt;0,0,'Quant. mod. (oc)'!F19)</f>
        <v>8.4</v>
      </c>
      <c r="G19" s="125">
        <f>IF('Quant. mod. (oc)'!G19&lt;0,0,'Quant. mod. (oc)'!G19)</f>
        <v>8.4</v>
      </c>
      <c r="H19" s="125">
        <f>IF('Quant. mod. (oc)'!H19&lt;0,0,'Quant. mod. (oc)'!H19)</f>
        <v>8.4</v>
      </c>
      <c r="I19" s="125">
        <f>IF('Quant. mod. (oc)'!I19&lt;0,0,'Quant. mod. (oc)'!I19)</f>
        <v>8.4</v>
      </c>
      <c r="J19" s="125">
        <f>IF('Quant. mod. (oc)'!J19&lt;0,0,'Quant. mod. (oc)'!J19)</f>
        <v>8.4</v>
      </c>
      <c r="K19" s="125">
        <f>IF('Quant. mod. (oc)'!K19&lt;0,0,'Quant. mod. (oc)'!K19)</f>
        <v>8.4</v>
      </c>
      <c r="L19" s="125">
        <f>IF('Quant. mod. (oc)'!L19&lt;0,0,'Quant. mod. (oc)'!L19)</f>
        <v>8.4</v>
      </c>
      <c r="M19" s="125">
        <f>IF('Quant. mod. (oc)'!M19&lt;0,0,'Quant. mod. (oc)'!M19)</f>
        <v>8.4</v>
      </c>
      <c r="N19" s="125">
        <f>IF('Quant. mod. (oc)'!N19&lt;0,0,'Quant. mod. (oc)'!N19)</f>
        <v>8.4</v>
      </c>
      <c r="O19" s="125">
        <f>IF('Quant. mod. (oc)'!O19&lt;0,0,'Quant. mod. (oc)'!O19)</f>
        <v>8.4</v>
      </c>
      <c r="P19" s="125">
        <f>IF('Quant. mod. (oc)'!P19&lt;0,0,'Quant. mod. (oc)'!P19)</f>
        <v>8.4</v>
      </c>
      <c r="Q19" s="125">
        <f>IF('Quant. mod. (oc)'!Q19&lt;0,0,'Quant. mod. (oc)'!Q19)</f>
        <v>8.4</v>
      </c>
      <c r="R19" s="125">
        <f>IF('Quant. mod. (oc)'!R19&lt;0,0,'Quant. mod. (oc)'!R19)</f>
        <v>8.4</v>
      </c>
      <c r="S19" s="125">
        <f>IF('Quant. mod. (oc)'!S19&lt;0,0,'Quant. mod. (oc)'!S19)</f>
        <v>8.4</v>
      </c>
      <c r="T19" s="125">
        <f>IF('Quant. mod. (oc)'!T19&lt;0,0,'Quant. mod. (oc)'!T19)</f>
        <v>8.4</v>
      </c>
      <c r="U19" s="125">
        <f>IF('Quant. mod. (oc)'!U19&lt;0,0,'Quant. mod. (oc)'!U19)</f>
        <v>8.4</v>
      </c>
      <c r="V19" s="125">
        <f>IF('Quant. mod. (oc)'!V19&lt;0,0,'Quant. mod. (oc)'!V19)</f>
        <v>8.4</v>
      </c>
      <c r="W19" s="125">
        <f>IF('Quant. mod. (oc)'!W19&lt;0,0,'Quant. mod. (oc)'!W19)</f>
        <v>8.4</v>
      </c>
      <c r="X19" s="125">
        <f>IF('Quant. mod. (oc)'!X19&lt;0,0,'Quant. mod. (oc)'!X19)</f>
        <v>8.4</v>
      </c>
      <c r="Y19" s="125">
        <f>IF('Quant. mod. (oc)'!Y19&lt;0,0,'Quant. mod. (oc)'!Y19)</f>
        <v>8.4</v>
      </c>
      <c r="Z19" s="125">
        <f>IF('Quant. mod. (oc)'!Z19&lt;0,0,'Quant. mod. (oc)'!Z19)</f>
        <v>8.4</v>
      </c>
      <c r="AA19" s="125">
        <f>IF('Quant. mod. (oc)'!AA19&lt;0,0,'Quant. mod. (oc)'!AA19)</f>
        <v>8.4</v>
      </c>
      <c r="AB19" s="125">
        <f>IF('Quant. mod. (oc)'!AB19&lt;0,0,'Quant. mod. (oc)'!AB19)</f>
        <v>8.4</v>
      </c>
      <c r="AC19" s="125">
        <f>IF('Quant. mod. (oc)'!AC19&lt;0,0,'Quant. mod. (oc)'!AC19)</f>
        <v>8.4</v>
      </c>
      <c r="AD19" s="125">
        <f>IF('Quant. mod. (oc)'!AD19&lt;0,0,'Quant. mod. (oc)'!AD19)</f>
        <v>8.4</v>
      </c>
      <c r="AE19" s="125">
        <f>IF('Quant. mod. (oc)'!AE19&lt;0,0,'Quant. mod. (oc)'!AE19)</f>
        <v>8.4</v>
      </c>
      <c r="AF19" s="125">
        <f>IF('Quant. mod. (oc)'!AF19&lt;0,0,'Quant. mod. (oc)'!AF19)</f>
        <v>8.4</v>
      </c>
      <c r="AG19" s="126">
        <f>IF('Quant. mod. (oc)'!AG19&lt;0,0,'Quant. mod. (oc)'!AG19)</f>
        <v>8.4</v>
      </c>
      <c r="AH19" s="22"/>
    </row>
    <row r="20" spans="1:34" x14ac:dyDescent="0.25">
      <c r="A20" s="112"/>
      <c r="B20" s="270" t="s">
        <v>74</v>
      </c>
      <c r="C20" s="67" t="s">
        <v>57</v>
      </c>
      <c r="D20" s="125">
        <f>IF('Quant. mod. (oc)'!D20&lt;0,0,'Quant. mod. (oc)'!D20)</f>
        <v>2.1</v>
      </c>
      <c r="E20" s="125">
        <f>IF('Quant. mod. (oc)'!E20&lt;0,0,'Quant. mod. (oc)'!E20)</f>
        <v>2.1</v>
      </c>
      <c r="F20" s="125">
        <f>IF('Quant. mod. (oc)'!F20&lt;0,0,'Quant. mod. (oc)'!F20)</f>
        <v>2.1</v>
      </c>
      <c r="G20" s="125">
        <f>IF('Quant. mod. (oc)'!G20&lt;0,0,'Quant. mod. (oc)'!G20)</f>
        <v>2.1</v>
      </c>
      <c r="H20" s="125">
        <f>IF('Quant. mod. (oc)'!H20&lt;0,0,'Quant. mod. (oc)'!H20)</f>
        <v>2.1</v>
      </c>
      <c r="I20" s="125">
        <f>IF('Quant. mod. (oc)'!I20&lt;0,0,'Quant. mod. (oc)'!I20)</f>
        <v>2.1</v>
      </c>
      <c r="J20" s="125">
        <f>IF('Quant. mod. (oc)'!J20&lt;0,0,'Quant. mod. (oc)'!J20)</f>
        <v>2.1</v>
      </c>
      <c r="K20" s="125">
        <f>IF('Quant. mod. (oc)'!K20&lt;0,0,'Quant. mod. (oc)'!K20)</f>
        <v>2.1</v>
      </c>
      <c r="L20" s="125">
        <f>IF('Quant. mod. (oc)'!L20&lt;0,0,'Quant. mod. (oc)'!L20)</f>
        <v>2.1</v>
      </c>
      <c r="M20" s="125">
        <f>IF('Quant. mod. (oc)'!M20&lt;0,0,'Quant. mod. (oc)'!M20)</f>
        <v>2.1</v>
      </c>
      <c r="N20" s="125">
        <f>IF('Quant. mod. (oc)'!N20&lt;0,0,'Quant. mod. (oc)'!N20)</f>
        <v>2.1</v>
      </c>
      <c r="O20" s="125">
        <f>IF('Quant. mod. (oc)'!O20&lt;0,0,'Quant. mod. (oc)'!O20)</f>
        <v>2.1</v>
      </c>
      <c r="P20" s="125">
        <f>IF('Quant. mod. (oc)'!P20&lt;0,0,'Quant. mod. (oc)'!P20)</f>
        <v>2.1</v>
      </c>
      <c r="Q20" s="125">
        <f>IF('Quant. mod. (oc)'!Q20&lt;0,0,'Quant. mod. (oc)'!Q20)</f>
        <v>2.1</v>
      </c>
      <c r="R20" s="125">
        <f>IF('Quant. mod. (oc)'!R20&lt;0,0,'Quant. mod. (oc)'!R20)</f>
        <v>2.1</v>
      </c>
      <c r="S20" s="125">
        <f>IF('Quant. mod. (oc)'!S20&lt;0,0,'Quant. mod. (oc)'!S20)</f>
        <v>2.1</v>
      </c>
      <c r="T20" s="125">
        <f>IF('Quant. mod. (oc)'!T20&lt;0,0,'Quant. mod. (oc)'!T20)</f>
        <v>2.1</v>
      </c>
      <c r="U20" s="125">
        <f>IF('Quant. mod. (oc)'!U20&lt;0,0,'Quant. mod. (oc)'!U20)</f>
        <v>2.1</v>
      </c>
      <c r="V20" s="125">
        <f>IF('Quant. mod. (oc)'!V20&lt;0,0,'Quant. mod. (oc)'!V20)</f>
        <v>2.1</v>
      </c>
      <c r="W20" s="125">
        <f>IF('Quant. mod. (oc)'!W20&lt;0,0,'Quant. mod. (oc)'!W20)</f>
        <v>2.1</v>
      </c>
      <c r="X20" s="125">
        <f>IF('Quant. mod. (oc)'!X20&lt;0,0,'Quant. mod. (oc)'!X20)</f>
        <v>2.1</v>
      </c>
      <c r="Y20" s="125">
        <f>IF('Quant. mod. (oc)'!Y20&lt;0,0,'Quant. mod. (oc)'!Y20)</f>
        <v>2.1</v>
      </c>
      <c r="Z20" s="125">
        <f>IF('Quant. mod. (oc)'!Z20&lt;0,0,'Quant. mod. (oc)'!Z20)</f>
        <v>2.1</v>
      </c>
      <c r="AA20" s="125">
        <f>IF('Quant. mod. (oc)'!AA20&lt;0,0,'Quant. mod. (oc)'!AA20)</f>
        <v>2.1</v>
      </c>
      <c r="AB20" s="125">
        <f>IF('Quant. mod. (oc)'!AB20&lt;0,0,'Quant. mod. (oc)'!AB20)</f>
        <v>2.1</v>
      </c>
      <c r="AC20" s="125">
        <f>IF('Quant. mod. (oc)'!AC20&lt;0,0,'Quant. mod. (oc)'!AC20)</f>
        <v>2.1</v>
      </c>
      <c r="AD20" s="125">
        <f>IF('Quant. mod. (oc)'!AD20&lt;0,0,'Quant. mod. (oc)'!AD20)</f>
        <v>2.1</v>
      </c>
      <c r="AE20" s="125">
        <f>IF('Quant. mod. (oc)'!AE20&lt;0,0,'Quant. mod. (oc)'!AE20)</f>
        <v>2.1</v>
      </c>
      <c r="AF20" s="125">
        <f>IF('Quant. mod. (oc)'!AF20&lt;0,0,'Quant. mod. (oc)'!AF20)</f>
        <v>2.1</v>
      </c>
      <c r="AG20" s="126">
        <f>IF('Quant. mod. (oc)'!AG20&lt;0,0,'Quant. mod. (oc)'!AG20)</f>
        <v>2.1</v>
      </c>
      <c r="AH20" s="22"/>
    </row>
    <row r="21" spans="1:34" ht="25.5" x14ac:dyDescent="0.25">
      <c r="A21" s="112"/>
      <c r="B21" s="270" t="s">
        <v>293</v>
      </c>
      <c r="C21" s="67" t="s">
        <v>504</v>
      </c>
      <c r="D21" s="125">
        <f>IF('Quant. mod. (oc)'!D21&lt;0,0,ROUND('Quant. mod. (oc)'!D21,0))</f>
        <v>1</v>
      </c>
      <c r="E21" s="125">
        <f>IF('Quant. mod. (oc)'!E21&lt;0,0,ROUND('Quant. mod. (oc)'!E21,0))</f>
        <v>1</v>
      </c>
      <c r="F21" s="125">
        <f>IF('Quant. mod. (oc)'!F21&lt;0,0,ROUND('Quant. mod. (oc)'!F21,0))</f>
        <v>1</v>
      </c>
      <c r="G21" s="125">
        <f>IF('Quant. mod. (oc)'!G21&lt;0,0,ROUND('Quant. mod. (oc)'!G21,0))</f>
        <v>1</v>
      </c>
      <c r="H21" s="125">
        <f>IF('Quant. mod. (oc)'!H21&lt;0,0,ROUND('Quant. mod. (oc)'!H21,0))</f>
        <v>1</v>
      </c>
      <c r="I21" s="125">
        <f>IF('Quant. mod. (oc)'!I21&lt;0,0,ROUND('Quant. mod. (oc)'!I21,0))</f>
        <v>1</v>
      </c>
      <c r="J21" s="125">
        <f>IF('Quant. mod. (oc)'!J21&lt;0,0,ROUND('Quant. mod. (oc)'!J21,0))</f>
        <v>1</v>
      </c>
      <c r="K21" s="125">
        <f>IF('Quant. mod. (oc)'!K21&lt;0,0,ROUND('Quant. mod. (oc)'!K21,0))</f>
        <v>1</v>
      </c>
      <c r="L21" s="125">
        <f>IF('Quant. mod. (oc)'!L21&lt;0,0,ROUND('Quant. mod. (oc)'!L21,0))</f>
        <v>1</v>
      </c>
      <c r="M21" s="125">
        <f>IF('Quant. mod. (oc)'!M21&lt;0,0,ROUND('Quant. mod. (oc)'!M21,0))</f>
        <v>1</v>
      </c>
      <c r="N21" s="125">
        <f>IF('Quant. mod. (oc)'!N21&lt;0,0,ROUND('Quant. mod. (oc)'!N21,0))</f>
        <v>1</v>
      </c>
      <c r="O21" s="125">
        <f>IF('Quant. mod. (oc)'!O21&lt;0,0,ROUND('Quant. mod. (oc)'!O21,0))</f>
        <v>1</v>
      </c>
      <c r="P21" s="125">
        <f>IF('Quant. mod. (oc)'!P21&lt;0,0,ROUND('Quant. mod. (oc)'!P21,0))</f>
        <v>1</v>
      </c>
      <c r="Q21" s="125">
        <f>IF('Quant. mod. (oc)'!Q21&lt;0,0,ROUND('Quant. mod. (oc)'!Q21,0))</f>
        <v>1</v>
      </c>
      <c r="R21" s="125">
        <f>IF('Quant. mod. (oc)'!R21&lt;0,0,ROUND('Quant. mod. (oc)'!R21,0))</f>
        <v>1</v>
      </c>
      <c r="S21" s="125">
        <f>IF('Quant. mod. (oc)'!S21&lt;0,0,ROUND('Quant. mod. (oc)'!S21,0))</f>
        <v>1</v>
      </c>
      <c r="T21" s="125">
        <f>IF('Quant. mod. (oc)'!T21&lt;0,0,ROUND('Quant. mod. (oc)'!T21,0))</f>
        <v>1</v>
      </c>
      <c r="U21" s="125">
        <f>IF('Quant. mod. (oc)'!U21&lt;0,0,ROUND('Quant. mod. (oc)'!U21,0))</f>
        <v>1</v>
      </c>
      <c r="V21" s="125">
        <f>IF('Quant. mod. (oc)'!V21&lt;0,0,ROUND('Quant. mod. (oc)'!V21,0))</f>
        <v>1</v>
      </c>
      <c r="W21" s="125">
        <f>IF('Quant. mod. (oc)'!W21&lt;0,0,ROUND('Quant. mod. (oc)'!W21,0))</f>
        <v>1</v>
      </c>
      <c r="X21" s="125">
        <f>IF('Quant. mod. (oc)'!X21&lt;0,0,ROUND('Quant. mod. (oc)'!X21,0))</f>
        <v>1</v>
      </c>
      <c r="Y21" s="125">
        <f>IF('Quant. mod. (oc)'!Y21&lt;0,0,ROUND('Quant. mod. (oc)'!Y21,0))</f>
        <v>1</v>
      </c>
      <c r="Z21" s="125">
        <f>IF('Quant. mod. (oc)'!Z21&lt;0,0,ROUND('Quant. mod. (oc)'!Z21,0))</f>
        <v>1</v>
      </c>
      <c r="AA21" s="125">
        <f>IF('Quant. mod. (oc)'!AA21&lt;0,0,ROUND('Quant. mod. (oc)'!AA21,0))</f>
        <v>1</v>
      </c>
      <c r="AB21" s="125">
        <f>IF('Quant. mod. (oc)'!AB21&lt;0,0,ROUND('Quant. mod. (oc)'!AB21,0))</f>
        <v>1</v>
      </c>
      <c r="AC21" s="125">
        <f>IF('Quant. mod. (oc)'!AC21&lt;0,0,ROUND('Quant. mod. (oc)'!AC21,0))</f>
        <v>1</v>
      </c>
      <c r="AD21" s="125">
        <f>IF('Quant. mod. (oc)'!AD21&lt;0,0,ROUND('Quant. mod. (oc)'!AD21,0))</f>
        <v>1</v>
      </c>
      <c r="AE21" s="125">
        <f>IF('Quant. mod. (oc)'!AE21&lt;0,0,ROUND('Quant. mod. (oc)'!AE21,0))</f>
        <v>1</v>
      </c>
      <c r="AF21" s="125">
        <f>IF('Quant. mod. (oc)'!AF21&lt;0,0,ROUND('Quant. mod. (oc)'!AF21,0))</f>
        <v>1</v>
      </c>
      <c r="AG21" s="126">
        <f>IF('Quant. mod. (oc)'!AG21&lt;0,0,ROUND('Quant. mod. (oc)'!AG21,0))</f>
        <v>1</v>
      </c>
      <c r="AH21" s="22"/>
    </row>
    <row r="22" spans="1:34" ht="25.5" x14ac:dyDescent="0.25">
      <c r="A22" s="112"/>
      <c r="B22" s="270" t="s">
        <v>61</v>
      </c>
      <c r="C22" s="67" t="s">
        <v>57</v>
      </c>
      <c r="D22" s="125">
        <f>IF('Quant. mod. (oc)'!D22&lt;0,0,'Quant. mod. (oc)'!D22)</f>
        <v>10</v>
      </c>
      <c r="E22" s="125">
        <f>IF('Quant. mod. (oc)'!E22&lt;0,0,'Quant. mod. (oc)'!E22)</f>
        <v>10</v>
      </c>
      <c r="F22" s="125">
        <f>IF('Quant. mod. (oc)'!F22&lt;0,0,'Quant. mod. (oc)'!F22)</f>
        <v>10</v>
      </c>
      <c r="G22" s="125">
        <f>IF('Quant. mod. (oc)'!G22&lt;0,0,'Quant. mod. (oc)'!G22)</f>
        <v>10</v>
      </c>
      <c r="H22" s="125">
        <f>IF('Quant. mod. (oc)'!H22&lt;0,0,'Quant. mod. (oc)'!H22)</f>
        <v>10</v>
      </c>
      <c r="I22" s="125">
        <f>IF('Quant. mod. (oc)'!I22&lt;0,0,'Quant. mod. (oc)'!I22)</f>
        <v>10</v>
      </c>
      <c r="J22" s="125">
        <f>IF('Quant. mod. (oc)'!J22&lt;0,0,'Quant. mod. (oc)'!J22)</f>
        <v>10</v>
      </c>
      <c r="K22" s="125">
        <f>IF('Quant. mod. (oc)'!K22&lt;0,0,'Quant. mod. (oc)'!K22)</f>
        <v>10</v>
      </c>
      <c r="L22" s="125">
        <f>IF('Quant. mod. (oc)'!L22&lt;0,0,'Quant. mod. (oc)'!L22)</f>
        <v>10</v>
      </c>
      <c r="M22" s="125">
        <f>IF('Quant. mod. (oc)'!M22&lt;0,0,'Quant. mod. (oc)'!M22)</f>
        <v>10</v>
      </c>
      <c r="N22" s="125">
        <f>IF('Quant. mod. (oc)'!N22&lt;0,0,'Quant. mod. (oc)'!N22)</f>
        <v>10</v>
      </c>
      <c r="O22" s="125">
        <f>IF('Quant. mod. (oc)'!O22&lt;0,0,'Quant. mod. (oc)'!O22)</f>
        <v>10</v>
      </c>
      <c r="P22" s="125">
        <f>IF('Quant. mod. (oc)'!P22&lt;0,0,'Quant. mod. (oc)'!P22)</f>
        <v>10</v>
      </c>
      <c r="Q22" s="125">
        <f>IF('Quant. mod. (oc)'!Q22&lt;0,0,'Quant. mod. (oc)'!Q22)</f>
        <v>10</v>
      </c>
      <c r="R22" s="125">
        <f>IF('Quant. mod. (oc)'!R22&lt;0,0,'Quant. mod. (oc)'!R22)</f>
        <v>10</v>
      </c>
      <c r="S22" s="125">
        <f>IF('Quant. mod. (oc)'!S22&lt;0,0,'Quant. mod. (oc)'!S22)</f>
        <v>10</v>
      </c>
      <c r="T22" s="125">
        <f>IF('Quant. mod. (oc)'!T22&lt;0,0,'Quant. mod. (oc)'!T22)</f>
        <v>10</v>
      </c>
      <c r="U22" s="125">
        <f>IF('Quant. mod. (oc)'!U22&lt;0,0,'Quant. mod. (oc)'!U22)</f>
        <v>10</v>
      </c>
      <c r="V22" s="125">
        <f>IF('Quant. mod. (oc)'!V22&lt;0,0,'Quant. mod. (oc)'!V22)</f>
        <v>10</v>
      </c>
      <c r="W22" s="125">
        <f>IF('Quant. mod. (oc)'!W22&lt;0,0,'Quant. mod. (oc)'!W22)</f>
        <v>10</v>
      </c>
      <c r="X22" s="125">
        <f>IF('Quant. mod. (oc)'!X22&lt;0,0,'Quant. mod. (oc)'!X22)</f>
        <v>10</v>
      </c>
      <c r="Y22" s="125">
        <f>IF('Quant. mod. (oc)'!Y22&lt;0,0,'Quant. mod. (oc)'!Y22)</f>
        <v>10</v>
      </c>
      <c r="Z22" s="125">
        <f>IF('Quant. mod. (oc)'!Z22&lt;0,0,'Quant. mod. (oc)'!Z22)</f>
        <v>10</v>
      </c>
      <c r="AA22" s="125">
        <f>IF('Quant. mod. (oc)'!AA22&lt;0,0,'Quant. mod. (oc)'!AA22)</f>
        <v>10</v>
      </c>
      <c r="AB22" s="125">
        <f>IF('Quant. mod. (oc)'!AB22&lt;0,0,'Quant. mod. (oc)'!AB22)</f>
        <v>10</v>
      </c>
      <c r="AC22" s="125">
        <f>IF('Quant. mod. (oc)'!AC22&lt;0,0,'Quant. mod. (oc)'!AC22)</f>
        <v>10</v>
      </c>
      <c r="AD22" s="125">
        <f>IF('Quant. mod. (oc)'!AD22&lt;0,0,'Quant. mod. (oc)'!AD22)</f>
        <v>10</v>
      </c>
      <c r="AE22" s="125">
        <f>IF('Quant. mod. (oc)'!AE22&lt;0,0,'Quant. mod. (oc)'!AE22)</f>
        <v>10</v>
      </c>
      <c r="AF22" s="125">
        <f>IF('Quant. mod. (oc)'!AF22&lt;0,0,'Quant. mod. (oc)'!AF22)</f>
        <v>10</v>
      </c>
      <c r="AG22" s="126">
        <f>IF('Quant. mod. (oc)'!AG22&lt;0,0,'Quant. mod. (oc)'!AG22)</f>
        <v>10</v>
      </c>
      <c r="AH22" s="22"/>
    </row>
    <row r="23" spans="1:34" ht="25.5" x14ac:dyDescent="0.25">
      <c r="A23" s="112"/>
      <c r="B23" s="270" t="s">
        <v>506</v>
      </c>
      <c r="C23" s="67" t="s">
        <v>60</v>
      </c>
      <c r="D23" s="125">
        <f>IF('Quant. mod. (oc)'!D23&lt;0,0,ROUND('Quant. mod. (oc)'!D23,0))</f>
        <v>1</v>
      </c>
      <c r="E23" s="125">
        <f>IF('Quant. mod. (oc)'!E23&lt;0,0,ROUND('Quant. mod. (oc)'!E23,0))</f>
        <v>1</v>
      </c>
      <c r="F23" s="125">
        <f>IF('Quant. mod. (oc)'!F23&lt;0,0,ROUND('Quant. mod. (oc)'!F23,0))</f>
        <v>1</v>
      </c>
      <c r="G23" s="125">
        <f>IF('Quant. mod. (oc)'!G23&lt;0,0,ROUND('Quant. mod. (oc)'!G23,0))</f>
        <v>1</v>
      </c>
      <c r="H23" s="125">
        <f>IF('Quant. mod. (oc)'!H23&lt;0,0,ROUND('Quant. mod. (oc)'!H23,0))</f>
        <v>1</v>
      </c>
      <c r="I23" s="125">
        <f>IF('Quant. mod. (oc)'!I23&lt;0,0,ROUND('Quant. mod. (oc)'!I23,0))</f>
        <v>1</v>
      </c>
      <c r="J23" s="125">
        <f>IF('Quant. mod. (oc)'!J23&lt;0,0,ROUND('Quant. mod. (oc)'!J23,0))</f>
        <v>1</v>
      </c>
      <c r="K23" s="125">
        <f>IF('Quant. mod. (oc)'!K23&lt;0,0,ROUND('Quant. mod. (oc)'!K23,0))</f>
        <v>1</v>
      </c>
      <c r="L23" s="125">
        <f>IF('Quant. mod. (oc)'!L23&lt;0,0,ROUND('Quant. mod. (oc)'!L23,0))</f>
        <v>1</v>
      </c>
      <c r="M23" s="125">
        <f>IF('Quant. mod. (oc)'!M23&lt;0,0,ROUND('Quant. mod. (oc)'!M23,0))</f>
        <v>1</v>
      </c>
      <c r="N23" s="125">
        <f>IF('Quant. mod. (oc)'!N23&lt;0,0,ROUND('Quant. mod. (oc)'!N23,0))</f>
        <v>1</v>
      </c>
      <c r="O23" s="125">
        <f>IF('Quant. mod. (oc)'!O23&lt;0,0,ROUND('Quant. mod. (oc)'!O23,0))</f>
        <v>1</v>
      </c>
      <c r="P23" s="125">
        <f>IF('Quant. mod. (oc)'!P23&lt;0,0,ROUND('Quant. mod. (oc)'!P23,0))</f>
        <v>1</v>
      </c>
      <c r="Q23" s="125">
        <f>IF('Quant. mod. (oc)'!Q23&lt;0,0,ROUND('Quant. mod. (oc)'!Q23,0))</f>
        <v>1</v>
      </c>
      <c r="R23" s="125">
        <f>IF('Quant. mod. (oc)'!R23&lt;0,0,ROUND('Quant. mod. (oc)'!R23,0))</f>
        <v>1</v>
      </c>
      <c r="S23" s="125">
        <f>IF('Quant. mod. (oc)'!S23&lt;0,0,ROUND('Quant. mod. (oc)'!S23,0))</f>
        <v>1</v>
      </c>
      <c r="T23" s="125">
        <f>IF('Quant. mod. (oc)'!T23&lt;0,0,ROUND('Quant. mod. (oc)'!T23,0))</f>
        <v>1</v>
      </c>
      <c r="U23" s="125">
        <f>IF('Quant. mod. (oc)'!U23&lt;0,0,ROUND('Quant. mod. (oc)'!U23,0))</f>
        <v>1</v>
      </c>
      <c r="V23" s="125">
        <f>IF('Quant. mod. (oc)'!V23&lt;0,0,ROUND('Quant. mod. (oc)'!V23,0))</f>
        <v>1</v>
      </c>
      <c r="W23" s="125">
        <f>IF('Quant. mod. (oc)'!W23&lt;0,0,ROUND('Quant. mod. (oc)'!W23,0))</f>
        <v>1</v>
      </c>
      <c r="X23" s="125">
        <f>IF('Quant. mod. (oc)'!X23&lt;0,0,ROUND('Quant. mod. (oc)'!X23,0))</f>
        <v>1</v>
      </c>
      <c r="Y23" s="125">
        <f>IF('Quant. mod. (oc)'!Y23&lt;0,0,ROUND('Quant. mod. (oc)'!Y23,0))</f>
        <v>1</v>
      </c>
      <c r="Z23" s="125">
        <f>IF('Quant. mod. (oc)'!Z23&lt;0,0,ROUND('Quant. mod. (oc)'!Z23,0))</f>
        <v>1</v>
      </c>
      <c r="AA23" s="125">
        <f>IF('Quant. mod. (oc)'!AA23&lt;0,0,ROUND('Quant. mod. (oc)'!AA23,0))</f>
        <v>1</v>
      </c>
      <c r="AB23" s="125">
        <f>IF('Quant. mod. (oc)'!AB23&lt;0,0,ROUND('Quant. mod. (oc)'!AB23,0))</f>
        <v>1</v>
      </c>
      <c r="AC23" s="125">
        <f>IF('Quant. mod. (oc)'!AC23&lt;0,0,ROUND('Quant. mod. (oc)'!AC23,0))</f>
        <v>1</v>
      </c>
      <c r="AD23" s="125">
        <f>IF('Quant. mod. (oc)'!AD23&lt;0,0,ROUND('Quant. mod. (oc)'!AD23,0))</f>
        <v>1</v>
      </c>
      <c r="AE23" s="125">
        <f>IF('Quant. mod. (oc)'!AE23&lt;0,0,ROUND('Quant. mod. (oc)'!AE23,0))</f>
        <v>1</v>
      </c>
      <c r="AF23" s="125">
        <f>IF('Quant. mod. (oc)'!AF23&lt;0,0,ROUND('Quant. mod. (oc)'!AF23,0))</f>
        <v>1</v>
      </c>
      <c r="AG23" s="126">
        <f>IF('Quant. mod. (oc)'!AG23&lt;0,0,ROUND('Quant. mod. (oc)'!AG23,0))</f>
        <v>1</v>
      </c>
      <c r="AH23" s="22"/>
    </row>
    <row r="24" spans="1:34" ht="25.5" x14ac:dyDescent="0.25">
      <c r="A24" s="112"/>
      <c r="B24" s="270" t="s">
        <v>62</v>
      </c>
      <c r="C24" s="67" t="s">
        <v>57</v>
      </c>
      <c r="D24" s="125">
        <f>IF('Quant. mod. (oc)'!D24&lt;0,0,'Quant. mod. (oc)'!D24)</f>
        <v>1015</v>
      </c>
      <c r="E24" s="125">
        <f>IF('Quant. mod. (oc)'!E24&lt;0,0,'Quant. mod. (oc)'!E24)</f>
        <v>1218</v>
      </c>
      <c r="F24" s="125">
        <f>IF('Quant. mod. (oc)'!F24&lt;0,0,'Quant. mod. (oc)'!F24)</f>
        <v>1223.97</v>
      </c>
      <c r="G24" s="125">
        <f>IF('Quant. mod. (oc)'!G24&lt;0,0,'Quant. mod. (oc)'!G24)</f>
        <v>1015</v>
      </c>
      <c r="H24" s="125">
        <f>IF('Quant. mod. (oc)'!H24&lt;0,0,'Quant. mod. (oc)'!H24)</f>
        <v>1218</v>
      </c>
      <c r="I24" s="125">
        <f>IF('Quant. mod. (oc)'!I24&lt;0,0,'Quant. mod. (oc)'!I24)</f>
        <v>1224</v>
      </c>
      <c r="J24" s="125">
        <f>IF('Quant. mod. (oc)'!J24&lt;0,0,'Quant. mod. (oc)'!J24)</f>
        <v>1015</v>
      </c>
      <c r="K24" s="125">
        <f>IF('Quant. mod. (oc)'!K24&lt;0,0,'Quant. mod. (oc)'!K24)</f>
        <v>1224</v>
      </c>
      <c r="L24" s="125">
        <f>IF('Quant. mod. (oc)'!L24&lt;0,0,'Quant. mod. (oc)'!L24)</f>
        <v>1015</v>
      </c>
      <c r="M24" s="125">
        <f>IF('Quant. mod. (oc)'!M24&lt;0,0,'Quant. mod. (oc)'!M24)</f>
        <v>1250</v>
      </c>
      <c r="N24" s="125">
        <f>IF('Quant. mod. (oc)'!N24&lt;0,0,'Quant. mod. (oc)'!N24)</f>
        <v>1050</v>
      </c>
      <c r="O24" s="125">
        <f>IF('Quant. mod. (oc)'!O24&lt;0,0,'Quant. mod. (oc)'!O24)</f>
        <v>1073</v>
      </c>
      <c r="P24" s="125">
        <f>IF('Quant. mod. (oc)'!P24&lt;0,0,'Quant. mod. (oc)'!P24)</f>
        <v>1174</v>
      </c>
      <c r="Q24" s="125">
        <f>IF('Quant. mod. (oc)'!Q24&lt;0,0,'Quant. mod. (oc)'!Q24)</f>
        <v>1050</v>
      </c>
      <c r="R24" s="125">
        <f>IF('Quant. mod. (oc)'!R24&lt;0,0,'Quant. mod. (oc)'!R24)</f>
        <v>1102</v>
      </c>
      <c r="S24" s="125">
        <f>IF('Quant. mod. (oc)'!S24&lt;0,0,'Quant. mod. (oc)'!S24)</f>
        <v>1174</v>
      </c>
      <c r="T24" s="125">
        <f>IF('Quant. mod. (oc)'!T24&lt;0,0,'Quant. mod. (oc)'!T24)</f>
        <v>1050</v>
      </c>
      <c r="U24" s="125">
        <f>IF('Quant. mod. (oc)'!U24&lt;0,0,'Quant. mod. (oc)'!U24)</f>
        <v>1174.03</v>
      </c>
      <c r="V24" s="125">
        <f>IF('Quant. mod. (oc)'!V24&lt;0,0,'Quant. mod. (oc)'!V24)</f>
        <v>1050</v>
      </c>
      <c r="W24" s="125">
        <f>IF('Quant. mod. (oc)'!W24&lt;0,0,'Quant. mod. (oc)'!W24)</f>
        <v>1174.03</v>
      </c>
      <c r="X24" s="125">
        <f>IF('Quant. mod. (oc)'!X24&lt;0,0,'Quant. mod. (oc)'!X24)</f>
        <v>1015</v>
      </c>
      <c r="Y24" s="125">
        <f>IF('Quant. mod. (oc)'!Y24&lt;0,0,'Quant. mod. (oc)'!Y24)</f>
        <v>1036</v>
      </c>
      <c r="Z24" s="125">
        <f>IF('Quant. mod. (oc)'!Z24&lt;0,0,'Quant. mod. (oc)'!Z24)</f>
        <v>1092</v>
      </c>
      <c r="AA24" s="125">
        <f>IF('Quant. mod. (oc)'!AA24&lt;0,0,'Quant. mod. (oc)'!AA24)</f>
        <v>986</v>
      </c>
      <c r="AB24" s="125">
        <f>IF('Quant. mod. (oc)'!AB24&lt;0,0,'Quant. mod. (oc)'!AB24)</f>
        <v>1064</v>
      </c>
      <c r="AC24" s="125">
        <f>IF('Quant. mod. (oc)'!AC24&lt;0,0,'Quant. mod. (oc)'!AC24)</f>
        <v>1092</v>
      </c>
      <c r="AD24" s="125">
        <f>IF('Quant. mod. (oc)'!AD24&lt;0,0,'Quant. mod. (oc)'!AD24)</f>
        <v>1015</v>
      </c>
      <c r="AE24" s="125">
        <f>IF('Quant. mod. (oc)'!AE24&lt;0,0,'Quant. mod. (oc)'!AE24)</f>
        <v>1092</v>
      </c>
      <c r="AF24" s="125">
        <f>IF('Quant. mod. (oc)'!AF24&lt;0,0,'Quant. mod. (oc)'!AF24)</f>
        <v>1092</v>
      </c>
      <c r="AG24" s="126">
        <f>IF('Quant. mod. (oc)'!AG24&lt;0,0,'Quant. mod. (oc)'!AG24)</f>
        <v>1116</v>
      </c>
      <c r="AH24" s="22"/>
    </row>
    <row r="25" spans="1:34" x14ac:dyDescent="0.25">
      <c r="A25" s="112"/>
      <c r="B25" s="120" t="s">
        <v>501</v>
      </c>
      <c r="C25" s="121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  <c r="AH25" s="22"/>
    </row>
    <row r="26" spans="1:34" ht="25.5" x14ac:dyDescent="0.25">
      <c r="A26" s="112"/>
      <c r="B26" s="270" t="s">
        <v>505</v>
      </c>
      <c r="C26" s="67" t="s">
        <v>57</v>
      </c>
      <c r="D26" s="125">
        <f>IF('Quant. mod. (oc)'!D26&lt;0,0,'Quant. mod. (oc)'!D26)</f>
        <v>770</v>
      </c>
      <c r="E26" s="125">
        <f>IF('Quant. mod. (oc)'!E26&lt;0,0,'Quant. mod. (oc)'!E26)</f>
        <v>1176</v>
      </c>
      <c r="F26" s="125">
        <f>IF('Quant. mod. (oc)'!F26&lt;0,0,'Quant. mod. (oc)'!F26)</f>
        <v>144</v>
      </c>
      <c r="G26" s="125">
        <f>IF('Quant. mod. (oc)'!G26&lt;0,0,'Quant. mod. (oc)'!G26)</f>
        <v>770</v>
      </c>
      <c r="H26" s="125">
        <f>IF('Quant. mod. (oc)'!H26&lt;0,0,'Quant. mod. (oc)'!H26)</f>
        <v>1176</v>
      </c>
      <c r="I26" s="125">
        <f>IF('Quant. mod. (oc)'!I26&lt;0,0,'Quant. mod. (oc)'!I26)</f>
        <v>144</v>
      </c>
      <c r="J26" s="125">
        <f>IF('Quant. mod. (oc)'!J26&lt;0,0,'Quant. mod. (oc)'!J26)</f>
        <v>770</v>
      </c>
      <c r="K26" s="125">
        <f>IF('Quant. mod. (oc)'!K26&lt;0,0,'Quant. mod. (oc)'!K26)</f>
        <v>144</v>
      </c>
      <c r="L26" s="125">
        <f>IF('Quant. mod. (oc)'!L26&lt;0,0,'Quant. mod. (oc)'!L26)</f>
        <v>770</v>
      </c>
      <c r="M26" s="125">
        <f>IF('Quant. mod. (oc)'!M26&lt;0,0,'Quant. mod. (oc)'!M26)</f>
        <v>156</v>
      </c>
      <c r="N26" s="125">
        <f>IF('Quant. mod. (oc)'!N26&lt;0,0,'Quant. mod. (oc)'!N26)</f>
        <v>630</v>
      </c>
      <c r="O26" s="125">
        <f>IF('Quant. mod. (oc)'!O26&lt;0,0,'Quant. mod. (oc)'!O26)</f>
        <v>851</v>
      </c>
      <c r="P26" s="125">
        <f>IF('Quant. mod. (oc)'!P26&lt;0,0,'Quant. mod. (oc)'!P26)</f>
        <v>156</v>
      </c>
      <c r="Q26" s="125">
        <f>IF('Quant. mod. (oc)'!Q26&lt;0,0,'Quant. mod. (oc)'!Q26)</f>
        <v>630</v>
      </c>
      <c r="R26" s="125">
        <f>IF('Quant. mod. (oc)'!R26&lt;0,0,'Quant. mod. (oc)'!R26)</f>
        <v>874</v>
      </c>
      <c r="S26" s="125">
        <f>IF('Quant. mod. (oc)'!S26&lt;0,0,'Quant. mod. (oc)'!S26)</f>
        <v>156</v>
      </c>
      <c r="T26" s="125">
        <f>IF('Quant. mod. (oc)'!T26&lt;0,0,'Quant. mod. (oc)'!T26)</f>
        <v>630</v>
      </c>
      <c r="U26" s="125">
        <f>IF('Quant. mod. (oc)'!U26&lt;0,0,'Quant. mod. (oc)'!U26)</f>
        <v>156</v>
      </c>
      <c r="V26" s="125">
        <f>IF('Quant. mod. (oc)'!V26&lt;0,0,'Quant. mod. (oc)'!V26)</f>
        <v>630</v>
      </c>
      <c r="W26" s="125">
        <f>IF('Quant. mod. (oc)'!W26&lt;0,0,'Quant. mod. (oc)'!W26)</f>
        <v>156</v>
      </c>
      <c r="X26" s="125">
        <f>IF('Quant. mod. (oc)'!X26&lt;0,0,'Quant. mod. (oc)'!X26)</f>
        <v>630</v>
      </c>
      <c r="Y26" s="125">
        <f>IF('Quant. mod. (oc)'!Y26&lt;0,0,'Quant. mod. (oc)'!Y26)</f>
        <v>851</v>
      </c>
      <c r="Z26" s="125">
        <f>IF('Quant. mod. (oc)'!Z26&lt;0,0,'Quant. mod. (oc)'!Z26)</f>
        <v>132</v>
      </c>
      <c r="AA26" s="125">
        <f>IF('Quant. mod. (oc)'!AA26&lt;0,0,'Quant. mod. (oc)'!AA26)</f>
        <v>612</v>
      </c>
      <c r="AB26" s="125">
        <f>IF('Quant. mod. (oc)'!AB26&lt;0,0,'Quant. mod. (oc)'!AB26)</f>
        <v>874</v>
      </c>
      <c r="AC26" s="125">
        <f>IF('Quant. mod. (oc)'!AC26&lt;0,0,'Quant. mod. (oc)'!AC26)</f>
        <v>132</v>
      </c>
      <c r="AD26" s="125">
        <f>IF('Quant. mod. (oc)'!AD26&lt;0,0,'Quant. mod. (oc)'!AD26)</f>
        <v>630</v>
      </c>
      <c r="AE26" s="125">
        <f>IF('Quant. mod. (oc)'!AE26&lt;0,0,'Quant. mod. (oc)'!AE26)</f>
        <v>132</v>
      </c>
      <c r="AF26" s="125">
        <f>IF('Quant. mod. (oc)'!AF26&lt;0,0,'Quant. mod. (oc)'!AF26)</f>
        <v>132</v>
      </c>
      <c r="AG26" s="126">
        <f>IF('Quant. mod. (oc)'!AG26&lt;0,0,'Quant. mod. (oc)'!AG26)</f>
        <v>144</v>
      </c>
      <c r="AH26" s="22"/>
    </row>
    <row r="27" spans="1:34" x14ac:dyDescent="0.25">
      <c r="A27" s="112"/>
      <c r="B27" s="270" t="s">
        <v>58</v>
      </c>
      <c r="C27" s="67" t="s">
        <v>57</v>
      </c>
      <c r="D27" s="125">
        <f>IF('Quant. mod. (oc)'!D27&lt;0,0,'Quant. mod. (oc)'!D27)</f>
        <v>770</v>
      </c>
      <c r="E27" s="125">
        <f>IF('Quant. mod. (oc)'!E27&lt;0,0,'Quant. mod. (oc)'!E27)</f>
        <v>1176</v>
      </c>
      <c r="F27" s="125">
        <f>IF('Quant. mod. (oc)'!F27&lt;0,0,'Quant. mod. (oc)'!F27)</f>
        <v>144</v>
      </c>
      <c r="G27" s="125">
        <f>IF('Quant. mod. (oc)'!G27&lt;0,0,'Quant. mod. (oc)'!G27)</f>
        <v>770</v>
      </c>
      <c r="H27" s="125">
        <f>IF('Quant. mod. (oc)'!H27&lt;0,0,'Quant. mod. (oc)'!H27)</f>
        <v>1176</v>
      </c>
      <c r="I27" s="125">
        <f>IF('Quant. mod. (oc)'!I27&lt;0,0,'Quant. mod. (oc)'!I27)</f>
        <v>144</v>
      </c>
      <c r="J27" s="125">
        <f>IF('Quant. mod. (oc)'!J27&lt;0,0,'Quant. mod. (oc)'!J27)</f>
        <v>770</v>
      </c>
      <c r="K27" s="125">
        <f>IF('Quant. mod. (oc)'!K27&lt;0,0,'Quant. mod. (oc)'!K27)</f>
        <v>144</v>
      </c>
      <c r="L27" s="125">
        <f>IF('Quant. mod. (oc)'!L27&lt;0,0,'Quant. mod. (oc)'!L27)</f>
        <v>770</v>
      </c>
      <c r="M27" s="125">
        <f>IF('Quant. mod. (oc)'!M27&lt;0,0,'Quant. mod. (oc)'!M27)</f>
        <v>156</v>
      </c>
      <c r="N27" s="125">
        <f>IF('Quant. mod. (oc)'!N27&lt;0,0,'Quant. mod. (oc)'!N27)</f>
        <v>630</v>
      </c>
      <c r="O27" s="125">
        <f>IF('Quant. mod. (oc)'!O27&lt;0,0,'Quant. mod. (oc)'!O27)</f>
        <v>851</v>
      </c>
      <c r="P27" s="125">
        <f>IF('Quant. mod. (oc)'!P27&lt;0,0,'Quant. mod. (oc)'!P27)</f>
        <v>156</v>
      </c>
      <c r="Q27" s="125">
        <f>IF('Quant. mod. (oc)'!Q27&lt;0,0,'Quant. mod. (oc)'!Q27)</f>
        <v>630</v>
      </c>
      <c r="R27" s="125">
        <f>IF('Quant. mod. (oc)'!R27&lt;0,0,'Quant. mod. (oc)'!R27)</f>
        <v>874</v>
      </c>
      <c r="S27" s="125">
        <f>IF('Quant. mod. (oc)'!S27&lt;0,0,'Quant. mod. (oc)'!S27)</f>
        <v>156</v>
      </c>
      <c r="T27" s="125">
        <f>IF('Quant. mod. (oc)'!T27&lt;0,0,'Quant. mod. (oc)'!T27)</f>
        <v>630</v>
      </c>
      <c r="U27" s="125">
        <f>IF('Quant. mod. (oc)'!U27&lt;0,0,'Quant. mod. (oc)'!U27)</f>
        <v>156</v>
      </c>
      <c r="V27" s="125">
        <f>IF('Quant. mod. (oc)'!V27&lt;0,0,'Quant. mod. (oc)'!V27)</f>
        <v>630</v>
      </c>
      <c r="W27" s="125">
        <f>IF('Quant. mod. (oc)'!W27&lt;0,0,'Quant. mod. (oc)'!W27)</f>
        <v>156</v>
      </c>
      <c r="X27" s="125">
        <f>IF('Quant. mod. (oc)'!X27&lt;0,0,'Quant. mod. (oc)'!X27)</f>
        <v>630</v>
      </c>
      <c r="Y27" s="125">
        <f>IF('Quant. mod. (oc)'!Y27&lt;0,0,'Quant. mod. (oc)'!Y27)</f>
        <v>851</v>
      </c>
      <c r="Z27" s="125">
        <f>IF('Quant. mod. (oc)'!Z27&lt;0,0,'Quant. mod. (oc)'!Z27)</f>
        <v>132</v>
      </c>
      <c r="AA27" s="125">
        <f>IF('Quant. mod. (oc)'!AA27&lt;0,0,'Quant. mod. (oc)'!AA27)</f>
        <v>612</v>
      </c>
      <c r="AB27" s="125">
        <f>IF('Quant. mod. (oc)'!AB27&lt;0,0,'Quant. mod. (oc)'!AB27)</f>
        <v>874</v>
      </c>
      <c r="AC27" s="125">
        <f>IF('Quant. mod. (oc)'!AC27&lt;0,0,'Quant. mod. (oc)'!AC27)</f>
        <v>132</v>
      </c>
      <c r="AD27" s="125">
        <f>IF('Quant. mod. (oc)'!AD27&lt;0,0,'Quant. mod. (oc)'!AD27)</f>
        <v>630</v>
      </c>
      <c r="AE27" s="125">
        <f>IF('Quant. mod. (oc)'!AE27&lt;0,0,'Quant. mod. (oc)'!AE27)</f>
        <v>132</v>
      </c>
      <c r="AF27" s="125">
        <f>IF('Quant. mod. (oc)'!AF27&lt;0,0,'Quant. mod. (oc)'!AF27)</f>
        <v>132</v>
      </c>
      <c r="AG27" s="126">
        <f>IF('Quant. mod. (oc)'!AG27&lt;0,0,'Quant. mod. (oc)'!AG27)</f>
        <v>144</v>
      </c>
      <c r="AH27" s="22"/>
    </row>
    <row r="28" spans="1:34" ht="38.25" x14ac:dyDescent="0.25">
      <c r="A28" s="112"/>
      <c r="B28" s="270" t="s">
        <v>292</v>
      </c>
      <c r="C28" s="67" t="s">
        <v>57</v>
      </c>
      <c r="D28" s="125">
        <f>IF('Quant. mod. (oc)'!D28&lt;0,0,'Quant. mod. (oc)'!D28)</f>
        <v>165.89999999999978</v>
      </c>
      <c r="E28" s="125">
        <f>IF('Quant. mod. (oc)'!E28&lt;0,0,'Quant. mod. (oc)'!E28)</f>
        <v>205.79999999999998</v>
      </c>
      <c r="F28" s="125">
        <f>IF('Quant. mod. (oc)'!F28&lt;0,0,'Quant. mod. (oc)'!F28)</f>
        <v>50.4</v>
      </c>
      <c r="G28" s="125">
        <f>IF('Quant. mod. (oc)'!G28&lt;0,0,'Quant. mod. (oc)'!G28)</f>
        <v>165.9</v>
      </c>
      <c r="H28" s="125">
        <f>IF('Quant. mod. (oc)'!H28&lt;0,0,'Quant. mod. (oc)'!H28)</f>
        <v>205.8</v>
      </c>
      <c r="I28" s="125">
        <f>IF('Quant. mod. (oc)'!I28&lt;0,0,'Quant. mod. (oc)'!I28)</f>
        <v>50.4</v>
      </c>
      <c r="J28" s="125">
        <f>IF('Quant. mod. (oc)'!J28&lt;0,0,'Quant. mod. (oc)'!J28)</f>
        <v>165.89999999999978</v>
      </c>
      <c r="K28" s="125">
        <f>IF('Quant. mod. (oc)'!K28&lt;0,0,'Quant. mod. (oc)'!K28)</f>
        <v>50.4</v>
      </c>
      <c r="L28" s="125">
        <f>IF('Quant. mod. (oc)'!L28&lt;0,0,'Quant. mod. (oc)'!L28)</f>
        <v>165.9</v>
      </c>
      <c r="M28" s="125">
        <f>IF('Quant. mod. (oc)'!M28&lt;0,0,'Quant. mod. (oc)'!M28)</f>
        <v>52.5</v>
      </c>
      <c r="N28" s="125">
        <f>IF('Quant. mod. (oc)'!N28&lt;0,0,'Quant. mod. (oc)'!N28)</f>
        <v>149.1</v>
      </c>
      <c r="O28" s="125">
        <f>IF('Quant. mod. (oc)'!O28&lt;0,0,'Quant. mod. (oc)'!O28)</f>
        <v>174.3</v>
      </c>
      <c r="P28" s="125">
        <f>IF('Quant. mod. (oc)'!P28&lt;0,0,'Quant. mod. (oc)'!P28)</f>
        <v>52.5</v>
      </c>
      <c r="Q28" s="125">
        <f>IF('Quant. mod. (oc)'!Q28&lt;0,0,'Quant. mod. (oc)'!Q28)</f>
        <v>149.1</v>
      </c>
      <c r="R28" s="125">
        <f>IF('Quant. mod. (oc)'!R28&lt;0,0,'Quant. mod. (oc)'!R28)</f>
        <v>176.4</v>
      </c>
      <c r="S28" s="125">
        <f>IF('Quant. mod. (oc)'!S28&lt;0,0,'Quant. mod. (oc)'!S28)</f>
        <v>52.5</v>
      </c>
      <c r="T28" s="125">
        <f>IF('Quant. mod. (oc)'!T28&lt;0,0,'Quant. mod. (oc)'!T28)</f>
        <v>149.1</v>
      </c>
      <c r="U28" s="125">
        <f>IF('Quant. mod. (oc)'!U28&lt;0,0,'Quant. mod. (oc)'!U28)</f>
        <v>52.5</v>
      </c>
      <c r="V28" s="125">
        <f>IF('Quant. mod. (oc)'!V28&lt;0,0,'Quant. mod. (oc)'!V28)</f>
        <v>149.1</v>
      </c>
      <c r="W28" s="125">
        <f>IF('Quant. mod. (oc)'!W28&lt;0,0,'Quant. mod. (oc)'!W28)</f>
        <v>52.5</v>
      </c>
      <c r="X28" s="125">
        <f>IF('Quant. mod. (oc)'!X28&lt;0,0,'Quant. mod. (oc)'!X28)</f>
        <v>149.1</v>
      </c>
      <c r="Y28" s="125">
        <f>IF('Quant. mod. (oc)'!Y28&lt;0,0,'Quant. mod. (oc)'!Y28)</f>
        <v>174.3</v>
      </c>
      <c r="Z28" s="125">
        <f>IF('Quant. mod. (oc)'!Z28&lt;0,0,'Quant. mod. (oc)'!Z28)</f>
        <v>48.300000000000004</v>
      </c>
      <c r="AA28" s="125">
        <f>IF('Quant. mod. (oc)'!AA28&lt;0,0,'Quant. mod. (oc)'!AA28)</f>
        <v>147</v>
      </c>
      <c r="AB28" s="125">
        <f>IF('Quant. mod. (oc)'!AB28&lt;0,0,'Quant. mod. (oc)'!AB28)</f>
        <v>176.4</v>
      </c>
      <c r="AC28" s="125">
        <f>IF('Quant. mod. (oc)'!AC28&lt;0,0,'Quant. mod. (oc)'!AC28)</f>
        <v>48.3</v>
      </c>
      <c r="AD28" s="125">
        <f>IF('Quant. mod. (oc)'!AD28&lt;0,0,'Quant. mod. (oc)'!AD28)</f>
        <v>149.1</v>
      </c>
      <c r="AE28" s="125">
        <f>IF('Quant. mod. (oc)'!AE28&lt;0,0,'Quant. mod. (oc)'!AE28)</f>
        <v>48.3</v>
      </c>
      <c r="AF28" s="125">
        <f>IF('Quant. mod. (oc)'!AF28&lt;0,0,'Quant. mod. (oc)'!AF28)</f>
        <v>48.3</v>
      </c>
      <c r="AG28" s="126">
        <f>IF('Quant. mod. (oc)'!AG28&lt;0,0,'Quant. mod. (oc)'!AG28)</f>
        <v>50.4</v>
      </c>
      <c r="AH28" s="22"/>
    </row>
    <row r="29" spans="1:34" ht="25.5" x14ac:dyDescent="0.25">
      <c r="A29" s="112"/>
      <c r="B29" s="270" t="s">
        <v>61</v>
      </c>
      <c r="C29" s="67" t="s">
        <v>57</v>
      </c>
      <c r="D29" s="125">
        <f>IF('Quant. mod. (oc)'!D29&lt;0,0,'Quant. mod. (oc)'!D29)</f>
        <v>10</v>
      </c>
      <c r="E29" s="125">
        <f>IF('Quant. mod. (oc)'!E29&lt;0,0,'Quant. mod. (oc)'!E29)</f>
        <v>10</v>
      </c>
      <c r="F29" s="125">
        <f>IF('Quant. mod. (oc)'!F29&lt;0,0,'Quant. mod. (oc)'!F29)</f>
        <v>10</v>
      </c>
      <c r="G29" s="125">
        <f>IF('Quant. mod. (oc)'!G29&lt;0,0,'Quant. mod. (oc)'!G29)</f>
        <v>10</v>
      </c>
      <c r="H29" s="125">
        <f>IF('Quant. mod. (oc)'!H29&lt;0,0,'Quant. mod. (oc)'!H29)</f>
        <v>10</v>
      </c>
      <c r="I29" s="125">
        <f>IF('Quant. mod. (oc)'!I29&lt;0,0,'Quant. mod. (oc)'!I29)</f>
        <v>10</v>
      </c>
      <c r="J29" s="125">
        <f>IF('Quant. mod. (oc)'!J29&lt;0,0,'Quant. mod. (oc)'!J29)</f>
        <v>10</v>
      </c>
      <c r="K29" s="125">
        <f>IF('Quant. mod. (oc)'!K29&lt;0,0,'Quant. mod. (oc)'!K29)</f>
        <v>10</v>
      </c>
      <c r="L29" s="125">
        <f>IF('Quant. mod. (oc)'!L29&lt;0,0,'Quant. mod. (oc)'!L29)</f>
        <v>10</v>
      </c>
      <c r="M29" s="125">
        <f>IF('Quant. mod. (oc)'!M29&lt;0,0,'Quant. mod. (oc)'!M29)</f>
        <v>10</v>
      </c>
      <c r="N29" s="125">
        <f>IF('Quant. mod. (oc)'!N29&lt;0,0,'Quant. mod. (oc)'!N29)</f>
        <v>10</v>
      </c>
      <c r="O29" s="125">
        <f>IF('Quant. mod. (oc)'!O29&lt;0,0,'Quant. mod. (oc)'!O29)</f>
        <v>10</v>
      </c>
      <c r="P29" s="125">
        <f>IF('Quant. mod. (oc)'!P29&lt;0,0,'Quant. mod. (oc)'!P29)</f>
        <v>10</v>
      </c>
      <c r="Q29" s="125">
        <f>IF('Quant. mod. (oc)'!Q29&lt;0,0,'Quant. mod. (oc)'!Q29)</f>
        <v>10</v>
      </c>
      <c r="R29" s="125">
        <f>IF('Quant. mod. (oc)'!R29&lt;0,0,'Quant. mod. (oc)'!R29)</f>
        <v>10</v>
      </c>
      <c r="S29" s="125">
        <f>IF('Quant. mod. (oc)'!S29&lt;0,0,'Quant. mod. (oc)'!S29)</f>
        <v>10</v>
      </c>
      <c r="T29" s="125">
        <f>IF('Quant. mod. (oc)'!T29&lt;0,0,'Quant. mod. (oc)'!T29)</f>
        <v>10</v>
      </c>
      <c r="U29" s="125">
        <f>IF('Quant. mod. (oc)'!U29&lt;0,0,'Quant. mod. (oc)'!U29)</f>
        <v>10</v>
      </c>
      <c r="V29" s="125">
        <f>IF('Quant. mod. (oc)'!V29&lt;0,0,'Quant. mod. (oc)'!V29)</f>
        <v>10</v>
      </c>
      <c r="W29" s="125">
        <f>IF('Quant. mod. (oc)'!W29&lt;0,0,'Quant. mod. (oc)'!W29)</f>
        <v>10</v>
      </c>
      <c r="X29" s="125">
        <f>IF('Quant. mod. (oc)'!X29&lt;0,0,'Quant. mod. (oc)'!X29)</f>
        <v>10</v>
      </c>
      <c r="Y29" s="125">
        <f>IF('Quant. mod. (oc)'!Y29&lt;0,0,'Quant. mod. (oc)'!Y29)</f>
        <v>10</v>
      </c>
      <c r="Z29" s="125">
        <f>IF('Quant. mod. (oc)'!Z29&lt;0,0,'Quant. mod. (oc)'!Z29)</f>
        <v>10</v>
      </c>
      <c r="AA29" s="125">
        <f>IF('Quant. mod. (oc)'!AA29&lt;0,0,'Quant. mod. (oc)'!AA29)</f>
        <v>10</v>
      </c>
      <c r="AB29" s="125">
        <f>IF('Quant. mod. (oc)'!AB29&lt;0,0,'Quant. mod. (oc)'!AB29)</f>
        <v>10</v>
      </c>
      <c r="AC29" s="125">
        <f>IF('Quant. mod. (oc)'!AC29&lt;0,0,'Quant. mod. (oc)'!AC29)</f>
        <v>10</v>
      </c>
      <c r="AD29" s="125">
        <f>IF('Quant. mod. (oc)'!AD29&lt;0,0,'Quant. mod. (oc)'!AD29)</f>
        <v>10</v>
      </c>
      <c r="AE29" s="125">
        <f>IF('Quant. mod. (oc)'!AE29&lt;0,0,'Quant. mod. (oc)'!AE29)</f>
        <v>10</v>
      </c>
      <c r="AF29" s="125">
        <f>IF('Quant. mod. (oc)'!AF29&lt;0,0,'Quant. mod. (oc)'!AF29)</f>
        <v>10</v>
      </c>
      <c r="AG29" s="126">
        <f>IF('Quant. mod. (oc)'!AG29&lt;0,0,'Quant. mod. (oc)'!AG29)</f>
        <v>10</v>
      </c>
      <c r="AH29" s="22"/>
    </row>
    <row r="30" spans="1:34" ht="25.5" x14ac:dyDescent="0.25">
      <c r="A30" s="112"/>
      <c r="B30" s="270" t="s">
        <v>506</v>
      </c>
      <c r="C30" s="67" t="s">
        <v>60</v>
      </c>
      <c r="D30" s="125">
        <f>IF('Quant. mod. (oc)'!D30&lt;0,0,ROUND('Quant. mod. (oc)'!D30,0))</f>
        <v>1</v>
      </c>
      <c r="E30" s="125">
        <f>IF('Quant. mod. (oc)'!E30&lt;0,0,ROUND('Quant. mod. (oc)'!E30,0))</f>
        <v>1</v>
      </c>
      <c r="F30" s="125">
        <f>IF('Quant. mod. (oc)'!F30&lt;0,0,ROUND('Quant. mod. (oc)'!F30,0))</f>
        <v>1</v>
      </c>
      <c r="G30" s="125">
        <f>IF('Quant. mod. (oc)'!G30&lt;0,0,ROUND('Quant. mod. (oc)'!G30,0))</f>
        <v>1</v>
      </c>
      <c r="H30" s="125">
        <f>IF('Quant. mod. (oc)'!H30&lt;0,0,ROUND('Quant. mod. (oc)'!H30,0))</f>
        <v>1</v>
      </c>
      <c r="I30" s="125">
        <f>IF('Quant. mod. (oc)'!I30&lt;0,0,ROUND('Quant. mod. (oc)'!I30,0))</f>
        <v>1</v>
      </c>
      <c r="J30" s="125">
        <f>IF('Quant. mod. (oc)'!J30&lt;0,0,ROUND('Quant. mod. (oc)'!J30,0))</f>
        <v>1</v>
      </c>
      <c r="K30" s="125">
        <f>IF('Quant. mod. (oc)'!K30&lt;0,0,ROUND('Quant. mod. (oc)'!K30,0))</f>
        <v>1</v>
      </c>
      <c r="L30" s="125">
        <f>IF('Quant. mod. (oc)'!L30&lt;0,0,ROUND('Quant. mod. (oc)'!L30,0))</f>
        <v>1</v>
      </c>
      <c r="M30" s="125">
        <f>IF('Quant. mod. (oc)'!M30&lt;0,0,ROUND('Quant. mod. (oc)'!M30,0))</f>
        <v>1</v>
      </c>
      <c r="N30" s="125">
        <f>IF('Quant. mod. (oc)'!N30&lt;0,0,ROUND('Quant. mod. (oc)'!N30,0))</f>
        <v>1</v>
      </c>
      <c r="O30" s="125">
        <f>IF('Quant. mod. (oc)'!O30&lt;0,0,ROUND('Quant. mod. (oc)'!O30,0))</f>
        <v>1</v>
      </c>
      <c r="P30" s="125">
        <f>IF('Quant. mod. (oc)'!P30&lt;0,0,ROUND('Quant. mod. (oc)'!P30,0))</f>
        <v>1</v>
      </c>
      <c r="Q30" s="125">
        <f>IF('Quant. mod. (oc)'!Q30&lt;0,0,ROUND('Quant. mod. (oc)'!Q30,0))</f>
        <v>1</v>
      </c>
      <c r="R30" s="125">
        <f>IF('Quant. mod. (oc)'!R30&lt;0,0,ROUND('Quant. mod. (oc)'!R30,0))</f>
        <v>1</v>
      </c>
      <c r="S30" s="125">
        <f>IF('Quant. mod. (oc)'!S30&lt;0,0,ROUND('Quant. mod. (oc)'!S30,0))</f>
        <v>1</v>
      </c>
      <c r="T30" s="125">
        <f>IF('Quant. mod. (oc)'!T30&lt;0,0,ROUND('Quant. mod. (oc)'!T30,0))</f>
        <v>1</v>
      </c>
      <c r="U30" s="125">
        <f>IF('Quant. mod. (oc)'!U30&lt;0,0,ROUND('Quant. mod. (oc)'!U30,0))</f>
        <v>1</v>
      </c>
      <c r="V30" s="125">
        <f>IF('Quant. mod. (oc)'!V30&lt;0,0,ROUND('Quant. mod. (oc)'!V30,0))</f>
        <v>1</v>
      </c>
      <c r="W30" s="125">
        <f>IF('Quant. mod. (oc)'!W30&lt;0,0,ROUND('Quant. mod. (oc)'!W30,0))</f>
        <v>1</v>
      </c>
      <c r="X30" s="125">
        <f>IF('Quant. mod. (oc)'!X30&lt;0,0,ROUND('Quant. mod. (oc)'!X30,0))</f>
        <v>1</v>
      </c>
      <c r="Y30" s="125">
        <f>IF('Quant. mod. (oc)'!Y30&lt;0,0,ROUND('Quant. mod. (oc)'!Y30,0))</f>
        <v>1</v>
      </c>
      <c r="Z30" s="125">
        <f>IF('Quant. mod. (oc)'!Z30&lt;0,0,ROUND('Quant. mod. (oc)'!Z30,0))</f>
        <v>1</v>
      </c>
      <c r="AA30" s="125">
        <f>IF('Quant. mod. (oc)'!AA30&lt;0,0,ROUND('Quant. mod. (oc)'!AA30,0))</f>
        <v>1</v>
      </c>
      <c r="AB30" s="125">
        <f>IF('Quant. mod. (oc)'!AB30&lt;0,0,ROUND('Quant. mod. (oc)'!AB30,0))</f>
        <v>1</v>
      </c>
      <c r="AC30" s="125">
        <f>IF('Quant. mod. (oc)'!AC30&lt;0,0,ROUND('Quant. mod. (oc)'!AC30,0))</f>
        <v>1</v>
      </c>
      <c r="AD30" s="125">
        <f>IF('Quant. mod. (oc)'!AD30&lt;0,0,ROUND('Quant. mod. (oc)'!AD30,0))</f>
        <v>1</v>
      </c>
      <c r="AE30" s="125">
        <f>IF('Quant. mod. (oc)'!AE30&lt;0,0,ROUND('Quant. mod. (oc)'!AE30,0))</f>
        <v>1</v>
      </c>
      <c r="AF30" s="125">
        <f>IF('Quant. mod. (oc)'!AF30&lt;0,0,ROUND('Quant. mod. (oc)'!AF30,0))</f>
        <v>1</v>
      </c>
      <c r="AG30" s="126">
        <f>IF('Quant. mod. (oc)'!AG30&lt;0,0,ROUND('Quant. mod. (oc)'!AG30,0))</f>
        <v>1</v>
      </c>
      <c r="AH30" s="22"/>
    </row>
    <row r="31" spans="1:34" ht="25.5" x14ac:dyDescent="0.25">
      <c r="A31" s="112"/>
      <c r="B31" s="270" t="s">
        <v>62</v>
      </c>
      <c r="C31" s="67" t="s">
        <v>57</v>
      </c>
      <c r="D31" s="125">
        <f>IF('Quant. mod. (oc)'!D31&lt;0,0,'Quant. mod. (oc)'!D31)</f>
        <v>770</v>
      </c>
      <c r="E31" s="125">
        <f>IF('Quant. mod. (oc)'!E31&lt;0,0,'Quant. mod. (oc)'!E31)</f>
        <v>1176</v>
      </c>
      <c r="F31" s="125">
        <f>IF('Quant. mod. (oc)'!F31&lt;0,0,'Quant. mod. (oc)'!F31)</f>
        <v>144</v>
      </c>
      <c r="G31" s="125">
        <f>IF('Quant. mod. (oc)'!G31&lt;0,0,'Quant. mod. (oc)'!G31)</f>
        <v>770</v>
      </c>
      <c r="H31" s="125">
        <f>IF('Quant. mod. (oc)'!H31&lt;0,0,'Quant. mod. (oc)'!H31)</f>
        <v>1176</v>
      </c>
      <c r="I31" s="125">
        <f>IF('Quant. mod. (oc)'!I31&lt;0,0,'Quant. mod. (oc)'!I31)</f>
        <v>144</v>
      </c>
      <c r="J31" s="125">
        <f>IF('Quant. mod. (oc)'!J31&lt;0,0,'Quant. mod. (oc)'!J31)</f>
        <v>770</v>
      </c>
      <c r="K31" s="125">
        <f>IF('Quant. mod. (oc)'!K31&lt;0,0,'Quant. mod. (oc)'!K31)</f>
        <v>144</v>
      </c>
      <c r="L31" s="125">
        <f>IF('Quant. mod. (oc)'!L31&lt;0,0,'Quant. mod. (oc)'!L31)</f>
        <v>770</v>
      </c>
      <c r="M31" s="125">
        <f>IF('Quant. mod. (oc)'!M31&lt;0,0,'Quant. mod. (oc)'!M31)</f>
        <v>156</v>
      </c>
      <c r="N31" s="125">
        <f>IF('Quant. mod. (oc)'!N31&lt;0,0,'Quant. mod. (oc)'!N31)</f>
        <v>630</v>
      </c>
      <c r="O31" s="125">
        <f>IF('Quant. mod. (oc)'!O31&lt;0,0,'Quant. mod. (oc)'!O31)</f>
        <v>851</v>
      </c>
      <c r="P31" s="125">
        <f>IF('Quant. mod. (oc)'!P31&lt;0,0,'Quant. mod. (oc)'!P31)</f>
        <v>156</v>
      </c>
      <c r="Q31" s="125">
        <f>IF('Quant. mod. (oc)'!Q31&lt;0,0,'Quant. mod. (oc)'!Q31)</f>
        <v>630</v>
      </c>
      <c r="R31" s="125">
        <f>IF('Quant. mod. (oc)'!R31&lt;0,0,'Quant. mod. (oc)'!R31)</f>
        <v>874</v>
      </c>
      <c r="S31" s="125">
        <f>IF('Quant. mod. (oc)'!S31&lt;0,0,'Quant. mod. (oc)'!S31)</f>
        <v>156</v>
      </c>
      <c r="T31" s="125">
        <f>IF('Quant. mod. (oc)'!T31&lt;0,0,'Quant. mod. (oc)'!T31)</f>
        <v>630</v>
      </c>
      <c r="U31" s="125">
        <f>IF('Quant. mod. (oc)'!U31&lt;0,0,'Quant. mod. (oc)'!U31)</f>
        <v>156</v>
      </c>
      <c r="V31" s="125">
        <f>IF('Quant. mod. (oc)'!V31&lt;0,0,'Quant. mod. (oc)'!V31)</f>
        <v>630</v>
      </c>
      <c r="W31" s="125">
        <f>IF('Quant. mod. (oc)'!W31&lt;0,0,'Quant. mod. (oc)'!W31)</f>
        <v>156</v>
      </c>
      <c r="X31" s="125">
        <f>IF('Quant. mod. (oc)'!X31&lt;0,0,'Quant. mod. (oc)'!X31)</f>
        <v>630</v>
      </c>
      <c r="Y31" s="125">
        <f>IF('Quant. mod. (oc)'!Y31&lt;0,0,'Quant. mod. (oc)'!Y31)</f>
        <v>851</v>
      </c>
      <c r="Z31" s="125">
        <f>IF('Quant. mod. (oc)'!Z31&lt;0,0,'Quant. mod. (oc)'!Z31)</f>
        <v>132</v>
      </c>
      <c r="AA31" s="125">
        <f>IF('Quant. mod. (oc)'!AA31&lt;0,0,'Quant. mod. (oc)'!AA31)</f>
        <v>612</v>
      </c>
      <c r="AB31" s="125">
        <f>IF('Quant. mod. (oc)'!AB31&lt;0,0,'Quant. mod. (oc)'!AB31)</f>
        <v>874</v>
      </c>
      <c r="AC31" s="125">
        <f>IF('Quant. mod. (oc)'!AC31&lt;0,0,'Quant. mod. (oc)'!AC31)</f>
        <v>132</v>
      </c>
      <c r="AD31" s="125">
        <f>IF('Quant. mod. (oc)'!AD31&lt;0,0,'Quant. mod. (oc)'!AD31)</f>
        <v>630</v>
      </c>
      <c r="AE31" s="125">
        <f>IF('Quant. mod. (oc)'!AE31&lt;0,0,'Quant. mod. (oc)'!AE31)</f>
        <v>132</v>
      </c>
      <c r="AF31" s="125">
        <f>IF('Quant. mod. (oc)'!AF31&lt;0,0,'Quant. mod. (oc)'!AF31)</f>
        <v>132</v>
      </c>
      <c r="AG31" s="126">
        <f>IF('Quant. mod. (oc)'!AG31&lt;0,0,'Quant. mod. (oc)'!AG31)</f>
        <v>144</v>
      </c>
      <c r="AH31" s="22"/>
    </row>
    <row r="32" spans="1:34" x14ac:dyDescent="0.25">
      <c r="A32" s="112"/>
      <c r="B32" s="120" t="s">
        <v>507</v>
      </c>
      <c r="C32" s="121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8"/>
      <c r="AH32" s="22"/>
    </row>
    <row r="33" spans="1:34" x14ac:dyDescent="0.25">
      <c r="A33" s="112"/>
      <c r="B33" s="120" t="s">
        <v>508</v>
      </c>
      <c r="C33" s="121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8"/>
      <c r="AH33" s="22"/>
    </row>
    <row r="34" spans="1:34" ht="25.5" x14ac:dyDescent="0.25">
      <c r="A34" s="112"/>
      <c r="B34" s="270" t="s">
        <v>294</v>
      </c>
      <c r="C34" s="67" t="s">
        <v>65</v>
      </c>
      <c r="D34" s="125">
        <f>IF('Quant. mod. (oc)'!D34&lt;0,0,'Quant. mod. (oc)'!D34)</f>
        <v>3.6082999999999998</v>
      </c>
      <c r="E34" s="125">
        <f>IF('Quant. mod. (oc)'!E34&lt;0,0,'Quant. mod. (oc)'!E34)</f>
        <v>3.6617999999999999</v>
      </c>
      <c r="F34" s="125">
        <f>IF('Quant. mod. (oc)'!F34&lt;0,0,'Quant. mod. (oc)'!F34)</f>
        <v>3.0363000000000002</v>
      </c>
      <c r="G34" s="125">
        <f>IF('Quant. mod. (oc)'!G34&lt;0,0,'Quant. mod. (oc)'!G34)</f>
        <v>3.6082999999999998</v>
      </c>
      <c r="H34" s="125">
        <f>IF('Quant. mod. (oc)'!H34&lt;0,0,'Quant. mod. (oc)'!H34)</f>
        <v>3.6617999999999999</v>
      </c>
      <c r="I34" s="125">
        <f>IF('Quant. mod. (oc)'!I34&lt;0,0,'Quant. mod. (oc)'!I34)</f>
        <v>3.0363000000000002</v>
      </c>
      <c r="J34" s="125">
        <f>IF('Quant. mod. (oc)'!J34&lt;0,0,'Quant. mod. (oc)'!J34)</f>
        <v>3.6082999999999998</v>
      </c>
      <c r="K34" s="125">
        <f>IF('Quant. mod. (oc)'!K34&lt;0,0,'Quant. mod. (oc)'!K34)</f>
        <v>3.0363000000000002</v>
      </c>
      <c r="L34" s="125">
        <f>IF('Quant. mod. (oc)'!L34&lt;0,0,'Quant. mod. (oc)'!L34)</f>
        <v>3.6082999999999998</v>
      </c>
      <c r="M34" s="125">
        <f>IF('Quant. mod. (oc)'!M34&lt;0,0,'Quant. mod. (oc)'!M34)</f>
        <v>3.0363000000000002</v>
      </c>
      <c r="N34" s="125">
        <f>IF('Quant. mod. (oc)'!N34&lt;0,0,'Quant. mod. (oc)'!N34)</f>
        <v>1.7665000000000002</v>
      </c>
      <c r="O34" s="125">
        <f>IF('Quant. mod. (oc)'!O34&lt;0,0,'Quant. mod. (oc)'!O34)</f>
        <v>1.7695000000000001</v>
      </c>
      <c r="P34" s="125">
        <f>IF('Quant. mod. (oc)'!P34&lt;0,0,'Quant. mod. (oc)'!P34)</f>
        <v>1.7635000000000001</v>
      </c>
      <c r="Q34" s="125">
        <f>IF('Quant. mod. (oc)'!Q34&lt;0,0,'Quant. mod. (oc)'!Q34)</f>
        <v>1.7665000000000002</v>
      </c>
      <c r="R34" s="125">
        <f>IF('Quant. mod. (oc)'!R34&lt;0,0,'Quant. mod. (oc)'!R34)</f>
        <v>1.7695000000000001</v>
      </c>
      <c r="S34" s="125">
        <f>IF('Quant. mod. (oc)'!S34&lt;0,0,'Quant. mod. (oc)'!S34)</f>
        <v>1.7635000000000001</v>
      </c>
      <c r="T34" s="125">
        <f>IF('Quant. mod. (oc)'!T34&lt;0,0,'Quant. mod. (oc)'!T34)</f>
        <v>1.7665000000000002</v>
      </c>
      <c r="U34" s="125">
        <f>IF('Quant. mod. (oc)'!U34&lt;0,0,'Quant. mod. (oc)'!U34)</f>
        <v>1.7665000000000002</v>
      </c>
      <c r="V34" s="125">
        <f>IF('Quant. mod. (oc)'!V34&lt;0,0,'Quant. mod. (oc)'!V34)</f>
        <v>1.7665000000000002</v>
      </c>
      <c r="W34" s="125">
        <f>IF('Quant. mod. (oc)'!W34&lt;0,0,'Quant. mod. (oc)'!W34)</f>
        <v>1.7665000000000002</v>
      </c>
      <c r="X34" s="125">
        <f>IF('Quant. mod. (oc)'!X34&lt;0,0,'Quant. mod. (oc)'!X34)</f>
        <v>2.6048999999999998</v>
      </c>
      <c r="Y34" s="125">
        <f>IF('Quant. mod. (oc)'!Y34&lt;0,0,'Quant. mod. (oc)'!Y34)</f>
        <v>2.6048999999999998</v>
      </c>
      <c r="Z34" s="125">
        <f>IF('Quant. mod. (oc)'!Z34&lt;0,0,'Quant. mod. (oc)'!Z34)</f>
        <v>2.6048999999999998</v>
      </c>
      <c r="AA34" s="125">
        <f>IF('Quant. mod. (oc)'!AA34&lt;0,0,'Quant. mod. (oc)'!AA34)</f>
        <v>2.6048999999999998</v>
      </c>
      <c r="AB34" s="125">
        <f>IF('Quant. mod. (oc)'!AB34&lt;0,0,'Quant. mod. (oc)'!AB34)</f>
        <v>2.6048999999999998</v>
      </c>
      <c r="AC34" s="125">
        <f>IF('Quant. mod. (oc)'!AC34&lt;0,0,'Quant. mod. (oc)'!AC34)</f>
        <v>2.6048999999999998</v>
      </c>
      <c r="AD34" s="125">
        <f>IF('Quant. mod. (oc)'!AD34&lt;0,0,'Quant. mod. (oc)'!AD34)</f>
        <v>2.6048999999999998</v>
      </c>
      <c r="AE34" s="125">
        <f>IF('Quant. mod. (oc)'!AE34&lt;0,0,'Quant. mod. (oc)'!AE34)</f>
        <v>2.6048999999999998</v>
      </c>
      <c r="AF34" s="125">
        <f>IF('Quant. mod. (oc)'!AF34&lt;0,0,'Quant. mod. (oc)'!AF34)</f>
        <v>2.6048999999999998</v>
      </c>
      <c r="AG34" s="126">
        <f>IF('Quant. mod. (oc)'!AG34&lt;0,0,'Quant. mod. (oc)'!AG34)</f>
        <v>2.6048999999999998</v>
      </c>
      <c r="AH34" s="22"/>
    </row>
    <row r="35" spans="1:34" x14ac:dyDescent="0.25">
      <c r="A35" s="112"/>
      <c r="B35" s="270" t="s">
        <v>290</v>
      </c>
      <c r="C35" s="67" t="s">
        <v>63</v>
      </c>
      <c r="D35" s="125">
        <f>IF('Quant. mod. (oc)'!D35&lt;0,0,'Quant. mod. (oc)'!D35)</f>
        <v>1.4471000000000001</v>
      </c>
      <c r="E35" s="125">
        <f>IF('Quant. mod. (oc)'!E35&lt;0,0,'Quant. mod. (oc)'!E35)</f>
        <v>1.4682999999999999</v>
      </c>
      <c r="F35" s="125">
        <f>IF('Quant. mod. (oc)'!F35&lt;0,0,'Quant. mod. (oc)'!F35)</f>
        <v>1.2149000000000001</v>
      </c>
      <c r="G35" s="125">
        <f>IF('Quant. mod. (oc)'!G35&lt;0,0,'Quant. mod. (oc)'!G35)</f>
        <v>1.4471000000000001</v>
      </c>
      <c r="H35" s="125">
        <f>IF('Quant. mod. (oc)'!H35&lt;0,0,'Quant. mod. (oc)'!H35)</f>
        <v>1.4682999999999999</v>
      </c>
      <c r="I35" s="125">
        <f>IF('Quant. mod. (oc)'!I35&lt;0,0,'Quant. mod. (oc)'!I35)</f>
        <v>1.2149000000000001</v>
      </c>
      <c r="J35" s="125">
        <f>IF('Quant. mod. (oc)'!J35&lt;0,0,'Quant. mod. (oc)'!J35)</f>
        <v>1.4471000000000001</v>
      </c>
      <c r="K35" s="125">
        <f>IF('Quant. mod. (oc)'!K35&lt;0,0,'Quant. mod. (oc)'!K35)</f>
        <v>1.2149000000000001</v>
      </c>
      <c r="L35" s="125">
        <f>IF('Quant. mod. (oc)'!L35&lt;0,0,'Quant. mod. (oc)'!L35)</f>
        <v>1.4471000000000001</v>
      </c>
      <c r="M35" s="125">
        <f>IF('Quant. mod. (oc)'!M35&lt;0,0,'Quant. mod. (oc)'!M35)</f>
        <v>1.2149000000000001</v>
      </c>
      <c r="N35" s="125">
        <f>IF('Quant. mod. (oc)'!N35&lt;0,0,'Quant. mod. (oc)'!N35)</f>
        <v>0.70219999999999994</v>
      </c>
      <c r="O35" s="125">
        <f>IF('Quant. mod. (oc)'!O35&lt;0,0,'Quant. mod. (oc)'!O35)</f>
        <v>0.70399999999999996</v>
      </c>
      <c r="P35" s="125">
        <f>IF('Quant. mod. (oc)'!P35&lt;0,0,'Quant. mod. (oc)'!P35)</f>
        <v>0.7056</v>
      </c>
      <c r="Q35" s="125">
        <f>IF('Quant. mod. (oc)'!Q35&lt;0,0,'Quant. mod. (oc)'!Q35)</f>
        <v>0.70219999999999994</v>
      </c>
      <c r="R35" s="125">
        <f>IF('Quant. mod. (oc)'!R35&lt;0,0,'Quant. mod. (oc)'!R35)</f>
        <v>0.70399999999999996</v>
      </c>
      <c r="S35" s="125">
        <f>IF('Quant. mod. (oc)'!S35&lt;0,0,'Quant. mod. (oc)'!S35)</f>
        <v>0.7056</v>
      </c>
      <c r="T35" s="125">
        <f>IF('Quant. mod. (oc)'!T35&lt;0,0,'Quant. mod. (oc)'!T35)</f>
        <v>0.70219999999999994</v>
      </c>
      <c r="U35" s="125">
        <f>IF('Quant. mod. (oc)'!U35&lt;0,0,'Quant. mod. (oc)'!U35)</f>
        <v>0.70219999999999994</v>
      </c>
      <c r="V35" s="125">
        <f>IF('Quant. mod. (oc)'!V35&lt;0,0,'Quant. mod. (oc)'!V35)</f>
        <v>0.70219999999999994</v>
      </c>
      <c r="W35" s="125">
        <f>IF('Quant. mod. (oc)'!W35&lt;0,0,'Quant. mod. (oc)'!W35)</f>
        <v>0.70219999999999994</v>
      </c>
      <c r="X35" s="125">
        <f>IF('Quant. mod. (oc)'!X35&lt;0,0,'Quant. mod. (oc)'!X35)</f>
        <v>1.0376000000000001</v>
      </c>
      <c r="Y35" s="125">
        <f>IF('Quant. mod. (oc)'!Y35&lt;0,0,'Quant. mod. (oc)'!Y35)</f>
        <v>1.0376000000000001</v>
      </c>
      <c r="Z35" s="125">
        <f>IF('Quant. mod. (oc)'!Z35&lt;0,0,'Quant. mod. (oc)'!Z35)</f>
        <v>1.0376000000000001</v>
      </c>
      <c r="AA35" s="125">
        <f>IF('Quant. mod. (oc)'!AA35&lt;0,0,'Quant. mod. (oc)'!AA35)</f>
        <v>1.0376000000000001</v>
      </c>
      <c r="AB35" s="125">
        <f>IF('Quant. mod. (oc)'!AB35&lt;0,0,'Quant. mod. (oc)'!AB35)</f>
        <v>1.0376000000000001</v>
      </c>
      <c r="AC35" s="125">
        <f>IF('Quant. mod. (oc)'!AC35&lt;0,0,'Quant. mod. (oc)'!AC35)</f>
        <v>1.0376000000000001</v>
      </c>
      <c r="AD35" s="125">
        <f>IF('Quant. mod. (oc)'!AD35&lt;0,0,'Quant. mod. (oc)'!AD35)</f>
        <v>1.0376000000000001</v>
      </c>
      <c r="AE35" s="125">
        <f>IF('Quant. mod. (oc)'!AE35&lt;0,0,'Quant. mod. (oc)'!AE35)</f>
        <v>1.0376000000000001</v>
      </c>
      <c r="AF35" s="125">
        <f>IF('Quant. mod. (oc)'!AF35&lt;0,0,'Quant. mod. (oc)'!AF35)</f>
        <v>1.0376000000000001</v>
      </c>
      <c r="AG35" s="126">
        <f>IF('Quant. mod. (oc)'!AG35&lt;0,0,'Quant. mod. (oc)'!AG35)</f>
        <v>1.0376000000000001</v>
      </c>
      <c r="AH35" s="22"/>
    </row>
    <row r="36" spans="1:34" ht="25.5" x14ac:dyDescent="0.25">
      <c r="A36" s="112"/>
      <c r="B36" s="270" t="s">
        <v>295</v>
      </c>
      <c r="C36" s="67" t="s">
        <v>57</v>
      </c>
      <c r="D36" s="125">
        <f>IF('Quant. mod. (oc)'!D36&lt;0,0,'Quant. mod. (oc)'!D36)</f>
        <v>41.808999999999997</v>
      </c>
      <c r="E36" s="125">
        <f>IF('Quant. mod. (oc)'!E36&lt;0,0,'Quant. mod. (oc)'!E36)</f>
        <v>42.216999999999999</v>
      </c>
      <c r="F36" s="125">
        <f>IF('Quant. mod. (oc)'!F36&lt;0,0,'Quant. mod. (oc)'!F36)</f>
        <v>33.829000000000001</v>
      </c>
      <c r="G36" s="125">
        <f>IF('Quant. mod. (oc)'!G36&lt;0,0,'Quant. mod. (oc)'!G36)</f>
        <v>41.808999999999997</v>
      </c>
      <c r="H36" s="125">
        <f>IF('Quant. mod. (oc)'!H36&lt;0,0,'Quant. mod. (oc)'!H36)</f>
        <v>42.216999999999999</v>
      </c>
      <c r="I36" s="125">
        <f>IF('Quant. mod. (oc)'!I36&lt;0,0,'Quant. mod. (oc)'!I36)</f>
        <v>33.829000000000001</v>
      </c>
      <c r="J36" s="125">
        <f>IF('Quant. mod. (oc)'!J36&lt;0,0,'Quant. mod. (oc)'!J36)</f>
        <v>41.808999999999997</v>
      </c>
      <c r="K36" s="125">
        <f>IF('Quant. mod. (oc)'!K36&lt;0,0,'Quant. mod. (oc)'!K36)</f>
        <v>33.829000000000001</v>
      </c>
      <c r="L36" s="125">
        <f>IF('Quant. mod. (oc)'!L36&lt;0,0,'Quant. mod. (oc)'!L36)</f>
        <v>41.808999999999997</v>
      </c>
      <c r="M36" s="125">
        <f>IF('Quant. mod. (oc)'!M36&lt;0,0,'Quant. mod. (oc)'!M36)</f>
        <v>33.829000000000001</v>
      </c>
      <c r="N36" s="125">
        <f>IF('Quant. mod. (oc)'!N36&lt;0,0,'Quant. mod. (oc)'!N36)</f>
        <v>20.052999999999997</v>
      </c>
      <c r="O36" s="125">
        <f>IF('Quant. mod. (oc)'!O36&lt;0,0,'Quant. mod. (oc)'!O36)</f>
        <v>20.113</v>
      </c>
      <c r="P36" s="125">
        <f>IF('Quant. mod. (oc)'!P36&lt;0,0,'Quant. mod. (oc)'!P36)</f>
        <v>20.055</v>
      </c>
      <c r="Q36" s="125">
        <f>IF('Quant. mod. (oc)'!Q36&lt;0,0,'Quant. mod. (oc)'!Q36)</f>
        <v>20.052999999999997</v>
      </c>
      <c r="R36" s="125">
        <f>IF('Quant. mod. (oc)'!R36&lt;0,0,'Quant. mod. (oc)'!R36)</f>
        <v>20.113</v>
      </c>
      <c r="S36" s="125">
        <f>IF('Quant. mod. (oc)'!S36&lt;0,0,'Quant. mod. (oc)'!S36)</f>
        <v>20.055</v>
      </c>
      <c r="T36" s="125">
        <f>IF('Quant. mod. (oc)'!T36&lt;0,0,'Quant. mod. (oc)'!T36)</f>
        <v>20.052999999999997</v>
      </c>
      <c r="U36" s="125">
        <f>IF('Quant. mod. (oc)'!U36&lt;0,0,'Quant. mod. (oc)'!U36)</f>
        <v>20.052999999999997</v>
      </c>
      <c r="V36" s="125">
        <f>IF('Quant. mod. (oc)'!V36&lt;0,0,'Quant. mod. (oc)'!V36)</f>
        <v>20.052999999999997</v>
      </c>
      <c r="W36" s="125">
        <f>IF('Quant. mod. (oc)'!W36&lt;0,0,'Quant. mod. (oc)'!W36)</f>
        <v>20.052999999999997</v>
      </c>
      <c r="X36" s="125">
        <f>IF('Quant. mod. (oc)'!X36&lt;0,0,'Quant. mod. (oc)'!X36)</f>
        <v>30.318999999999999</v>
      </c>
      <c r="Y36" s="125">
        <f>IF('Quant. mod. (oc)'!Y36&lt;0,0,'Quant. mod. (oc)'!Y36)</f>
        <v>30.318999999999999</v>
      </c>
      <c r="Z36" s="125">
        <f>IF('Quant. mod. (oc)'!Z36&lt;0,0,'Quant. mod. (oc)'!Z36)</f>
        <v>30.318999999999999</v>
      </c>
      <c r="AA36" s="125">
        <f>IF('Quant. mod. (oc)'!AA36&lt;0,0,'Quant. mod. (oc)'!AA36)</f>
        <v>30.318999999999999</v>
      </c>
      <c r="AB36" s="125">
        <f>IF('Quant. mod. (oc)'!AB36&lt;0,0,'Quant. mod. (oc)'!AB36)</f>
        <v>30.318999999999999</v>
      </c>
      <c r="AC36" s="125">
        <f>IF('Quant. mod. (oc)'!AC36&lt;0,0,'Quant. mod. (oc)'!AC36)</f>
        <v>30.318999999999999</v>
      </c>
      <c r="AD36" s="125">
        <f>IF('Quant. mod. (oc)'!AD36&lt;0,0,'Quant. mod. (oc)'!AD36)</f>
        <v>30.318999999999999</v>
      </c>
      <c r="AE36" s="125">
        <f>IF('Quant. mod. (oc)'!AE36&lt;0,0,'Quant. mod. (oc)'!AE36)</f>
        <v>30.318999999999999</v>
      </c>
      <c r="AF36" s="125">
        <f>IF('Quant. mod. (oc)'!AF36&lt;0,0,'Quant. mod. (oc)'!AF36)</f>
        <v>30.318999999999999</v>
      </c>
      <c r="AG36" s="126">
        <f>IF('Quant. mod. (oc)'!AG36&lt;0,0,'Quant. mod. (oc)'!AG36)</f>
        <v>30.318999999999999</v>
      </c>
      <c r="AH36" s="22"/>
    </row>
    <row r="37" spans="1:34" x14ac:dyDescent="0.25">
      <c r="A37" s="112"/>
      <c r="B37" s="120" t="s">
        <v>509</v>
      </c>
      <c r="C37" s="121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8"/>
      <c r="AH37" s="22"/>
    </row>
    <row r="38" spans="1:34" ht="25.5" x14ac:dyDescent="0.25">
      <c r="A38" s="112"/>
      <c r="B38" s="270" t="s">
        <v>294</v>
      </c>
      <c r="C38" s="67" t="s">
        <v>65</v>
      </c>
      <c r="D38" s="125">
        <f>IF('Quant. mod. (oc)'!D38&lt;0,0,'Quant. mod. (oc)'!D38)</f>
        <v>0.99299999999999999</v>
      </c>
      <c r="E38" s="125">
        <f>IF('Quant. mod. (oc)'!E38&lt;0,0,'Quant. mod. (oc)'!E38)</f>
        <v>6.9138000000000002</v>
      </c>
      <c r="F38" s="125">
        <f>IF('Quant. mod. (oc)'!F38&lt;0,0,'Quant. mod. (oc)'!F38)</f>
        <v>0</v>
      </c>
      <c r="G38" s="125">
        <f>IF('Quant. mod. (oc)'!G38&lt;0,0,'Quant. mod. (oc)'!G38)</f>
        <v>0.99299999999999999</v>
      </c>
      <c r="H38" s="125">
        <f>IF('Quant. mod. (oc)'!H38&lt;0,0,'Quant. mod. (oc)'!H38)</f>
        <v>6.9138000000000002</v>
      </c>
      <c r="I38" s="125">
        <f>IF('Quant. mod. (oc)'!I38&lt;0,0,'Quant. mod. (oc)'!I38)</f>
        <v>0</v>
      </c>
      <c r="J38" s="125">
        <f>IF('Quant. mod. (oc)'!J38&lt;0,0,'Quant. mod. (oc)'!J38)</f>
        <v>0.99299999999999999</v>
      </c>
      <c r="K38" s="125">
        <f>IF('Quant. mod. (oc)'!K38&lt;0,0,'Quant. mod. (oc)'!K38)</f>
        <v>0</v>
      </c>
      <c r="L38" s="125">
        <f>IF('Quant. mod. (oc)'!L38&lt;0,0,'Quant. mod. (oc)'!L38)</f>
        <v>0.99299999999999999</v>
      </c>
      <c r="M38" s="125">
        <f>IF('Quant. mod. (oc)'!M38&lt;0,0,'Quant. mod. (oc)'!M38)</f>
        <v>0</v>
      </c>
      <c r="N38" s="125">
        <f>IF('Quant. mod. (oc)'!N38&lt;0,0,'Quant. mod. (oc)'!N38)</f>
        <v>0.99</v>
      </c>
      <c r="O38" s="125">
        <f>IF('Quant. mod. (oc)'!O38&lt;0,0,'Quant. mod. (oc)'!O38)</f>
        <v>5.9824000000000002</v>
      </c>
      <c r="P38" s="125">
        <f>IF('Quant. mod. (oc)'!P38&lt;0,0,'Quant. mod. (oc)'!P38)</f>
        <v>0</v>
      </c>
      <c r="Q38" s="125">
        <f>IF('Quant. mod. (oc)'!Q38&lt;0,0,'Quant. mod. (oc)'!Q38)</f>
        <v>0.99</v>
      </c>
      <c r="R38" s="125">
        <f>IF('Quant. mod. (oc)'!R38&lt;0,0,'Quant. mod. (oc)'!R38)</f>
        <v>5.9824000000000002</v>
      </c>
      <c r="S38" s="125">
        <f>IF('Quant. mod. (oc)'!S38&lt;0,0,'Quant. mod. (oc)'!S38)</f>
        <v>0</v>
      </c>
      <c r="T38" s="125">
        <f>IF('Quant. mod. (oc)'!T38&lt;0,0,'Quant. mod. (oc)'!T38)</f>
        <v>0.99</v>
      </c>
      <c r="U38" s="125">
        <f>IF('Quant. mod. (oc)'!U38&lt;0,0,'Quant. mod. (oc)'!U38)</f>
        <v>0.99</v>
      </c>
      <c r="V38" s="125">
        <f>IF('Quant. mod. (oc)'!V38&lt;0,0,'Quant. mod. (oc)'!V38)</f>
        <v>0.99</v>
      </c>
      <c r="W38" s="125">
        <f>IF('Quant. mod. (oc)'!W38&lt;0,0,'Quant. mod. (oc)'!W38)</f>
        <v>0.99</v>
      </c>
      <c r="X38" s="125">
        <f>IF('Quant. mod. (oc)'!X38&lt;0,0,'Quant. mod. (oc)'!X38)</f>
        <v>1.032</v>
      </c>
      <c r="Y38" s="125">
        <f>IF('Quant. mod. (oc)'!Y38&lt;0,0,'Quant. mod. (oc)'!Y38)</f>
        <v>6.0107999999999997</v>
      </c>
      <c r="Z38" s="125">
        <f>IF('Quant. mod. (oc)'!Z38&lt;0,0,'Quant. mod. (oc)'!Z38)</f>
        <v>0</v>
      </c>
      <c r="AA38" s="125">
        <f>IF('Quant. mod. (oc)'!AA38&lt;0,0,'Quant. mod. (oc)'!AA38)</f>
        <v>1.032</v>
      </c>
      <c r="AB38" s="125">
        <f>IF('Quant. mod. (oc)'!AB38&lt;0,0,'Quant. mod. (oc)'!AB38)</f>
        <v>6.0107999999999997</v>
      </c>
      <c r="AC38" s="125">
        <f>IF('Quant. mod. (oc)'!AC38&lt;0,0,'Quant. mod. (oc)'!AC38)</f>
        <v>0</v>
      </c>
      <c r="AD38" s="125">
        <f>IF('Quant. mod. (oc)'!AD38&lt;0,0,'Quant. mod. (oc)'!AD38)</f>
        <v>1.032</v>
      </c>
      <c r="AE38" s="125">
        <f>IF('Quant. mod. (oc)'!AE38&lt;0,0,'Quant. mod. (oc)'!AE38)</f>
        <v>1.032</v>
      </c>
      <c r="AF38" s="125">
        <f>IF('Quant. mod. (oc)'!AF38&lt;0,0,'Quant. mod. (oc)'!AF38)</f>
        <v>1.032</v>
      </c>
      <c r="AG38" s="126">
        <f>IF('Quant. mod. (oc)'!AG38&lt;0,0,'Quant. mod. (oc)'!AG38)</f>
        <v>1.032</v>
      </c>
      <c r="AH38" s="22"/>
    </row>
    <row r="39" spans="1:34" x14ac:dyDescent="0.25">
      <c r="A39" s="112"/>
      <c r="B39" s="270" t="s">
        <v>290</v>
      </c>
      <c r="C39" s="67" t="s">
        <v>63</v>
      </c>
      <c r="D39" s="125">
        <f>IF('Quant. mod. (oc)'!D39&lt;0,0,'Quant. mod. (oc)'!D39)</f>
        <v>0.3972</v>
      </c>
      <c r="E39" s="125">
        <f>IF('Quant. mod. (oc)'!E39&lt;0,0,'Quant. mod. (oc)'!E39)</f>
        <v>2.7656999999999998</v>
      </c>
      <c r="F39" s="125">
        <f>IF('Quant. mod. (oc)'!F39&lt;0,0,'Quant. mod. (oc)'!F39)</f>
        <v>0</v>
      </c>
      <c r="G39" s="125">
        <f>IF('Quant. mod. (oc)'!G39&lt;0,0,'Quant. mod. (oc)'!G39)</f>
        <v>0.3972</v>
      </c>
      <c r="H39" s="125">
        <f>IF('Quant. mod. (oc)'!H39&lt;0,0,'Quant. mod. (oc)'!H39)</f>
        <v>2.7656999999999998</v>
      </c>
      <c r="I39" s="125">
        <f>IF('Quant. mod. (oc)'!I39&lt;0,0,'Quant. mod. (oc)'!I39)</f>
        <v>0</v>
      </c>
      <c r="J39" s="125">
        <f>IF('Quant. mod. (oc)'!J39&lt;0,0,'Quant. mod. (oc)'!J39)</f>
        <v>0.3972</v>
      </c>
      <c r="K39" s="125">
        <f>IF('Quant. mod. (oc)'!K39&lt;0,0,'Quant. mod. (oc)'!K39)</f>
        <v>0</v>
      </c>
      <c r="L39" s="125">
        <f>IF('Quant. mod. (oc)'!L39&lt;0,0,'Quant. mod. (oc)'!L39)</f>
        <v>0.3972</v>
      </c>
      <c r="M39" s="125">
        <f>IF('Quant. mod. (oc)'!M39&lt;0,0,'Quant. mod. (oc)'!M39)</f>
        <v>0</v>
      </c>
      <c r="N39" s="125">
        <f>IF('Quant. mod. (oc)'!N39&lt;0,0,'Quant. mod. (oc)'!N39)</f>
        <v>0.39760000000000001</v>
      </c>
      <c r="O39" s="125">
        <f>IF('Quant. mod. (oc)'!O39&lt;0,0,'Quant. mod. (oc)'!O39)</f>
        <v>2.3908</v>
      </c>
      <c r="P39" s="125">
        <f>IF('Quant. mod. (oc)'!P39&lt;0,0,'Quant. mod. (oc)'!P39)</f>
        <v>0</v>
      </c>
      <c r="Q39" s="125">
        <f>IF('Quant. mod. (oc)'!Q39&lt;0,0,'Quant. mod. (oc)'!Q39)</f>
        <v>0.39760000000000001</v>
      </c>
      <c r="R39" s="125">
        <f>IF('Quant. mod. (oc)'!R39&lt;0,0,'Quant. mod. (oc)'!R39)</f>
        <v>2.3908</v>
      </c>
      <c r="S39" s="125">
        <f>IF('Quant. mod. (oc)'!S39&lt;0,0,'Quant. mod. (oc)'!S39)</f>
        <v>0</v>
      </c>
      <c r="T39" s="125">
        <f>IF('Quant. mod. (oc)'!T39&lt;0,0,'Quant. mod. (oc)'!T39)</f>
        <v>0.39760000000000001</v>
      </c>
      <c r="U39" s="125">
        <f>IF('Quant. mod. (oc)'!U39&lt;0,0,'Quant. mod. (oc)'!U39)</f>
        <v>0.39760000000000001</v>
      </c>
      <c r="V39" s="125">
        <f>IF('Quant. mod. (oc)'!V39&lt;0,0,'Quant. mod. (oc)'!V39)</f>
        <v>0.39760000000000001</v>
      </c>
      <c r="W39" s="125">
        <f>IF('Quant. mod. (oc)'!W39&lt;0,0,'Quant. mod. (oc)'!W39)</f>
        <v>0.39760000000000001</v>
      </c>
      <c r="X39" s="125">
        <f>IF('Quant. mod. (oc)'!X39&lt;0,0,'Quant. mod. (oc)'!X39)</f>
        <v>0.41220000000000001</v>
      </c>
      <c r="Y39" s="125">
        <f>IF('Quant. mod. (oc)'!Y39&lt;0,0,'Quant. mod. (oc)'!Y39)</f>
        <v>2.4087000000000001</v>
      </c>
      <c r="Z39" s="125">
        <f>IF('Quant. mod. (oc)'!Z39&lt;0,0,'Quant. mod. (oc)'!Z39)</f>
        <v>0</v>
      </c>
      <c r="AA39" s="125">
        <f>IF('Quant. mod. (oc)'!AA39&lt;0,0,'Quant. mod. (oc)'!AA39)</f>
        <v>0.41220000000000001</v>
      </c>
      <c r="AB39" s="125">
        <f>IF('Quant. mod. (oc)'!AB39&lt;0,0,'Quant. mod. (oc)'!AB39)</f>
        <v>2.4087000000000001</v>
      </c>
      <c r="AC39" s="125">
        <f>IF('Quant. mod. (oc)'!AC39&lt;0,0,'Quant. mod. (oc)'!AC39)</f>
        <v>0</v>
      </c>
      <c r="AD39" s="125">
        <f>IF('Quant. mod. (oc)'!AD39&lt;0,0,'Quant. mod. (oc)'!AD39)</f>
        <v>0.41220000000000001</v>
      </c>
      <c r="AE39" s="125">
        <f>IF('Quant. mod. (oc)'!AE39&lt;0,0,'Quant. mod. (oc)'!AE39)</f>
        <v>0.41220000000000001</v>
      </c>
      <c r="AF39" s="125">
        <f>IF('Quant. mod. (oc)'!AF39&lt;0,0,'Quant. mod. (oc)'!AF39)</f>
        <v>0.41220000000000001</v>
      </c>
      <c r="AG39" s="126">
        <f>IF('Quant. mod. (oc)'!AG39&lt;0,0,'Quant. mod. (oc)'!AG39)</f>
        <v>0.41220000000000001</v>
      </c>
      <c r="AH39" s="22"/>
    </row>
    <row r="40" spans="1:34" ht="25.5" x14ac:dyDescent="0.25">
      <c r="A40" s="112"/>
      <c r="B40" s="270" t="s">
        <v>295</v>
      </c>
      <c r="C40" s="67" t="s">
        <v>57</v>
      </c>
      <c r="D40" s="125">
        <f>IF('Quant. mod. (oc)'!D40&lt;0,0,'Quant. mod. (oc)'!D40)</f>
        <v>10.34</v>
      </c>
      <c r="E40" s="125">
        <f>IF('Quant. mod. (oc)'!E40&lt;0,0,'Quant. mod. (oc)'!E40)</f>
        <v>84.131</v>
      </c>
      <c r="F40" s="125">
        <f>IF('Quant. mod. (oc)'!F40&lt;0,0,'Quant. mod. (oc)'!F40)</f>
        <v>0</v>
      </c>
      <c r="G40" s="125">
        <f>IF('Quant. mod. (oc)'!G40&lt;0,0,'Quant. mod. (oc)'!G40)</f>
        <v>10.34</v>
      </c>
      <c r="H40" s="125">
        <f>IF('Quant. mod. (oc)'!H40&lt;0,0,'Quant. mod. (oc)'!H40)</f>
        <v>84.131</v>
      </c>
      <c r="I40" s="125">
        <f>IF('Quant. mod. (oc)'!I40&lt;0,0,'Quant. mod. (oc)'!I40)</f>
        <v>0</v>
      </c>
      <c r="J40" s="125">
        <f>IF('Quant. mod. (oc)'!J40&lt;0,0,'Quant. mod. (oc)'!J40)</f>
        <v>10.34</v>
      </c>
      <c r="K40" s="125">
        <f>IF('Quant. mod. (oc)'!K40&lt;0,0,'Quant. mod. (oc)'!K40)</f>
        <v>0</v>
      </c>
      <c r="L40" s="125">
        <f>IF('Quant. mod. (oc)'!L40&lt;0,0,'Quant. mod. (oc)'!L40)</f>
        <v>10.34</v>
      </c>
      <c r="M40" s="125">
        <f>IF('Quant. mod. (oc)'!M40&lt;0,0,'Quant. mod. (oc)'!M40)</f>
        <v>0</v>
      </c>
      <c r="N40" s="125">
        <f>IF('Quant. mod. (oc)'!N40&lt;0,0,'Quant. mod. (oc)'!N40)</f>
        <v>10.341699999999999</v>
      </c>
      <c r="O40" s="125">
        <f>IF('Quant. mod. (oc)'!O40&lt;0,0,'Quant. mod. (oc)'!O40)</f>
        <v>71.736000000000004</v>
      </c>
      <c r="P40" s="125">
        <f>IF('Quant. mod. (oc)'!P40&lt;0,0,'Quant. mod. (oc)'!P40)</f>
        <v>0</v>
      </c>
      <c r="Q40" s="125">
        <f>IF('Quant. mod. (oc)'!Q40&lt;0,0,'Quant. mod. (oc)'!Q40)</f>
        <v>10.341699999999999</v>
      </c>
      <c r="R40" s="125">
        <f>IF('Quant. mod. (oc)'!R40&lt;0,0,'Quant. mod. (oc)'!R40)</f>
        <v>71.736000000000004</v>
      </c>
      <c r="S40" s="125">
        <f>IF('Quant. mod. (oc)'!S40&lt;0,0,'Quant. mod. (oc)'!S40)</f>
        <v>0</v>
      </c>
      <c r="T40" s="125">
        <f>IF('Quant. mod. (oc)'!T40&lt;0,0,'Quant. mod. (oc)'!T40)</f>
        <v>10.341699999999999</v>
      </c>
      <c r="U40" s="125">
        <f>IF('Quant. mod. (oc)'!U40&lt;0,0,'Quant. mod. (oc)'!U40)</f>
        <v>10.341699999999999</v>
      </c>
      <c r="V40" s="125">
        <f>IF('Quant. mod. (oc)'!V40&lt;0,0,'Quant. mod. (oc)'!V40)</f>
        <v>10.341699999999999</v>
      </c>
      <c r="W40" s="125">
        <f>IF('Quant. mod. (oc)'!W40&lt;0,0,'Quant. mod. (oc)'!W40)</f>
        <v>10.341699999999999</v>
      </c>
      <c r="X40" s="125">
        <f>IF('Quant. mod. (oc)'!X40&lt;0,0,'Quant. mod. (oc)'!X40)</f>
        <v>10.84</v>
      </c>
      <c r="Y40" s="125">
        <f>IF('Quant. mod. (oc)'!Y40&lt;0,0,'Quant. mod. (oc)'!Y40)</f>
        <v>72.140999999999991</v>
      </c>
      <c r="Z40" s="125">
        <f>IF('Quant. mod. (oc)'!Z40&lt;0,0,'Quant. mod. (oc)'!Z40)</f>
        <v>0</v>
      </c>
      <c r="AA40" s="125">
        <f>IF('Quant. mod. (oc)'!AA40&lt;0,0,'Quant. mod. (oc)'!AA40)</f>
        <v>10.84</v>
      </c>
      <c r="AB40" s="125">
        <f>IF('Quant. mod. (oc)'!AB40&lt;0,0,'Quant. mod. (oc)'!AB40)</f>
        <v>72.140999999999991</v>
      </c>
      <c r="AC40" s="125">
        <f>IF('Quant. mod. (oc)'!AC40&lt;0,0,'Quant. mod. (oc)'!AC40)</f>
        <v>0</v>
      </c>
      <c r="AD40" s="125">
        <f>IF('Quant. mod. (oc)'!AD40&lt;0,0,'Quant. mod. (oc)'!AD40)</f>
        <v>10.84</v>
      </c>
      <c r="AE40" s="125">
        <f>IF('Quant. mod. (oc)'!AE40&lt;0,0,'Quant. mod. (oc)'!AE40)</f>
        <v>10.84</v>
      </c>
      <c r="AF40" s="125">
        <f>IF('Quant. mod. (oc)'!AF40&lt;0,0,'Quant. mod. (oc)'!AF40)</f>
        <v>10.84</v>
      </c>
      <c r="AG40" s="126">
        <f>IF('Quant. mod. (oc)'!AG40&lt;0,0,'Quant. mod. (oc)'!AG40)</f>
        <v>10.84</v>
      </c>
      <c r="AH40" s="22"/>
    </row>
    <row r="41" spans="1:34" x14ac:dyDescent="0.25">
      <c r="A41" s="112"/>
      <c r="B41" s="120" t="s">
        <v>510</v>
      </c>
      <c r="C41" s="121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8"/>
      <c r="AH41" s="22"/>
    </row>
    <row r="42" spans="1:34" x14ac:dyDescent="0.25">
      <c r="A42" s="112"/>
      <c r="B42" s="120" t="s">
        <v>511</v>
      </c>
      <c r="C42" s="121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8"/>
      <c r="AH42" s="22"/>
    </row>
    <row r="43" spans="1:34" ht="25.5" x14ac:dyDescent="0.25">
      <c r="A43" s="112"/>
      <c r="B43" s="270" t="s">
        <v>294</v>
      </c>
      <c r="C43" s="67" t="s">
        <v>65</v>
      </c>
      <c r="D43" s="125">
        <f>IF('Quant. mod. (oc)'!D43&lt;0,0,'Quant. mod. (oc)'!D43)</f>
        <v>36.193000000000005</v>
      </c>
      <c r="E43" s="125">
        <f>IF('Quant. mod. (oc)'!E43&lt;0,0,'Quant. mod. (oc)'!E43)</f>
        <v>36.42</v>
      </c>
      <c r="F43" s="125">
        <f>IF('Quant. mod. (oc)'!F43&lt;0,0,'Quant. mod. (oc)'!F43)</f>
        <v>43.335000000000001</v>
      </c>
      <c r="G43" s="125">
        <f>IF('Quant. mod. (oc)'!G43&lt;0,0,'Quant. mod. (oc)'!G43)</f>
        <v>36.286000000000001</v>
      </c>
      <c r="H43" s="125">
        <f>IF('Quant. mod. (oc)'!H43&lt;0,0,'Quant. mod. (oc)'!H43)</f>
        <v>36.524000000000001</v>
      </c>
      <c r="I43" s="125">
        <f>IF('Quant. mod. (oc)'!I43&lt;0,0,'Quant. mod. (oc)'!I43)</f>
        <v>43.734999999999999</v>
      </c>
      <c r="J43" s="125">
        <f>IF('Quant. mod. (oc)'!J43&lt;0,0,'Quant. mod. (oc)'!J43)</f>
        <v>36.193000000000005</v>
      </c>
      <c r="K43" s="125">
        <f>IF('Quant. mod. (oc)'!K43&lt;0,0,'Quant. mod. (oc)'!K43)</f>
        <v>43.535000000000004</v>
      </c>
      <c r="L43" s="125">
        <f>IF('Quant. mod. (oc)'!L43&lt;0,0,'Quant. mod. (oc)'!L43)</f>
        <v>36.286000000000001</v>
      </c>
      <c r="M43" s="125">
        <f>IF('Quant. mod. (oc)'!M43&lt;0,0,'Quant. mod. (oc)'!M43)</f>
        <v>43.935000000000002</v>
      </c>
      <c r="N43" s="125">
        <f>IF('Quant. mod. (oc)'!N43&lt;0,0,'Quant. mod. (oc)'!N43)</f>
        <v>38.171999999999997</v>
      </c>
      <c r="O43" s="125">
        <f>IF('Quant. mod. (oc)'!O43&lt;0,0,'Quant. mod. (oc)'!O43)</f>
        <v>34.847999999999999</v>
      </c>
      <c r="P43" s="125">
        <f>IF('Quant. mod. (oc)'!P43&lt;0,0,'Quant. mod. (oc)'!P43)</f>
        <v>42.222000000000001</v>
      </c>
      <c r="Q43" s="125">
        <f>IF('Quant. mod. (oc)'!Q43&lt;0,0,'Quant. mod. (oc)'!Q43)</f>
        <v>38.171999999999997</v>
      </c>
      <c r="R43" s="125">
        <f>IF('Quant. mod. (oc)'!R43&lt;0,0,'Quant. mod. (oc)'!R43)</f>
        <v>35.140999999999998</v>
      </c>
      <c r="S43" s="125">
        <f>IF('Quant. mod. (oc)'!S43&lt;0,0,'Quant. mod. (oc)'!S43)</f>
        <v>42.222000000000001</v>
      </c>
      <c r="T43" s="125">
        <f>IF('Quant. mod. (oc)'!T43&lt;0,0,'Quant. mod. (oc)'!T43)</f>
        <v>38.171999999999997</v>
      </c>
      <c r="U43" s="125">
        <f>IF('Quant. mod. (oc)'!U43&lt;0,0,'Quant. mod. (oc)'!U43)</f>
        <v>38.275999999999996</v>
      </c>
      <c r="V43" s="125">
        <f>IF('Quant. mod. (oc)'!V43&lt;0,0,'Quant. mod. (oc)'!V43)</f>
        <v>38.171999999999997</v>
      </c>
      <c r="W43" s="125">
        <f>IF('Quant. mod. (oc)'!W43&lt;0,0,'Quant. mod. (oc)'!W43)</f>
        <v>38.275999999999996</v>
      </c>
      <c r="X43" s="125">
        <f>IF('Quant. mod. (oc)'!X43&lt;0,0,'Quant. mod. (oc)'!X43)</f>
        <v>32.759</v>
      </c>
      <c r="Y43" s="125">
        <f>IF('Quant. mod. (oc)'!Y43&lt;0,0,'Quant. mod. (oc)'!Y43)</f>
        <v>33.734000000000002</v>
      </c>
      <c r="Z43" s="125">
        <f>IF('Quant. mod. (oc)'!Z43&lt;0,0,'Quant. mod. (oc)'!Z43)</f>
        <v>40.120999999999995</v>
      </c>
      <c r="AA43" s="125">
        <f>IF('Quant. mod. (oc)'!AA43&lt;0,0,'Quant. mod. (oc)'!AA43)</f>
        <v>32.866</v>
      </c>
      <c r="AB43" s="125">
        <f>IF('Quant. mod. (oc)'!AB43&lt;0,0,'Quant. mod. (oc)'!AB43)</f>
        <v>34.033999999999999</v>
      </c>
      <c r="AC43" s="125">
        <f>IF('Quant. mod. (oc)'!AC43&lt;0,0,'Quant. mod. (oc)'!AC43)</f>
        <v>40.326999999999998</v>
      </c>
      <c r="AD43" s="125">
        <f>IF('Quant. mod. (oc)'!AD43&lt;0,0,'Quant. mod. (oc)'!AD43)</f>
        <v>32.759</v>
      </c>
      <c r="AE43" s="125">
        <f>IF('Quant. mod. (oc)'!AE43&lt;0,0,'Quant. mod. (oc)'!AE43)</f>
        <v>32.958999999999996</v>
      </c>
      <c r="AF43" s="125">
        <f>IF('Quant. mod. (oc)'!AF43&lt;0,0,'Quant. mod. (oc)'!AF43)</f>
        <v>32.866</v>
      </c>
      <c r="AG43" s="126">
        <f>IF('Quant. mod. (oc)'!AG43&lt;0,0,'Quant. mod. (oc)'!AG43)</f>
        <v>33.165999999999997</v>
      </c>
      <c r="AH43" s="22"/>
    </row>
    <row r="44" spans="1:34" x14ac:dyDescent="0.25">
      <c r="A44" s="112"/>
      <c r="B44" s="270" t="s">
        <v>290</v>
      </c>
      <c r="C44" s="67" t="s">
        <v>63</v>
      </c>
      <c r="D44" s="125">
        <f>IF('Quant. mod. (oc)'!D44&lt;0,0,'Quant. mod. (oc)'!D44)</f>
        <v>14.478999999999999</v>
      </c>
      <c r="E44" s="125">
        <f>IF('Quant. mod. (oc)'!E44&lt;0,0,'Quant. mod. (oc)'!E44)</f>
        <v>14.568</v>
      </c>
      <c r="F44" s="125">
        <f>IF('Quant. mod. (oc)'!F44&lt;0,0,'Quant. mod. (oc)'!F44)</f>
        <v>17.337999999999997</v>
      </c>
      <c r="G44" s="125">
        <f>IF('Quant. mod. (oc)'!G44&lt;0,0,'Quant. mod. (oc)'!G44)</f>
        <v>14.512</v>
      </c>
      <c r="H44" s="125">
        <f>IF('Quant. mod. (oc)'!H44&lt;0,0,'Quant. mod. (oc)'!H44)</f>
        <v>14.611000000000001</v>
      </c>
      <c r="I44" s="125">
        <f>IF('Quant. mod. (oc)'!I44&lt;0,0,'Quant. mod. (oc)'!I44)</f>
        <v>17.498000000000001</v>
      </c>
      <c r="J44" s="125">
        <f>IF('Quant. mod. (oc)'!J44&lt;0,0,'Quant. mod. (oc)'!J44)</f>
        <v>14.478999999999999</v>
      </c>
      <c r="K44" s="125">
        <f>IF('Quant. mod. (oc)'!K44&lt;0,0,'Quant. mod. (oc)'!K44)</f>
        <v>17.417999999999999</v>
      </c>
      <c r="L44" s="125">
        <f>IF('Quant. mod. (oc)'!L44&lt;0,0,'Quant. mod. (oc)'!L44)</f>
        <v>14.512</v>
      </c>
      <c r="M44" s="125">
        <f>IF('Quant. mod. (oc)'!M44&lt;0,0,'Quant. mod. (oc)'!M44)</f>
        <v>17.577999999999999</v>
      </c>
      <c r="N44" s="125">
        <f>IF('Quant. mod. (oc)'!N44&lt;0,0,'Quant. mod. (oc)'!N44)</f>
        <v>15.272999999999998</v>
      </c>
      <c r="O44" s="125">
        <f>IF('Quant. mod. (oc)'!O44&lt;0,0,'Quant. mod. (oc)'!O44)</f>
        <v>13.941000000000001</v>
      </c>
      <c r="P44" s="125">
        <f>IF('Quant. mod. (oc)'!P44&lt;0,0,'Quant. mod. (oc)'!P44)</f>
        <v>16.893000000000001</v>
      </c>
      <c r="Q44" s="125">
        <f>IF('Quant. mod. (oc)'!Q44&lt;0,0,'Quant. mod. (oc)'!Q44)</f>
        <v>15.272999999999998</v>
      </c>
      <c r="R44" s="125">
        <f>IF('Quant. mod. (oc)'!R44&lt;0,0,'Quant. mod. (oc)'!R44)</f>
        <v>14.055</v>
      </c>
      <c r="S44" s="125">
        <f>IF('Quant. mod. (oc)'!S44&lt;0,0,'Quant. mod. (oc)'!S44)</f>
        <v>16.893000000000001</v>
      </c>
      <c r="T44" s="125">
        <f>IF('Quant. mod. (oc)'!T44&lt;0,0,'Quant. mod. (oc)'!T44)</f>
        <v>15.272999999999998</v>
      </c>
      <c r="U44" s="125">
        <f>IF('Quant. mod. (oc)'!U44&lt;0,0,'Quant. mod. (oc)'!U44)</f>
        <v>15.305999999999999</v>
      </c>
      <c r="V44" s="125">
        <f>IF('Quant. mod. (oc)'!V44&lt;0,0,'Quant. mod. (oc)'!V44)</f>
        <v>15.272999999999998</v>
      </c>
      <c r="W44" s="125">
        <f>IF('Quant. mod. (oc)'!W44&lt;0,0,'Quant. mod. (oc)'!W44)</f>
        <v>15.305999999999999</v>
      </c>
      <c r="X44" s="125">
        <f>IF('Quant. mod. (oc)'!X44&lt;0,0,'Quant. mod. (oc)'!X44)</f>
        <v>13.106</v>
      </c>
      <c r="Y44" s="125">
        <f>IF('Quant. mod. (oc)'!Y44&lt;0,0,'Quant. mod. (oc)'!Y44)</f>
        <v>13.491</v>
      </c>
      <c r="Z44" s="125">
        <f>IF('Quant. mod. (oc)'!Z44&lt;0,0,'Quant. mod. (oc)'!Z44)</f>
        <v>16.045999999999999</v>
      </c>
      <c r="AA44" s="125">
        <f>IF('Quant. mod. (oc)'!AA44&lt;0,0,'Quant. mod. (oc)'!AA44)</f>
        <v>13.141999999999999</v>
      </c>
      <c r="AB44" s="125">
        <f>IF('Quant. mod. (oc)'!AB44&lt;0,0,'Quant. mod. (oc)'!AB44)</f>
        <v>13.610999999999999</v>
      </c>
      <c r="AC44" s="125">
        <f>IF('Quant. mod. (oc)'!AC44&lt;0,0,'Quant. mod. (oc)'!AC44)</f>
        <v>16.132999999999999</v>
      </c>
      <c r="AD44" s="125">
        <f>IF('Quant. mod. (oc)'!AD44&lt;0,0,'Quant. mod. (oc)'!AD44)</f>
        <v>13.106</v>
      </c>
      <c r="AE44" s="125">
        <f>IF('Quant. mod. (oc)'!AE44&lt;0,0,'Quant. mod. (oc)'!AE44)</f>
        <v>13.186</v>
      </c>
      <c r="AF44" s="125">
        <f>IF('Quant. mod. (oc)'!AF44&lt;0,0,'Quant. mod. (oc)'!AF44)</f>
        <v>13.141999999999999</v>
      </c>
      <c r="AG44" s="126">
        <f>IF('Quant. mod. (oc)'!AG44&lt;0,0,'Quant. mod. (oc)'!AG44)</f>
        <v>13.261999999999999</v>
      </c>
      <c r="AH44" s="22"/>
    </row>
    <row r="45" spans="1:34" ht="25.5" x14ac:dyDescent="0.25">
      <c r="A45" s="112"/>
      <c r="B45" s="270" t="s">
        <v>295</v>
      </c>
      <c r="C45" s="67" t="s">
        <v>57</v>
      </c>
      <c r="D45" s="125">
        <f>IF('Quant. mod. (oc)'!D45&lt;0,0,'Quant. mod. (oc)'!D45)</f>
        <v>68.177999999999997</v>
      </c>
      <c r="E45" s="125">
        <f>IF('Quant. mod. (oc)'!E45&lt;0,0,'Quant. mod. (oc)'!E45)</f>
        <v>73.445000000000007</v>
      </c>
      <c r="F45" s="125">
        <f>IF('Quant. mod. (oc)'!F45&lt;0,0,'Quant. mod. (oc)'!F45)</f>
        <v>87.277000000000001</v>
      </c>
      <c r="G45" s="125">
        <f>IF('Quant. mod. (oc)'!G45&lt;0,0,'Quant. mod. (oc)'!G45)</f>
        <v>68.375</v>
      </c>
      <c r="H45" s="125">
        <f>IF('Quant. mod. (oc)'!H45&lt;0,0,'Quant. mod. (oc)'!H45)</f>
        <v>73.65100000000001</v>
      </c>
      <c r="I45" s="125">
        <f>IF('Quant. mod. (oc)'!I45&lt;0,0,'Quant. mod. (oc)'!I45)</f>
        <v>88.076999999999998</v>
      </c>
      <c r="J45" s="125">
        <f>IF('Quant. mod. (oc)'!J45&lt;0,0,'Quant. mod. (oc)'!J45)</f>
        <v>68.177999999999997</v>
      </c>
      <c r="K45" s="125">
        <f>IF('Quant. mod. (oc)'!K45&lt;0,0,'Quant. mod. (oc)'!K45)</f>
        <v>87.676999999999992</v>
      </c>
      <c r="L45" s="125">
        <f>IF('Quant. mod. (oc)'!L45&lt;0,0,'Quant. mod. (oc)'!L45)</f>
        <v>68.375</v>
      </c>
      <c r="M45" s="125">
        <f>IF('Quant. mod. (oc)'!M45&lt;0,0,'Quant. mod. (oc)'!M45)</f>
        <v>88.477000000000004</v>
      </c>
      <c r="N45" s="125">
        <f>IF('Quant. mod. (oc)'!N45&lt;0,0,'Quant. mod. (oc)'!N45)</f>
        <v>69.72</v>
      </c>
      <c r="O45" s="125">
        <f>IF('Quant. mod. (oc)'!O45&lt;0,0,'Quant. mod. (oc)'!O45)</f>
        <v>70.260000000000005</v>
      </c>
      <c r="P45" s="125">
        <f>IF('Quant. mod. (oc)'!P45&lt;0,0,'Quant. mod. (oc)'!P45)</f>
        <v>85.024000000000001</v>
      </c>
      <c r="Q45" s="125">
        <f>IF('Quant. mod. (oc)'!Q45&lt;0,0,'Quant. mod. (oc)'!Q45)</f>
        <v>69.72</v>
      </c>
      <c r="R45" s="125">
        <f>IF('Quant. mod. (oc)'!R45&lt;0,0,'Quant. mod. (oc)'!R45)</f>
        <v>70.866</v>
      </c>
      <c r="S45" s="125">
        <f>IF('Quant. mod. (oc)'!S45&lt;0,0,'Quant. mod. (oc)'!S45)</f>
        <v>85.024000000000001</v>
      </c>
      <c r="T45" s="125">
        <f>IF('Quant. mod. (oc)'!T45&lt;0,0,'Quant. mod. (oc)'!T45)</f>
        <v>69.72</v>
      </c>
      <c r="U45" s="125">
        <f>IF('Quant. mod. (oc)'!U45&lt;0,0,'Quant. mod. (oc)'!U45)</f>
        <v>69.926000000000002</v>
      </c>
      <c r="V45" s="125">
        <f>IF('Quant. mod. (oc)'!V45&lt;0,0,'Quant. mod. (oc)'!V45)</f>
        <v>69.72</v>
      </c>
      <c r="W45" s="125">
        <f>IF('Quant. mod. (oc)'!W45&lt;0,0,'Quant. mod. (oc)'!W45)</f>
        <v>69.926000000000002</v>
      </c>
      <c r="X45" s="125">
        <f>IF('Quant. mod. (oc)'!X45&lt;0,0,'Quant. mod. (oc)'!X45)</f>
        <v>67.771999999999991</v>
      </c>
      <c r="Y45" s="125">
        <f>IF('Quant. mod. (oc)'!Y45&lt;0,0,'Quant. mod. (oc)'!Y45)</f>
        <v>68.634999999999991</v>
      </c>
      <c r="Z45" s="125">
        <f>IF('Quant. mod. (oc)'!Z45&lt;0,0,'Quant. mod. (oc)'!Z45)</f>
        <v>82.536000000000001</v>
      </c>
      <c r="AA45" s="125">
        <f>IF('Quant. mod. (oc)'!AA45&lt;0,0,'Quant. mod. (oc)'!AA45)</f>
        <v>67.966000000000008</v>
      </c>
      <c r="AB45" s="125">
        <f>IF('Quant. mod. (oc)'!AB45&lt;0,0,'Quant. mod. (oc)'!AB45)</f>
        <v>69.234999999999999</v>
      </c>
      <c r="AC45" s="125">
        <f>IF('Quant. mod. (oc)'!AC45&lt;0,0,'Quant. mod. (oc)'!AC45)</f>
        <v>82.929000000000002</v>
      </c>
      <c r="AD45" s="125">
        <f>IF('Quant. mod. (oc)'!AD45&lt;0,0,'Quant. mod. (oc)'!AD45)</f>
        <v>67.771999999999991</v>
      </c>
      <c r="AE45" s="125">
        <f>IF('Quant. mod. (oc)'!AE45&lt;0,0,'Quant. mod. (oc)'!AE45)</f>
        <v>68.171999999999997</v>
      </c>
      <c r="AF45" s="125">
        <f>IF('Quant. mod. (oc)'!AF45&lt;0,0,'Quant. mod. (oc)'!AF45)</f>
        <v>67.966000000000008</v>
      </c>
      <c r="AG45" s="126">
        <f>IF('Quant. mod. (oc)'!AG45&lt;0,0,'Quant. mod. (oc)'!AG45)</f>
        <v>68.566000000000003</v>
      </c>
      <c r="AH45" s="22"/>
    </row>
    <row r="46" spans="1:34" x14ac:dyDescent="0.25">
      <c r="A46" s="112"/>
      <c r="B46" s="120" t="s">
        <v>512</v>
      </c>
      <c r="C46" s="121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8"/>
      <c r="AH46" s="22"/>
    </row>
    <row r="47" spans="1:34" ht="25.5" x14ac:dyDescent="0.25">
      <c r="A47" s="112"/>
      <c r="B47" s="270" t="s">
        <v>294</v>
      </c>
      <c r="C47" s="67" t="s">
        <v>65</v>
      </c>
      <c r="D47" s="125">
        <f>IF('Quant. mod. (oc)'!D47&lt;0,0,'Quant. mod. (oc)'!D47)</f>
        <v>31.23</v>
      </c>
      <c r="E47" s="125">
        <f>IF('Quant. mod. (oc)'!E47&lt;0,0,'Quant. mod. (oc)'!E47)</f>
        <v>32.294000000000004</v>
      </c>
      <c r="F47" s="125">
        <f>IF('Quant. mod. (oc)'!F47&lt;0,0,'Quant. mod. (oc)'!F47)</f>
        <v>6.5753000000000004</v>
      </c>
      <c r="G47" s="125">
        <f>IF('Quant. mod. (oc)'!G47&lt;0,0,'Quant. mod. (oc)'!G47)</f>
        <v>31.334</v>
      </c>
      <c r="H47" s="125">
        <f>IF('Quant. mod. (oc)'!H47&lt;0,0,'Quant. mod. (oc)'!H47)</f>
        <v>32.326999999999998</v>
      </c>
      <c r="I47" s="125">
        <f>IF('Quant. mod. (oc)'!I47&lt;0,0,'Quant. mod. (oc)'!I47)</f>
        <v>6.7786</v>
      </c>
      <c r="J47" s="125">
        <f>IF('Quant. mod. (oc)'!J47&lt;0,0,'Quant. mod. (oc)'!J47)</f>
        <v>31.23</v>
      </c>
      <c r="K47" s="125">
        <f>IF('Quant. mod. (oc)'!K47&lt;0,0,'Quant. mod. (oc)'!K47)</f>
        <v>6.7752999999999997</v>
      </c>
      <c r="L47" s="125">
        <f>IF('Quant. mod. (oc)'!L47&lt;0,0,'Quant. mod. (oc)'!L47)</f>
        <v>31.334</v>
      </c>
      <c r="M47" s="125">
        <f>IF('Quant. mod. (oc)'!M47&lt;0,0,'Quant. mod. (oc)'!M47)</f>
        <v>6.9786000000000001</v>
      </c>
      <c r="N47" s="125">
        <f>IF('Quant. mod. (oc)'!N47&lt;0,0,'Quant. mod. (oc)'!N47)</f>
        <v>27.459000000000003</v>
      </c>
      <c r="O47" s="125">
        <f>IF('Quant. mod. (oc)'!O47&lt;0,0,'Quant. mod. (oc)'!O47)</f>
        <v>26.340999999999998</v>
      </c>
      <c r="P47" s="125">
        <f>IF('Quant. mod. (oc)'!P47&lt;0,0,'Quant. mod. (oc)'!P47)</f>
        <v>7.1002999999999998</v>
      </c>
      <c r="Q47" s="125">
        <f>IF('Quant. mod. (oc)'!Q47&lt;0,0,'Quant. mod. (oc)'!Q47)</f>
        <v>27.459000000000003</v>
      </c>
      <c r="R47" s="125">
        <f>IF('Quant. mod. (oc)'!R47&lt;0,0,'Quant. mod. (oc)'!R47)</f>
        <v>26.634</v>
      </c>
      <c r="S47" s="125">
        <f>IF('Quant. mod. (oc)'!S47&lt;0,0,'Quant. mod. (oc)'!S47)</f>
        <v>7.1002999999999998</v>
      </c>
      <c r="T47" s="125">
        <f>IF('Quant. mod. (oc)'!T47&lt;0,0,'Quant. mod. (oc)'!T47)</f>
        <v>27.459000000000003</v>
      </c>
      <c r="U47" s="125">
        <f>IF('Quant. mod. (oc)'!U47&lt;0,0,'Quant. mod. (oc)'!U47)</f>
        <v>27.562000000000001</v>
      </c>
      <c r="V47" s="125">
        <f>IF('Quant. mod. (oc)'!V47&lt;0,0,'Quant. mod. (oc)'!V47)</f>
        <v>27.459000000000003</v>
      </c>
      <c r="W47" s="125">
        <f>IF('Quant. mod. (oc)'!W47&lt;0,0,'Quant. mod. (oc)'!W47)</f>
        <v>27.562000000000001</v>
      </c>
      <c r="X47" s="125">
        <f>IF('Quant. mod. (oc)'!X47&lt;0,0,'Quant. mod. (oc)'!X47)</f>
        <v>27.134999999999998</v>
      </c>
      <c r="Y47" s="125">
        <f>IF('Quant. mod. (oc)'!Y47&lt;0,0,'Quant. mod. (oc)'!Y47)</f>
        <v>26.293000000000003</v>
      </c>
      <c r="Z47" s="125">
        <f>IF('Quant. mod. (oc)'!Z47&lt;0,0,'Quant. mod. (oc)'!Z47)</f>
        <v>6.4820000000000002</v>
      </c>
      <c r="AA47" s="125">
        <f>IF('Quant. mod. (oc)'!AA47&lt;0,0,'Quant. mod. (oc)'!AA47)</f>
        <v>27.231000000000002</v>
      </c>
      <c r="AB47" s="125">
        <f>IF('Quant. mod. (oc)'!AB47&lt;0,0,'Quant. mod. (oc)'!AB47)</f>
        <v>26.593000000000004</v>
      </c>
      <c r="AC47" s="125">
        <f>IF('Quant. mod. (oc)'!AC47&lt;0,0,'Quant. mod. (oc)'!AC47)</f>
        <v>6.4786999999999999</v>
      </c>
      <c r="AD47" s="125">
        <f>IF('Quant. mod. (oc)'!AD47&lt;0,0,'Quant. mod. (oc)'!AD47)</f>
        <v>27.134999999999998</v>
      </c>
      <c r="AE47" s="125">
        <f>IF('Quant. mod. (oc)'!AE47&lt;0,0,'Quant. mod. (oc)'!AE47)</f>
        <v>27.335000000000001</v>
      </c>
      <c r="AF47" s="125">
        <f>IF('Quant. mod. (oc)'!AF47&lt;0,0,'Quant. mod. (oc)'!AF47)</f>
        <v>27.231000000000002</v>
      </c>
      <c r="AG47" s="126">
        <f>IF('Quant. mod. (oc)'!AG47&lt;0,0,'Quant. mod. (oc)'!AG47)</f>
        <v>27.331</v>
      </c>
      <c r="AH47" s="22"/>
    </row>
    <row r="48" spans="1:34" x14ac:dyDescent="0.25">
      <c r="A48" s="112"/>
      <c r="B48" s="270" t="s">
        <v>290</v>
      </c>
      <c r="C48" s="67" t="s">
        <v>63</v>
      </c>
      <c r="D48" s="125">
        <f>IF('Quant. mod. (oc)'!D48&lt;0,0,'Quant. mod. (oc)'!D48)</f>
        <v>12.489000000000001</v>
      </c>
      <c r="E48" s="125">
        <f>IF('Quant. mod. (oc)'!E48&lt;0,0,'Quant. mod. (oc)'!E48)</f>
        <v>12.913</v>
      </c>
      <c r="F48" s="125">
        <f>IF('Quant. mod. (oc)'!F48&lt;0,0,'Quant. mod. (oc)'!F48)</f>
        <v>2.6334999999999997</v>
      </c>
      <c r="G48" s="125">
        <f>IF('Quant. mod. (oc)'!G48&lt;0,0,'Quant. mod. (oc)'!G48)</f>
        <v>12.532999999999999</v>
      </c>
      <c r="H48" s="125">
        <f>IF('Quant. mod. (oc)'!H48&lt;0,0,'Quant. mod. (oc)'!H48)</f>
        <v>12.930999999999999</v>
      </c>
      <c r="I48" s="125">
        <f>IF('Quant. mod. (oc)'!I48&lt;0,0,'Quant. mod. (oc)'!I48)</f>
        <v>2.7068000000000003</v>
      </c>
      <c r="J48" s="125">
        <f>IF('Quant. mod. (oc)'!J48&lt;0,0,'Quant. mod. (oc)'!J48)</f>
        <v>12.489000000000001</v>
      </c>
      <c r="K48" s="125">
        <f>IF('Quant. mod. (oc)'!K48&lt;0,0,'Quant. mod. (oc)'!K48)</f>
        <v>2.7134999999999998</v>
      </c>
      <c r="L48" s="125">
        <f>IF('Quant. mod. (oc)'!L48&lt;0,0,'Quant. mod. (oc)'!L48)</f>
        <v>12.532999999999999</v>
      </c>
      <c r="M48" s="125">
        <f>IF('Quant. mod. (oc)'!M48&lt;0,0,'Quant. mod. (oc)'!M48)</f>
        <v>2.7868000000000004</v>
      </c>
      <c r="N48" s="125">
        <f>IF('Quant. mod. (oc)'!N48&lt;0,0,'Quant. mod. (oc)'!N48)</f>
        <v>10.9892</v>
      </c>
      <c r="O48" s="125">
        <f>IF('Quant. mod. (oc)'!O48&lt;0,0,'Quant. mod. (oc)'!O48)</f>
        <v>10.5303</v>
      </c>
      <c r="P48" s="125">
        <f>IF('Quant. mod. (oc)'!P48&lt;0,0,'Quant. mod. (oc)'!P48)</f>
        <v>2.8377000000000003</v>
      </c>
      <c r="Q48" s="125">
        <f>IF('Quant. mod. (oc)'!Q48&lt;0,0,'Quant. mod. (oc)'!Q48)</f>
        <v>10.9892</v>
      </c>
      <c r="R48" s="125">
        <f>IF('Quant. mod. (oc)'!R48&lt;0,0,'Quant. mod. (oc)'!R48)</f>
        <v>10.653599999999999</v>
      </c>
      <c r="S48" s="125">
        <f>IF('Quant. mod. (oc)'!S48&lt;0,0,'Quant. mod. (oc)'!S48)</f>
        <v>2.8377000000000003</v>
      </c>
      <c r="T48" s="125">
        <f>IF('Quant. mod. (oc)'!T48&lt;0,0,'Quant. mod. (oc)'!T48)</f>
        <v>10.9892</v>
      </c>
      <c r="U48" s="125">
        <f>IF('Quant. mod. (oc)'!U48&lt;0,0,'Quant. mod. (oc)'!U48)</f>
        <v>11.0245</v>
      </c>
      <c r="V48" s="125">
        <f>IF('Quant. mod. (oc)'!V48&lt;0,0,'Quant. mod. (oc)'!V48)</f>
        <v>10.9892</v>
      </c>
      <c r="W48" s="125">
        <f>IF('Quant. mod. (oc)'!W48&lt;0,0,'Quant. mod. (oc)'!W48)</f>
        <v>11.0245</v>
      </c>
      <c r="X48" s="125">
        <f>IF('Quant. mod. (oc)'!X48&lt;0,0,'Quant. mod. (oc)'!X48)</f>
        <v>10.852</v>
      </c>
      <c r="Y48" s="125">
        <f>IF('Quant. mod. (oc)'!Y48&lt;0,0,'Quant. mod. (oc)'!Y48)</f>
        <v>10.517099999999999</v>
      </c>
      <c r="Z48" s="125">
        <f>IF('Quant. mod. (oc)'!Z48&lt;0,0,'Quant. mod. (oc)'!Z48)</f>
        <v>2.5966</v>
      </c>
      <c r="AA48" s="125">
        <f>IF('Quant. mod. (oc)'!AA48&lt;0,0,'Quant. mod. (oc)'!AA48)</f>
        <v>10.888</v>
      </c>
      <c r="AB48" s="125">
        <f>IF('Quant. mod. (oc)'!AB48&lt;0,0,'Quant. mod. (oc)'!AB48)</f>
        <v>10.6371</v>
      </c>
      <c r="AC48" s="125">
        <f>IF('Quant. mod. (oc)'!AC48&lt;0,0,'Quant. mod. (oc)'!AC48)</f>
        <v>2.5932999999999997</v>
      </c>
      <c r="AD48" s="125">
        <f>IF('Quant. mod. (oc)'!AD48&lt;0,0,'Quant. mod. (oc)'!AD48)</f>
        <v>10.852</v>
      </c>
      <c r="AE48" s="125">
        <f>IF('Quant. mod. (oc)'!AE48&lt;0,0,'Quant. mod. (oc)'!AE48)</f>
        <v>10.932</v>
      </c>
      <c r="AF48" s="125">
        <f>IF('Quant. mod. (oc)'!AF48&lt;0,0,'Quant. mod. (oc)'!AF48)</f>
        <v>10.888</v>
      </c>
      <c r="AG48" s="126">
        <f>IF('Quant. mod. (oc)'!AG48&lt;0,0,'Quant. mod. (oc)'!AG48)</f>
        <v>10.928000000000001</v>
      </c>
      <c r="AH48" s="22"/>
    </row>
    <row r="49" spans="1:34" ht="25.5" x14ac:dyDescent="0.25">
      <c r="A49" s="112"/>
      <c r="B49" s="270" t="s">
        <v>295</v>
      </c>
      <c r="C49" s="67" t="s">
        <v>57</v>
      </c>
      <c r="D49" s="125">
        <f>IF('Quant. mod. (oc)'!D49&lt;0,0,'Quant. mod. (oc)'!D49)</f>
        <v>64.986000000000004</v>
      </c>
      <c r="E49" s="125">
        <f>IF('Quant. mod. (oc)'!E49&lt;0,0,'Quant. mod. (oc)'!E49)</f>
        <v>65.096000000000004</v>
      </c>
      <c r="F49" s="125">
        <f>IF('Quant. mod. (oc)'!F49&lt;0,0,'Quant. mod. (oc)'!F49)</f>
        <v>13.55</v>
      </c>
      <c r="G49" s="125">
        <f>IF('Quant. mod. (oc)'!G49&lt;0,0,'Quant. mod. (oc)'!G49)</f>
        <v>65.182000000000002</v>
      </c>
      <c r="H49" s="125">
        <f>IF('Quant. mod. (oc)'!H49&lt;0,0,'Quant. mod. (oc)'!H49)</f>
        <v>65.182000000000002</v>
      </c>
      <c r="I49" s="125">
        <f>IF('Quant. mod. (oc)'!I49&lt;0,0,'Quant. mod. (oc)'!I49)</f>
        <v>13.956</v>
      </c>
      <c r="J49" s="125">
        <f>IF('Quant. mod. (oc)'!J49&lt;0,0,'Quant. mod. (oc)'!J49)</f>
        <v>64.986000000000004</v>
      </c>
      <c r="K49" s="125">
        <f>IF('Quant. mod. (oc)'!K49&lt;0,0,'Quant. mod. (oc)'!K49)</f>
        <v>13.950000000000001</v>
      </c>
      <c r="L49" s="125">
        <f>IF('Quant. mod. (oc)'!L49&lt;0,0,'Quant. mod. (oc)'!L49)</f>
        <v>65.182000000000002</v>
      </c>
      <c r="M49" s="125">
        <f>IF('Quant. mod. (oc)'!M49&lt;0,0,'Quant. mod. (oc)'!M49)</f>
        <v>14.355999999999998</v>
      </c>
      <c r="N49" s="125">
        <f>IF('Quant. mod. (oc)'!N49&lt;0,0,'Quant. mod. (oc)'!N49)</f>
        <v>57.234999999999999</v>
      </c>
      <c r="O49" s="125">
        <f>IF('Quant. mod. (oc)'!O49&lt;0,0,'Quant. mod. (oc)'!O49)</f>
        <v>53.871000000000002</v>
      </c>
      <c r="P49" s="125">
        <f>IF('Quant. mod. (oc)'!P49&lt;0,0,'Quant. mod. (oc)'!P49)</f>
        <v>14.608000000000001</v>
      </c>
      <c r="Q49" s="125">
        <f>IF('Quant. mod. (oc)'!Q49&lt;0,0,'Quant. mod. (oc)'!Q49)</f>
        <v>57.234999999999999</v>
      </c>
      <c r="R49" s="125">
        <f>IF('Quant. mod. (oc)'!R49&lt;0,0,'Quant. mod. (oc)'!R49)</f>
        <v>54.478000000000002</v>
      </c>
      <c r="S49" s="125">
        <f>IF('Quant. mod. (oc)'!S49&lt;0,0,'Quant. mod. (oc)'!S49)</f>
        <v>14.608000000000001</v>
      </c>
      <c r="T49" s="125">
        <f>IF('Quant. mod. (oc)'!T49&lt;0,0,'Quant. mod. (oc)'!T49)</f>
        <v>57.234999999999999</v>
      </c>
      <c r="U49" s="125">
        <f>IF('Quant. mod. (oc)'!U49&lt;0,0,'Quant. mod. (oc)'!U49)</f>
        <v>57.441000000000003</v>
      </c>
      <c r="V49" s="125">
        <f>IF('Quant. mod. (oc)'!V49&lt;0,0,'Quant. mod. (oc)'!V49)</f>
        <v>57.234999999999999</v>
      </c>
      <c r="W49" s="125">
        <f>IF('Quant. mod. (oc)'!W49&lt;0,0,'Quant. mod. (oc)'!W49)</f>
        <v>57.441000000000003</v>
      </c>
      <c r="X49" s="125">
        <f>IF('Quant. mod. (oc)'!X49&lt;0,0,'Quant. mod. (oc)'!X49)</f>
        <v>57.274000000000001</v>
      </c>
      <c r="Y49" s="125">
        <f>IF('Quant. mod. (oc)'!Y49&lt;0,0,'Quant. mod. (oc)'!Y49)</f>
        <v>53.789000000000001</v>
      </c>
      <c r="Z49" s="125">
        <f>IF('Quant. mod. (oc)'!Z49&lt;0,0,'Quant. mod. (oc)'!Z49)</f>
        <v>13.863999999999999</v>
      </c>
      <c r="AA49" s="125">
        <f>IF('Quant. mod. (oc)'!AA49&lt;0,0,'Quant. mod. (oc)'!AA49)</f>
        <v>57.466999999999999</v>
      </c>
      <c r="AB49" s="125">
        <f>IF('Quant. mod. (oc)'!AB49&lt;0,0,'Quant. mod. (oc)'!AB49)</f>
        <v>54.389000000000003</v>
      </c>
      <c r="AC49" s="125">
        <f>IF('Quant. mod. (oc)'!AC49&lt;0,0,'Quant. mod. (oc)'!AC49)</f>
        <v>13.867000000000001</v>
      </c>
      <c r="AD49" s="125">
        <f>IF('Quant. mod. (oc)'!AD49&lt;0,0,'Quant. mod. (oc)'!AD49)</f>
        <v>57.274000000000001</v>
      </c>
      <c r="AE49" s="125">
        <f>IF('Quant. mod. (oc)'!AE49&lt;0,0,'Quant. mod. (oc)'!AE49)</f>
        <v>57.673999999999999</v>
      </c>
      <c r="AF49" s="125">
        <f>IF('Quant. mod. (oc)'!AF49&lt;0,0,'Quant. mod. (oc)'!AF49)</f>
        <v>57.466999999999999</v>
      </c>
      <c r="AG49" s="126">
        <f>IF('Quant. mod. (oc)'!AG49&lt;0,0,'Quant. mod. (oc)'!AG49)</f>
        <v>57.667000000000002</v>
      </c>
      <c r="AH49" s="22"/>
    </row>
    <row r="50" spans="1:34" x14ac:dyDescent="0.25">
      <c r="A50" s="112"/>
      <c r="B50" s="120" t="s">
        <v>513</v>
      </c>
      <c r="C50" s="121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8"/>
      <c r="AH50" s="22"/>
    </row>
    <row r="51" spans="1:34" ht="51" x14ac:dyDescent="0.25">
      <c r="A51" s="112"/>
      <c r="B51" s="27" t="s">
        <v>441</v>
      </c>
      <c r="C51" s="67" t="s">
        <v>65</v>
      </c>
      <c r="D51" s="125">
        <f>IF('Quant. mod. (oc)'!D51&lt;0,0,'Quant. mod. (oc)'!D51)</f>
        <v>42.661999999999964</v>
      </c>
      <c r="E51" s="125">
        <f>IF('Quant. mod. (oc)'!E51&lt;0,0,'Quant. mod. (oc)'!E51)</f>
        <v>42.661999999999964</v>
      </c>
      <c r="F51" s="125">
        <f>IF('Quant. mod. (oc)'!F51&lt;0,0,'Quant. mod. (oc)'!F51)</f>
        <v>42.661999999999964</v>
      </c>
      <c r="G51" s="125">
        <f>IF('Quant. mod. (oc)'!G51&lt;0,0,'Quant. mod. (oc)'!G51)</f>
        <v>42.661999999999964</v>
      </c>
      <c r="H51" s="125">
        <f>IF('Quant. mod. (oc)'!H51&lt;0,0,'Quant. mod. (oc)'!H51)</f>
        <v>42.661999999999964</v>
      </c>
      <c r="I51" s="125">
        <f>IF('Quant. mod. (oc)'!I51&lt;0,0,'Quant. mod. (oc)'!I51)</f>
        <v>42.661999999999964</v>
      </c>
      <c r="J51" s="125">
        <f>IF('Quant. mod. (oc)'!J51&lt;0,0,'Quant. mod. (oc)'!J51)</f>
        <v>42.661999999999964</v>
      </c>
      <c r="K51" s="125">
        <f>IF('Quant. mod. (oc)'!K51&lt;0,0,'Quant. mod. (oc)'!K51)</f>
        <v>42.661999999999964</v>
      </c>
      <c r="L51" s="125">
        <f>IF('Quant. mod. (oc)'!L51&lt;0,0,'Quant. mod. (oc)'!L51)</f>
        <v>42.661999999999964</v>
      </c>
      <c r="M51" s="125">
        <f>IF('Quant. mod. (oc)'!M51&lt;0,0,'Quant. mod. (oc)'!M51)</f>
        <v>42.661999999999964</v>
      </c>
      <c r="N51" s="125">
        <f>IF('Quant. mod. (oc)'!N51&lt;0,0,'Quant. mod. (oc)'!N51)</f>
        <v>53.165000000000006</v>
      </c>
      <c r="O51" s="125">
        <f>IF('Quant. mod. (oc)'!O51&lt;0,0,'Quant. mod. (oc)'!O51)</f>
        <v>53.165000000000006</v>
      </c>
      <c r="P51" s="125">
        <f>IF('Quant. mod. (oc)'!P51&lt;0,0,'Quant. mod. (oc)'!P51)</f>
        <v>53.165000000000006</v>
      </c>
      <c r="Q51" s="125">
        <f>IF('Quant. mod. (oc)'!Q51&lt;0,0,'Quant. mod. (oc)'!Q51)</f>
        <v>53.165000000000006</v>
      </c>
      <c r="R51" s="125">
        <f>IF('Quant. mod. (oc)'!R51&lt;0,0,'Quant. mod. (oc)'!R51)</f>
        <v>53.165000000000006</v>
      </c>
      <c r="S51" s="125">
        <f>IF('Quant. mod. (oc)'!S51&lt;0,0,'Quant. mod. (oc)'!S51)</f>
        <v>53.165000000000006</v>
      </c>
      <c r="T51" s="125">
        <f>IF('Quant. mod. (oc)'!T51&lt;0,0,'Quant. mod. (oc)'!T51)</f>
        <v>53.165000000000006</v>
      </c>
      <c r="U51" s="125">
        <f>IF('Quant. mod. (oc)'!U51&lt;0,0,'Quant. mod. (oc)'!U51)</f>
        <v>53.165000000000006</v>
      </c>
      <c r="V51" s="125">
        <f>IF('Quant. mod. (oc)'!V51&lt;0,0,'Quant. mod. (oc)'!V51)</f>
        <v>53.165000000000006</v>
      </c>
      <c r="W51" s="125">
        <f>IF('Quant. mod. (oc)'!W51&lt;0,0,'Quant. mod. (oc)'!W51)</f>
        <v>53.165000000000006</v>
      </c>
      <c r="X51" s="125">
        <f>IF('Quant. mod. (oc)'!X51&lt;0,0,'Quant. mod. (oc)'!X51)</f>
        <v>43.099999999999994</v>
      </c>
      <c r="Y51" s="125">
        <f>IF('Quant. mod. (oc)'!Y51&lt;0,0,'Quant. mod. (oc)'!Y51)</f>
        <v>43.099999999999994</v>
      </c>
      <c r="Z51" s="125">
        <f>IF('Quant. mod. (oc)'!Z51&lt;0,0,'Quant. mod. (oc)'!Z51)</f>
        <v>43.099999999999994</v>
      </c>
      <c r="AA51" s="125">
        <f>IF('Quant. mod. (oc)'!AA51&lt;0,0,'Quant. mod. (oc)'!AA51)</f>
        <v>43.099999999999994</v>
      </c>
      <c r="AB51" s="125">
        <f>IF('Quant. mod. (oc)'!AB51&lt;0,0,'Quant. mod. (oc)'!AB51)</f>
        <v>43.099999999999994</v>
      </c>
      <c r="AC51" s="125">
        <f>IF('Quant. mod. (oc)'!AC51&lt;0,0,'Quant. mod. (oc)'!AC51)</f>
        <v>43.099999999999994</v>
      </c>
      <c r="AD51" s="125">
        <f>IF('Quant. mod. (oc)'!AD51&lt;0,0,'Quant. mod. (oc)'!AD51)</f>
        <v>43.099999999999994</v>
      </c>
      <c r="AE51" s="125">
        <f>IF('Quant. mod. (oc)'!AE51&lt;0,0,'Quant. mod. (oc)'!AE51)</f>
        <v>43.099999999999994</v>
      </c>
      <c r="AF51" s="125">
        <f>IF('Quant. mod. (oc)'!AF51&lt;0,0,'Quant. mod. (oc)'!AF51)</f>
        <v>43.099999999999994</v>
      </c>
      <c r="AG51" s="126">
        <f>IF('Quant. mod. (oc)'!AG51&lt;0,0,'Quant. mod. (oc)'!AG51)</f>
        <v>43.099999999999994</v>
      </c>
      <c r="AH51" s="22"/>
    </row>
    <row r="52" spans="1:34" ht="25.5" x14ac:dyDescent="0.25">
      <c r="A52" s="112"/>
      <c r="B52" s="270" t="s">
        <v>294</v>
      </c>
      <c r="C52" s="67" t="s">
        <v>65</v>
      </c>
      <c r="D52" s="125">
        <f>IF('Quant. mod. (oc)'!D52&lt;0,0,'Quant. mod. (oc)'!D52)</f>
        <v>71.290000000000006</v>
      </c>
      <c r="E52" s="125">
        <f>IF('Quant. mod. (oc)'!E52&lt;0,0,'Quant. mod. (oc)'!E52)</f>
        <v>71.290000000000006</v>
      </c>
      <c r="F52" s="125">
        <f>IF('Quant. mod. (oc)'!F52&lt;0,0,'Quant. mod. (oc)'!F52)</f>
        <v>71.290000000000006</v>
      </c>
      <c r="G52" s="125">
        <f>IF('Quant. mod. (oc)'!G52&lt;0,0,'Quant. mod. (oc)'!G52)</f>
        <v>71.290000000000006</v>
      </c>
      <c r="H52" s="125">
        <f>IF('Quant. mod. (oc)'!H52&lt;0,0,'Quant. mod. (oc)'!H52)</f>
        <v>71.290000000000006</v>
      </c>
      <c r="I52" s="125">
        <f>IF('Quant. mod. (oc)'!I52&lt;0,0,'Quant. mod. (oc)'!I52)</f>
        <v>71.290000000000006</v>
      </c>
      <c r="J52" s="125">
        <f>IF('Quant. mod. (oc)'!J52&lt;0,0,'Quant. mod. (oc)'!J52)</f>
        <v>71.290000000000006</v>
      </c>
      <c r="K52" s="125">
        <f>IF('Quant. mod. (oc)'!K52&lt;0,0,'Quant. mod. (oc)'!K52)</f>
        <v>71.290000000000006</v>
      </c>
      <c r="L52" s="125">
        <f>IF('Quant. mod. (oc)'!L52&lt;0,0,'Quant. mod. (oc)'!L52)</f>
        <v>71.290000000000006</v>
      </c>
      <c r="M52" s="125">
        <f>IF('Quant. mod. (oc)'!M52&lt;0,0,'Quant. mod. (oc)'!M52)</f>
        <v>71.290000000000006</v>
      </c>
      <c r="N52" s="125">
        <f>IF('Quant. mod. (oc)'!N52&lt;0,0,'Quant. mod. (oc)'!N52)</f>
        <v>71.419000000000011</v>
      </c>
      <c r="O52" s="125">
        <f>IF('Quant. mod. (oc)'!O52&lt;0,0,'Quant. mod. (oc)'!O52)</f>
        <v>71.419000000000011</v>
      </c>
      <c r="P52" s="125">
        <f>IF('Quant. mod. (oc)'!P52&lt;0,0,'Quant. mod. (oc)'!P52)</f>
        <v>71.419000000000011</v>
      </c>
      <c r="Q52" s="125">
        <f>IF('Quant. mod. (oc)'!Q52&lt;0,0,'Quant. mod. (oc)'!Q52)</f>
        <v>71.419000000000011</v>
      </c>
      <c r="R52" s="125">
        <f>IF('Quant. mod. (oc)'!R52&lt;0,0,'Quant. mod. (oc)'!R52)</f>
        <v>71.419000000000011</v>
      </c>
      <c r="S52" s="125">
        <f>IF('Quant. mod. (oc)'!S52&lt;0,0,'Quant. mod. (oc)'!S52)</f>
        <v>71.419000000000011</v>
      </c>
      <c r="T52" s="125">
        <f>IF('Quant. mod. (oc)'!T52&lt;0,0,'Quant. mod. (oc)'!T52)</f>
        <v>71.419000000000011</v>
      </c>
      <c r="U52" s="125">
        <f>IF('Quant. mod. (oc)'!U52&lt;0,0,'Quant. mod. (oc)'!U52)</f>
        <v>71.419000000000011</v>
      </c>
      <c r="V52" s="125">
        <f>IF('Quant. mod. (oc)'!V52&lt;0,0,'Quant. mod. (oc)'!V52)</f>
        <v>71.419000000000011</v>
      </c>
      <c r="W52" s="125">
        <f>IF('Quant. mod. (oc)'!W52&lt;0,0,'Quant. mod. (oc)'!W52)</f>
        <v>71.419000000000011</v>
      </c>
      <c r="X52" s="125">
        <f>IF('Quant. mod. (oc)'!X52&lt;0,0,'Quant. mod. (oc)'!X52)</f>
        <v>71.36</v>
      </c>
      <c r="Y52" s="125">
        <f>IF('Quant. mod. (oc)'!Y52&lt;0,0,'Quant. mod. (oc)'!Y52)</f>
        <v>71.36</v>
      </c>
      <c r="Z52" s="125">
        <f>IF('Quant. mod. (oc)'!Z52&lt;0,0,'Quant. mod. (oc)'!Z52)</f>
        <v>71.36</v>
      </c>
      <c r="AA52" s="125">
        <f>IF('Quant. mod. (oc)'!AA52&lt;0,0,'Quant. mod. (oc)'!AA52)</f>
        <v>71.36</v>
      </c>
      <c r="AB52" s="125">
        <f>IF('Quant. mod. (oc)'!AB52&lt;0,0,'Quant. mod. (oc)'!AB52)</f>
        <v>71.36</v>
      </c>
      <c r="AC52" s="125">
        <f>IF('Quant. mod. (oc)'!AC52&lt;0,0,'Quant. mod. (oc)'!AC52)</f>
        <v>71.36</v>
      </c>
      <c r="AD52" s="125">
        <f>IF('Quant. mod. (oc)'!AD52&lt;0,0,'Quant. mod. (oc)'!AD52)</f>
        <v>71.36</v>
      </c>
      <c r="AE52" s="125">
        <f>IF('Quant. mod. (oc)'!AE52&lt;0,0,'Quant. mod. (oc)'!AE52)</f>
        <v>71.36</v>
      </c>
      <c r="AF52" s="125">
        <f>IF('Quant. mod. (oc)'!AF52&lt;0,0,'Quant. mod. (oc)'!AF52)</f>
        <v>71.36</v>
      </c>
      <c r="AG52" s="126">
        <f>IF('Quant. mod. (oc)'!AG52&lt;0,0,'Quant. mod. (oc)'!AG52)</f>
        <v>71.36</v>
      </c>
      <c r="AH52" s="22"/>
    </row>
    <row r="53" spans="1:34" x14ac:dyDescent="0.25">
      <c r="A53" s="112"/>
      <c r="B53" s="270" t="s">
        <v>290</v>
      </c>
      <c r="C53" s="67" t="s">
        <v>63</v>
      </c>
      <c r="D53" s="125">
        <f>IF('Quant. mod. (oc)'!D53&lt;0,0,'Quant. mod. (oc)'!D53)</f>
        <v>28.52</v>
      </c>
      <c r="E53" s="125">
        <f>IF('Quant. mod. (oc)'!E53&lt;0,0,'Quant. mod. (oc)'!E53)</f>
        <v>28.52</v>
      </c>
      <c r="F53" s="125">
        <f>IF('Quant. mod. (oc)'!F53&lt;0,0,'Quant. mod. (oc)'!F53)</f>
        <v>28.52</v>
      </c>
      <c r="G53" s="125">
        <f>IF('Quant. mod. (oc)'!G53&lt;0,0,'Quant. mod. (oc)'!G53)</f>
        <v>28.52</v>
      </c>
      <c r="H53" s="125">
        <f>IF('Quant. mod. (oc)'!H53&lt;0,0,'Quant. mod. (oc)'!H53)</f>
        <v>28.52</v>
      </c>
      <c r="I53" s="125">
        <f>IF('Quant. mod. (oc)'!I53&lt;0,0,'Quant. mod. (oc)'!I53)</f>
        <v>28.52</v>
      </c>
      <c r="J53" s="125">
        <f>IF('Quant. mod. (oc)'!J53&lt;0,0,'Quant. mod. (oc)'!J53)</f>
        <v>28.52</v>
      </c>
      <c r="K53" s="125">
        <f>IF('Quant. mod. (oc)'!K53&lt;0,0,'Quant. mod. (oc)'!K53)</f>
        <v>28.52</v>
      </c>
      <c r="L53" s="125">
        <f>IF('Quant. mod. (oc)'!L53&lt;0,0,'Quant. mod. (oc)'!L53)</f>
        <v>28.52</v>
      </c>
      <c r="M53" s="125">
        <f>IF('Quant. mod. (oc)'!M53&lt;0,0,'Quant. mod. (oc)'!M53)</f>
        <v>28.52</v>
      </c>
      <c r="N53" s="125">
        <f>IF('Quant. mod. (oc)'!N53&lt;0,0,'Quant. mod. (oc)'!N53)</f>
        <v>28.567</v>
      </c>
      <c r="O53" s="125">
        <f>IF('Quant. mod. (oc)'!O53&lt;0,0,'Quant. mod. (oc)'!O53)</f>
        <v>28.567</v>
      </c>
      <c r="P53" s="125">
        <f>IF('Quant. mod. (oc)'!P53&lt;0,0,'Quant. mod. (oc)'!P53)</f>
        <v>28.567</v>
      </c>
      <c r="Q53" s="125">
        <f>IF('Quant. mod. (oc)'!Q53&lt;0,0,'Quant. mod. (oc)'!Q53)</f>
        <v>28.567</v>
      </c>
      <c r="R53" s="125">
        <f>IF('Quant. mod. (oc)'!R53&lt;0,0,'Quant. mod. (oc)'!R53)</f>
        <v>28.567</v>
      </c>
      <c r="S53" s="125">
        <f>IF('Quant. mod. (oc)'!S53&lt;0,0,'Quant. mod. (oc)'!S53)</f>
        <v>28.567</v>
      </c>
      <c r="T53" s="125">
        <f>IF('Quant. mod. (oc)'!T53&lt;0,0,'Quant. mod. (oc)'!T53)</f>
        <v>28.567</v>
      </c>
      <c r="U53" s="125">
        <f>IF('Quant. mod. (oc)'!U53&lt;0,0,'Quant. mod. (oc)'!U53)</f>
        <v>28.567</v>
      </c>
      <c r="V53" s="125">
        <f>IF('Quant. mod. (oc)'!V53&lt;0,0,'Quant. mod. (oc)'!V53)</f>
        <v>28.567</v>
      </c>
      <c r="W53" s="125">
        <f>IF('Quant. mod. (oc)'!W53&lt;0,0,'Quant. mod. (oc)'!W53)</f>
        <v>28.567</v>
      </c>
      <c r="X53" s="125">
        <f>IF('Quant. mod. (oc)'!X53&lt;0,0,'Quant. mod. (oc)'!X53)</f>
        <v>28.54</v>
      </c>
      <c r="Y53" s="125">
        <f>IF('Quant. mod. (oc)'!Y53&lt;0,0,'Quant. mod. (oc)'!Y53)</f>
        <v>28.54</v>
      </c>
      <c r="Z53" s="125">
        <f>IF('Quant. mod. (oc)'!Z53&lt;0,0,'Quant. mod. (oc)'!Z53)</f>
        <v>28.54</v>
      </c>
      <c r="AA53" s="125">
        <f>IF('Quant. mod. (oc)'!AA53&lt;0,0,'Quant. mod. (oc)'!AA53)</f>
        <v>28.54</v>
      </c>
      <c r="AB53" s="125">
        <f>IF('Quant. mod. (oc)'!AB53&lt;0,0,'Quant. mod. (oc)'!AB53)</f>
        <v>28.54</v>
      </c>
      <c r="AC53" s="125">
        <f>IF('Quant. mod. (oc)'!AC53&lt;0,0,'Quant. mod. (oc)'!AC53)</f>
        <v>28.54</v>
      </c>
      <c r="AD53" s="125">
        <f>IF('Quant. mod. (oc)'!AD53&lt;0,0,'Quant. mod. (oc)'!AD53)</f>
        <v>28.54</v>
      </c>
      <c r="AE53" s="125">
        <f>IF('Quant. mod. (oc)'!AE53&lt;0,0,'Quant. mod. (oc)'!AE53)</f>
        <v>28.54</v>
      </c>
      <c r="AF53" s="125">
        <f>IF('Quant. mod. (oc)'!AF53&lt;0,0,'Quant. mod. (oc)'!AF53)</f>
        <v>28.54</v>
      </c>
      <c r="AG53" s="126">
        <f>IF('Quant. mod. (oc)'!AG53&lt;0,0,'Quant. mod. (oc)'!AG53)</f>
        <v>28.54</v>
      </c>
      <c r="AH53" s="22"/>
    </row>
    <row r="54" spans="1:34" ht="25.5" x14ac:dyDescent="0.25">
      <c r="A54" s="112"/>
      <c r="B54" s="270" t="s">
        <v>295</v>
      </c>
      <c r="C54" s="67" t="s">
        <v>57</v>
      </c>
      <c r="D54" s="125">
        <f>IF('Quant. mod. (oc)'!D54&lt;0,0,'Quant. mod. (oc)'!D54)</f>
        <v>37.97</v>
      </c>
      <c r="E54" s="125">
        <f>IF('Quant. mod. (oc)'!E54&lt;0,0,'Quant. mod. (oc)'!E54)</f>
        <v>37.97</v>
      </c>
      <c r="F54" s="125">
        <f>IF('Quant. mod. (oc)'!F54&lt;0,0,'Quant. mod. (oc)'!F54)</f>
        <v>37.97</v>
      </c>
      <c r="G54" s="125">
        <f>IF('Quant. mod. (oc)'!G54&lt;0,0,'Quant. mod. (oc)'!G54)</f>
        <v>37.97</v>
      </c>
      <c r="H54" s="125">
        <f>IF('Quant. mod. (oc)'!H54&lt;0,0,'Quant. mod. (oc)'!H54)</f>
        <v>37.97</v>
      </c>
      <c r="I54" s="125">
        <f>IF('Quant. mod. (oc)'!I54&lt;0,0,'Quant. mod. (oc)'!I54)</f>
        <v>37.97</v>
      </c>
      <c r="J54" s="125">
        <f>IF('Quant. mod. (oc)'!J54&lt;0,0,'Quant. mod. (oc)'!J54)</f>
        <v>37.97</v>
      </c>
      <c r="K54" s="125">
        <f>IF('Quant. mod. (oc)'!K54&lt;0,0,'Quant. mod. (oc)'!K54)</f>
        <v>37.97</v>
      </c>
      <c r="L54" s="125">
        <f>IF('Quant. mod. (oc)'!L54&lt;0,0,'Quant. mod. (oc)'!L54)</f>
        <v>37.97</v>
      </c>
      <c r="M54" s="125">
        <f>IF('Quant. mod. (oc)'!M54&lt;0,0,'Quant. mod. (oc)'!M54)</f>
        <v>37.97</v>
      </c>
      <c r="N54" s="125">
        <f>IF('Quant. mod. (oc)'!N54&lt;0,0,'Quant. mod. (oc)'!N54)</f>
        <v>38.472999999999999</v>
      </c>
      <c r="O54" s="125">
        <f>IF('Quant. mod. (oc)'!O54&lt;0,0,'Quant. mod. (oc)'!O54)</f>
        <v>38.472999999999999</v>
      </c>
      <c r="P54" s="125">
        <f>IF('Quant. mod. (oc)'!P54&lt;0,0,'Quant. mod. (oc)'!P54)</f>
        <v>38.472999999999999</v>
      </c>
      <c r="Q54" s="125">
        <f>IF('Quant. mod. (oc)'!Q54&lt;0,0,'Quant. mod. (oc)'!Q54)</f>
        <v>38.472999999999999</v>
      </c>
      <c r="R54" s="125">
        <f>IF('Quant. mod. (oc)'!R54&lt;0,0,'Quant. mod. (oc)'!R54)</f>
        <v>38.472999999999999</v>
      </c>
      <c r="S54" s="125">
        <f>IF('Quant. mod. (oc)'!S54&lt;0,0,'Quant. mod. (oc)'!S54)</f>
        <v>38.472999999999999</v>
      </c>
      <c r="T54" s="125">
        <f>IF('Quant. mod. (oc)'!T54&lt;0,0,'Quant. mod. (oc)'!T54)</f>
        <v>38.472999999999999</v>
      </c>
      <c r="U54" s="125">
        <f>IF('Quant. mod. (oc)'!U54&lt;0,0,'Quant. mod. (oc)'!U54)</f>
        <v>38.472999999999999</v>
      </c>
      <c r="V54" s="125">
        <f>IF('Quant. mod. (oc)'!V54&lt;0,0,'Quant. mod. (oc)'!V54)</f>
        <v>38.472999999999999</v>
      </c>
      <c r="W54" s="125">
        <f>IF('Quant. mod. (oc)'!W54&lt;0,0,'Quant. mod. (oc)'!W54)</f>
        <v>38.472999999999999</v>
      </c>
      <c r="X54" s="125">
        <f>IF('Quant. mod. (oc)'!X54&lt;0,0,'Quant. mod. (oc)'!X54)</f>
        <v>38.22</v>
      </c>
      <c r="Y54" s="125">
        <f>IF('Quant. mod. (oc)'!Y54&lt;0,0,'Quant. mod. (oc)'!Y54)</f>
        <v>38.22</v>
      </c>
      <c r="Z54" s="125">
        <f>IF('Quant. mod. (oc)'!Z54&lt;0,0,'Quant. mod. (oc)'!Z54)</f>
        <v>38.22</v>
      </c>
      <c r="AA54" s="125">
        <f>IF('Quant. mod. (oc)'!AA54&lt;0,0,'Quant. mod. (oc)'!AA54)</f>
        <v>38.22</v>
      </c>
      <c r="AB54" s="125">
        <f>IF('Quant. mod. (oc)'!AB54&lt;0,0,'Quant. mod. (oc)'!AB54)</f>
        <v>38.22</v>
      </c>
      <c r="AC54" s="125">
        <f>IF('Quant. mod. (oc)'!AC54&lt;0,0,'Quant. mod. (oc)'!AC54)</f>
        <v>38.22</v>
      </c>
      <c r="AD54" s="125">
        <f>IF('Quant. mod. (oc)'!AD54&lt;0,0,'Quant. mod. (oc)'!AD54)</f>
        <v>38.22</v>
      </c>
      <c r="AE54" s="125">
        <f>IF('Quant. mod. (oc)'!AE54&lt;0,0,'Quant. mod. (oc)'!AE54)</f>
        <v>38.22</v>
      </c>
      <c r="AF54" s="125">
        <f>IF('Quant. mod. (oc)'!AF54&lt;0,0,'Quant. mod. (oc)'!AF54)</f>
        <v>38.22</v>
      </c>
      <c r="AG54" s="126">
        <f>IF('Quant. mod. (oc)'!AG54&lt;0,0,'Quant. mod. (oc)'!AG54)</f>
        <v>38.22</v>
      </c>
      <c r="AH54" s="22"/>
    </row>
    <row r="55" spans="1:34" ht="38.25" x14ac:dyDescent="0.25">
      <c r="A55" s="112"/>
      <c r="B55" s="27" t="s">
        <v>297</v>
      </c>
      <c r="C55" s="67" t="s">
        <v>57</v>
      </c>
      <c r="D55" s="125">
        <f>IF('Quant. mod. (oc)'!D55&lt;0,0,'Quant. mod. (oc)'!D55)</f>
        <v>434.08999999999958</v>
      </c>
      <c r="E55" s="125">
        <f>IF('Quant. mod. (oc)'!E55&lt;0,0,'Quant. mod. (oc)'!E55)</f>
        <v>434.08999999999958</v>
      </c>
      <c r="F55" s="125">
        <f>IF('Quant. mod. (oc)'!F55&lt;0,0,'Quant. mod. (oc)'!F55)</f>
        <v>434.08999999999958</v>
      </c>
      <c r="G55" s="125">
        <f>IF('Quant. mod. (oc)'!G55&lt;0,0,'Quant. mod. (oc)'!G55)</f>
        <v>434.08999999999958</v>
      </c>
      <c r="H55" s="125">
        <f>IF('Quant. mod. (oc)'!H55&lt;0,0,'Quant. mod. (oc)'!H55)</f>
        <v>434.08999999999958</v>
      </c>
      <c r="I55" s="125">
        <f>IF('Quant. mod. (oc)'!I55&lt;0,0,'Quant. mod. (oc)'!I55)</f>
        <v>434.08999999999958</v>
      </c>
      <c r="J55" s="125">
        <f>IF('Quant. mod. (oc)'!J55&lt;0,0,'Quant. mod. (oc)'!J55)</f>
        <v>434.08999999999958</v>
      </c>
      <c r="K55" s="125">
        <f>IF('Quant. mod. (oc)'!K55&lt;0,0,'Quant. mod. (oc)'!K55)</f>
        <v>434.08999999999958</v>
      </c>
      <c r="L55" s="125">
        <f>IF('Quant. mod. (oc)'!L55&lt;0,0,'Quant. mod. (oc)'!L55)</f>
        <v>434.08999999999958</v>
      </c>
      <c r="M55" s="125">
        <f>IF('Quant. mod. (oc)'!M55&lt;0,0,'Quant. mod. (oc)'!M55)</f>
        <v>434.08999999999958</v>
      </c>
      <c r="N55" s="125">
        <f>IF('Quant. mod. (oc)'!N55&lt;0,0,'Quant. mod. (oc)'!N55)</f>
        <v>438.99</v>
      </c>
      <c r="O55" s="125">
        <f>IF('Quant. mod. (oc)'!O55&lt;0,0,'Quant. mod. (oc)'!O55)</f>
        <v>438.99</v>
      </c>
      <c r="P55" s="125">
        <f>IF('Quant. mod. (oc)'!P55&lt;0,0,'Quant. mod. (oc)'!P55)</f>
        <v>438.99</v>
      </c>
      <c r="Q55" s="125">
        <f>IF('Quant. mod. (oc)'!Q55&lt;0,0,'Quant. mod. (oc)'!Q55)</f>
        <v>438.99</v>
      </c>
      <c r="R55" s="125">
        <f>IF('Quant. mod. (oc)'!R55&lt;0,0,'Quant. mod. (oc)'!R55)</f>
        <v>438.99</v>
      </c>
      <c r="S55" s="125">
        <f>IF('Quant. mod. (oc)'!S55&lt;0,0,'Quant. mod. (oc)'!S55)</f>
        <v>438.99</v>
      </c>
      <c r="T55" s="125">
        <f>IF('Quant. mod. (oc)'!T55&lt;0,0,'Quant. mod. (oc)'!T55)</f>
        <v>438.99</v>
      </c>
      <c r="U55" s="125">
        <f>IF('Quant. mod. (oc)'!U55&lt;0,0,'Quant. mod. (oc)'!U55)</f>
        <v>438.99</v>
      </c>
      <c r="V55" s="125">
        <f>IF('Quant. mod. (oc)'!V55&lt;0,0,'Quant. mod. (oc)'!V55)</f>
        <v>438.99</v>
      </c>
      <c r="W55" s="125">
        <f>IF('Quant. mod. (oc)'!W55&lt;0,0,'Quant. mod. (oc)'!W55)</f>
        <v>438.99</v>
      </c>
      <c r="X55" s="125">
        <f>IF('Quant. mod. (oc)'!X55&lt;0,0,'Quant. mod. (oc)'!X55)</f>
        <v>431.69</v>
      </c>
      <c r="Y55" s="125">
        <f>IF('Quant. mod. (oc)'!Y55&lt;0,0,'Quant. mod. (oc)'!Y55)</f>
        <v>431.69</v>
      </c>
      <c r="Z55" s="125">
        <f>IF('Quant. mod. (oc)'!Z55&lt;0,0,'Quant. mod. (oc)'!Z55)</f>
        <v>431.69</v>
      </c>
      <c r="AA55" s="125">
        <f>IF('Quant. mod. (oc)'!AA55&lt;0,0,'Quant. mod. (oc)'!AA55)</f>
        <v>431.69</v>
      </c>
      <c r="AB55" s="125">
        <f>IF('Quant. mod. (oc)'!AB55&lt;0,0,'Quant. mod. (oc)'!AB55)</f>
        <v>431.69</v>
      </c>
      <c r="AC55" s="125">
        <f>IF('Quant. mod. (oc)'!AC55&lt;0,0,'Quant. mod. (oc)'!AC55)</f>
        <v>431.69</v>
      </c>
      <c r="AD55" s="125">
        <f>IF('Quant. mod. (oc)'!AD55&lt;0,0,'Quant. mod. (oc)'!AD55)</f>
        <v>431.69</v>
      </c>
      <c r="AE55" s="125">
        <f>IF('Quant. mod. (oc)'!AE55&lt;0,0,'Quant. mod. (oc)'!AE55)</f>
        <v>431.69</v>
      </c>
      <c r="AF55" s="125">
        <f>IF('Quant. mod. (oc)'!AF55&lt;0,0,'Quant. mod. (oc)'!AF55)</f>
        <v>431.69</v>
      </c>
      <c r="AG55" s="126">
        <f>IF('Quant. mod. (oc)'!AG55&lt;0,0,'Quant. mod. (oc)'!AG55)</f>
        <v>431.69</v>
      </c>
      <c r="AH55" s="22"/>
    </row>
    <row r="56" spans="1:34" ht="38.25" x14ac:dyDescent="0.25">
      <c r="A56" s="112"/>
      <c r="B56" s="27" t="s">
        <v>66</v>
      </c>
      <c r="C56" s="67" t="s">
        <v>57</v>
      </c>
      <c r="D56" s="125">
        <f>IF('Quant. mod. (oc)'!D56&lt;0,0,'Quant. mod. (oc)'!D56)</f>
        <v>151.22</v>
      </c>
      <c r="E56" s="125">
        <f>IF('Quant. mod. (oc)'!E56&lt;0,0,'Quant. mod. (oc)'!E56)</f>
        <v>151.22</v>
      </c>
      <c r="F56" s="125">
        <f>IF('Quant. mod. (oc)'!F56&lt;0,0,'Quant. mod. (oc)'!F56)</f>
        <v>151.22</v>
      </c>
      <c r="G56" s="125">
        <f>IF('Quant. mod. (oc)'!G56&lt;0,0,'Quant. mod. (oc)'!G56)</f>
        <v>151.22</v>
      </c>
      <c r="H56" s="125">
        <f>IF('Quant. mod. (oc)'!H56&lt;0,0,'Quant. mod. (oc)'!H56)</f>
        <v>151.22</v>
      </c>
      <c r="I56" s="125">
        <f>IF('Quant. mod. (oc)'!I56&lt;0,0,'Quant. mod. (oc)'!I56)</f>
        <v>151.22</v>
      </c>
      <c r="J56" s="125">
        <f>IF('Quant. mod. (oc)'!J56&lt;0,0,'Quant. mod. (oc)'!J56)</f>
        <v>151.22</v>
      </c>
      <c r="K56" s="125">
        <f>IF('Quant. mod. (oc)'!K56&lt;0,0,'Quant. mod. (oc)'!K56)</f>
        <v>151.22</v>
      </c>
      <c r="L56" s="125">
        <f>IF('Quant. mod. (oc)'!L56&lt;0,0,'Quant. mod. (oc)'!L56)</f>
        <v>151.22</v>
      </c>
      <c r="M56" s="125">
        <f>IF('Quant. mod. (oc)'!M56&lt;0,0,'Quant. mod. (oc)'!M56)</f>
        <v>151.22</v>
      </c>
      <c r="N56" s="125">
        <f>IF('Quant. mod. (oc)'!N56&lt;0,0,'Quant. mod. (oc)'!N56)</f>
        <v>151.22</v>
      </c>
      <c r="O56" s="125">
        <f>IF('Quant. mod. (oc)'!O56&lt;0,0,'Quant. mod. (oc)'!O56)</f>
        <v>151.22</v>
      </c>
      <c r="P56" s="125">
        <f>IF('Quant. mod. (oc)'!P56&lt;0,0,'Quant. mod. (oc)'!P56)</f>
        <v>151.22</v>
      </c>
      <c r="Q56" s="125">
        <f>IF('Quant. mod. (oc)'!Q56&lt;0,0,'Quant. mod. (oc)'!Q56)</f>
        <v>151.22</v>
      </c>
      <c r="R56" s="125">
        <f>IF('Quant. mod. (oc)'!R56&lt;0,0,'Quant. mod. (oc)'!R56)</f>
        <v>151.22</v>
      </c>
      <c r="S56" s="125">
        <f>IF('Quant. mod. (oc)'!S56&lt;0,0,'Quant. mod. (oc)'!S56)</f>
        <v>151.22</v>
      </c>
      <c r="T56" s="125">
        <f>IF('Quant. mod. (oc)'!T56&lt;0,0,'Quant. mod. (oc)'!T56)</f>
        <v>151.22</v>
      </c>
      <c r="U56" s="125">
        <f>IF('Quant. mod. (oc)'!U56&lt;0,0,'Quant. mod. (oc)'!U56)</f>
        <v>151.22</v>
      </c>
      <c r="V56" s="125">
        <f>IF('Quant. mod. (oc)'!V56&lt;0,0,'Quant. mod. (oc)'!V56)</f>
        <v>151.22</v>
      </c>
      <c r="W56" s="125">
        <f>IF('Quant. mod. (oc)'!W56&lt;0,0,'Quant. mod. (oc)'!W56)</f>
        <v>151.22</v>
      </c>
      <c r="X56" s="125">
        <f>IF('Quant. mod. (oc)'!X56&lt;0,0,'Quant. mod. (oc)'!X56)</f>
        <v>151.22</v>
      </c>
      <c r="Y56" s="125">
        <f>IF('Quant. mod. (oc)'!Y56&lt;0,0,'Quant. mod. (oc)'!Y56)</f>
        <v>151.22</v>
      </c>
      <c r="Z56" s="125">
        <f>IF('Quant. mod. (oc)'!Z56&lt;0,0,'Quant. mod. (oc)'!Z56)</f>
        <v>151.22</v>
      </c>
      <c r="AA56" s="125">
        <f>IF('Quant. mod. (oc)'!AA56&lt;0,0,'Quant. mod. (oc)'!AA56)</f>
        <v>151.22</v>
      </c>
      <c r="AB56" s="125">
        <f>IF('Quant. mod. (oc)'!AB56&lt;0,0,'Quant. mod. (oc)'!AB56)</f>
        <v>151.22</v>
      </c>
      <c r="AC56" s="125">
        <f>IF('Quant. mod. (oc)'!AC56&lt;0,0,'Quant. mod. (oc)'!AC56)</f>
        <v>151.22</v>
      </c>
      <c r="AD56" s="125">
        <f>IF('Quant. mod. (oc)'!AD56&lt;0,0,'Quant. mod. (oc)'!AD56)</f>
        <v>151.22</v>
      </c>
      <c r="AE56" s="125">
        <f>IF('Quant. mod. (oc)'!AE56&lt;0,0,'Quant. mod. (oc)'!AE56)</f>
        <v>151.22</v>
      </c>
      <c r="AF56" s="125">
        <f>IF('Quant. mod. (oc)'!AF56&lt;0,0,'Quant. mod. (oc)'!AF56)</f>
        <v>151.22</v>
      </c>
      <c r="AG56" s="126">
        <f>IF('Quant. mod. (oc)'!AG56&lt;0,0,'Quant. mod. (oc)'!AG56)</f>
        <v>151.22</v>
      </c>
      <c r="AH56" s="22"/>
    </row>
    <row r="57" spans="1:34" ht="25.5" x14ac:dyDescent="0.25">
      <c r="A57" s="112"/>
      <c r="B57" s="27" t="s">
        <v>67</v>
      </c>
      <c r="C57" s="67" t="s">
        <v>57</v>
      </c>
      <c r="D57" s="125">
        <f>IF('Quant. mod. (oc)'!D57&lt;0,0,'Quant. mod. (oc)'!D57)</f>
        <v>151.22</v>
      </c>
      <c r="E57" s="125">
        <f>IF('Quant. mod. (oc)'!E57&lt;0,0,'Quant. mod. (oc)'!E57)</f>
        <v>151.22</v>
      </c>
      <c r="F57" s="125">
        <f>IF('Quant. mod. (oc)'!F57&lt;0,0,'Quant. mod. (oc)'!F57)</f>
        <v>151.22</v>
      </c>
      <c r="G57" s="125">
        <f>IF('Quant. mod. (oc)'!G57&lt;0,0,'Quant. mod. (oc)'!G57)</f>
        <v>151.22</v>
      </c>
      <c r="H57" s="125">
        <f>IF('Quant. mod. (oc)'!H57&lt;0,0,'Quant. mod. (oc)'!H57)</f>
        <v>151.22</v>
      </c>
      <c r="I57" s="125">
        <f>IF('Quant. mod. (oc)'!I57&lt;0,0,'Quant. mod. (oc)'!I57)</f>
        <v>151.22</v>
      </c>
      <c r="J57" s="125">
        <f>IF('Quant. mod. (oc)'!J57&lt;0,0,'Quant. mod. (oc)'!J57)</f>
        <v>151.22</v>
      </c>
      <c r="K57" s="125">
        <f>IF('Quant. mod. (oc)'!K57&lt;0,0,'Quant. mod. (oc)'!K57)</f>
        <v>151.22</v>
      </c>
      <c r="L57" s="125">
        <f>IF('Quant. mod. (oc)'!L57&lt;0,0,'Quant. mod. (oc)'!L57)</f>
        <v>151.22</v>
      </c>
      <c r="M57" s="125">
        <f>IF('Quant. mod. (oc)'!M57&lt;0,0,'Quant. mod. (oc)'!M57)</f>
        <v>151.22</v>
      </c>
      <c r="N57" s="125">
        <f>IF('Quant. mod. (oc)'!N57&lt;0,0,'Quant. mod. (oc)'!N57)</f>
        <v>151.22</v>
      </c>
      <c r="O57" s="125">
        <f>IF('Quant. mod. (oc)'!O57&lt;0,0,'Quant. mod. (oc)'!O57)</f>
        <v>151.22</v>
      </c>
      <c r="P57" s="125">
        <f>IF('Quant. mod. (oc)'!P57&lt;0,0,'Quant. mod. (oc)'!P57)</f>
        <v>151.22</v>
      </c>
      <c r="Q57" s="125">
        <f>IF('Quant. mod. (oc)'!Q57&lt;0,0,'Quant. mod. (oc)'!Q57)</f>
        <v>151.22</v>
      </c>
      <c r="R57" s="125">
        <f>IF('Quant. mod. (oc)'!R57&lt;0,0,'Quant. mod. (oc)'!R57)</f>
        <v>151.22</v>
      </c>
      <c r="S57" s="125">
        <f>IF('Quant. mod. (oc)'!S57&lt;0,0,'Quant. mod. (oc)'!S57)</f>
        <v>151.22</v>
      </c>
      <c r="T57" s="125">
        <f>IF('Quant. mod. (oc)'!T57&lt;0,0,'Quant. mod. (oc)'!T57)</f>
        <v>151.22</v>
      </c>
      <c r="U57" s="125">
        <f>IF('Quant. mod. (oc)'!U57&lt;0,0,'Quant. mod. (oc)'!U57)</f>
        <v>151.22</v>
      </c>
      <c r="V57" s="125">
        <f>IF('Quant. mod. (oc)'!V57&lt;0,0,'Quant. mod. (oc)'!V57)</f>
        <v>151.22</v>
      </c>
      <c r="W57" s="125">
        <f>IF('Quant. mod. (oc)'!W57&lt;0,0,'Quant. mod. (oc)'!W57)</f>
        <v>151.22</v>
      </c>
      <c r="X57" s="125">
        <f>IF('Quant. mod. (oc)'!X57&lt;0,0,'Quant. mod. (oc)'!X57)</f>
        <v>151.22</v>
      </c>
      <c r="Y57" s="125">
        <f>IF('Quant. mod. (oc)'!Y57&lt;0,0,'Quant. mod. (oc)'!Y57)</f>
        <v>151.22</v>
      </c>
      <c r="Z57" s="125">
        <f>IF('Quant. mod. (oc)'!Z57&lt;0,0,'Quant. mod. (oc)'!Z57)</f>
        <v>151.22</v>
      </c>
      <c r="AA57" s="125">
        <f>IF('Quant. mod. (oc)'!AA57&lt;0,0,'Quant. mod. (oc)'!AA57)</f>
        <v>151.22</v>
      </c>
      <c r="AB57" s="125">
        <f>IF('Quant. mod. (oc)'!AB57&lt;0,0,'Quant. mod. (oc)'!AB57)</f>
        <v>151.22</v>
      </c>
      <c r="AC57" s="125">
        <f>IF('Quant. mod. (oc)'!AC57&lt;0,0,'Quant. mod. (oc)'!AC57)</f>
        <v>151.22</v>
      </c>
      <c r="AD57" s="125">
        <f>IF('Quant. mod. (oc)'!AD57&lt;0,0,'Quant. mod. (oc)'!AD57)</f>
        <v>151.22</v>
      </c>
      <c r="AE57" s="125">
        <f>IF('Quant. mod. (oc)'!AE57&lt;0,0,'Quant. mod. (oc)'!AE57)</f>
        <v>151.22</v>
      </c>
      <c r="AF57" s="125">
        <f>IF('Quant. mod. (oc)'!AF57&lt;0,0,'Quant. mod. (oc)'!AF57)</f>
        <v>151.22</v>
      </c>
      <c r="AG57" s="126">
        <f>IF('Quant. mod. (oc)'!AG57&lt;0,0,'Quant. mod. (oc)'!AG57)</f>
        <v>151.22</v>
      </c>
      <c r="AH57" s="22"/>
    </row>
    <row r="58" spans="1:34" x14ac:dyDescent="0.25">
      <c r="A58" s="112"/>
      <c r="B58" s="27" t="s">
        <v>68</v>
      </c>
      <c r="C58" s="67" t="s">
        <v>64</v>
      </c>
      <c r="D58" s="125">
        <f>IF('Quant. mod. (oc)'!D58&lt;0,0,'Quant. mod. (oc)'!D58)</f>
        <v>206.2</v>
      </c>
      <c r="E58" s="125">
        <f>IF('Quant. mod. (oc)'!E58&lt;0,0,'Quant. mod. (oc)'!E58)</f>
        <v>206.2</v>
      </c>
      <c r="F58" s="125">
        <f>IF('Quant. mod. (oc)'!F58&lt;0,0,'Quant. mod. (oc)'!F58)</f>
        <v>206.2</v>
      </c>
      <c r="G58" s="125">
        <f>IF('Quant. mod. (oc)'!G58&lt;0,0,'Quant. mod. (oc)'!G58)</f>
        <v>206.2</v>
      </c>
      <c r="H58" s="125">
        <f>IF('Quant. mod. (oc)'!H58&lt;0,0,'Quant. mod. (oc)'!H58)</f>
        <v>206.2</v>
      </c>
      <c r="I58" s="125">
        <f>IF('Quant. mod. (oc)'!I58&lt;0,0,'Quant. mod. (oc)'!I58)</f>
        <v>206.2</v>
      </c>
      <c r="J58" s="125">
        <f>IF('Quant. mod. (oc)'!J58&lt;0,0,'Quant. mod. (oc)'!J58)</f>
        <v>206.2</v>
      </c>
      <c r="K58" s="125">
        <f>IF('Quant. mod. (oc)'!K58&lt;0,0,'Quant. mod. (oc)'!K58)</f>
        <v>206.2</v>
      </c>
      <c r="L58" s="125">
        <f>IF('Quant. mod. (oc)'!L58&lt;0,0,'Quant. mod. (oc)'!L58)</f>
        <v>206.2</v>
      </c>
      <c r="M58" s="125">
        <f>IF('Quant. mod. (oc)'!M58&lt;0,0,'Quant. mod. (oc)'!M58)</f>
        <v>206.2</v>
      </c>
      <c r="N58" s="125">
        <f>IF('Quant. mod. (oc)'!N58&lt;0,0,'Quant. mod. (oc)'!N58)</f>
        <v>206.2</v>
      </c>
      <c r="O58" s="125">
        <f>IF('Quant. mod. (oc)'!O58&lt;0,0,'Quant. mod. (oc)'!O58)</f>
        <v>206.2</v>
      </c>
      <c r="P58" s="125">
        <f>IF('Quant. mod. (oc)'!P58&lt;0,0,'Quant. mod. (oc)'!P58)</f>
        <v>206.2</v>
      </c>
      <c r="Q58" s="125">
        <f>IF('Quant. mod. (oc)'!Q58&lt;0,0,'Quant. mod. (oc)'!Q58)</f>
        <v>206.2</v>
      </c>
      <c r="R58" s="125">
        <f>IF('Quant. mod. (oc)'!R58&lt;0,0,'Quant. mod. (oc)'!R58)</f>
        <v>206.2</v>
      </c>
      <c r="S58" s="125">
        <f>IF('Quant. mod. (oc)'!S58&lt;0,0,'Quant. mod. (oc)'!S58)</f>
        <v>206.2</v>
      </c>
      <c r="T58" s="125">
        <f>IF('Quant. mod. (oc)'!T58&lt;0,0,'Quant. mod. (oc)'!T58)</f>
        <v>206.2</v>
      </c>
      <c r="U58" s="125">
        <f>IF('Quant. mod. (oc)'!U58&lt;0,0,'Quant. mod. (oc)'!U58)</f>
        <v>206.2</v>
      </c>
      <c r="V58" s="125">
        <f>IF('Quant. mod. (oc)'!V58&lt;0,0,'Quant. mod. (oc)'!V58)</f>
        <v>206.2</v>
      </c>
      <c r="W58" s="125">
        <f>IF('Quant. mod. (oc)'!W58&lt;0,0,'Quant. mod. (oc)'!W58)</f>
        <v>206.2</v>
      </c>
      <c r="X58" s="125">
        <f>IF('Quant. mod. (oc)'!X58&lt;0,0,'Quant. mod. (oc)'!X58)</f>
        <v>206.2</v>
      </c>
      <c r="Y58" s="125">
        <f>IF('Quant. mod. (oc)'!Y58&lt;0,0,'Quant. mod. (oc)'!Y58)</f>
        <v>206.2</v>
      </c>
      <c r="Z58" s="125">
        <f>IF('Quant. mod. (oc)'!Z58&lt;0,0,'Quant. mod. (oc)'!Z58)</f>
        <v>206.2</v>
      </c>
      <c r="AA58" s="125">
        <f>IF('Quant. mod. (oc)'!AA58&lt;0,0,'Quant. mod. (oc)'!AA58)</f>
        <v>206.2</v>
      </c>
      <c r="AB58" s="125">
        <f>IF('Quant. mod. (oc)'!AB58&lt;0,0,'Quant. mod. (oc)'!AB58)</f>
        <v>206.2</v>
      </c>
      <c r="AC58" s="125">
        <f>IF('Quant. mod. (oc)'!AC58&lt;0,0,'Quant. mod. (oc)'!AC58)</f>
        <v>206.2</v>
      </c>
      <c r="AD58" s="125">
        <f>IF('Quant. mod. (oc)'!AD58&lt;0,0,'Quant. mod. (oc)'!AD58)</f>
        <v>206.2</v>
      </c>
      <c r="AE58" s="125">
        <f>IF('Quant. mod. (oc)'!AE58&lt;0,0,'Quant. mod. (oc)'!AE58)</f>
        <v>206.2</v>
      </c>
      <c r="AF58" s="125">
        <f>IF('Quant. mod. (oc)'!AF58&lt;0,0,'Quant. mod. (oc)'!AF58)</f>
        <v>206.2</v>
      </c>
      <c r="AG58" s="126">
        <f>IF('Quant. mod. (oc)'!AG58&lt;0,0,'Quant. mod. (oc)'!AG58)</f>
        <v>206.2</v>
      </c>
      <c r="AH58" s="22"/>
    </row>
    <row r="59" spans="1:34" ht="25.5" x14ac:dyDescent="0.25">
      <c r="A59" s="112"/>
      <c r="B59" s="69" t="s">
        <v>902</v>
      </c>
      <c r="C59" s="70" t="s">
        <v>57</v>
      </c>
      <c r="D59" s="125">
        <f>IF('Quant. mod. (oc)'!D59&lt;0,0,'Quant. mod. (oc)'!D59)</f>
        <v>31.32</v>
      </c>
      <c r="E59" s="125">
        <f>IF('Quant. mod. (oc)'!E59&lt;0,0,'Quant. mod. (oc)'!E59)</f>
        <v>31.32</v>
      </c>
      <c r="F59" s="125">
        <f>IF('Quant. mod. (oc)'!F59&lt;0,0,'Quant. mod. (oc)'!F59)</f>
        <v>31.32</v>
      </c>
      <c r="G59" s="125">
        <f>IF('Quant. mod. (oc)'!G59&lt;0,0,'Quant. mod. (oc)'!G59)</f>
        <v>31.32</v>
      </c>
      <c r="H59" s="125">
        <f>IF('Quant. mod. (oc)'!H59&lt;0,0,'Quant. mod. (oc)'!H59)</f>
        <v>31.32</v>
      </c>
      <c r="I59" s="125">
        <f>IF('Quant. mod. (oc)'!I59&lt;0,0,'Quant. mod. (oc)'!I59)</f>
        <v>31.32</v>
      </c>
      <c r="J59" s="125">
        <f>IF('Quant. mod. (oc)'!J59&lt;0,0,'Quant. mod. (oc)'!J59)</f>
        <v>31.32</v>
      </c>
      <c r="K59" s="125">
        <f>IF('Quant. mod. (oc)'!K59&lt;0,0,'Quant. mod. (oc)'!K59)</f>
        <v>31.32</v>
      </c>
      <c r="L59" s="125">
        <f>IF('Quant. mod. (oc)'!L59&lt;0,0,'Quant. mod. (oc)'!L59)</f>
        <v>31.32</v>
      </c>
      <c r="M59" s="125">
        <f>IF('Quant. mod. (oc)'!M59&lt;0,0,'Quant. mod. (oc)'!M59)</f>
        <v>31.32</v>
      </c>
      <c r="N59" s="125">
        <f>IF('Quant. mod. (oc)'!N59&lt;0,0,'Quant. mod. (oc)'!N59)</f>
        <v>31.32</v>
      </c>
      <c r="O59" s="125">
        <f>IF('Quant. mod. (oc)'!O59&lt;0,0,'Quant. mod. (oc)'!O59)</f>
        <v>31.32</v>
      </c>
      <c r="P59" s="125">
        <f>IF('Quant. mod. (oc)'!P59&lt;0,0,'Quant. mod. (oc)'!P59)</f>
        <v>31.32</v>
      </c>
      <c r="Q59" s="125">
        <f>IF('Quant. mod. (oc)'!Q59&lt;0,0,'Quant. mod. (oc)'!Q59)</f>
        <v>31.32</v>
      </c>
      <c r="R59" s="125">
        <f>IF('Quant. mod. (oc)'!R59&lt;0,0,'Quant. mod. (oc)'!R59)</f>
        <v>31.32</v>
      </c>
      <c r="S59" s="125">
        <f>IF('Quant. mod. (oc)'!S59&lt;0,0,'Quant. mod. (oc)'!S59)</f>
        <v>31.32</v>
      </c>
      <c r="T59" s="125">
        <f>IF('Quant. mod. (oc)'!T59&lt;0,0,'Quant. mod. (oc)'!T59)</f>
        <v>31.32</v>
      </c>
      <c r="U59" s="125">
        <f>IF('Quant. mod. (oc)'!U59&lt;0,0,'Quant. mod. (oc)'!U59)</f>
        <v>31.32</v>
      </c>
      <c r="V59" s="125">
        <f>IF('Quant. mod. (oc)'!V59&lt;0,0,'Quant. mod. (oc)'!V59)</f>
        <v>31.32</v>
      </c>
      <c r="W59" s="125">
        <f>IF('Quant. mod. (oc)'!W59&lt;0,0,'Quant. mod. (oc)'!W59)</f>
        <v>31.32</v>
      </c>
      <c r="X59" s="125">
        <f>IF('Quant. mod. (oc)'!X59&lt;0,0,'Quant. mod. (oc)'!X59)</f>
        <v>31.32</v>
      </c>
      <c r="Y59" s="125">
        <f>IF('Quant. mod. (oc)'!Y59&lt;0,0,'Quant. mod. (oc)'!Y59)</f>
        <v>31.32</v>
      </c>
      <c r="Z59" s="125">
        <f>IF('Quant. mod. (oc)'!Z59&lt;0,0,'Quant. mod. (oc)'!Z59)</f>
        <v>31.32</v>
      </c>
      <c r="AA59" s="125">
        <f>IF('Quant. mod. (oc)'!AA59&lt;0,0,'Quant. mod. (oc)'!AA59)</f>
        <v>31.32</v>
      </c>
      <c r="AB59" s="125">
        <f>IF('Quant. mod. (oc)'!AB59&lt;0,0,'Quant. mod. (oc)'!AB59)</f>
        <v>31.32</v>
      </c>
      <c r="AC59" s="125">
        <f>IF('Quant. mod. (oc)'!AC59&lt;0,0,'Quant. mod. (oc)'!AC59)</f>
        <v>31.32</v>
      </c>
      <c r="AD59" s="125">
        <f>IF('Quant. mod. (oc)'!AD59&lt;0,0,'Quant. mod. (oc)'!AD59)</f>
        <v>31.32</v>
      </c>
      <c r="AE59" s="125">
        <f>IF('Quant. mod. (oc)'!AE59&lt;0,0,'Quant. mod. (oc)'!AE59)</f>
        <v>31.32</v>
      </c>
      <c r="AF59" s="125">
        <f>IF('Quant. mod. (oc)'!AF59&lt;0,0,'Quant. mod. (oc)'!AF59)</f>
        <v>31.32</v>
      </c>
      <c r="AG59" s="126">
        <f>IF('Quant. mod. (oc)'!AG59&lt;0,0,'Quant. mod. (oc)'!AG59)</f>
        <v>31.32</v>
      </c>
      <c r="AH59" s="22"/>
    </row>
    <row r="60" spans="1:34" ht="25.5" x14ac:dyDescent="0.25">
      <c r="A60" s="112"/>
      <c r="B60" s="27" t="s">
        <v>77</v>
      </c>
      <c r="C60" s="67" t="s">
        <v>57</v>
      </c>
      <c r="D60" s="125">
        <f>IF('Quant. mod. (oc)'!D60&lt;0,0,'Quant. mod. (oc)'!D60)</f>
        <v>18.899999999999999</v>
      </c>
      <c r="E60" s="125">
        <f>IF('Quant. mod. (oc)'!E60&lt;0,0,'Quant. mod. (oc)'!E60)</f>
        <v>18.899999999999999</v>
      </c>
      <c r="F60" s="125">
        <f>IF('Quant. mod. (oc)'!F60&lt;0,0,'Quant. mod. (oc)'!F60)</f>
        <v>18.899999999999999</v>
      </c>
      <c r="G60" s="125">
        <f>IF('Quant. mod. (oc)'!G60&lt;0,0,'Quant. mod. (oc)'!G60)</f>
        <v>18.899999999999999</v>
      </c>
      <c r="H60" s="125">
        <f>IF('Quant. mod. (oc)'!H60&lt;0,0,'Quant. mod. (oc)'!H60)</f>
        <v>18.899999999999999</v>
      </c>
      <c r="I60" s="125">
        <f>IF('Quant. mod. (oc)'!I60&lt;0,0,'Quant. mod. (oc)'!I60)</f>
        <v>18.899999999999999</v>
      </c>
      <c r="J60" s="125">
        <f>IF('Quant. mod. (oc)'!J60&lt;0,0,'Quant. mod. (oc)'!J60)</f>
        <v>18.899999999999999</v>
      </c>
      <c r="K60" s="125">
        <f>IF('Quant. mod. (oc)'!K60&lt;0,0,'Quant. mod. (oc)'!K60)</f>
        <v>18.899999999999999</v>
      </c>
      <c r="L60" s="125">
        <f>IF('Quant. mod. (oc)'!L60&lt;0,0,'Quant. mod. (oc)'!L60)</f>
        <v>18.899999999999999</v>
      </c>
      <c r="M60" s="125">
        <f>IF('Quant. mod. (oc)'!M60&lt;0,0,'Quant. mod. (oc)'!M60)</f>
        <v>18.899999999999999</v>
      </c>
      <c r="N60" s="125">
        <f>IF('Quant. mod. (oc)'!N60&lt;0,0,'Quant. mod. (oc)'!N60)</f>
        <v>18.899999999999999</v>
      </c>
      <c r="O60" s="125">
        <f>IF('Quant. mod. (oc)'!O60&lt;0,0,'Quant. mod. (oc)'!O60)</f>
        <v>18.899999999999999</v>
      </c>
      <c r="P60" s="125">
        <f>IF('Quant. mod. (oc)'!P60&lt;0,0,'Quant. mod. (oc)'!P60)</f>
        <v>18.899999999999999</v>
      </c>
      <c r="Q60" s="125">
        <f>IF('Quant. mod. (oc)'!Q60&lt;0,0,'Quant. mod. (oc)'!Q60)</f>
        <v>18.899999999999999</v>
      </c>
      <c r="R60" s="125">
        <f>IF('Quant. mod. (oc)'!R60&lt;0,0,'Quant. mod. (oc)'!R60)</f>
        <v>18.899999999999999</v>
      </c>
      <c r="S60" s="125">
        <f>IF('Quant. mod. (oc)'!S60&lt;0,0,'Quant. mod. (oc)'!S60)</f>
        <v>18.899999999999999</v>
      </c>
      <c r="T60" s="125">
        <f>IF('Quant. mod. (oc)'!T60&lt;0,0,'Quant. mod. (oc)'!T60)</f>
        <v>18.899999999999999</v>
      </c>
      <c r="U60" s="125">
        <f>IF('Quant. mod. (oc)'!U60&lt;0,0,'Quant. mod. (oc)'!U60)</f>
        <v>18.899999999999999</v>
      </c>
      <c r="V60" s="125">
        <f>IF('Quant. mod. (oc)'!V60&lt;0,0,'Quant. mod. (oc)'!V60)</f>
        <v>18.899999999999999</v>
      </c>
      <c r="W60" s="125">
        <f>IF('Quant. mod. (oc)'!W60&lt;0,0,'Quant. mod. (oc)'!W60)</f>
        <v>18.899999999999999</v>
      </c>
      <c r="X60" s="125">
        <f>IF('Quant. mod. (oc)'!X60&lt;0,0,'Quant. mod. (oc)'!X60)</f>
        <v>18.899999999999999</v>
      </c>
      <c r="Y60" s="125">
        <f>IF('Quant. mod. (oc)'!Y60&lt;0,0,'Quant. mod. (oc)'!Y60)</f>
        <v>18.899999999999999</v>
      </c>
      <c r="Z60" s="125">
        <f>IF('Quant. mod. (oc)'!Z60&lt;0,0,'Quant. mod. (oc)'!Z60)</f>
        <v>18.899999999999999</v>
      </c>
      <c r="AA60" s="125">
        <f>IF('Quant. mod. (oc)'!AA60&lt;0,0,'Quant. mod. (oc)'!AA60)</f>
        <v>18.899999999999999</v>
      </c>
      <c r="AB60" s="125">
        <f>IF('Quant. mod. (oc)'!AB60&lt;0,0,'Quant. mod. (oc)'!AB60)</f>
        <v>18.899999999999999</v>
      </c>
      <c r="AC60" s="125">
        <f>IF('Quant. mod. (oc)'!AC60&lt;0,0,'Quant. mod. (oc)'!AC60)</f>
        <v>18.899999999999999</v>
      </c>
      <c r="AD60" s="125">
        <f>IF('Quant. mod. (oc)'!AD60&lt;0,0,'Quant. mod. (oc)'!AD60)</f>
        <v>18.899999999999999</v>
      </c>
      <c r="AE60" s="125">
        <f>IF('Quant. mod. (oc)'!AE60&lt;0,0,'Quant. mod. (oc)'!AE60)</f>
        <v>18.899999999999999</v>
      </c>
      <c r="AF60" s="125">
        <f>IF('Quant. mod. (oc)'!AF60&lt;0,0,'Quant. mod. (oc)'!AF60)</f>
        <v>18.899999999999999</v>
      </c>
      <c r="AG60" s="126">
        <f>IF('Quant. mod. (oc)'!AG60&lt;0,0,'Quant. mod. (oc)'!AG60)</f>
        <v>18.899999999999999</v>
      </c>
      <c r="AH60" s="22"/>
    </row>
    <row r="61" spans="1:34" ht="25.5" x14ac:dyDescent="0.25">
      <c r="A61" s="112"/>
      <c r="B61" s="27" t="s">
        <v>69</v>
      </c>
      <c r="C61" s="67" t="s">
        <v>57</v>
      </c>
      <c r="D61" s="125">
        <f>IF('Quant. mod. (oc)'!D61&lt;0,0,'Quant. mod. (oc)'!D61)</f>
        <v>7.35</v>
      </c>
      <c r="E61" s="125">
        <f>IF('Quant. mod. (oc)'!E61&lt;0,0,'Quant. mod. (oc)'!E61)</f>
        <v>7.35</v>
      </c>
      <c r="F61" s="125">
        <f>IF('Quant. mod. (oc)'!F61&lt;0,0,'Quant. mod. (oc)'!F61)</f>
        <v>7.35</v>
      </c>
      <c r="G61" s="125">
        <f>IF('Quant. mod. (oc)'!G61&lt;0,0,'Quant. mod. (oc)'!G61)</f>
        <v>7.35</v>
      </c>
      <c r="H61" s="125">
        <f>IF('Quant. mod. (oc)'!H61&lt;0,0,'Quant. mod. (oc)'!H61)</f>
        <v>7.35</v>
      </c>
      <c r="I61" s="125">
        <f>IF('Quant. mod. (oc)'!I61&lt;0,0,'Quant. mod. (oc)'!I61)</f>
        <v>7.35</v>
      </c>
      <c r="J61" s="125">
        <f>IF('Quant. mod. (oc)'!J61&lt;0,0,'Quant. mod. (oc)'!J61)</f>
        <v>7.35</v>
      </c>
      <c r="K61" s="125">
        <f>IF('Quant. mod. (oc)'!K61&lt;0,0,'Quant. mod. (oc)'!K61)</f>
        <v>7.35</v>
      </c>
      <c r="L61" s="125">
        <f>IF('Quant. mod. (oc)'!L61&lt;0,0,'Quant. mod. (oc)'!L61)</f>
        <v>7.35</v>
      </c>
      <c r="M61" s="125">
        <f>IF('Quant. mod. (oc)'!M61&lt;0,0,'Quant. mod. (oc)'!M61)</f>
        <v>7.35</v>
      </c>
      <c r="N61" s="125">
        <f>IF('Quant. mod. (oc)'!N61&lt;0,0,'Quant. mod. (oc)'!N61)</f>
        <v>7.35</v>
      </c>
      <c r="O61" s="125">
        <f>IF('Quant. mod. (oc)'!O61&lt;0,0,'Quant. mod. (oc)'!O61)</f>
        <v>7.35</v>
      </c>
      <c r="P61" s="125">
        <f>IF('Quant. mod. (oc)'!P61&lt;0,0,'Quant. mod. (oc)'!P61)</f>
        <v>7.35</v>
      </c>
      <c r="Q61" s="125">
        <f>IF('Quant. mod. (oc)'!Q61&lt;0,0,'Quant. mod. (oc)'!Q61)</f>
        <v>7.35</v>
      </c>
      <c r="R61" s="125">
        <f>IF('Quant. mod. (oc)'!R61&lt;0,0,'Quant. mod. (oc)'!R61)</f>
        <v>7.35</v>
      </c>
      <c r="S61" s="125">
        <f>IF('Quant. mod. (oc)'!S61&lt;0,0,'Quant. mod. (oc)'!S61)</f>
        <v>7.35</v>
      </c>
      <c r="T61" s="125">
        <f>IF('Quant. mod. (oc)'!T61&lt;0,0,'Quant. mod. (oc)'!T61)</f>
        <v>7.35</v>
      </c>
      <c r="U61" s="125">
        <f>IF('Quant. mod. (oc)'!U61&lt;0,0,'Quant. mod. (oc)'!U61)</f>
        <v>7.35</v>
      </c>
      <c r="V61" s="125">
        <f>IF('Quant. mod. (oc)'!V61&lt;0,0,'Quant. mod. (oc)'!V61)</f>
        <v>7.35</v>
      </c>
      <c r="W61" s="125">
        <f>IF('Quant. mod. (oc)'!W61&lt;0,0,'Quant. mod. (oc)'!W61)</f>
        <v>7.35</v>
      </c>
      <c r="X61" s="125">
        <f>IF('Quant. mod. (oc)'!X61&lt;0,0,'Quant. mod. (oc)'!X61)</f>
        <v>7.35</v>
      </c>
      <c r="Y61" s="125">
        <f>IF('Quant. mod. (oc)'!Y61&lt;0,0,'Quant. mod. (oc)'!Y61)</f>
        <v>7.35</v>
      </c>
      <c r="Z61" s="125">
        <f>IF('Quant. mod. (oc)'!Z61&lt;0,0,'Quant. mod. (oc)'!Z61)</f>
        <v>7.35</v>
      </c>
      <c r="AA61" s="125">
        <f>IF('Quant. mod. (oc)'!AA61&lt;0,0,'Quant. mod. (oc)'!AA61)</f>
        <v>7.35</v>
      </c>
      <c r="AB61" s="125">
        <f>IF('Quant. mod. (oc)'!AB61&lt;0,0,'Quant. mod. (oc)'!AB61)</f>
        <v>7.35</v>
      </c>
      <c r="AC61" s="125">
        <f>IF('Quant. mod. (oc)'!AC61&lt;0,0,'Quant. mod. (oc)'!AC61)</f>
        <v>7.35</v>
      </c>
      <c r="AD61" s="125">
        <f>IF('Quant. mod. (oc)'!AD61&lt;0,0,'Quant. mod. (oc)'!AD61)</f>
        <v>7.35</v>
      </c>
      <c r="AE61" s="125">
        <f>IF('Quant. mod. (oc)'!AE61&lt;0,0,'Quant. mod. (oc)'!AE61)</f>
        <v>7.35</v>
      </c>
      <c r="AF61" s="125">
        <f>IF('Quant. mod. (oc)'!AF61&lt;0,0,'Quant. mod. (oc)'!AF61)</f>
        <v>7.35</v>
      </c>
      <c r="AG61" s="126">
        <f>IF('Quant. mod. (oc)'!AG61&lt;0,0,'Quant. mod. (oc)'!AG61)</f>
        <v>7.35</v>
      </c>
      <c r="AH61" s="22"/>
    </row>
    <row r="62" spans="1:34" ht="38.25" x14ac:dyDescent="0.25">
      <c r="A62" s="112"/>
      <c r="B62" s="27" t="s">
        <v>302</v>
      </c>
      <c r="C62" s="67" t="s">
        <v>57</v>
      </c>
      <c r="D62" s="125">
        <f>IF('Quant. mod. (oc)'!D62&lt;0,0,'Quant. mod. (oc)'!D62)</f>
        <v>218</v>
      </c>
      <c r="E62" s="125">
        <f>IF('Quant. mod. (oc)'!E62&lt;0,0,'Quant. mod. (oc)'!E62)</f>
        <v>218</v>
      </c>
      <c r="F62" s="125">
        <f>IF('Quant. mod. (oc)'!F62&lt;0,0,'Quant. mod. (oc)'!F62)</f>
        <v>218</v>
      </c>
      <c r="G62" s="125">
        <f>IF('Quant. mod. (oc)'!G62&lt;0,0,'Quant. mod. (oc)'!G62)</f>
        <v>218</v>
      </c>
      <c r="H62" s="125">
        <f>IF('Quant. mod. (oc)'!H62&lt;0,0,'Quant. mod. (oc)'!H62)</f>
        <v>218</v>
      </c>
      <c r="I62" s="125">
        <f>IF('Quant. mod. (oc)'!I62&lt;0,0,'Quant. mod. (oc)'!I62)</f>
        <v>218</v>
      </c>
      <c r="J62" s="125">
        <f>IF('Quant. mod. (oc)'!J62&lt;0,0,'Quant. mod. (oc)'!J62)</f>
        <v>218</v>
      </c>
      <c r="K62" s="125">
        <f>IF('Quant. mod. (oc)'!K62&lt;0,0,'Quant. mod. (oc)'!K62)</f>
        <v>218</v>
      </c>
      <c r="L62" s="125">
        <f>IF('Quant. mod. (oc)'!L62&lt;0,0,'Quant. mod. (oc)'!L62)</f>
        <v>218</v>
      </c>
      <c r="M62" s="125">
        <f>IF('Quant. mod. (oc)'!M62&lt;0,0,'Quant. mod. (oc)'!M62)</f>
        <v>218</v>
      </c>
      <c r="N62" s="125">
        <f>IF('Quant. mod. (oc)'!N62&lt;0,0,'Quant. mod. (oc)'!N62)</f>
        <v>215</v>
      </c>
      <c r="O62" s="125">
        <f>IF('Quant. mod. (oc)'!O62&lt;0,0,'Quant. mod. (oc)'!O62)</f>
        <v>215</v>
      </c>
      <c r="P62" s="125">
        <f>IF('Quant. mod. (oc)'!P62&lt;0,0,'Quant. mod. (oc)'!P62)</f>
        <v>215</v>
      </c>
      <c r="Q62" s="125">
        <f>IF('Quant. mod. (oc)'!Q62&lt;0,0,'Quant. mod. (oc)'!Q62)</f>
        <v>215</v>
      </c>
      <c r="R62" s="125">
        <f>IF('Quant. mod. (oc)'!R62&lt;0,0,'Quant. mod. (oc)'!R62)</f>
        <v>215</v>
      </c>
      <c r="S62" s="125">
        <f>IF('Quant. mod. (oc)'!S62&lt;0,0,'Quant. mod. (oc)'!S62)</f>
        <v>215</v>
      </c>
      <c r="T62" s="125">
        <f>IF('Quant. mod. (oc)'!T62&lt;0,0,'Quant. mod. (oc)'!T62)</f>
        <v>215</v>
      </c>
      <c r="U62" s="125">
        <f>IF('Quant. mod. (oc)'!U62&lt;0,0,'Quant. mod. (oc)'!U62)</f>
        <v>215</v>
      </c>
      <c r="V62" s="125">
        <f>IF('Quant. mod. (oc)'!V62&lt;0,0,'Quant. mod. (oc)'!V62)</f>
        <v>215</v>
      </c>
      <c r="W62" s="125">
        <f>IF('Quant. mod. (oc)'!W62&lt;0,0,'Quant. mod. (oc)'!W62)</f>
        <v>215</v>
      </c>
      <c r="X62" s="125">
        <f>IF('Quant. mod. (oc)'!X62&lt;0,0,'Quant. mod. (oc)'!X62)</f>
        <v>216.5</v>
      </c>
      <c r="Y62" s="125">
        <f>IF('Quant. mod. (oc)'!Y62&lt;0,0,'Quant. mod. (oc)'!Y62)</f>
        <v>216.5</v>
      </c>
      <c r="Z62" s="125">
        <f>IF('Quant. mod. (oc)'!Z62&lt;0,0,'Quant. mod. (oc)'!Z62)</f>
        <v>216.5</v>
      </c>
      <c r="AA62" s="125">
        <f>IF('Quant. mod. (oc)'!AA62&lt;0,0,'Quant. mod. (oc)'!AA62)</f>
        <v>216.5</v>
      </c>
      <c r="AB62" s="125">
        <f>IF('Quant. mod. (oc)'!AB62&lt;0,0,'Quant. mod. (oc)'!AB62)</f>
        <v>216.5</v>
      </c>
      <c r="AC62" s="125">
        <f>IF('Quant. mod. (oc)'!AC62&lt;0,0,'Quant. mod. (oc)'!AC62)</f>
        <v>216.5</v>
      </c>
      <c r="AD62" s="125">
        <f>IF('Quant. mod. (oc)'!AD62&lt;0,0,'Quant. mod. (oc)'!AD62)</f>
        <v>216.5</v>
      </c>
      <c r="AE62" s="125">
        <f>IF('Quant. mod. (oc)'!AE62&lt;0,0,'Quant. mod. (oc)'!AE62)</f>
        <v>216.5</v>
      </c>
      <c r="AF62" s="125">
        <f>IF('Quant. mod. (oc)'!AF62&lt;0,0,'Quant. mod. (oc)'!AF62)</f>
        <v>216.5</v>
      </c>
      <c r="AG62" s="126">
        <f>IF('Quant. mod. (oc)'!AG62&lt;0,0,'Quant. mod. (oc)'!AG62)</f>
        <v>216.5</v>
      </c>
      <c r="AH62" s="22"/>
    </row>
    <row r="63" spans="1:34" ht="38.25" x14ac:dyDescent="0.25">
      <c r="A63" s="112"/>
      <c r="B63" s="27" t="s">
        <v>298</v>
      </c>
      <c r="C63" s="67" t="s">
        <v>57</v>
      </c>
      <c r="D63" s="125">
        <f>IF('Quant. mod. (oc)'!D63&lt;0,0,'Quant. mod. (oc)'!D63)</f>
        <v>227</v>
      </c>
      <c r="E63" s="125">
        <f>IF('Quant. mod. (oc)'!E63&lt;0,0,'Quant. mod. (oc)'!E63)</f>
        <v>227</v>
      </c>
      <c r="F63" s="125">
        <f>IF('Quant. mod. (oc)'!F63&lt;0,0,'Quant. mod. (oc)'!F63)</f>
        <v>227</v>
      </c>
      <c r="G63" s="125">
        <f>IF('Quant. mod. (oc)'!G63&lt;0,0,'Quant. mod. (oc)'!G63)</f>
        <v>227</v>
      </c>
      <c r="H63" s="125">
        <f>IF('Quant. mod. (oc)'!H63&lt;0,0,'Quant. mod. (oc)'!H63)</f>
        <v>227</v>
      </c>
      <c r="I63" s="125">
        <f>IF('Quant. mod. (oc)'!I63&lt;0,0,'Quant. mod. (oc)'!I63)</f>
        <v>227</v>
      </c>
      <c r="J63" s="125">
        <f>IF('Quant. mod. (oc)'!J63&lt;0,0,'Quant. mod. (oc)'!J63)</f>
        <v>227</v>
      </c>
      <c r="K63" s="125">
        <f>IF('Quant. mod. (oc)'!K63&lt;0,0,'Quant. mod. (oc)'!K63)</f>
        <v>227</v>
      </c>
      <c r="L63" s="125">
        <f>IF('Quant. mod. (oc)'!L63&lt;0,0,'Quant. mod. (oc)'!L63)</f>
        <v>227</v>
      </c>
      <c r="M63" s="125">
        <f>IF('Quant. mod. (oc)'!M63&lt;0,0,'Quant. mod. (oc)'!M63)</f>
        <v>227</v>
      </c>
      <c r="N63" s="125">
        <f>IF('Quant. mod. (oc)'!N63&lt;0,0,'Quant. mod. (oc)'!N63)</f>
        <v>227</v>
      </c>
      <c r="O63" s="125">
        <f>IF('Quant. mod. (oc)'!O63&lt;0,0,'Quant. mod. (oc)'!O63)</f>
        <v>227</v>
      </c>
      <c r="P63" s="125">
        <f>IF('Quant. mod. (oc)'!P63&lt;0,0,'Quant. mod. (oc)'!P63)</f>
        <v>227</v>
      </c>
      <c r="Q63" s="125">
        <f>IF('Quant. mod. (oc)'!Q63&lt;0,0,'Quant. mod. (oc)'!Q63)</f>
        <v>227</v>
      </c>
      <c r="R63" s="125">
        <f>IF('Quant. mod. (oc)'!R63&lt;0,0,'Quant. mod. (oc)'!R63)</f>
        <v>227</v>
      </c>
      <c r="S63" s="125">
        <f>IF('Quant. mod. (oc)'!S63&lt;0,0,'Quant. mod. (oc)'!S63)</f>
        <v>227</v>
      </c>
      <c r="T63" s="125">
        <f>IF('Quant. mod. (oc)'!T63&lt;0,0,'Quant. mod. (oc)'!T63)</f>
        <v>227</v>
      </c>
      <c r="U63" s="125">
        <f>IF('Quant. mod. (oc)'!U63&lt;0,0,'Quant. mod. (oc)'!U63)</f>
        <v>227</v>
      </c>
      <c r="V63" s="125">
        <f>IF('Quant. mod. (oc)'!V63&lt;0,0,'Quant. mod. (oc)'!V63)</f>
        <v>227</v>
      </c>
      <c r="W63" s="125">
        <f>IF('Quant. mod. (oc)'!W63&lt;0,0,'Quant. mod. (oc)'!W63)</f>
        <v>227</v>
      </c>
      <c r="X63" s="125">
        <f>IF('Quant. mod. (oc)'!X63&lt;0,0,'Quant. mod. (oc)'!X63)</f>
        <v>227</v>
      </c>
      <c r="Y63" s="125">
        <f>IF('Quant. mod. (oc)'!Y63&lt;0,0,'Quant. mod. (oc)'!Y63)</f>
        <v>227</v>
      </c>
      <c r="Z63" s="125">
        <f>IF('Quant. mod. (oc)'!Z63&lt;0,0,'Quant. mod. (oc)'!Z63)</f>
        <v>227</v>
      </c>
      <c r="AA63" s="125">
        <f>IF('Quant. mod. (oc)'!AA63&lt;0,0,'Quant. mod. (oc)'!AA63)</f>
        <v>227</v>
      </c>
      <c r="AB63" s="125">
        <f>IF('Quant. mod. (oc)'!AB63&lt;0,0,'Quant. mod. (oc)'!AB63)</f>
        <v>227</v>
      </c>
      <c r="AC63" s="125">
        <f>IF('Quant. mod. (oc)'!AC63&lt;0,0,'Quant. mod. (oc)'!AC63)</f>
        <v>227</v>
      </c>
      <c r="AD63" s="125">
        <f>IF('Quant. mod. (oc)'!AD63&lt;0,0,'Quant. mod. (oc)'!AD63)</f>
        <v>227</v>
      </c>
      <c r="AE63" s="125">
        <f>IF('Quant. mod. (oc)'!AE63&lt;0,0,'Quant. mod. (oc)'!AE63)</f>
        <v>227</v>
      </c>
      <c r="AF63" s="125">
        <f>IF('Quant. mod. (oc)'!AF63&lt;0,0,'Quant. mod. (oc)'!AF63)</f>
        <v>227</v>
      </c>
      <c r="AG63" s="126">
        <f>IF('Quant. mod. (oc)'!AG63&lt;0,0,'Quant. mod. (oc)'!AG63)</f>
        <v>227</v>
      </c>
      <c r="AH63" s="22"/>
    </row>
    <row r="64" spans="1:34" ht="38.25" x14ac:dyDescent="0.25">
      <c r="A64" s="112"/>
      <c r="B64" s="27" t="s">
        <v>299</v>
      </c>
      <c r="C64" s="67" t="s">
        <v>57</v>
      </c>
      <c r="D64" s="125">
        <f>IF('Quant. mod. (oc)'!D64&lt;0,0,'Quant. mod. (oc)'!D64)</f>
        <v>315.83999999999997</v>
      </c>
      <c r="E64" s="125">
        <f>IF('Quant. mod. (oc)'!E64&lt;0,0,'Quant. mod. (oc)'!E64)</f>
        <v>315.83999999999997</v>
      </c>
      <c r="F64" s="125">
        <f>IF('Quant. mod. (oc)'!F64&lt;0,0,'Quant. mod. (oc)'!F64)</f>
        <v>315.83999999999997</v>
      </c>
      <c r="G64" s="125">
        <f>IF('Quant. mod. (oc)'!G64&lt;0,0,'Quant. mod. (oc)'!G64)</f>
        <v>315.83999999999997</v>
      </c>
      <c r="H64" s="125">
        <f>IF('Quant. mod. (oc)'!H64&lt;0,0,'Quant. mod. (oc)'!H64)</f>
        <v>315.83999999999997</v>
      </c>
      <c r="I64" s="125">
        <f>IF('Quant. mod. (oc)'!I64&lt;0,0,'Quant. mod. (oc)'!I64)</f>
        <v>315.83999999999997</v>
      </c>
      <c r="J64" s="125">
        <f>IF('Quant. mod. (oc)'!J64&lt;0,0,'Quant. mod. (oc)'!J64)</f>
        <v>315.83999999999997</v>
      </c>
      <c r="K64" s="125">
        <f>IF('Quant. mod. (oc)'!K64&lt;0,0,'Quant. mod. (oc)'!K64)</f>
        <v>315.83999999999997</v>
      </c>
      <c r="L64" s="125">
        <f>IF('Quant. mod. (oc)'!L64&lt;0,0,'Quant. mod. (oc)'!L64)</f>
        <v>315.83999999999997</v>
      </c>
      <c r="M64" s="125">
        <f>IF('Quant. mod. (oc)'!M64&lt;0,0,'Quant. mod. (oc)'!M64)</f>
        <v>315.83999999999997</v>
      </c>
      <c r="N64" s="125">
        <f>IF('Quant. mod. (oc)'!N64&lt;0,0,'Quant. mod. (oc)'!N64)</f>
        <v>315.83999999999997</v>
      </c>
      <c r="O64" s="125">
        <f>IF('Quant. mod. (oc)'!O64&lt;0,0,'Quant. mod. (oc)'!O64)</f>
        <v>315.83999999999997</v>
      </c>
      <c r="P64" s="125">
        <f>IF('Quant. mod. (oc)'!P64&lt;0,0,'Quant. mod. (oc)'!P64)</f>
        <v>315.83999999999997</v>
      </c>
      <c r="Q64" s="125">
        <f>IF('Quant. mod. (oc)'!Q64&lt;0,0,'Quant. mod. (oc)'!Q64)</f>
        <v>315.83999999999997</v>
      </c>
      <c r="R64" s="125">
        <f>IF('Quant. mod. (oc)'!R64&lt;0,0,'Quant. mod. (oc)'!R64)</f>
        <v>315.83999999999997</v>
      </c>
      <c r="S64" s="125">
        <f>IF('Quant. mod. (oc)'!S64&lt;0,0,'Quant. mod. (oc)'!S64)</f>
        <v>315.83999999999997</v>
      </c>
      <c r="T64" s="125">
        <f>IF('Quant. mod. (oc)'!T64&lt;0,0,'Quant. mod. (oc)'!T64)</f>
        <v>315.83999999999997</v>
      </c>
      <c r="U64" s="125">
        <f>IF('Quant. mod. (oc)'!U64&lt;0,0,'Quant. mod. (oc)'!U64)</f>
        <v>315.83999999999997</v>
      </c>
      <c r="V64" s="125">
        <f>IF('Quant. mod. (oc)'!V64&lt;0,0,'Quant. mod. (oc)'!V64)</f>
        <v>315.83999999999997</v>
      </c>
      <c r="W64" s="125">
        <f>IF('Quant. mod. (oc)'!W64&lt;0,0,'Quant. mod. (oc)'!W64)</f>
        <v>315.83999999999997</v>
      </c>
      <c r="X64" s="125">
        <f>IF('Quant. mod. (oc)'!X64&lt;0,0,'Quant. mod. (oc)'!X64)</f>
        <v>315.83999999999997</v>
      </c>
      <c r="Y64" s="125">
        <f>IF('Quant. mod. (oc)'!Y64&lt;0,0,'Quant. mod. (oc)'!Y64)</f>
        <v>315.83999999999997</v>
      </c>
      <c r="Z64" s="125">
        <f>IF('Quant. mod. (oc)'!Z64&lt;0,0,'Quant. mod. (oc)'!Z64)</f>
        <v>315.83999999999997</v>
      </c>
      <c r="AA64" s="125">
        <f>IF('Quant. mod. (oc)'!AA64&lt;0,0,'Quant. mod. (oc)'!AA64)</f>
        <v>315.83999999999997</v>
      </c>
      <c r="AB64" s="125">
        <f>IF('Quant. mod. (oc)'!AB64&lt;0,0,'Quant. mod. (oc)'!AB64)</f>
        <v>315.83999999999997</v>
      </c>
      <c r="AC64" s="125">
        <f>IF('Quant. mod. (oc)'!AC64&lt;0,0,'Quant. mod. (oc)'!AC64)</f>
        <v>315.83999999999997</v>
      </c>
      <c r="AD64" s="125">
        <f>IF('Quant. mod. (oc)'!AD64&lt;0,0,'Quant. mod. (oc)'!AD64)</f>
        <v>315.83999999999997</v>
      </c>
      <c r="AE64" s="125">
        <f>IF('Quant. mod. (oc)'!AE64&lt;0,0,'Quant. mod. (oc)'!AE64)</f>
        <v>315.83999999999997</v>
      </c>
      <c r="AF64" s="125">
        <f>IF('Quant. mod. (oc)'!AF64&lt;0,0,'Quant. mod. (oc)'!AF64)</f>
        <v>315.83999999999997</v>
      </c>
      <c r="AG64" s="126">
        <f>IF('Quant. mod. (oc)'!AG64&lt;0,0,'Quant. mod. (oc)'!AG64)</f>
        <v>315.83999999999997</v>
      </c>
      <c r="AH64" s="22"/>
    </row>
    <row r="65" spans="1:34" ht="51" x14ac:dyDescent="0.25">
      <c r="A65" s="112"/>
      <c r="B65" s="27" t="s">
        <v>301</v>
      </c>
      <c r="C65" s="67" t="s">
        <v>57</v>
      </c>
      <c r="D65" s="125">
        <f>IF('Quant. mod. (oc)'!D65&lt;0,0,'Quant. mod. (oc)'!D65)</f>
        <v>229.32</v>
      </c>
      <c r="E65" s="125">
        <f>IF('Quant. mod. (oc)'!E65&lt;0,0,'Quant. mod. (oc)'!E65)</f>
        <v>229.32</v>
      </c>
      <c r="F65" s="125">
        <f>IF('Quant. mod. (oc)'!F65&lt;0,0,'Quant. mod. (oc)'!F65)</f>
        <v>229.32</v>
      </c>
      <c r="G65" s="125">
        <f>IF('Quant. mod. (oc)'!G65&lt;0,0,'Quant. mod. (oc)'!G65)</f>
        <v>229.32</v>
      </c>
      <c r="H65" s="125">
        <f>IF('Quant. mod. (oc)'!H65&lt;0,0,'Quant. mod. (oc)'!H65)</f>
        <v>229.32</v>
      </c>
      <c r="I65" s="125">
        <f>IF('Quant. mod. (oc)'!I65&lt;0,0,'Quant. mod. (oc)'!I65)</f>
        <v>229.32</v>
      </c>
      <c r="J65" s="125">
        <f>IF('Quant. mod. (oc)'!J65&lt;0,0,'Quant. mod. (oc)'!J65)</f>
        <v>229.32</v>
      </c>
      <c r="K65" s="125">
        <f>IF('Quant. mod. (oc)'!K65&lt;0,0,'Quant. mod. (oc)'!K65)</f>
        <v>229.32</v>
      </c>
      <c r="L65" s="125">
        <f>IF('Quant. mod. (oc)'!L65&lt;0,0,'Quant. mod. (oc)'!L65)</f>
        <v>229.32</v>
      </c>
      <c r="M65" s="125">
        <f>IF('Quant. mod. (oc)'!M65&lt;0,0,'Quant. mod. (oc)'!M65)</f>
        <v>229.32</v>
      </c>
      <c r="N65" s="125">
        <f>IF('Quant. mod. (oc)'!N65&lt;0,0,'Quant. mod. (oc)'!N65)</f>
        <v>229.32</v>
      </c>
      <c r="O65" s="125">
        <f>IF('Quant. mod. (oc)'!O65&lt;0,0,'Quant. mod. (oc)'!O65)</f>
        <v>229.32</v>
      </c>
      <c r="P65" s="125">
        <f>IF('Quant. mod. (oc)'!P65&lt;0,0,'Quant. mod. (oc)'!P65)</f>
        <v>229.32</v>
      </c>
      <c r="Q65" s="125">
        <f>IF('Quant. mod. (oc)'!Q65&lt;0,0,'Quant. mod. (oc)'!Q65)</f>
        <v>229.32</v>
      </c>
      <c r="R65" s="125">
        <f>IF('Quant. mod. (oc)'!R65&lt;0,0,'Quant. mod. (oc)'!R65)</f>
        <v>229.32</v>
      </c>
      <c r="S65" s="125">
        <f>IF('Quant. mod. (oc)'!S65&lt;0,0,'Quant. mod. (oc)'!S65)</f>
        <v>229.32</v>
      </c>
      <c r="T65" s="125">
        <f>IF('Quant. mod. (oc)'!T65&lt;0,0,'Quant. mod. (oc)'!T65)</f>
        <v>229.32</v>
      </c>
      <c r="U65" s="125">
        <f>IF('Quant. mod. (oc)'!U65&lt;0,0,'Quant. mod. (oc)'!U65)</f>
        <v>229.32</v>
      </c>
      <c r="V65" s="125">
        <f>IF('Quant. mod. (oc)'!V65&lt;0,0,'Quant. mod. (oc)'!V65)</f>
        <v>229.32</v>
      </c>
      <c r="W65" s="125">
        <f>IF('Quant. mod. (oc)'!W65&lt;0,0,'Quant. mod. (oc)'!W65)</f>
        <v>229.32</v>
      </c>
      <c r="X65" s="125">
        <f>IF('Quant. mod. (oc)'!X65&lt;0,0,'Quant. mod. (oc)'!X65)</f>
        <v>229.32</v>
      </c>
      <c r="Y65" s="125">
        <f>IF('Quant. mod. (oc)'!Y65&lt;0,0,'Quant. mod. (oc)'!Y65)</f>
        <v>229.32</v>
      </c>
      <c r="Z65" s="125">
        <f>IF('Quant. mod. (oc)'!Z65&lt;0,0,'Quant. mod. (oc)'!Z65)</f>
        <v>229.32</v>
      </c>
      <c r="AA65" s="125">
        <f>IF('Quant. mod. (oc)'!AA65&lt;0,0,'Quant. mod. (oc)'!AA65)</f>
        <v>229.32</v>
      </c>
      <c r="AB65" s="125">
        <f>IF('Quant. mod. (oc)'!AB65&lt;0,0,'Quant. mod. (oc)'!AB65)</f>
        <v>229.32</v>
      </c>
      <c r="AC65" s="125">
        <f>IF('Quant. mod. (oc)'!AC65&lt;0,0,'Quant. mod. (oc)'!AC65)</f>
        <v>229.32</v>
      </c>
      <c r="AD65" s="125">
        <f>IF('Quant. mod. (oc)'!AD65&lt;0,0,'Quant. mod. (oc)'!AD65)</f>
        <v>229.32</v>
      </c>
      <c r="AE65" s="125">
        <f>IF('Quant. mod. (oc)'!AE65&lt;0,0,'Quant. mod. (oc)'!AE65)</f>
        <v>229.32</v>
      </c>
      <c r="AF65" s="125">
        <f>IF('Quant. mod. (oc)'!AF65&lt;0,0,'Quant. mod. (oc)'!AF65)</f>
        <v>229.32</v>
      </c>
      <c r="AG65" s="126">
        <f>IF('Quant. mod. (oc)'!AG65&lt;0,0,'Quant. mod. (oc)'!AG65)</f>
        <v>229.32</v>
      </c>
      <c r="AH65" s="22"/>
    </row>
    <row r="66" spans="1:34" ht="38.25" x14ac:dyDescent="0.25">
      <c r="A66" s="112"/>
      <c r="B66" s="27" t="s">
        <v>300</v>
      </c>
      <c r="C66" s="67" t="s">
        <v>57</v>
      </c>
      <c r="D66" s="125">
        <f>IF('Quant. mod. (oc)'!D66&lt;0,0,'Quant. mod. (oc)'!D66)</f>
        <v>510.74000000000035</v>
      </c>
      <c r="E66" s="125">
        <f>IF('Quant. mod. (oc)'!E66&lt;0,0,'Quant. mod. (oc)'!E66)</f>
        <v>510.74000000000035</v>
      </c>
      <c r="F66" s="125">
        <f>IF('Quant. mod. (oc)'!F66&lt;0,0,'Quant. mod. (oc)'!F66)</f>
        <v>510.74000000000035</v>
      </c>
      <c r="G66" s="125">
        <f>IF('Quant. mod. (oc)'!G66&lt;0,0,'Quant. mod. (oc)'!G66)</f>
        <v>510.74000000000035</v>
      </c>
      <c r="H66" s="125">
        <f>IF('Quant. mod. (oc)'!H66&lt;0,0,'Quant. mod. (oc)'!H66)</f>
        <v>510.74000000000035</v>
      </c>
      <c r="I66" s="125">
        <f>IF('Quant. mod. (oc)'!I66&lt;0,0,'Quant. mod. (oc)'!I66)</f>
        <v>510.74000000000035</v>
      </c>
      <c r="J66" s="125">
        <f>IF('Quant. mod. (oc)'!J66&lt;0,0,'Quant. mod. (oc)'!J66)</f>
        <v>510.74000000000035</v>
      </c>
      <c r="K66" s="125">
        <f>IF('Quant. mod. (oc)'!K66&lt;0,0,'Quant. mod. (oc)'!K66)</f>
        <v>510.74000000000035</v>
      </c>
      <c r="L66" s="125">
        <f>IF('Quant. mod. (oc)'!L66&lt;0,0,'Quant. mod. (oc)'!L66)</f>
        <v>510.74000000000035</v>
      </c>
      <c r="M66" s="125">
        <f>IF('Quant. mod. (oc)'!M66&lt;0,0,'Quant. mod. (oc)'!M66)</f>
        <v>510.74000000000035</v>
      </c>
      <c r="N66" s="125">
        <f>IF('Quant. mod. (oc)'!N66&lt;0,0,'Quant. mod. (oc)'!N66)</f>
        <v>515.64</v>
      </c>
      <c r="O66" s="125">
        <f>IF('Quant. mod. (oc)'!O66&lt;0,0,'Quant. mod. (oc)'!O66)</f>
        <v>515.64</v>
      </c>
      <c r="P66" s="125">
        <f>IF('Quant. mod. (oc)'!P66&lt;0,0,'Quant. mod. (oc)'!P66)</f>
        <v>515.64</v>
      </c>
      <c r="Q66" s="125">
        <f>IF('Quant. mod. (oc)'!Q66&lt;0,0,'Quant. mod. (oc)'!Q66)</f>
        <v>515.64</v>
      </c>
      <c r="R66" s="125">
        <f>IF('Quant. mod. (oc)'!R66&lt;0,0,'Quant. mod. (oc)'!R66)</f>
        <v>515.64</v>
      </c>
      <c r="S66" s="125">
        <f>IF('Quant. mod. (oc)'!S66&lt;0,0,'Quant. mod. (oc)'!S66)</f>
        <v>515.64</v>
      </c>
      <c r="T66" s="125">
        <f>IF('Quant. mod. (oc)'!T66&lt;0,0,'Quant. mod. (oc)'!T66)</f>
        <v>515.64</v>
      </c>
      <c r="U66" s="125">
        <f>IF('Quant. mod. (oc)'!U66&lt;0,0,'Quant. mod. (oc)'!U66)</f>
        <v>515.64</v>
      </c>
      <c r="V66" s="125">
        <f>IF('Quant. mod. (oc)'!V66&lt;0,0,'Quant. mod. (oc)'!V66)</f>
        <v>515.64</v>
      </c>
      <c r="W66" s="125">
        <f>IF('Quant. mod. (oc)'!W66&lt;0,0,'Quant. mod. (oc)'!W66)</f>
        <v>515.64</v>
      </c>
      <c r="X66" s="125">
        <f>IF('Quant. mod. (oc)'!X66&lt;0,0,'Quant. mod. (oc)'!X66)</f>
        <v>508.34</v>
      </c>
      <c r="Y66" s="125">
        <f>IF('Quant. mod. (oc)'!Y66&lt;0,0,'Quant. mod. (oc)'!Y66)</f>
        <v>508.34</v>
      </c>
      <c r="Z66" s="125">
        <f>IF('Quant. mod. (oc)'!Z66&lt;0,0,'Quant. mod. (oc)'!Z66)</f>
        <v>508.34</v>
      </c>
      <c r="AA66" s="125">
        <f>IF('Quant. mod. (oc)'!AA66&lt;0,0,'Quant. mod. (oc)'!AA66)</f>
        <v>508.34</v>
      </c>
      <c r="AB66" s="125">
        <f>IF('Quant. mod. (oc)'!AB66&lt;0,0,'Quant. mod. (oc)'!AB66)</f>
        <v>508.34</v>
      </c>
      <c r="AC66" s="125">
        <f>IF('Quant. mod. (oc)'!AC66&lt;0,0,'Quant. mod. (oc)'!AC66)</f>
        <v>508.34</v>
      </c>
      <c r="AD66" s="125">
        <f>IF('Quant. mod. (oc)'!AD66&lt;0,0,'Quant. mod. (oc)'!AD66)</f>
        <v>508.34</v>
      </c>
      <c r="AE66" s="125">
        <f>IF('Quant. mod. (oc)'!AE66&lt;0,0,'Quant. mod. (oc)'!AE66)</f>
        <v>508.34</v>
      </c>
      <c r="AF66" s="125">
        <f>IF('Quant. mod. (oc)'!AF66&lt;0,0,'Quant. mod. (oc)'!AF66)</f>
        <v>508.34</v>
      </c>
      <c r="AG66" s="126">
        <f>IF('Quant. mod. (oc)'!AG66&lt;0,0,'Quant. mod. (oc)'!AG66)</f>
        <v>508.34</v>
      </c>
      <c r="AH66" s="22"/>
    </row>
    <row r="67" spans="1:34" ht="25.5" x14ac:dyDescent="0.25">
      <c r="A67" s="112"/>
      <c r="B67" s="27" t="s">
        <v>303</v>
      </c>
      <c r="C67" s="67" t="s">
        <v>57</v>
      </c>
      <c r="D67" s="125">
        <f>IF('Quant. mod. (oc)'!D67&lt;0,0,'Quant. mod. (oc)'!D67)</f>
        <v>218</v>
      </c>
      <c r="E67" s="125">
        <f>IF('Quant. mod. (oc)'!E67&lt;0,0,'Quant. mod. (oc)'!E67)</f>
        <v>218</v>
      </c>
      <c r="F67" s="125">
        <f>IF('Quant. mod. (oc)'!F67&lt;0,0,'Quant. mod. (oc)'!F67)</f>
        <v>218</v>
      </c>
      <c r="G67" s="125">
        <f>IF('Quant. mod. (oc)'!G67&lt;0,0,'Quant. mod. (oc)'!G67)</f>
        <v>218</v>
      </c>
      <c r="H67" s="125">
        <f>IF('Quant. mod. (oc)'!H67&lt;0,0,'Quant. mod. (oc)'!H67)</f>
        <v>218</v>
      </c>
      <c r="I67" s="125">
        <f>IF('Quant. mod. (oc)'!I67&lt;0,0,'Quant. mod. (oc)'!I67)</f>
        <v>218</v>
      </c>
      <c r="J67" s="125">
        <f>IF('Quant. mod. (oc)'!J67&lt;0,0,'Quant. mod. (oc)'!J67)</f>
        <v>218</v>
      </c>
      <c r="K67" s="125">
        <f>IF('Quant. mod. (oc)'!K67&lt;0,0,'Quant. mod. (oc)'!K67)</f>
        <v>218</v>
      </c>
      <c r="L67" s="125">
        <f>IF('Quant. mod. (oc)'!L67&lt;0,0,'Quant. mod. (oc)'!L67)</f>
        <v>218</v>
      </c>
      <c r="M67" s="125">
        <f>IF('Quant. mod. (oc)'!M67&lt;0,0,'Quant. mod. (oc)'!M67)</f>
        <v>218</v>
      </c>
      <c r="N67" s="125">
        <f>IF('Quant. mod. (oc)'!N67&lt;0,0,'Quant. mod. (oc)'!N67)</f>
        <v>215</v>
      </c>
      <c r="O67" s="125">
        <f>IF('Quant. mod. (oc)'!O67&lt;0,0,'Quant. mod. (oc)'!O67)</f>
        <v>215</v>
      </c>
      <c r="P67" s="125">
        <f>IF('Quant. mod. (oc)'!P67&lt;0,0,'Quant. mod. (oc)'!P67)</f>
        <v>215</v>
      </c>
      <c r="Q67" s="125">
        <f>IF('Quant. mod. (oc)'!Q67&lt;0,0,'Quant. mod. (oc)'!Q67)</f>
        <v>215</v>
      </c>
      <c r="R67" s="125">
        <f>IF('Quant. mod. (oc)'!R67&lt;0,0,'Quant. mod. (oc)'!R67)</f>
        <v>215</v>
      </c>
      <c r="S67" s="125">
        <f>IF('Quant. mod. (oc)'!S67&lt;0,0,'Quant. mod. (oc)'!S67)</f>
        <v>215</v>
      </c>
      <c r="T67" s="125">
        <f>IF('Quant. mod. (oc)'!T67&lt;0,0,'Quant. mod. (oc)'!T67)</f>
        <v>215</v>
      </c>
      <c r="U67" s="125">
        <f>IF('Quant. mod. (oc)'!U67&lt;0,0,'Quant. mod. (oc)'!U67)</f>
        <v>215</v>
      </c>
      <c r="V67" s="125">
        <f>IF('Quant. mod. (oc)'!V67&lt;0,0,'Quant. mod. (oc)'!V67)</f>
        <v>215</v>
      </c>
      <c r="W67" s="125">
        <f>IF('Quant. mod. (oc)'!W67&lt;0,0,'Quant. mod. (oc)'!W67)</f>
        <v>215</v>
      </c>
      <c r="X67" s="125">
        <f>IF('Quant. mod. (oc)'!X67&lt;0,0,'Quant. mod. (oc)'!X67)</f>
        <v>216.5</v>
      </c>
      <c r="Y67" s="125">
        <f>IF('Quant. mod. (oc)'!Y67&lt;0,0,'Quant. mod. (oc)'!Y67)</f>
        <v>216.5</v>
      </c>
      <c r="Z67" s="125">
        <f>IF('Quant. mod. (oc)'!Z67&lt;0,0,'Quant. mod. (oc)'!Z67)</f>
        <v>216.5</v>
      </c>
      <c r="AA67" s="125">
        <f>IF('Quant. mod. (oc)'!AA67&lt;0,0,'Quant. mod. (oc)'!AA67)</f>
        <v>216.5</v>
      </c>
      <c r="AB67" s="125">
        <f>IF('Quant. mod. (oc)'!AB67&lt;0,0,'Quant. mod. (oc)'!AB67)</f>
        <v>216.5</v>
      </c>
      <c r="AC67" s="125">
        <f>IF('Quant. mod. (oc)'!AC67&lt;0,0,'Quant. mod. (oc)'!AC67)</f>
        <v>216.5</v>
      </c>
      <c r="AD67" s="125">
        <f>IF('Quant. mod. (oc)'!AD67&lt;0,0,'Quant. mod. (oc)'!AD67)</f>
        <v>216.5</v>
      </c>
      <c r="AE67" s="125">
        <f>IF('Quant. mod. (oc)'!AE67&lt;0,0,'Quant. mod. (oc)'!AE67)</f>
        <v>216.5</v>
      </c>
      <c r="AF67" s="125">
        <f>IF('Quant. mod. (oc)'!AF67&lt;0,0,'Quant. mod. (oc)'!AF67)</f>
        <v>216.5</v>
      </c>
      <c r="AG67" s="126">
        <f>IF('Quant. mod. (oc)'!AG67&lt;0,0,'Quant. mod. (oc)'!AG67)</f>
        <v>216.5</v>
      </c>
      <c r="AH67" s="22"/>
    </row>
    <row r="68" spans="1:34" ht="38.25" x14ac:dyDescent="0.25">
      <c r="A68" s="112"/>
      <c r="B68" s="27" t="s">
        <v>304</v>
      </c>
      <c r="C68" s="67" t="s">
        <v>57</v>
      </c>
      <c r="D68" s="125">
        <f>IF('Quant. mod. (oc)'!D68&lt;0,0,'Quant. mod. (oc)'!D68)</f>
        <v>229.32</v>
      </c>
      <c r="E68" s="125">
        <f>IF('Quant. mod. (oc)'!E68&lt;0,0,'Quant. mod. (oc)'!E68)</f>
        <v>229.32</v>
      </c>
      <c r="F68" s="125">
        <f>IF('Quant. mod. (oc)'!F68&lt;0,0,'Quant. mod. (oc)'!F68)</f>
        <v>229.32</v>
      </c>
      <c r="G68" s="125">
        <f>IF('Quant. mod. (oc)'!G68&lt;0,0,'Quant. mod. (oc)'!G68)</f>
        <v>229.32</v>
      </c>
      <c r="H68" s="125">
        <f>IF('Quant. mod. (oc)'!H68&lt;0,0,'Quant. mod. (oc)'!H68)</f>
        <v>229.32</v>
      </c>
      <c r="I68" s="125">
        <f>IF('Quant. mod. (oc)'!I68&lt;0,0,'Quant. mod. (oc)'!I68)</f>
        <v>229.32</v>
      </c>
      <c r="J68" s="125">
        <f>IF('Quant. mod. (oc)'!J68&lt;0,0,'Quant. mod. (oc)'!J68)</f>
        <v>229.32</v>
      </c>
      <c r="K68" s="125">
        <f>IF('Quant. mod. (oc)'!K68&lt;0,0,'Quant. mod. (oc)'!K68)</f>
        <v>229.32</v>
      </c>
      <c r="L68" s="125">
        <f>IF('Quant. mod. (oc)'!L68&lt;0,0,'Quant. mod. (oc)'!L68)</f>
        <v>229.32</v>
      </c>
      <c r="M68" s="125">
        <f>IF('Quant. mod. (oc)'!M68&lt;0,0,'Quant. mod. (oc)'!M68)</f>
        <v>229.32</v>
      </c>
      <c r="N68" s="125">
        <f>IF('Quant. mod. (oc)'!N68&lt;0,0,'Quant. mod. (oc)'!N68)</f>
        <v>229.32</v>
      </c>
      <c r="O68" s="125">
        <f>IF('Quant. mod. (oc)'!O68&lt;0,0,'Quant. mod. (oc)'!O68)</f>
        <v>229.32</v>
      </c>
      <c r="P68" s="125">
        <f>IF('Quant. mod. (oc)'!P68&lt;0,0,'Quant. mod. (oc)'!P68)</f>
        <v>229.32</v>
      </c>
      <c r="Q68" s="125">
        <f>IF('Quant. mod. (oc)'!Q68&lt;0,0,'Quant. mod. (oc)'!Q68)</f>
        <v>229.32</v>
      </c>
      <c r="R68" s="125">
        <f>IF('Quant. mod. (oc)'!R68&lt;0,0,'Quant. mod. (oc)'!R68)</f>
        <v>229.32</v>
      </c>
      <c r="S68" s="125">
        <f>IF('Quant. mod. (oc)'!S68&lt;0,0,'Quant. mod. (oc)'!S68)</f>
        <v>229.32</v>
      </c>
      <c r="T68" s="125">
        <f>IF('Quant. mod. (oc)'!T68&lt;0,0,'Quant. mod. (oc)'!T68)</f>
        <v>229.32</v>
      </c>
      <c r="U68" s="125">
        <f>IF('Quant. mod. (oc)'!U68&lt;0,0,'Quant. mod. (oc)'!U68)</f>
        <v>229.32</v>
      </c>
      <c r="V68" s="125">
        <f>IF('Quant. mod. (oc)'!V68&lt;0,0,'Quant. mod. (oc)'!V68)</f>
        <v>229.32</v>
      </c>
      <c r="W68" s="125">
        <f>IF('Quant. mod. (oc)'!W68&lt;0,0,'Quant. mod. (oc)'!W68)</f>
        <v>229.32</v>
      </c>
      <c r="X68" s="125">
        <f>IF('Quant. mod. (oc)'!X68&lt;0,0,'Quant. mod. (oc)'!X68)</f>
        <v>229.32</v>
      </c>
      <c r="Y68" s="125">
        <f>IF('Quant. mod. (oc)'!Y68&lt;0,0,'Quant. mod. (oc)'!Y68)</f>
        <v>229.32</v>
      </c>
      <c r="Z68" s="125">
        <f>IF('Quant. mod. (oc)'!Z68&lt;0,0,'Quant. mod. (oc)'!Z68)</f>
        <v>229.32</v>
      </c>
      <c r="AA68" s="125">
        <f>IF('Quant. mod. (oc)'!AA68&lt;0,0,'Quant. mod. (oc)'!AA68)</f>
        <v>229.32</v>
      </c>
      <c r="AB68" s="125">
        <f>IF('Quant. mod. (oc)'!AB68&lt;0,0,'Quant. mod. (oc)'!AB68)</f>
        <v>229.32</v>
      </c>
      <c r="AC68" s="125">
        <f>IF('Quant. mod. (oc)'!AC68&lt;0,0,'Quant. mod. (oc)'!AC68)</f>
        <v>229.32</v>
      </c>
      <c r="AD68" s="125">
        <f>IF('Quant. mod. (oc)'!AD68&lt;0,0,'Quant. mod. (oc)'!AD68)</f>
        <v>229.32</v>
      </c>
      <c r="AE68" s="125">
        <f>IF('Quant. mod. (oc)'!AE68&lt;0,0,'Quant. mod. (oc)'!AE68)</f>
        <v>229.32</v>
      </c>
      <c r="AF68" s="125">
        <f>IF('Quant. mod. (oc)'!AF68&lt;0,0,'Quant. mod. (oc)'!AF68)</f>
        <v>229.32</v>
      </c>
      <c r="AG68" s="126">
        <f>IF('Quant. mod. (oc)'!AG68&lt;0,0,'Quant. mod. (oc)'!AG68)</f>
        <v>229.32</v>
      </c>
      <c r="AH68" s="22"/>
    </row>
    <row r="69" spans="1:34" x14ac:dyDescent="0.25">
      <c r="A69" s="112"/>
      <c r="B69" s="27" t="s">
        <v>309</v>
      </c>
      <c r="C69" s="67" t="s">
        <v>57</v>
      </c>
      <c r="D69" s="125">
        <f>IF('Quant. mod. (oc)'!D69&lt;0,0,'Quant. mod. (oc)'!D69)</f>
        <v>227</v>
      </c>
      <c r="E69" s="125">
        <f>IF('Quant. mod. (oc)'!E69&lt;0,0,'Quant. mod. (oc)'!E69)</f>
        <v>227</v>
      </c>
      <c r="F69" s="125">
        <f>IF('Quant. mod. (oc)'!F69&lt;0,0,'Quant. mod. (oc)'!F69)</f>
        <v>227</v>
      </c>
      <c r="G69" s="125">
        <f>IF('Quant. mod. (oc)'!G69&lt;0,0,'Quant. mod. (oc)'!G69)</f>
        <v>227</v>
      </c>
      <c r="H69" s="125">
        <f>IF('Quant. mod. (oc)'!H69&lt;0,0,'Quant. mod. (oc)'!H69)</f>
        <v>227</v>
      </c>
      <c r="I69" s="125">
        <f>IF('Quant. mod. (oc)'!I69&lt;0,0,'Quant. mod. (oc)'!I69)</f>
        <v>227</v>
      </c>
      <c r="J69" s="125">
        <f>IF('Quant. mod. (oc)'!J69&lt;0,0,'Quant. mod. (oc)'!J69)</f>
        <v>227</v>
      </c>
      <c r="K69" s="125">
        <f>IF('Quant. mod. (oc)'!K69&lt;0,0,'Quant. mod. (oc)'!K69)</f>
        <v>227</v>
      </c>
      <c r="L69" s="125">
        <f>IF('Quant. mod. (oc)'!L69&lt;0,0,'Quant. mod. (oc)'!L69)</f>
        <v>227</v>
      </c>
      <c r="M69" s="125">
        <f>IF('Quant. mod. (oc)'!M69&lt;0,0,'Quant. mod. (oc)'!M69)</f>
        <v>227</v>
      </c>
      <c r="N69" s="125">
        <f>IF('Quant. mod. (oc)'!N69&lt;0,0,'Quant. mod. (oc)'!N69)</f>
        <v>227</v>
      </c>
      <c r="O69" s="125">
        <f>IF('Quant. mod. (oc)'!O69&lt;0,0,'Quant. mod. (oc)'!O69)</f>
        <v>227</v>
      </c>
      <c r="P69" s="125">
        <f>IF('Quant. mod. (oc)'!P69&lt;0,0,'Quant. mod. (oc)'!P69)</f>
        <v>227</v>
      </c>
      <c r="Q69" s="125">
        <f>IF('Quant. mod. (oc)'!Q69&lt;0,0,'Quant. mod. (oc)'!Q69)</f>
        <v>227</v>
      </c>
      <c r="R69" s="125">
        <f>IF('Quant. mod. (oc)'!R69&lt;0,0,'Quant. mod. (oc)'!R69)</f>
        <v>227</v>
      </c>
      <c r="S69" s="125">
        <f>IF('Quant. mod. (oc)'!S69&lt;0,0,'Quant. mod. (oc)'!S69)</f>
        <v>227</v>
      </c>
      <c r="T69" s="125">
        <f>IF('Quant. mod. (oc)'!T69&lt;0,0,'Quant. mod. (oc)'!T69)</f>
        <v>227</v>
      </c>
      <c r="U69" s="125">
        <f>IF('Quant. mod. (oc)'!U69&lt;0,0,'Quant. mod. (oc)'!U69)</f>
        <v>227</v>
      </c>
      <c r="V69" s="125">
        <f>IF('Quant. mod. (oc)'!V69&lt;0,0,'Quant. mod. (oc)'!V69)</f>
        <v>227</v>
      </c>
      <c r="W69" s="125">
        <f>IF('Quant. mod. (oc)'!W69&lt;0,0,'Quant. mod. (oc)'!W69)</f>
        <v>227</v>
      </c>
      <c r="X69" s="125">
        <f>IF('Quant. mod. (oc)'!X69&lt;0,0,'Quant. mod. (oc)'!X69)</f>
        <v>227</v>
      </c>
      <c r="Y69" s="125">
        <f>IF('Quant. mod. (oc)'!Y69&lt;0,0,'Quant. mod. (oc)'!Y69)</f>
        <v>227</v>
      </c>
      <c r="Z69" s="125">
        <f>IF('Quant. mod. (oc)'!Z69&lt;0,0,'Quant. mod. (oc)'!Z69)</f>
        <v>227</v>
      </c>
      <c r="AA69" s="125">
        <f>IF('Quant. mod. (oc)'!AA69&lt;0,0,'Quant. mod. (oc)'!AA69)</f>
        <v>227</v>
      </c>
      <c r="AB69" s="125">
        <f>IF('Quant. mod. (oc)'!AB69&lt;0,0,'Quant. mod. (oc)'!AB69)</f>
        <v>227</v>
      </c>
      <c r="AC69" s="125">
        <f>IF('Quant. mod. (oc)'!AC69&lt;0,0,'Quant. mod. (oc)'!AC69)</f>
        <v>227</v>
      </c>
      <c r="AD69" s="125">
        <f>IF('Quant. mod. (oc)'!AD69&lt;0,0,'Quant. mod. (oc)'!AD69)</f>
        <v>227</v>
      </c>
      <c r="AE69" s="125">
        <f>IF('Quant. mod. (oc)'!AE69&lt;0,0,'Quant. mod. (oc)'!AE69)</f>
        <v>227</v>
      </c>
      <c r="AF69" s="125">
        <f>IF('Quant. mod. (oc)'!AF69&lt;0,0,'Quant. mod. (oc)'!AF69)</f>
        <v>227</v>
      </c>
      <c r="AG69" s="126">
        <f>IF('Quant. mod. (oc)'!AG69&lt;0,0,'Quant. mod. (oc)'!AG69)</f>
        <v>227</v>
      </c>
      <c r="AH69" s="22"/>
    </row>
    <row r="70" spans="1:34" ht="25.5" x14ac:dyDescent="0.25">
      <c r="A70" s="112"/>
      <c r="B70" s="27" t="s">
        <v>71</v>
      </c>
      <c r="C70" s="67" t="s">
        <v>57</v>
      </c>
      <c r="D70" s="125">
        <f>IF('Quant. mod. (oc)'!D70&lt;0,0,'Quant. mod. (oc)'!D70)</f>
        <v>315.83999999999997</v>
      </c>
      <c r="E70" s="125">
        <f>IF('Quant. mod. (oc)'!E70&lt;0,0,'Quant. mod. (oc)'!E70)</f>
        <v>315.83999999999997</v>
      </c>
      <c r="F70" s="125">
        <f>IF('Quant. mod. (oc)'!F70&lt;0,0,'Quant. mod. (oc)'!F70)</f>
        <v>315.83999999999997</v>
      </c>
      <c r="G70" s="125">
        <f>IF('Quant. mod. (oc)'!G70&lt;0,0,'Quant. mod. (oc)'!G70)</f>
        <v>315.83999999999997</v>
      </c>
      <c r="H70" s="125">
        <f>IF('Quant. mod. (oc)'!H70&lt;0,0,'Quant. mod. (oc)'!H70)</f>
        <v>315.83999999999997</v>
      </c>
      <c r="I70" s="125">
        <f>IF('Quant. mod. (oc)'!I70&lt;0,0,'Quant. mod. (oc)'!I70)</f>
        <v>315.83999999999997</v>
      </c>
      <c r="J70" s="125">
        <f>IF('Quant. mod. (oc)'!J70&lt;0,0,'Quant. mod. (oc)'!J70)</f>
        <v>315.83999999999997</v>
      </c>
      <c r="K70" s="125">
        <f>IF('Quant. mod. (oc)'!K70&lt;0,0,'Quant. mod. (oc)'!K70)</f>
        <v>315.83999999999997</v>
      </c>
      <c r="L70" s="125">
        <f>IF('Quant. mod. (oc)'!L70&lt;0,0,'Quant. mod. (oc)'!L70)</f>
        <v>315.83999999999997</v>
      </c>
      <c r="M70" s="125">
        <f>IF('Quant. mod. (oc)'!M70&lt;0,0,'Quant. mod. (oc)'!M70)</f>
        <v>315.83999999999997</v>
      </c>
      <c r="N70" s="125">
        <f>IF('Quant. mod. (oc)'!N70&lt;0,0,'Quant. mod. (oc)'!N70)</f>
        <v>315.83999999999997</v>
      </c>
      <c r="O70" s="125">
        <f>IF('Quant. mod. (oc)'!O70&lt;0,0,'Quant. mod. (oc)'!O70)</f>
        <v>315.83999999999997</v>
      </c>
      <c r="P70" s="125">
        <f>IF('Quant. mod. (oc)'!P70&lt;0,0,'Quant. mod. (oc)'!P70)</f>
        <v>315.83999999999997</v>
      </c>
      <c r="Q70" s="125">
        <f>IF('Quant. mod. (oc)'!Q70&lt;0,0,'Quant. mod. (oc)'!Q70)</f>
        <v>315.83999999999997</v>
      </c>
      <c r="R70" s="125">
        <f>IF('Quant. mod. (oc)'!R70&lt;0,0,'Quant. mod. (oc)'!R70)</f>
        <v>315.83999999999997</v>
      </c>
      <c r="S70" s="125">
        <f>IF('Quant. mod. (oc)'!S70&lt;0,0,'Quant. mod. (oc)'!S70)</f>
        <v>315.83999999999997</v>
      </c>
      <c r="T70" s="125">
        <f>IF('Quant. mod. (oc)'!T70&lt;0,0,'Quant. mod. (oc)'!T70)</f>
        <v>315.83999999999997</v>
      </c>
      <c r="U70" s="125">
        <f>IF('Quant. mod. (oc)'!U70&lt;0,0,'Quant. mod. (oc)'!U70)</f>
        <v>315.83999999999997</v>
      </c>
      <c r="V70" s="125">
        <f>IF('Quant. mod. (oc)'!V70&lt;0,0,'Quant. mod. (oc)'!V70)</f>
        <v>315.83999999999997</v>
      </c>
      <c r="W70" s="125">
        <f>IF('Quant. mod. (oc)'!W70&lt;0,0,'Quant. mod. (oc)'!W70)</f>
        <v>315.83999999999997</v>
      </c>
      <c r="X70" s="125">
        <f>IF('Quant. mod. (oc)'!X70&lt;0,0,'Quant. mod. (oc)'!X70)</f>
        <v>315.83999999999997</v>
      </c>
      <c r="Y70" s="125">
        <f>IF('Quant. mod. (oc)'!Y70&lt;0,0,'Quant. mod. (oc)'!Y70)</f>
        <v>315.83999999999997</v>
      </c>
      <c r="Z70" s="125">
        <f>IF('Quant. mod. (oc)'!Z70&lt;0,0,'Quant. mod. (oc)'!Z70)</f>
        <v>315.83999999999997</v>
      </c>
      <c r="AA70" s="125">
        <f>IF('Quant. mod. (oc)'!AA70&lt;0,0,'Quant. mod. (oc)'!AA70)</f>
        <v>315.83999999999997</v>
      </c>
      <c r="AB70" s="125">
        <f>IF('Quant. mod. (oc)'!AB70&lt;0,0,'Quant. mod. (oc)'!AB70)</f>
        <v>315.83999999999997</v>
      </c>
      <c r="AC70" s="125">
        <f>IF('Quant. mod. (oc)'!AC70&lt;0,0,'Quant. mod. (oc)'!AC70)</f>
        <v>315.83999999999997</v>
      </c>
      <c r="AD70" s="125">
        <f>IF('Quant. mod. (oc)'!AD70&lt;0,0,'Quant. mod. (oc)'!AD70)</f>
        <v>315.83999999999997</v>
      </c>
      <c r="AE70" s="125">
        <f>IF('Quant. mod. (oc)'!AE70&lt;0,0,'Quant. mod. (oc)'!AE70)</f>
        <v>315.83999999999997</v>
      </c>
      <c r="AF70" s="125">
        <f>IF('Quant. mod. (oc)'!AF70&lt;0,0,'Quant. mod. (oc)'!AF70)</f>
        <v>315.83999999999997</v>
      </c>
      <c r="AG70" s="126">
        <f>IF('Quant. mod. (oc)'!AG70&lt;0,0,'Quant. mod. (oc)'!AG70)</f>
        <v>315.83999999999997</v>
      </c>
      <c r="AH70" s="22"/>
    </row>
    <row r="71" spans="1:34" ht="25.5" x14ac:dyDescent="0.25">
      <c r="A71" s="112"/>
      <c r="B71" s="27" t="s">
        <v>70</v>
      </c>
      <c r="C71" s="67" t="s">
        <v>57</v>
      </c>
      <c r="D71" s="125">
        <f>IF('Quant. mod. (oc)'!D71&lt;0,0,'Quant. mod. (oc)'!D71)</f>
        <v>510.74000000000035</v>
      </c>
      <c r="E71" s="125">
        <f>IF('Quant. mod. (oc)'!E71&lt;0,0,'Quant. mod. (oc)'!E71)</f>
        <v>510.74000000000035</v>
      </c>
      <c r="F71" s="125">
        <f>IF('Quant. mod. (oc)'!F71&lt;0,0,'Quant. mod. (oc)'!F71)</f>
        <v>510.74000000000035</v>
      </c>
      <c r="G71" s="125">
        <f>IF('Quant. mod. (oc)'!G71&lt;0,0,'Quant. mod. (oc)'!G71)</f>
        <v>510.74000000000035</v>
      </c>
      <c r="H71" s="125">
        <f>IF('Quant. mod. (oc)'!H71&lt;0,0,'Quant. mod. (oc)'!H71)</f>
        <v>510.74000000000035</v>
      </c>
      <c r="I71" s="125">
        <f>IF('Quant. mod. (oc)'!I71&lt;0,0,'Quant. mod. (oc)'!I71)</f>
        <v>510.74000000000035</v>
      </c>
      <c r="J71" s="125">
        <f>IF('Quant. mod. (oc)'!J71&lt;0,0,'Quant. mod. (oc)'!J71)</f>
        <v>510.74000000000035</v>
      </c>
      <c r="K71" s="125">
        <f>IF('Quant. mod. (oc)'!K71&lt;0,0,'Quant. mod. (oc)'!K71)</f>
        <v>510.74000000000035</v>
      </c>
      <c r="L71" s="125">
        <f>IF('Quant. mod. (oc)'!L71&lt;0,0,'Quant. mod. (oc)'!L71)</f>
        <v>510.74000000000035</v>
      </c>
      <c r="M71" s="125">
        <f>IF('Quant. mod. (oc)'!M71&lt;0,0,'Quant. mod. (oc)'!M71)</f>
        <v>510.74000000000035</v>
      </c>
      <c r="N71" s="125">
        <f>IF('Quant. mod. (oc)'!N71&lt;0,0,'Quant. mod. (oc)'!N71)</f>
        <v>515.64</v>
      </c>
      <c r="O71" s="125">
        <f>IF('Quant. mod. (oc)'!O71&lt;0,0,'Quant. mod. (oc)'!O71)</f>
        <v>515.64</v>
      </c>
      <c r="P71" s="125">
        <f>IF('Quant. mod. (oc)'!P71&lt;0,0,'Quant. mod. (oc)'!P71)</f>
        <v>515.64</v>
      </c>
      <c r="Q71" s="125">
        <f>IF('Quant. mod. (oc)'!Q71&lt;0,0,'Quant. mod. (oc)'!Q71)</f>
        <v>515.64</v>
      </c>
      <c r="R71" s="125">
        <f>IF('Quant. mod. (oc)'!R71&lt;0,0,'Quant. mod. (oc)'!R71)</f>
        <v>515.64</v>
      </c>
      <c r="S71" s="125">
        <f>IF('Quant. mod. (oc)'!S71&lt;0,0,'Quant. mod. (oc)'!S71)</f>
        <v>515.64</v>
      </c>
      <c r="T71" s="125">
        <f>IF('Quant. mod. (oc)'!T71&lt;0,0,'Quant. mod. (oc)'!T71)</f>
        <v>515.64</v>
      </c>
      <c r="U71" s="125">
        <f>IF('Quant. mod. (oc)'!U71&lt;0,0,'Quant. mod. (oc)'!U71)</f>
        <v>515.64</v>
      </c>
      <c r="V71" s="125">
        <f>IF('Quant. mod. (oc)'!V71&lt;0,0,'Quant. mod. (oc)'!V71)</f>
        <v>515.64</v>
      </c>
      <c r="W71" s="125">
        <f>IF('Quant. mod. (oc)'!W71&lt;0,0,'Quant. mod. (oc)'!W71)</f>
        <v>515.64</v>
      </c>
      <c r="X71" s="125">
        <f>IF('Quant. mod. (oc)'!X71&lt;0,0,'Quant. mod. (oc)'!X71)</f>
        <v>508.34</v>
      </c>
      <c r="Y71" s="125">
        <f>IF('Quant. mod. (oc)'!Y71&lt;0,0,'Quant. mod. (oc)'!Y71)</f>
        <v>508.34</v>
      </c>
      <c r="Z71" s="125">
        <f>IF('Quant. mod. (oc)'!Z71&lt;0,0,'Quant. mod. (oc)'!Z71)</f>
        <v>508.34</v>
      </c>
      <c r="AA71" s="125">
        <f>IF('Quant. mod. (oc)'!AA71&lt;0,0,'Quant. mod. (oc)'!AA71)</f>
        <v>508.34</v>
      </c>
      <c r="AB71" s="125">
        <f>IF('Quant. mod. (oc)'!AB71&lt;0,0,'Quant. mod. (oc)'!AB71)</f>
        <v>508.34</v>
      </c>
      <c r="AC71" s="125">
        <f>IF('Quant. mod. (oc)'!AC71&lt;0,0,'Quant. mod. (oc)'!AC71)</f>
        <v>508.34</v>
      </c>
      <c r="AD71" s="125">
        <f>IF('Quant. mod. (oc)'!AD71&lt;0,0,'Quant. mod. (oc)'!AD71)</f>
        <v>508.34</v>
      </c>
      <c r="AE71" s="125">
        <f>IF('Quant. mod. (oc)'!AE71&lt;0,0,'Quant. mod. (oc)'!AE71)</f>
        <v>508.34</v>
      </c>
      <c r="AF71" s="125">
        <f>IF('Quant. mod. (oc)'!AF71&lt;0,0,'Quant. mod. (oc)'!AF71)</f>
        <v>508.34</v>
      </c>
      <c r="AG71" s="126">
        <f>IF('Quant. mod. (oc)'!AG71&lt;0,0,'Quant. mod. (oc)'!AG71)</f>
        <v>508.34</v>
      </c>
      <c r="AH71" s="22"/>
    </row>
    <row r="72" spans="1:34" x14ac:dyDescent="0.25">
      <c r="A72" s="112"/>
      <c r="B72" s="27" t="s">
        <v>443</v>
      </c>
      <c r="C72" s="67" t="s">
        <v>59</v>
      </c>
      <c r="D72" s="125">
        <f>IF('Quant. mod. (oc)'!D72&lt;0,0,ROUND('Quant. mod. (oc)'!D72,0))</f>
        <v>1</v>
      </c>
      <c r="E72" s="125">
        <f>IF('Quant. mod. (oc)'!E72&lt;0,0,ROUND('Quant. mod. (oc)'!E72,0))</f>
        <v>1</v>
      </c>
      <c r="F72" s="125">
        <f>IF('Quant. mod. (oc)'!F72&lt;0,0,ROUND('Quant. mod. (oc)'!F72,0))</f>
        <v>1</v>
      </c>
      <c r="G72" s="125">
        <f>IF('Quant. mod. (oc)'!G72&lt;0,0,ROUND('Quant. mod. (oc)'!G72,0))</f>
        <v>1</v>
      </c>
      <c r="H72" s="125">
        <f>IF('Quant. mod. (oc)'!H72&lt;0,0,ROUND('Quant. mod. (oc)'!H72,0))</f>
        <v>1</v>
      </c>
      <c r="I72" s="125">
        <f>IF('Quant. mod. (oc)'!I72&lt;0,0,ROUND('Quant. mod. (oc)'!I72,0))</f>
        <v>1</v>
      </c>
      <c r="J72" s="125">
        <f>IF('Quant. mod. (oc)'!J72&lt;0,0,ROUND('Quant. mod. (oc)'!J72,0))</f>
        <v>1</v>
      </c>
      <c r="K72" s="125">
        <f>IF('Quant. mod. (oc)'!K72&lt;0,0,ROUND('Quant. mod. (oc)'!K72,0))</f>
        <v>1</v>
      </c>
      <c r="L72" s="125">
        <f>IF('Quant. mod. (oc)'!L72&lt;0,0,ROUND('Quant. mod. (oc)'!L72,0))</f>
        <v>1</v>
      </c>
      <c r="M72" s="125">
        <f>IF('Quant. mod. (oc)'!M72&lt;0,0,ROUND('Quant. mod. (oc)'!M72,0))</f>
        <v>1</v>
      </c>
      <c r="N72" s="125">
        <f>IF('Quant. mod. (oc)'!N72&lt;0,0,ROUND('Quant. mod. (oc)'!N72,0))</f>
        <v>1</v>
      </c>
      <c r="O72" s="125">
        <f>IF('Quant. mod. (oc)'!O72&lt;0,0,ROUND('Quant. mod. (oc)'!O72,0))</f>
        <v>1</v>
      </c>
      <c r="P72" s="125">
        <f>IF('Quant. mod. (oc)'!P72&lt;0,0,ROUND('Quant. mod. (oc)'!P72,0))</f>
        <v>1</v>
      </c>
      <c r="Q72" s="125">
        <f>IF('Quant. mod. (oc)'!Q72&lt;0,0,ROUND('Quant. mod. (oc)'!Q72,0))</f>
        <v>1</v>
      </c>
      <c r="R72" s="125">
        <f>IF('Quant. mod. (oc)'!R72&lt;0,0,ROUND('Quant. mod. (oc)'!R72,0))</f>
        <v>1</v>
      </c>
      <c r="S72" s="125">
        <f>IF('Quant. mod. (oc)'!S72&lt;0,0,ROUND('Quant. mod. (oc)'!S72,0))</f>
        <v>1</v>
      </c>
      <c r="T72" s="125">
        <f>IF('Quant. mod. (oc)'!T72&lt;0,0,ROUND('Quant. mod. (oc)'!T72,0))</f>
        <v>1</v>
      </c>
      <c r="U72" s="125">
        <f>IF('Quant. mod. (oc)'!U72&lt;0,0,ROUND('Quant. mod. (oc)'!U72,0))</f>
        <v>1</v>
      </c>
      <c r="V72" s="125">
        <f>IF('Quant. mod. (oc)'!V72&lt;0,0,ROUND('Quant. mod. (oc)'!V72,0))</f>
        <v>1</v>
      </c>
      <c r="W72" s="125">
        <f>IF('Quant. mod. (oc)'!W72&lt;0,0,ROUND('Quant. mod. (oc)'!W72,0))</f>
        <v>1</v>
      </c>
      <c r="X72" s="125">
        <f>IF('Quant. mod. (oc)'!X72&lt;0,0,ROUND('Quant. mod. (oc)'!X72,0))</f>
        <v>1</v>
      </c>
      <c r="Y72" s="125">
        <f>IF('Quant. mod. (oc)'!Y72&lt;0,0,ROUND('Quant. mod. (oc)'!Y72,0))</f>
        <v>1</v>
      </c>
      <c r="Z72" s="125">
        <f>IF('Quant. mod. (oc)'!Z72&lt;0,0,ROUND('Quant. mod. (oc)'!Z72,0))</f>
        <v>1</v>
      </c>
      <c r="AA72" s="125">
        <f>IF('Quant. mod. (oc)'!AA72&lt;0,0,ROUND('Quant. mod. (oc)'!AA72,0))</f>
        <v>1</v>
      </c>
      <c r="AB72" s="125">
        <f>IF('Quant. mod. (oc)'!AB72&lt;0,0,ROUND('Quant. mod. (oc)'!AB72,0))</f>
        <v>1</v>
      </c>
      <c r="AC72" s="125">
        <f>IF('Quant. mod. (oc)'!AC72&lt;0,0,ROUND('Quant. mod. (oc)'!AC72,0))</f>
        <v>1</v>
      </c>
      <c r="AD72" s="125">
        <f>IF('Quant. mod. (oc)'!AD72&lt;0,0,ROUND('Quant. mod. (oc)'!AD72,0))</f>
        <v>1</v>
      </c>
      <c r="AE72" s="125">
        <f>IF('Quant. mod. (oc)'!AE72&lt;0,0,ROUND('Quant. mod. (oc)'!AE72,0))</f>
        <v>1</v>
      </c>
      <c r="AF72" s="125">
        <f>IF('Quant. mod. (oc)'!AF72&lt;0,0,ROUND('Quant. mod. (oc)'!AF72,0))</f>
        <v>1</v>
      </c>
      <c r="AG72" s="126">
        <f>IF('Quant. mod. (oc)'!AG72&lt;0,0,ROUND('Quant. mod. (oc)'!AG72,0))</f>
        <v>1</v>
      </c>
      <c r="AH72" s="22"/>
    </row>
    <row r="73" spans="1:34" x14ac:dyDescent="0.25">
      <c r="A73" s="112"/>
      <c r="B73" s="27" t="s">
        <v>444</v>
      </c>
      <c r="C73" s="67" t="s">
        <v>59</v>
      </c>
      <c r="D73" s="125">
        <f>IF('Quant. mod. (oc)'!D73&lt;0,0,ROUND('Quant. mod. (oc)'!D73,0))</f>
        <v>1</v>
      </c>
      <c r="E73" s="125">
        <f>IF('Quant. mod. (oc)'!E73&lt;0,0,ROUND('Quant. mod. (oc)'!E73,0))</f>
        <v>1</v>
      </c>
      <c r="F73" s="125">
        <f>IF('Quant. mod. (oc)'!F73&lt;0,0,ROUND('Quant. mod. (oc)'!F73,0))</f>
        <v>1</v>
      </c>
      <c r="G73" s="125">
        <f>IF('Quant. mod. (oc)'!G73&lt;0,0,ROUND('Quant. mod. (oc)'!G73,0))</f>
        <v>1</v>
      </c>
      <c r="H73" s="125">
        <f>IF('Quant. mod. (oc)'!H73&lt;0,0,ROUND('Quant. mod. (oc)'!H73,0))</f>
        <v>1</v>
      </c>
      <c r="I73" s="125">
        <f>IF('Quant. mod. (oc)'!I73&lt;0,0,ROUND('Quant. mod. (oc)'!I73,0))</f>
        <v>1</v>
      </c>
      <c r="J73" s="125">
        <f>IF('Quant. mod. (oc)'!J73&lt;0,0,ROUND('Quant. mod. (oc)'!J73,0))</f>
        <v>1</v>
      </c>
      <c r="K73" s="125">
        <f>IF('Quant. mod. (oc)'!K73&lt;0,0,ROUND('Quant. mod. (oc)'!K73,0))</f>
        <v>1</v>
      </c>
      <c r="L73" s="125">
        <f>IF('Quant. mod. (oc)'!L73&lt;0,0,ROUND('Quant. mod. (oc)'!L73,0))</f>
        <v>1</v>
      </c>
      <c r="M73" s="125">
        <f>IF('Quant. mod. (oc)'!M73&lt;0,0,ROUND('Quant. mod. (oc)'!M73,0))</f>
        <v>1</v>
      </c>
      <c r="N73" s="125">
        <f>IF('Quant. mod. (oc)'!N73&lt;0,0,ROUND('Quant. mod. (oc)'!N73,0))</f>
        <v>1</v>
      </c>
      <c r="O73" s="125">
        <f>IF('Quant. mod. (oc)'!O73&lt;0,0,ROUND('Quant. mod. (oc)'!O73,0))</f>
        <v>1</v>
      </c>
      <c r="P73" s="125">
        <f>IF('Quant. mod. (oc)'!P73&lt;0,0,ROUND('Quant. mod. (oc)'!P73,0))</f>
        <v>1</v>
      </c>
      <c r="Q73" s="125">
        <f>IF('Quant. mod. (oc)'!Q73&lt;0,0,ROUND('Quant. mod. (oc)'!Q73,0))</f>
        <v>1</v>
      </c>
      <c r="R73" s="125">
        <f>IF('Quant. mod. (oc)'!R73&lt;0,0,ROUND('Quant. mod. (oc)'!R73,0))</f>
        <v>1</v>
      </c>
      <c r="S73" s="125">
        <f>IF('Quant. mod. (oc)'!S73&lt;0,0,ROUND('Quant. mod. (oc)'!S73,0))</f>
        <v>1</v>
      </c>
      <c r="T73" s="125">
        <f>IF('Quant. mod. (oc)'!T73&lt;0,0,ROUND('Quant. mod. (oc)'!T73,0))</f>
        <v>1</v>
      </c>
      <c r="U73" s="125">
        <f>IF('Quant. mod. (oc)'!U73&lt;0,0,ROUND('Quant. mod. (oc)'!U73,0))</f>
        <v>1</v>
      </c>
      <c r="V73" s="125">
        <f>IF('Quant. mod. (oc)'!V73&lt;0,0,ROUND('Quant. mod. (oc)'!V73,0))</f>
        <v>1</v>
      </c>
      <c r="W73" s="125">
        <f>IF('Quant. mod. (oc)'!W73&lt;0,0,ROUND('Quant. mod. (oc)'!W73,0))</f>
        <v>1</v>
      </c>
      <c r="X73" s="125">
        <f>IF('Quant. mod. (oc)'!X73&lt;0,0,ROUND('Quant. mod. (oc)'!X73,0))</f>
        <v>1</v>
      </c>
      <c r="Y73" s="125">
        <f>IF('Quant. mod. (oc)'!Y73&lt;0,0,ROUND('Quant. mod. (oc)'!Y73,0))</f>
        <v>1</v>
      </c>
      <c r="Z73" s="125">
        <f>IF('Quant. mod. (oc)'!Z73&lt;0,0,ROUND('Quant. mod. (oc)'!Z73,0))</f>
        <v>1</v>
      </c>
      <c r="AA73" s="125">
        <f>IF('Quant. mod. (oc)'!AA73&lt;0,0,ROUND('Quant. mod. (oc)'!AA73,0))</f>
        <v>1</v>
      </c>
      <c r="AB73" s="125">
        <f>IF('Quant. mod. (oc)'!AB73&lt;0,0,ROUND('Quant. mod. (oc)'!AB73,0))</f>
        <v>1</v>
      </c>
      <c r="AC73" s="125">
        <f>IF('Quant. mod. (oc)'!AC73&lt;0,0,ROUND('Quant. mod. (oc)'!AC73,0))</f>
        <v>1</v>
      </c>
      <c r="AD73" s="125">
        <f>IF('Quant. mod. (oc)'!AD73&lt;0,0,ROUND('Quant. mod. (oc)'!AD73,0))</f>
        <v>1</v>
      </c>
      <c r="AE73" s="125">
        <f>IF('Quant. mod. (oc)'!AE73&lt;0,0,ROUND('Quant. mod. (oc)'!AE73,0))</f>
        <v>1</v>
      </c>
      <c r="AF73" s="125">
        <f>IF('Quant. mod. (oc)'!AF73&lt;0,0,ROUND('Quant. mod. (oc)'!AF73,0))</f>
        <v>1</v>
      </c>
      <c r="AG73" s="126">
        <f>IF('Quant. mod. (oc)'!AG73&lt;0,0,ROUND('Quant. mod. (oc)'!AG73,0))</f>
        <v>1</v>
      </c>
      <c r="AH73" s="22"/>
    </row>
    <row r="74" spans="1:34" x14ac:dyDescent="0.25">
      <c r="A74" s="21"/>
      <c r="B74" s="120" t="s">
        <v>515</v>
      </c>
      <c r="C74" s="121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/>
      <c r="AH74" s="22"/>
    </row>
    <row r="75" spans="1:34" ht="25.5" x14ac:dyDescent="0.25">
      <c r="A75" s="21"/>
      <c r="B75" s="270" t="s">
        <v>294</v>
      </c>
      <c r="C75" s="67" t="s">
        <v>65</v>
      </c>
      <c r="D75" s="125">
        <f>IF('Quant. mod. (oc)'!D75&lt;0,0,'Quant. mod. (oc)'!D75)</f>
        <v>1.0786</v>
      </c>
      <c r="E75" s="125">
        <f>IF('Quant. mod. (oc)'!E75&lt;0,0,'Quant. mod. (oc)'!E75)</f>
        <v>1.0786</v>
      </c>
      <c r="F75" s="125">
        <f>IF('Quant. mod. (oc)'!F75&lt;0,0,'Quant. mod. (oc)'!F75)</f>
        <v>1.0786</v>
      </c>
      <c r="G75" s="125">
        <f>IF('Quant. mod. (oc)'!G75&lt;0,0,'Quant. mod. (oc)'!G75)</f>
        <v>4.1327999999999996</v>
      </c>
      <c r="H75" s="125">
        <f>IF('Quant. mod. (oc)'!H75&lt;0,0,'Quant. mod. (oc)'!H75)</f>
        <v>4.1327999999999996</v>
      </c>
      <c r="I75" s="125">
        <f>IF('Quant. mod. (oc)'!I75&lt;0,0,'Quant. mod. (oc)'!I75)</f>
        <v>4.1327999999999996</v>
      </c>
      <c r="J75" s="125">
        <f>IF('Quant. mod. (oc)'!J75&lt;0,0,'Quant. mod. (oc)'!J75)</f>
        <v>1.0786</v>
      </c>
      <c r="K75" s="125">
        <f>IF('Quant. mod. (oc)'!K75&lt;0,0,'Quant. mod. (oc)'!K75)</f>
        <v>1.0786</v>
      </c>
      <c r="L75" s="125">
        <f>IF('Quant. mod. (oc)'!L75&lt;0,0,'Quant. mod. (oc)'!L75)</f>
        <v>4.1327999999999996</v>
      </c>
      <c r="M75" s="125">
        <f>IF('Quant. mod. (oc)'!M75&lt;0,0,'Quant. mod. (oc)'!M75)</f>
        <v>4.1327999999999996</v>
      </c>
      <c r="N75" s="125">
        <f>IF('Quant. mod. (oc)'!N75&lt;0,0,'Quant. mod. (oc)'!N75)</f>
        <v>0.42590000000000006</v>
      </c>
      <c r="O75" s="125">
        <f>IF('Quant. mod. (oc)'!O75&lt;0,0,'Quant. mod. (oc)'!O75)</f>
        <v>0.42590000000000006</v>
      </c>
      <c r="P75" s="125">
        <f>IF('Quant. mod. (oc)'!P75&lt;0,0,'Quant. mod. (oc)'!P75)</f>
        <v>0.42590000000000006</v>
      </c>
      <c r="Q75" s="125">
        <f>IF('Quant. mod. (oc)'!Q75&lt;0,0,'Quant. mod. (oc)'!Q75)</f>
        <v>3.2023000000000001</v>
      </c>
      <c r="R75" s="125">
        <f>IF('Quant. mod. (oc)'!R75&lt;0,0,'Quant. mod. (oc)'!R75)</f>
        <v>3.2023000000000001</v>
      </c>
      <c r="S75" s="125">
        <f>IF('Quant. mod. (oc)'!S75&lt;0,0,'Quant. mod. (oc)'!S75)</f>
        <v>3.2023000000000001</v>
      </c>
      <c r="T75" s="125">
        <f>IF('Quant. mod. (oc)'!T75&lt;0,0,'Quant. mod. (oc)'!T75)</f>
        <v>0.42590000000000006</v>
      </c>
      <c r="U75" s="125">
        <f>IF('Quant. mod. (oc)'!U75&lt;0,0,'Quant. mod. (oc)'!U75)</f>
        <v>0.42590000000000006</v>
      </c>
      <c r="V75" s="125">
        <f>IF('Quant. mod. (oc)'!V75&lt;0,0,'Quant. mod. (oc)'!V75)</f>
        <v>3.2023000000000001</v>
      </c>
      <c r="W75" s="125">
        <f>IF('Quant. mod. (oc)'!W75&lt;0,0,'Quant. mod. (oc)'!W75)</f>
        <v>3.2023000000000001</v>
      </c>
      <c r="X75" s="125">
        <f>IF('Quant. mod. (oc)'!X75&lt;0,0,'Quant. mod. (oc)'!X75)</f>
        <v>0</v>
      </c>
      <c r="Y75" s="125">
        <f>IF('Quant. mod. (oc)'!Y75&lt;0,0,'Quant. mod. (oc)'!Y75)</f>
        <v>0</v>
      </c>
      <c r="Z75" s="125">
        <f>IF('Quant. mod. (oc)'!Z75&lt;0,0,'Quant. mod. (oc)'!Z75)</f>
        <v>0</v>
      </c>
      <c r="AA75" s="125">
        <f>IF('Quant. mod. (oc)'!AA75&lt;0,0,'Quant. mod. (oc)'!AA75)</f>
        <v>0</v>
      </c>
      <c r="AB75" s="125">
        <f>IF('Quant. mod. (oc)'!AB75&lt;0,0,'Quant. mod. (oc)'!AB75)</f>
        <v>0</v>
      </c>
      <c r="AC75" s="125">
        <f>IF('Quant. mod. (oc)'!AC75&lt;0,0,'Quant. mod. (oc)'!AC75)</f>
        <v>0</v>
      </c>
      <c r="AD75" s="125">
        <f>IF('Quant. mod. (oc)'!AD75&lt;0,0,'Quant. mod. (oc)'!AD75)</f>
        <v>0</v>
      </c>
      <c r="AE75" s="125">
        <f>IF('Quant. mod. (oc)'!AE75&lt;0,0,'Quant. mod. (oc)'!AE75)</f>
        <v>0</v>
      </c>
      <c r="AF75" s="125">
        <f>IF('Quant. mod. (oc)'!AF75&lt;0,0,'Quant. mod. (oc)'!AF75)</f>
        <v>0</v>
      </c>
      <c r="AG75" s="126">
        <f>IF('Quant. mod. (oc)'!AG75&lt;0,0,'Quant. mod. (oc)'!AG75)</f>
        <v>0</v>
      </c>
      <c r="AH75" s="22"/>
    </row>
    <row r="76" spans="1:34" x14ac:dyDescent="0.25">
      <c r="A76" s="21"/>
      <c r="B76" s="270" t="s">
        <v>290</v>
      </c>
      <c r="C76" s="67" t="s">
        <v>63</v>
      </c>
      <c r="D76" s="125">
        <f>IF('Quant. mod. (oc)'!D76&lt;0,0,'Quant. mod. (oc)'!D76)</f>
        <v>0.42780000000000001</v>
      </c>
      <c r="E76" s="125">
        <f>IF('Quant. mod. (oc)'!E76&lt;0,0,'Quant. mod. (oc)'!E76)</f>
        <v>0.42780000000000001</v>
      </c>
      <c r="F76" s="125">
        <f>IF('Quant. mod. (oc)'!F76&lt;0,0,'Quant. mod. (oc)'!F76)</f>
        <v>0.42780000000000001</v>
      </c>
      <c r="G76" s="125">
        <f>IF('Quant. mod. (oc)'!G76&lt;0,0,'Quant. mod. (oc)'!G76)</f>
        <v>1.6573</v>
      </c>
      <c r="H76" s="125">
        <f>IF('Quant. mod. (oc)'!H76&lt;0,0,'Quant. mod. (oc)'!H76)</f>
        <v>1.6573</v>
      </c>
      <c r="I76" s="125">
        <f>IF('Quant. mod. (oc)'!I76&lt;0,0,'Quant. mod. (oc)'!I76)</f>
        <v>1.6573</v>
      </c>
      <c r="J76" s="125">
        <f>IF('Quant. mod. (oc)'!J76&lt;0,0,'Quant. mod. (oc)'!J76)</f>
        <v>0.42780000000000001</v>
      </c>
      <c r="K76" s="125">
        <f>IF('Quant. mod. (oc)'!K76&lt;0,0,'Quant. mod. (oc)'!K76)</f>
        <v>0.42780000000000001</v>
      </c>
      <c r="L76" s="125">
        <f>IF('Quant. mod. (oc)'!L76&lt;0,0,'Quant. mod. (oc)'!L76)</f>
        <v>1.6573</v>
      </c>
      <c r="M76" s="125">
        <f>IF('Quant. mod. (oc)'!M76&lt;0,0,'Quant. mod. (oc)'!M76)</f>
        <v>1.6573</v>
      </c>
      <c r="N76" s="125">
        <f>IF('Quant. mod. (oc)'!N76&lt;0,0,'Quant. mod. (oc)'!N76)</f>
        <v>0.17120000000000002</v>
      </c>
      <c r="O76" s="125">
        <f>IF('Quant. mod. (oc)'!O76&lt;0,0,'Quant. mod. (oc)'!O76)</f>
        <v>0.17120000000000002</v>
      </c>
      <c r="P76" s="125">
        <f>IF('Quant. mod. (oc)'!P76&lt;0,0,'Quant. mod. (oc)'!P76)</f>
        <v>0.17120000000000002</v>
      </c>
      <c r="Q76" s="125">
        <f>IF('Quant. mod. (oc)'!Q76&lt;0,0,'Quant. mod. (oc)'!Q76)</f>
        <v>1.2813000000000001</v>
      </c>
      <c r="R76" s="125">
        <f>IF('Quant. mod. (oc)'!R76&lt;0,0,'Quant. mod. (oc)'!R76)</f>
        <v>1.2813000000000001</v>
      </c>
      <c r="S76" s="125">
        <f>IF('Quant. mod. (oc)'!S76&lt;0,0,'Quant. mod. (oc)'!S76)</f>
        <v>1.2813000000000001</v>
      </c>
      <c r="T76" s="125">
        <f>IF('Quant. mod. (oc)'!T76&lt;0,0,'Quant. mod. (oc)'!T76)</f>
        <v>0.17120000000000002</v>
      </c>
      <c r="U76" s="125">
        <f>IF('Quant. mod. (oc)'!U76&lt;0,0,'Quant. mod. (oc)'!U76)</f>
        <v>0.17120000000000002</v>
      </c>
      <c r="V76" s="125">
        <f>IF('Quant. mod. (oc)'!V76&lt;0,0,'Quant. mod. (oc)'!V76)</f>
        <v>1.2813000000000001</v>
      </c>
      <c r="W76" s="125">
        <f>IF('Quant. mod. (oc)'!W76&lt;0,0,'Quant. mod. (oc)'!W76)</f>
        <v>1.2813000000000001</v>
      </c>
      <c r="X76" s="125">
        <f>IF('Quant. mod. (oc)'!X76&lt;0,0,'Quant. mod. (oc)'!X76)</f>
        <v>0</v>
      </c>
      <c r="Y76" s="125">
        <f>IF('Quant. mod. (oc)'!Y76&lt;0,0,'Quant. mod. (oc)'!Y76)</f>
        <v>0</v>
      </c>
      <c r="Z76" s="125">
        <f>IF('Quant. mod. (oc)'!Z76&lt;0,0,'Quant. mod. (oc)'!Z76)</f>
        <v>0</v>
      </c>
      <c r="AA76" s="125">
        <f>IF('Quant. mod. (oc)'!AA76&lt;0,0,'Quant. mod. (oc)'!AA76)</f>
        <v>0</v>
      </c>
      <c r="AB76" s="125">
        <f>IF('Quant. mod. (oc)'!AB76&lt;0,0,'Quant. mod. (oc)'!AB76)</f>
        <v>0</v>
      </c>
      <c r="AC76" s="125">
        <f>IF('Quant. mod. (oc)'!AC76&lt;0,0,'Quant. mod. (oc)'!AC76)</f>
        <v>0</v>
      </c>
      <c r="AD76" s="125">
        <f>IF('Quant. mod. (oc)'!AD76&lt;0,0,'Quant. mod. (oc)'!AD76)</f>
        <v>0</v>
      </c>
      <c r="AE76" s="125">
        <f>IF('Quant. mod. (oc)'!AE76&lt;0,0,'Quant. mod. (oc)'!AE76)</f>
        <v>0</v>
      </c>
      <c r="AF76" s="125">
        <f>IF('Quant. mod. (oc)'!AF76&lt;0,0,'Quant. mod. (oc)'!AF76)</f>
        <v>0</v>
      </c>
      <c r="AG76" s="126">
        <f>IF('Quant. mod. (oc)'!AG76&lt;0,0,'Quant. mod. (oc)'!AG76)</f>
        <v>0</v>
      </c>
      <c r="AH76" s="22"/>
    </row>
    <row r="77" spans="1:34" ht="25.5" x14ac:dyDescent="0.25">
      <c r="A77" s="21"/>
      <c r="B77" s="270" t="s">
        <v>295</v>
      </c>
      <c r="C77" s="67" t="s">
        <v>57</v>
      </c>
      <c r="D77" s="125">
        <f>IF('Quant. mod. (oc)'!D77&lt;0,0,'Quant. mod. (oc)'!D77)</f>
        <v>5.3150999999999993</v>
      </c>
      <c r="E77" s="125">
        <f>IF('Quant. mod. (oc)'!E77&lt;0,0,'Quant. mod. (oc)'!E77)</f>
        <v>5.3150999999999993</v>
      </c>
      <c r="F77" s="125">
        <f>IF('Quant. mod. (oc)'!F77&lt;0,0,'Quant. mod. (oc)'!F77)</f>
        <v>5.3150999999999993</v>
      </c>
      <c r="G77" s="125">
        <f>IF('Quant. mod. (oc)'!G77&lt;0,0,'Quant. mod. (oc)'!G77)</f>
        <v>31.352</v>
      </c>
      <c r="H77" s="125">
        <f>IF('Quant. mod. (oc)'!H77&lt;0,0,'Quant. mod. (oc)'!H77)</f>
        <v>31.352</v>
      </c>
      <c r="I77" s="125">
        <f>IF('Quant. mod. (oc)'!I77&lt;0,0,'Quant. mod. (oc)'!I77)</f>
        <v>31.352</v>
      </c>
      <c r="J77" s="125">
        <f>IF('Quant. mod. (oc)'!J77&lt;0,0,'Quant. mod. (oc)'!J77)</f>
        <v>5.3150999999999993</v>
      </c>
      <c r="K77" s="125">
        <f>IF('Quant. mod. (oc)'!K77&lt;0,0,'Quant. mod. (oc)'!K77)</f>
        <v>5.3150999999999993</v>
      </c>
      <c r="L77" s="125">
        <f>IF('Quant. mod. (oc)'!L77&lt;0,0,'Quant. mod. (oc)'!L77)</f>
        <v>31.352</v>
      </c>
      <c r="M77" s="125">
        <f>IF('Quant. mod. (oc)'!M77&lt;0,0,'Quant. mod. (oc)'!M77)</f>
        <v>31.352</v>
      </c>
      <c r="N77" s="125">
        <f>IF('Quant. mod. (oc)'!N77&lt;0,0,'Quant. mod. (oc)'!N77)</f>
        <v>2.1063000000000001</v>
      </c>
      <c r="O77" s="125">
        <f>IF('Quant. mod. (oc)'!O77&lt;0,0,'Quant. mod. (oc)'!O77)</f>
        <v>2.1063000000000001</v>
      </c>
      <c r="P77" s="125">
        <f>IF('Quant. mod. (oc)'!P77&lt;0,0,'Quant. mod. (oc)'!P77)</f>
        <v>2.1063000000000001</v>
      </c>
      <c r="Q77" s="125">
        <f>IF('Quant. mod. (oc)'!Q77&lt;0,0,'Quant. mod. (oc)'!Q77)</f>
        <v>35.236000000000004</v>
      </c>
      <c r="R77" s="125">
        <f>IF('Quant. mod. (oc)'!R77&lt;0,0,'Quant. mod. (oc)'!R77)</f>
        <v>35.236000000000004</v>
      </c>
      <c r="S77" s="125">
        <f>IF('Quant. mod. (oc)'!S77&lt;0,0,'Quant. mod. (oc)'!S77)</f>
        <v>35.236000000000004</v>
      </c>
      <c r="T77" s="125">
        <f>IF('Quant. mod. (oc)'!T77&lt;0,0,'Quant. mod. (oc)'!T77)</f>
        <v>2.1063000000000001</v>
      </c>
      <c r="U77" s="125">
        <f>IF('Quant. mod. (oc)'!U77&lt;0,0,'Quant. mod. (oc)'!U77)</f>
        <v>2.1063000000000001</v>
      </c>
      <c r="V77" s="125">
        <f>IF('Quant. mod. (oc)'!V77&lt;0,0,'Quant. mod. (oc)'!V77)</f>
        <v>35.236000000000004</v>
      </c>
      <c r="W77" s="125">
        <f>IF('Quant. mod. (oc)'!W77&lt;0,0,'Quant. mod. (oc)'!W77)</f>
        <v>35.236000000000004</v>
      </c>
      <c r="X77" s="125">
        <f>IF('Quant. mod. (oc)'!X77&lt;0,0,'Quant. mod. (oc)'!X77)</f>
        <v>0</v>
      </c>
      <c r="Y77" s="125">
        <f>IF('Quant. mod. (oc)'!Y77&lt;0,0,'Quant. mod. (oc)'!Y77)</f>
        <v>0</v>
      </c>
      <c r="Z77" s="125">
        <f>IF('Quant. mod. (oc)'!Z77&lt;0,0,'Quant. mod. (oc)'!Z77)</f>
        <v>0</v>
      </c>
      <c r="AA77" s="125">
        <f>IF('Quant. mod. (oc)'!AA77&lt;0,0,'Quant. mod. (oc)'!AA77)</f>
        <v>0</v>
      </c>
      <c r="AB77" s="125">
        <f>IF('Quant. mod. (oc)'!AB77&lt;0,0,'Quant. mod. (oc)'!AB77)</f>
        <v>0</v>
      </c>
      <c r="AC77" s="125">
        <f>IF('Quant. mod. (oc)'!AC77&lt;0,0,'Quant. mod. (oc)'!AC77)</f>
        <v>0</v>
      </c>
      <c r="AD77" s="125">
        <f>IF('Quant. mod. (oc)'!AD77&lt;0,0,'Quant. mod. (oc)'!AD77)</f>
        <v>0</v>
      </c>
      <c r="AE77" s="125">
        <f>IF('Quant. mod. (oc)'!AE77&lt;0,0,'Quant. mod. (oc)'!AE77)</f>
        <v>0</v>
      </c>
      <c r="AF77" s="125">
        <f>IF('Quant. mod. (oc)'!AF77&lt;0,0,'Quant. mod. (oc)'!AF77)</f>
        <v>0</v>
      </c>
      <c r="AG77" s="126">
        <f>IF('Quant. mod. (oc)'!AG77&lt;0,0,'Quant. mod. (oc)'!AG77)</f>
        <v>0</v>
      </c>
      <c r="AH77" s="22"/>
    </row>
    <row r="78" spans="1:34" x14ac:dyDescent="0.25">
      <c r="A78" s="21"/>
      <c r="B78" s="27" t="s">
        <v>305</v>
      </c>
      <c r="C78" s="67" t="s">
        <v>63</v>
      </c>
      <c r="D78" s="125">
        <f>IF('Quant. mod. (oc)'!D78&lt;0,0,'Quant. mod. (oc)'!D78)</f>
        <v>32.4</v>
      </c>
      <c r="E78" s="125">
        <f>IF('Quant. mod. (oc)'!E78&lt;0,0,'Quant. mod. (oc)'!E78)</f>
        <v>32.4</v>
      </c>
      <c r="F78" s="125">
        <f>IF('Quant. mod. (oc)'!F78&lt;0,0,'Quant. mod. (oc)'!F78)</f>
        <v>32.4</v>
      </c>
      <c r="G78" s="125">
        <f>IF('Quant. mod. (oc)'!G78&lt;0,0,'Quant. mod. (oc)'!G78)</f>
        <v>0</v>
      </c>
      <c r="H78" s="125">
        <f>IF('Quant. mod. (oc)'!H78&lt;0,0,'Quant. mod. (oc)'!H78)</f>
        <v>0</v>
      </c>
      <c r="I78" s="125">
        <f>IF('Quant. mod. (oc)'!I78&lt;0,0,'Quant. mod. (oc)'!I78)</f>
        <v>0</v>
      </c>
      <c r="J78" s="125">
        <f>IF('Quant. mod. (oc)'!J78&lt;0,0,'Quant. mod. (oc)'!J78)</f>
        <v>32.4</v>
      </c>
      <c r="K78" s="125">
        <f>IF('Quant. mod. (oc)'!K78&lt;0,0,'Quant. mod. (oc)'!K78)</f>
        <v>32.4</v>
      </c>
      <c r="L78" s="125">
        <f>IF('Quant. mod. (oc)'!L78&lt;0,0,'Quant. mod. (oc)'!L78)</f>
        <v>0</v>
      </c>
      <c r="M78" s="125">
        <f>IF('Quant. mod. (oc)'!M78&lt;0,0,'Quant. mod. (oc)'!M78)</f>
        <v>0</v>
      </c>
      <c r="N78" s="125">
        <f>IF('Quant. mod. (oc)'!N78&lt;0,0,'Quant. mod. (oc)'!N78)</f>
        <v>32.405999999999999</v>
      </c>
      <c r="O78" s="125">
        <f>IF('Quant. mod. (oc)'!O78&lt;0,0,'Quant. mod. (oc)'!O78)</f>
        <v>32.405999999999999</v>
      </c>
      <c r="P78" s="125">
        <f>IF('Quant. mod. (oc)'!P78&lt;0,0,'Quant. mod. (oc)'!P78)</f>
        <v>32.405999999999999</v>
      </c>
      <c r="Q78" s="125">
        <f>IF('Quant. mod. (oc)'!Q78&lt;0,0,'Quant. mod. (oc)'!Q78)</f>
        <v>0</v>
      </c>
      <c r="R78" s="125">
        <f>IF('Quant. mod. (oc)'!R78&lt;0,0,'Quant. mod. (oc)'!R78)</f>
        <v>0</v>
      </c>
      <c r="S78" s="125">
        <f>IF('Quant. mod. (oc)'!S78&lt;0,0,'Quant. mod. (oc)'!S78)</f>
        <v>0</v>
      </c>
      <c r="T78" s="125">
        <f>IF('Quant. mod. (oc)'!T78&lt;0,0,'Quant. mod. (oc)'!T78)</f>
        <v>32.405999999999999</v>
      </c>
      <c r="U78" s="125">
        <f>IF('Quant. mod. (oc)'!U78&lt;0,0,'Quant. mod. (oc)'!U78)</f>
        <v>32.405999999999999</v>
      </c>
      <c r="V78" s="125">
        <f>IF('Quant. mod. (oc)'!V78&lt;0,0,'Quant. mod. (oc)'!V78)</f>
        <v>0</v>
      </c>
      <c r="W78" s="125">
        <f>IF('Quant. mod. (oc)'!W78&lt;0,0,'Quant. mod. (oc)'!W78)</f>
        <v>0</v>
      </c>
      <c r="X78" s="125">
        <f>IF('Quant. mod. (oc)'!X78&lt;0,0,'Quant. mod. (oc)'!X78)</f>
        <v>0</v>
      </c>
      <c r="Y78" s="125">
        <f>IF('Quant. mod. (oc)'!Y78&lt;0,0,'Quant. mod. (oc)'!Y78)</f>
        <v>0</v>
      </c>
      <c r="Z78" s="125">
        <f>IF('Quant. mod. (oc)'!Z78&lt;0,0,'Quant. mod. (oc)'!Z78)</f>
        <v>0</v>
      </c>
      <c r="AA78" s="125">
        <f>IF('Quant. mod. (oc)'!AA78&lt;0,0,'Quant. mod. (oc)'!AA78)</f>
        <v>0</v>
      </c>
      <c r="AB78" s="125">
        <f>IF('Quant. mod. (oc)'!AB78&lt;0,0,'Quant. mod. (oc)'!AB78)</f>
        <v>0</v>
      </c>
      <c r="AC78" s="125">
        <f>IF('Quant. mod. (oc)'!AC78&lt;0,0,'Quant. mod. (oc)'!AC78)</f>
        <v>0</v>
      </c>
      <c r="AD78" s="125">
        <f>IF('Quant. mod. (oc)'!AD78&lt;0,0,'Quant. mod. (oc)'!AD78)</f>
        <v>0</v>
      </c>
      <c r="AE78" s="125">
        <f>IF('Quant. mod. (oc)'!AE78&lt;0,0,'Quant. mod. (oc)'!AE78)</f>
        <v>0</v>
      </c>
      <c r="AF78" s="125">
        <f>IF('Quant. mod. (oc)'!AF78&lt;0,0,'Quant. mod. (oc)'!AF78)</f>
        <v>0</v>
      </c>
      <c r="AG78" s="126">
        <f>IF('Quant. mod. (oc)'!AG78&lt;0,0,'Quant. mod. (oc)'!AG78)</f>
        <v>0</v>
      </c>
      <c r="AH78" s="22"/>
    </row>
    <row r="79" spans="1:34" x14ac:dyDescent="0.25">
      <c r="A79" s="21"/>
      <c r="B79" s="27" t="s">
        <v>465</v>
      </c>
      <c r="C79" s="67" t="s">
        <v>63</v>
      </c>
      <c r="D79" s="125">
        <f>IF('Quant. mod. (oc)'!D79&lt;0,0,'Quant. mod. (oc)'!D79)</f>
        <v>354.55899999999997</v>
      </c>
      <c r="E79" s="125">
        <f>IF('Quant. mod. (oc)'!E79&lt;0,0,'Quant. mod. (oc)'!E79)</f>
        <v>354.55899999999997</v>
      </c>
      <c r="F79" s="125">
        <f>IF('Quant. mod. (oc)'!F79&lt;0,0,'Quant. mod. (oc)'!F79)</f>
        <v>354.55899999999997</v>
      </c>
      <c r="G79" s="125">
        <f>IF('Quant. mod. (oc)'!G79&lt;0,0,'Quant. mod. (oc)'!G79)</f>
        <v>0</v>
      </c>
      <c r="H79" s="125">
        <f>IF('Quant. mod. (oc)'!H79&lt;0,0,'Quant. mod. (oc)'!H79)</f>
        <v>0</v>
      </c>
      <c r="I79" s="125">
        <f>IF('Quant. mod. (oc)'!I79&lt;0,0,'Quant. mod. (oc)'!I79)</f>
        <v>0</v>
      </c>
      <c r="J79" s="125">
        <f>IF('Quant. mod. (oc)'!J79&lt;0,0,'Quant. mod. (oc)'!J79)</f>
        <v>354.55899999999997</v>
      </c>
      <c r="K79" s="125">
        <f>IF('Quant. mod. (oc)'!K79&lt;0,0,'Quant. mod. (oc)'!K79)</f>
        <v>354.55899999999997</v>
      </c>
      <c r="L79" s="125">
        <f>IF('Quant. mod. (oc)'!L79&lt;0,0,'Quant. mod. (oc)'!L79)</f>
        <v>0</v>
      </c>
      <c r="M79" s="125">
        <f>IF('Quant. mod. (oc)'!M79&lt;0,0,'Quant. mod. (oc)'!M79)</f>
        <v>0</v>
      </c>
      <c r="N79" s="125">
        <f>IF('Quant. mod. (oc)'!N79&lt;0,0,'Quant. mod. (oc)'!N79)</f>
        <v>490.65</v>
      </c>
      <c r="O79" s="125">
        <f>IF('Quant. mod. (oc)'!O79&lt;0,0,'Quant. mod. (oc)'!O79)</f>
        <v>490.65</v>
      </c>
      <c r="P79" s="125">
        <f>IF('Quant. mod. (oc)'!P79&lt;0,0,'Quant. mod. (oc)'!P79)</f>
        <v>490.65</v>
      </c>
      <c r="Q79" s="125">
        <f>IF('Quant. mod. (oc)'!Q79&lt;0,0,'Quant. mod. (oc)'!Q79)</f>
        <v>0</v>
      </c>
      <c r="R79" s="125">
        <f>IF('Quant. mod. (oc)'!R79&lt;0,0,'Quant. mod. (oc)'!R79)</f>
        <v>0</v>
      </c>
      <c r="S79" s="125">
        <f>IF('Quant. mod. (oc)'!S79&lt;0,0,'Quant. mod. (oc)'!S79)</f>
        <v>0</v>
      </c>
      <c r="T79" s="125">
        <f>IF('Quant. mod. (oc)'!T79&lt;0,0,'Quant. mod. (oc)'!T79)</f>
        <v>490.65</v>
      </c>
      <c r="U79" s="125">
        <f>IF('Quant. mod. (oc)'!U79&lt;0,0,'Quant. mod. (oc)'!U79)</f>
        <v>490.65</v>
      </c>
      <c r="V79" s="125">
        <f>IF('Quant. mod. (oc)'!V79&lt;0,0,'Quant. mod. (oc)'!V79)</f>
        <v>0</v>
      </c>
      <c r="W79" s="125">
        <f>IF('Quant. mod. (oc)'!W79&lt;0,0,'Quant. mod. (oc)'!W79)</f>
        <v>0</v>
      </c>
      <c r="X79" s="125">
        <f>IF('Quant. mod. (oc)'!X79&lt;0,0,'Quant. mod. (oc)'!X79)</f>
        <v>0</v>
      </c>
      <c r="Y79" s="125">
        <f>IF('Quant. mod. (oc)'!Y79&lt;0,0,'Quant. mod. (oc)'!Y79)</f>
        <v>0</v>
      </c>
      <c r="Z79" s="125">
        <f>IF('Quant. mod. (oc)'!Z79&lt;0,0,'Quant. mod. (oc)'!Z79)</f>
        <v>0</v>
      </c>
      <c r="AA79" s="125">
        <f>IF('Quant. mod. (oc)'!AA79&lt;0,0,'Quant. mod. (oc)'!AA79)</f>
        <v>0</v>
      </c>
      <c r="AB79" s="125">
        <f>IF('Quant. mod. (oc)'!AB79&lt;0,0,'Quant. mod. (oc)'!AB79)</f>
        <v>0</v>
      </c>
      <c r="AC79" s="125">
        <f>IF('Quant. mod. (oc)'!AC79&lt;0,0,'Quant. mod. (oc)'!AC79)</f>
        <v>0</v>
      </c>
      <c r="AD79" s="125">
        <f>IF('Quant. mod. (oc)'!AD79&lt;0,0,'Quant. mod. (oc)'!AD79)</f>
        <v>0</v>
      </c>
      <c r="AE79" s="125">
        <f>IF('Quant. mod. (oc)'!AE79&lt;0,0,'Quant. mod. (oc)'!AE79)</f>
        <v>0</v>
      </c>
      <c r="AF79" s="125">
        <f>IF('Quant. mod. (oc)'!AF79&lt;0,0,'Quant. mod. (oc)'!AF79)</f>
        <v>0</v>
      </c>
      <c r="AG79" s="126">
        <f>IF('Quant. mod. (oc)'!AG79&lt;0,0,'Quant. mod. (oc)'!AG79)</f>
        <v>0</v>
      </c>
      <c r="AH79" s="22"/>
    </row>
    <row r="80" spans="1:34" x14ac:dyDescent="0.25">
      <c r="A80" s="21"/>
      <c r="B80" s="27" t="s">
        <v>522</v>
      </c>
      <c r="C80" s="67" t="s">
        <v>63</v>
      </c>
      <c r="D80" s="125">
        <f>IF('Quant. mod. (oc)'!D80&lt;0,0,'Quant. mod. (oc)'!D80)</f>
        <v>154.786</v>
      </c>
      <c r="E80" s="125">
        <f>IF('Quant. mod. (oc)'!E80&lt;0,0,'Quant. mod. (oc)'!E80)</f>
        <v>154.786</v>
      </c>
      <c r="F80" s="125">
        <f>IF('Quant. mod. (oc)'!F80&lt;0,0,'Quant. mod. (oc)'!F80)</f>
        <v>154.786</v>
      </c>
      <c r="G80" s="125">
        <f>IF('Quant. mod. (oc)'!G80&lt;0,0,'Quant. mod. (oc)'!G80)</f>
        <v>0</v>
      </c>
      <c r="H80" s="125">
        <f>IF('Quant. mod. (oc)'!H80&lt;0,0,'Quant. mod. (oc)'!H80)</f>
        <v>0</v>
      </c>
      <c r="I80" s="125">
        <f>IF('Quant. mod. (oc)'!I80&lt;0,0,'Quant. mod. (oc)'!I80)</f>
        <v>0</v>
      </c>
      <c r="J80" s="125">
        <f>IF('Quant. mod. (oc)'!J80&lt;0,0,'Quant. mod. (oc)'!J80)</f>
        <v>154.786</v>
      </c>
      <c r="K80" s="125">
        <f>IF('Quant. mod. (oc)'!K80&lt;0,0,'Quant. mod. (oc)'!K80)</f>
        <v>154.786</v>
      </c>
      <c r="L80" s="125">
        <f>IF('Quant. mod. (oc)'!L80&lt;0,0,'Quant. mod. (oc)'!L80)</f>
        <v>0</v>
      </c>
      <c r="M80" s="125">
        <f>IF('Quant. mod. (oc)'!M80&lt;0,0,'Quant. mod. (oc)'!M80)</f>
        <v>0</v>
      </c>
      <c r="N80" s="125">
        <f>IF('Quant. mod. (oc)'!N80&lt;0,0,'Quant. mod. (oc)'!N80)</f>
        <v>209.22599999999997</v>
      </c>
      <c r="O80" s="125">
        <f>IF('Quant. mod. (oc)'!O80&lt;0,0,'Quant. mod. (oc)'!O80)</f>
        <v>209.22599999999997</v>
      </c>
      <c r="P80" s="125">
        <f>IF('Quant. mod. (oc)'!P80&lt;0,0,'Quant. mod. (oc)'!P80)</f>
        <v>209.22599999999997</v>
      </c>
      <c r="Q80" s="125">
        <f>IF('Quant. mod. (oc)'!Q80&lt;0,0,'Quant. mod. (oc)'!Q80)</f>
        <v>0</v>
      </c>
      <c r="R80" s="125">
        <f>IF('Quant. mod. (oc)'!R80&lt;0,0,'Quant. mod. (oc)'!R80)</f>
        <v>0</v>
      </c>
      <c r="S80" s="125">
        <f>IF('Quant. mod. (oc)'!S80&lt;0,0,'Quant. mod. (oc)'!S80)</f>
        <v>0</v>
      </c>
      <c r="T80" s="125">
        <f>IF('Quant. mod. (oc)'!T80&lt;0,0,'Quant. mod. (oc)'!T80)</f>
        <v>209.22599999999997</v>
      </c>
      <c r="U80" s="125">
        <f>IF('Quant. mod. (oc)'!U80&lt;0,0,'Quant. mod. (oc)'!U80)</f>
        <v>209.22599999999997</v>
      </c>
      <c r="V80" s="125">
        <f>IF('Quant. mod. (oc)'!V80&lt;0,0,'Quant. mod. (oc)'!V80)</f>
        <v>0</v>
      </c>
      <c r="W80" s="125">
        <f>IF('Quant. mod. (oc)'!W80&lt;0,0,'Quant. mod. (oc)'!W80)</f>
        <v>0</v>
      </c>
      <c r="X80" s="125">
        <f>IF('Quant. mod. (oc)'!X80&lt;0,0,'Quant. mod. (oc)'!X80)</f>
        <v>0</v>
      </c>
      <c r="Y80" s="125">
        <f>IF('Quant. mod. (oc)'!Y80&lt;0,0,'Quant. mod. (oc)'!Y80)</f>
        <v>0</v>
      </c>
      <c r="Z80" s="125">
        <f>IF('Quant. mod. (oc)'!Z80&lt;0,0,'Quant. mod. (oc)'!Z80)</f>
        <v>0</v>
      </c>
      <c r="AA80" s="125">
        <f>IF('Quant. mod. (oc)'!AA80&lt;0,0,'Quant. mod. (oc)'!AA80)</f>
        <v>0</v>
      </c>
      <c r="AB80" s="125">
        <f>IF('Quant. mod. (oc)'!AB80&lt;0,0,'Quant. mod. (oc)'!AB80)</f>
        <v>0</v>
      </c>
      <c r="AC80" s="125">
        <f>IF('Quant. mod. (oc)'!AC80&lt;0,0,'Quant. mod. (oc)'!AC80)</f>
        <v>0</v>
      </c>
      <c r="AD80" s="125">
        <f>IF('Quant. mod. (oc)'!AD80&lt;0,0,'Quant. mod. (oc)'!AD80)</f>
        <v>0</v>
      </c>
      <c r="AE80" s="125">
        <f>IF('Quant. mod. (oc)'!AE80&lt;0,0,'Quant. mod. (oc)'!AE80)</f>
        <v>0</v>
      </c>
      <c r="AF80" s="125">
        <f>IF('Quant. mod. (oc)'!AF80&lt;0,0,'Quant. mod. (oc)'!AF80)</f>
        <v>0</v>
      </c>
      <c r="AG80" s="126">
        <f>IF('Quant. mod. (oc)'!AG80&lt;0,0,'Quant. mod. (oc)'!AG80)</f>
        <v>0</v>
      </c>
      <c r="AH80" s="22"/>
    </row>
    <row r="81" spans="1:34" ht="25.5" x14ac:dyDescent="0.25">
      <c r="A81" s="21"/>
      <c r="B81" s="27" t="s">
        <v>516</v>
      </c>
      <c r="C81" s="67" t="s">
        <v>57</v>
      </c>
      <c r="D81" s="125">
        <f>IF('Quant. mod. (oc)'!D81&lt;0,0,'Quant. mod. (oc)'!D81)</f>
        <v>19.975899999999999</v>
      </c>
      <c r="E81" s="125">
        <f>IF('Quant. mod. (oc)'!E81&lt;0,0,'Quant. mod. (oc)'!E81)</f>
        <v>19.975899999999999</v>
      </c>
      <c r="F81" s="125">
        <f>IF('Quant. mod. (oc)'!F81&lt;0,0,'Quant. mod. (oc)'!F81)</f>
        <v>19.975899999999999</v>
      </c>
      <c r="G81" s="125">
        <f>IF('Quant. mod. (oc)'!G81&lt;0,0,'Quant. mod. (oc)'!G81)</f>
        <v>0</v>
      </c>
      <c r="H81" s="125">
        <f>IF('Quant. mod. (oc)'!H81&lt;0,0,'Quant. mod. (oc)'!H81)</f>
        <v>0</v>
      </c>
      <c r="I81" s="125">
        <f>IF('Quant. mod. (oc)'!I81&lt;0,0,'Quant. mod. (oc)'!I81)</f>
        <v>0</v>
      </c>
      <c r="J81" s="125">
        <f>IF('Quant. mod. (oc)'!J81&lt;0,0,'Quant. mod. (oc)'!J81)</f>
        <v>19.975899999999999</v>
      </c>
      <c r="K81" s="125">
        <f>IF('Quant. mod. (oc)'!K81&lt;0,0,'Quant. mod. (oc)'!K81)</f>
        <v>19.975899999999999</v>
      </c>
      <c r="L81" s="125">
        <f>IF('Quant. mod. (oc)'!L81&lt;0,0,'Quant. mod. (oc)'!L81)</f>
        <v>0</v>
      </c>
      <c r="M81" s="125">
        <f>IF('Quant. mod. (oc)'!M81&lt;0,0,'Quant. mod. (oc)'!M81)</f>
        <v>0</v>
      </c>
      <c r="N81" s="125">
        <f>IF('Quant. mod. (oc)'!N81&lt;0,0,'Quant. mod. (oc)'!N81)</f>
        <v>27.137900000000002</v>
      </c>
      <c r="O81" s="125">
        <f>IF('Quant. mod. (oc)'!O81&lt;0,0,'Quant. mod. (oc)'!O81)</f>
        <v>27.137900000000002</v>
      </c>
      <c r="P81" s="125">
        <f>IF('Quant. mod. (oc)'!P81&lt;0,0,'Quant. mod. (oc)'!P81)</f>
        <v>27.137900000000002</v>
      </c>
      <c r="Q81" s="125">
        <f>IF('Quant. mod. (oc)'!Q81&lt;0,0,'Quant. mod. (oc)'!Q81)</f>
        <v>0</v>
      </c>
      <c r="R81" s="125">
        <f>IF('Quant. mod. (oc)'!R81&lt;0,0,'Quant. mod. (oc)'!R81)</f>
        <v>0</v>
      </c>
      <c r="S81" s="125">
        <f>IF('Quant. mod. (oc)'!S81&lt;0,0,'Quant. mod. (oc)'!S81)</f>
        <v>0</v>
      </c>
      <c r="T81" s="125">
        <f>IF('Quant. mod. (oc)'!T81&lt;0,0,'Quant. mod. (oc)'!T81)</f>
        <v>27.137900000000002</v>
      </c>
      <c r="U81" s="125">
        <f>IF('Quant. mod. (oc)'!U81&lt;0,0,'Quant. mod. (oc)'!U81)</f>
        <v>27.137900000000002</v>
      </c>
      <c r="V81" s="125">
        <f>IF('Quant. mod. (oc)'!V81&lt;0,0,'Quant. mod. (oc)'!V81)</f>
        <v>0</v>
      </c>
      <c r="W81" s="125">
        <f>IF('Quant. mod. (oc)'!W81&lt;0,0,'Quant. mod. (oc)'!W81)</f>
        <v>0</v>
      </c>
      <c r="X81" s="125">
        <f>IF('Quant. mod. (oc)'!X81&lt;0,0,'Quant. mod. (oc)'!X81)</f>
        <v>0</v>
      </c>
      <c r="Y81" s="125">
        <f>IF('Quant. mod. (oc)'!Y81&lt;0,0,'Quant. mod. (oc)'!Y81)</f>
        <v>0</v>
      </c>
      <c r="Z81" s="125">
        <f>IF('Quant. mod. (oc)'!Z81&lt;0,0,'Quant. mod. (oc)'!Z81)</f>
        <v>0</v>
      </c>
      <c r="AA81" s="125">
        <f>IF('Quant. mod. (oc)'!AA81&lt;0,0,'Quant. mod. (oc)'!AA81)</f>
        <v>0</v>
      </c>
      <c r="AB81" s="125">
        <f>IF('Quant. mod. (oc)'!AB81&lt;0,0,'Quant. mod. (oc)'!AB81)</f>
        <v>0</v>
      </c>
      <c r="AC81" s="125">
        <f>IF('Quant. mod. (oc)'!AC81&lt;0,0,'Quant. mod. (oc)'!AC81)</f>
        <v>0</v>
      </c>
      <c r="AD81" s="125">
        <f>IF('Quant. mod. (oc)'!AD81&lt;0,0,'Quant. mod. (oc)'!AD81)</f>
        <v>0</v>
      </c>
      <c r="AE81" s="125">
        <f>IF('Quant. mod. (oc)'!AE81&lt;0,0,'Quant. mod. (oc)'!AE81)</f>
        <v>0</v>
      </c>
      <c r="AF81" s="125">
        <f>IF('Quant. mod. (oc)'!AF81&lt;0,0,'Quant. mod. (oc)'!AF81)</f>
        <v>0</v>
      </c>
      <c r="AG81" s="126">
        <f>IF('Quant. mod. (oc)'!AG81&lt;0,0,'Quant. mod. (oc)'!AG81)</f>
        <v>0</v>
      </c>
      <c r="AH81" s="22"/>
    </row>
    <row r="82" spans="1:34" ht="25.5" x14ac:dyDescent="0.25">
      <c r="A82" s="21"/>
      <c r="B82" s="27" t="s">
        <v>517</v>
      </c>
      <c r="C82" s="67" t="s">
        <v>57</v>
      </c>
      <c r="D82" s="125">
        <f>IF('Quant. mod. (oc)'!D82&lt;0,0,'Quant. mod. (oc)'!D82)</f>
        <v>19.975899999999999</v>
      </c>
      <c r="E82" s="125">
        <f>IF('Quant. mod. (oc)'!E82&lt;0,0,'Quant. mod. (oc)'!E82)</f>
        <v>19.975899999999999</v>
      </c>
      <c r="F82" s="125">
        <f>IF('Quant. mod. (oc)'!F82&lt;0,0,'Quant. mod. (oc)'!F82)</f>
        <v>19.975899999999999</v>
      </c>
      <c r="G82" s="125">
        <f>IF('Quant. mod. (oc)'!G82&lt;0,0,'Quant. mod. (oc)'!G82)</f>
        <v>0</v>
      </c>
      <c r="H82" s="125">
        <f>IF('Quant. mod. (oc)'!H82&lt;0,0,'Quant. mod. (oc)'!H82)</f>
        <v>0</v>
      </c>
      <c r="I82" s="125">
        <f>IF('Quant. mod. (oc)'!I82&lt;0,0,'Quant. mod. (oc)'!I82)</f>
        <v>0</v>
      </c>
      <c r="J82" s="125">
        <f>IF('Quant. mod. (oc)'!J82&lt;0,0,'Quant. mod. (oc)'!J82)</f>
        <v>19.975899999999999</v>
      </c>
      <c r="K82" s="125">
        <f>IF('Quant. mod. (oc)'!K82&lt;0,0,'Quant. mod. (oc)'!K82)</f>
        <v>19.975899999999999</v>
      </c>
      <c r="L82" s="125">
        <f>IF('Quant. mod. (oc)'!L82&lt;0,0,'Quant. mod. (oc)'!L82)</f>
        <v>0</v>
      </c>
      <c r="M82" s="125">
        <f>IF('Quant. mod. (oc)'!M82&lt;0,0,'Quant. mod. (oc)'!M82)</f>
        <v>0</v>
      </c>
      <c r="N82" s="125">
        <f>IF('Quant. mod. (oc)'!N82&lt;0,0,'Quant. mod. (oc)'!N82)</f>
        <v>27.137900000000002</v>
      </c>
      <c r="O82" s="125">
        <f>IF('Quant. mod. (oc)'!O82&lt;0,0,'Quant. mod. (oc)'!O82)</f>
        <v>27.137900000000002</v>
      </c>
      <c r="P82" s="125">
        <f>IF('Quant. mod. (oc)'!P82&lt;0,0,'Quant. mod. (oc)'!P82)</f>
        <v>27.137900000000002</v>
      </c>
      <c r="Q82" s="125">
        <f>IF('Quant. mod. (oc)'!Q82&lt;0,0,'Quant. mod. (oc)'!Q82)</f>
        <v>0</v>
      </c>
      <c r="R82" s="125">
        <f>IF('Quant. mod. (oc)'!R82&lt;0,0,'Quant. mod. (oc)'!R82)</f>
        <v>0</v>
      </c>
      <c r="S82" s="125">
        <f>IF('Quant. mod. (oc)'!S82&lt;0,0,'Quant. mod. (oc)'!S82)</f>
        <v>0</v>
      </c>
      <c r="T82" s="125">
        <f>IF('Quant. mod. (oc)'!T82&lt;0,0,'Quant. mod. (oc)'!T82)</f>
        <v>27.137900000000002</v>
      </c>
      <c r="U82" s="125">
        <f>IF('Quant. mod. (oc)'!U82&lt;0,0,'Quant. mod. (oc)'!U82)</f>
        <v>27.137900000000002</v>
      </c>
      <c r="V82" s="125">
        <f>IF('Quant. mod. (oc)'!V82&lt;0,0,'Quant. mod. (oc)'!V82)</f>
        <v>0</v>
      </c>
      <c r="W82" s="125">
        <f>IF('Quant. mod. (oc)'!W82&lt;0,0,'Quant. mod. (oc)'!W82)</f>
        <v>0</v>
      </c>
      <c r="X82" s="125">
        <f>IF('Quant. mod. (oc)'!X82&lt;0,0,'Quant. mod. (oc)'!X82)</f>
        <v>0</v>
      </c>
      <c r="Y82" s="125">
        <f>IF('Quant. mod. (oc)'!Y82&lt;0,0,'Quant. mod. (oc)'!Y82)</f>
        <v>0</v>
      </c>
      <c r="Z82" s="125">
        <f>IF('Quant. mod. (oc)'!Z82&lt;0,0,'Quant. mod. (oc)'!Z82)</f>
        <v>0</v>
      </c>
      <c r="AA82" s="125">
        <f>IF('Quant. mod. (oc)'!AA82&lt;0,0,'Quant. mod. (oc)'!AA82)</f>
        <v>0</v>
      </c>
      <c r="AB82" s="125">
        <f>IF('Quant. mod. (oc)'!AB82&lt;0,0,'Quant. mod. (oc)'!AB82)</f>
        <v>0</v>
      </c>
      <c r="AC82" s="125">
        <f>IF('Quant. mod. (oc)'!AC82&lt;0,0,'Quant. mod. (oc)'!AC82)</f>
        <v>0</v>
      </c>
      <c r="AD82" s="125">
        <f>IF('Quant. mod. (oc)'!AD82&lt;0,0,'Quant. mod. (oc)'!AD82)</f>
        <v>0</v>
      </c>
      <c r="AE82" s="125">
        <f>IF('Quant. mod. (oc)'!AE82&lt;0,0,'Quant. mod. (oc)'!AE82)</f>
        <v>0</v>
      </c>
      <c r="AF82" s="125">
        <f>IF('Quant. mod. (oc)'!AF82&lt;0,0,'Quant. mod. (oc)'!AF82)</f>
        <v>0</v>
      </c>
      <c r="AG82" s="126">
        <f>IF('Quant. mod. (oc)'!AG82&lt;0,0,'Quant. mod. (oc)'!AG82)</f>
        <v>0</v>
      </c>
      <c r="AH82" s="22"/>
    </row>
    <row r="83" spans="1:34" x14ac:dyDescent="0.25">
      <c r="A83" s="21"/>
      <c r="B83" s="120" t="s">
        <v>518</v>
      </c>
      <c r="C83" s="121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8"/>
      <c r="AH83" s="22"/>
    </row>
    <row r="84" spans="1:34" ht="25.5" x14ac:dyDescent="0.25">
      <c r="A84" s="21"/>
      <c r="B84" s="270" t="s">
        <v>294</v>
      </c>
      <c r="C84" s="67" t="s">
        <v>65</v>
      </c>
      <c r="D84" s="125">
        <f>IF('Quant. mod. (oc)'!D84&lt;0,0,'Quant. mod. (oc)'!D84)</f>
        <v>0</v>
      </c>
      <c r="E84" s="125">
        <f>IF('Quant. mod. (oc)'!E84&lt;0,0,'Quant. mod. (oc)'!E84)</f>
        <v>0</v>
      </c>
      <c r="F84" s="125">
        <f>IF('Quant. mod. (oc)'!F84&lt;0,0,'Quant. mod. (oc)'!F84)</f>
        <v>0</v>
      </c>
      <c r="G84" s="125">
        <f>IF('Quant. mod. (oc)'!G84&lt;0,0,'Quant. mod. (oc)'!G84)</f>
        <v>0</v>
      </c>
      <c r="H84" s="125">
        <f>IF('Quant. mod. (oc)'!H84&lt;0,0,'Quant. mod. (oc)'!H84)</f>
        <v>0</v>
      </c>
      <c r="I84" s="125">
        <f>IF('Quant. mod. (oc)'!I84&lt;0,0,'Quant. mod. (oc)'!I84)</f>
        <v>0</v>
      </c>
      <c r="J84" s="125">
        <f>IF('Quant. mod. (oc)'!J84&lt;0,0,'Quant. mod. (oc)'!J84)</f>
        <v>0</v>
      </c>
      <c r="K84" s="125">
        <f>IF('Quant. mod. (oc)'!K84&lt;0,0,'Quant. mod. (oc)'!K84)</f>
        <v>0</v>
      </c>
      <c r="L84" s="125">
        <f>IF('Quant. mod. (oc)'!L84&lt;0,0,'Quant. mod. (oc)'!L84)</f>
        <v>0</v>
      </c>
      <c r="M84" s="125">
        <f>IF('Quant. mod. (oc)'!M84&lt;0,0,'Quant. mod. (oc)'!M84)</f>
        <v>0</v>
      </c>
      <c r="N84" s="125">
        <f>IF('Quant. mod. (oc)'!N84&lt;0,0,'Quant. mod. (oc)'!N84)</f>
        <v>7.5657000000000005</v>
      </c>
      <c r="O84" s="125">
        <f>IF('Quant. mod. (oc)'!O84&lt;0,0,'Quant. mod. (oc)'!O84)</f>
        <v>7.5657000000000005</v>
      </c>
      <c r="P84" s="125">
        <f>IF('Quant. mod. (oc)'!P84&lt;0,0,'Quant. mod. (oc)'!P84)</f>
        <v>7.5657000000000005</v>
      </c>
      <c r="Q84" s="125">
        <f>IF('Quant. mod. (oc)'!Q84&lt;0,0,'Quant. mod. (oc)'!Q84)</f>
        <v>21.768000000000001</v>
      </c>
      <c r="R84" s="125">
        <f>IF('Quant. mod. (oc)'!R84&lt;0,0,'Quant. mod. (oc)'!R84)</f>
        <v>21.768000000000001</v>
      </c>
      <c r="S84" s="125">
        <f>IF('Quant. mod. (oc)'!S84&lt;0,0,'Quant. mod. (oc)'!S84)</f>
        <v>21.768000000000001</v>
      </c>
      <c r="T84" s="125">
        <f>IF('Quant. mod. (oc)'!T84&lt;0,0,'Quant. mod. (oc)'!T84)</f>
        <v>7.5657000000000005</v>
      </c>
      <c r="U84" s="125">
        <f>IF('Quant. mod. (oc)'!U84&lt;0,0,'Quant. mod. (oc)'!U84)</f>
        <v>7.5657000000000005</v>
      </c>
      <c r="V84" s="125">
        <f>IF('Quant. mod. (oc)'!V84&lt;0,0,'Quant. mod. (oc)'!V84)</f>
        <v>21.768000000000001</v>
      </c>
      <c r="W84" s="125">
        <f>IF('Quant. mod. (oc)'!W84&lt;0,0,'Quant. mod. (oc)'!W84)</f>
        <v>21.768000000000001</v>
      </c>
      <c r="X84" s="125">
        <f>IF('Quant. mod. (oc)'!X84&lt;0,0,'Quant. mod. (oc)'!X84)</f>
        <v>0</v>
      </c>
      <c r="Y84" s="125">
        <f>IF('Quant. mod. (oc)'!Y84&lt;0,0,'Quant. mod. (oc)'!Y84)</f>
        <v>0</v>
      </c>
      <c r="Z84" s="125">
        <f>IF('Quant. mod. (oc)'!Z84&lt;0,0,'Quant. mod. (oc)'!Z84)</f>
        <v>0</v>
      </c>
      <c r="AA84" s="125">
        <f>IF('Quant. mod. (oc)'!AA84&lt;0,0,'Quant. mod. (oc)'!AA84)</f>
        <v>0</v>
      </c>
      <c r="AB84" s="125">
        <f>IF('Quant. mod. (oc)'!AB84&lt;0,0,'Quant. mod. (oc)'!AB84)</f>
        <v>0</v>
      </c>
      <c r="AC84" s="125">
        <f>IF('Quant. mod. (oc)'!AC84&lt;0,0,'Quant. mod. (oc)'!AC84)</f>
        <v>0</v>
      </c>
      <c r="AD84" s="125">
        <f>IF('Quant. mod. (oc)'!AD84&lt;0,0,'Quant. mod. (oc)'!AD84)</f>
        <v>0</v>
      </c>
      <c r="AE84" s="125">
        <f>IF('Quant. mod. (oc)'!AE84&lt;0,0,'Quant. mod. (oc)'!AE84)</f>
        <v>0</v>
      </c>
      <c r="AF84" s="125">
        <f>IF('Quant. mod. (oc)'!AF84&lt;0,0,'Quant. mod. (oc)'!AF84)</f>
        <v>0</v>
      </c>
      <c r="AG84" s="126">
        <f>IF('Quant. mod. (oc)'!AG84&lt;0,0,'Quant. mod. (oc)'!AG84)</f>
        <v>0</v>
      </c>
      <c r="AH84" s="22"/>
    </row>
    <row r="85" spans="1:34" x14ac:dyDescent="0.25">
      <c r="A85" s="21"/>
      <c r="B85" s="270" t="s">
        <v>290</v>
      </c>
      <c r="C85" s="67" t="s">
        <v>63</v>
      </c>
      <c r="D85" s="125">
        <f>IF('Quant. mod. (oc)'!D85&lt;0,0,'Quant. mod. (oc)'!D85)</f>
        <v>0</v>
      </c>
      <c r="E85" s="125">
        <f>IF('Quant. mod. (oc)'!E85&lt;0,0,'Quant. mod. (oc)'!E85)</f>
        <v>0</v>
      </c>
      <c r="F85" s="125">
        <f>IF('Quant. mod. (oc)'!F85&lt;0,0,'Quant. mod. (oc)'!F85)</f>
        <v>0</v>
      </c>
      <c r="G85" s="125">
        <f>IF('Quant. mod. (oc)'!G85&lt;0,0,'Quant. mod. (oc)'!G85)</f>
        <v>0</v>
      </c>
      <c r="H85" s="125">
        <f>IF('Quant. mod. (oc)'!H85&lt;0,0,'Quant. mod. (oc)'!H85)</f>
        <v>0</v>
      </c>
      <c r="I85" s="125">
        <f>IF('Quant. mod. (oc)'!I85&lt;0,0,'Quant. mod. (oc)'!I85)</f>
        <v>0</v>
      </c>
      <c r="J85" s="125">
        <f>IF('Quant. mod. (oc)'!J85&lt;0,0,'Quant. mod. (oc)'!J85)</f>
        <v>0</v>
      </c>
      <c r="K85" s="125">
        <f>IF('Quant. mod. (oc)'!K85&lt;0,0,'Quant. mod. (oc)'!K85)</f>
        <v>0</v>
      </c>
      <c r="L85" s="125">
        <f>IF('Quant. mod. (oc)'!L85&lt;0,0,'Quant. mod. (oc)'!L85)</f>
        <v>0</v>
      </c>
      <c r="M85" s="125">
        <f>IF('Quant. mod. (oc)'!M85&lt;0,0,'Quant. mod. (oc)'!M85)</f>
        <v>0</v>
      </c>
      <c r="N85" s="125">
        <f>IF('Quant. mod. (oc)'!N85&lt;0,0,'Quant. mod. (oc)'!N85)</f>
        <v>3.0260999999999996</v>
      </c>
      <c r="O85" s="125">
        <f>IF('Quant. mod. (oc)'!O85&lt;0,0,'Quant. mod. (oc)'!O85)</f>
        <v>3.0260999999999996</v>
      </c>
      <c r="P85" s="125">
        <f>IF('Quant. mod. (oc)'!P85&lt;0,0,'Quant. mod. (oc)'!P85)</f>
        <v>3.0260999999999996</v>
      </c>
      <c r="Q85" s="125">
        <f>IF('Quant. mod. (oc)'!Q85&lt;0,0,'Quant. mod. (oc)'!Q85)</f>
        <v>8.7054000000000009</v>
      </c>
      <c r="R85" s="125">
        <f>IF('Quant. mod. (oc)'!R85&lt;0,0,'Quant. mod. (oc)'!R85)</f>
        <v>8.7054000000000009</v>
      </c>
      <c r="S85" s="125">
        <f>IF('Quant. mod. (oc)'!S85&lt;0,0,'Quant. mod. (oc)'!S85)</f>
        <v>8.7054000000000009</v>
      </c>
      <c r="T85" s="125">
        <f>IF('Quant. mod. (oc)'!T85&lt;0,0,'Quant. mod. (oc)'!T85)</f>
        <v>3.0260999999999996</v>
      </c>
      <c r="U85" s="125">
        <f>IF('Quant. mod. (oc)'!U85&lt;0,0,'Quant. mod. (oc)'!U85)</f>
        <v>3.0260999999999996</v>
      </c>
      <c r="V85" s="125">
        <f>IF('Quant. mod. (oc)'!V85&lt;0,0,'Quant. mod. (oc)'!V85)</f>
        <v>8.7054000000000009</v>
      </c>
      <c r="W85" s="125">
        <f>IF('Quant. mod. (oc)'!W85&lt;0,0,'Quant. mod. (oc)'!W85)</f>
        <v>8.7054000000000009</v>
      </c>
      <c r="X85" s="125">
        <f>IF('Quant. mod. (oc)'!X85&lt;0,0,'Quant. mod. (oc)'!X85)</f>
        <v>0</v>
      </c>
      <c r="Y85" s="125">
        <f>IF('Quant. mod. (oc)'!Y85&lt;0,0,'Quant. mod. (oc)'!Y85)</f>
        <v>0</v>
      </c>
      <c r="Z85" s="125">
        <f>IF('Quant. mod. (oc)'!Z85&lt;0,0,'Quant. mod. (oc)'!Z85)</f>
        <v>0</v>
      </c>
      <c r="AA85" s="125">
        <f>IF('Quant. mod. (oc)'!AA85&lt;0,0,'Quant. mod. (oc)'!AA85)</f>
        <v>0</v>
      </c>
      <c r="AB85" s="125">
        <f>IF('Quant. mod. (oc)'!AB85&lt;0,0,'Quant. mod. (oc)'!AB85)</f>
        <v>0</v>
      </c>
      <c r="AC85" s="125">
        <f>IF('Quant. mod. (oc)'!AC85&lt;0,0,'Quant. mod. (oc)'!AC85)</f>
        <v>0</v>
      </c>
      <c r="AD85" s="125">
        <f>IF('Quant. mod. (oc)'!AD85&lt;0,0,'Quant. mod. (oc)'!AD85)</f>
        <v>0</v>
      </c>
      <c r="AE85" s="125">
        <f>IF('Quant. mod. (oc)'!AE85&lt;0,0,'Quant. mod. (oc)'!AE85)</f>
        <v>0</v>
      </c>
      <c r="AF85" s="125">
        <f>IF('Quant. mod. (oc)'!AF85&lt;0,0,'Quant. mod. (oc)'!AF85)</f>
        <v>0</v>
      </c>
      <c r="AG85" s="126">
        <f>IF('Quant. mod. (oc)'!AG85&lt;0,0,'Quant. mod. (oc)'!AG85)</f>
        <v>0</v>
      </c>
      <c r="AH85" s="22"/>
    </row>
    <row r="86" spans="1:34" ht="25.5" x14ac:dyDescent="0.25">
      <c r="A86" s="21"/>
      <c r="B86" s="270" t="s">
        <v>295</v>
      </c>
      <c r="C86" s="67" t="s">
        <v>57</v>
      </c>
      <c r="D86" s="125">
        <f>IF('Quant. mod. (oc)'!D86&lt;0,0,'Quant. mod. (oc)'!D86)</f>
        <v>0</v>
      </c>
      <c r="E86" s="125">
        <f>IF('Quant. mod. (oc)'!E86&lt;0,0,'Quant. mod. (oc)'!E86)</f>
        <v>0</v>
      </c>
      <c r="F86" s="125">
        <f>IF('Quant. mod. (oc)'!F86&lt;0,0,'Quant. mod. (oc)'!F86)</f>
        <v>0</v>
      </c>
      <c r="G86" s="125">
        <f>IF('Quant. mod. (oc)'!G86&lt;0,0,'Quant. mod. (oc)'!G86)</f>
        <v>0</v>
      </c>
      <c r="H86" s="125">
        <f>IF('Quant. mod. (oc)'!H86&lt;0,0,'Quant. mod. (oc)'!H86)</f>
        <v>0</v>
      </c>
      <c r="I86" s="125">
        <f>IF('Quant. mod. (oc)'!I86&lt;0,0,'Quant. mod. (oc)'!I86)</f>
        <v>0</v>
      </c>
      <c r="J86" s="125">
        <f>IF('Quant. mod. (oc)'!J86&lt;0,0,'Quant. mod. (oc)'!J86)</f>
        <v>0</v>
      </c>
      <c r="K86" s="125">
        <f>IF('Quant. mod. (oc)'!K86&lt;0,0,'Quant. mod. (oc)'!K86)</f>
        <v>0</v>
      </c>
      <c r="L86" s="125">
        <f>IF('Quant. mod. (oc)'!L86&lt;0,0,'Quant. mod. (oc)'!L86)</f>
        <v>0</v>
      </c>
      <c r="M86" s="125">
        <f>IF('Quant. mod. (oc)'!M86&lt;0,0,'Quant. mod. (oc)'!M86)</f>
        <v>0</v>
      </c>
      <c r="N86" s="125">
        <f>IF('Quant. mod. (oc)'!N86&lt;0,0,'Quant. mod. (oc)'!N86)</f>
        <v>10.996700000000001</v>
      </c>
      <c r="O86" s="125">
        <f>IF('Quant. mod. (oc)'!O86&lt;0,0,'Quant. mod. (oc)'!O86)</f>
        <v>10.996700000000001</v>
      </c>
      <c r="P86" s="125">
        <f>IF('Quant. mod. (oc)'!P86&lt;0,0,'Quant. mod. (oc)'!P86)</f>
        <v>10.996700000000001</v>
      </c>
      <c r="Q86" s="125">
        <f>IF('Quant. mod. (oc)'!Q86&lt;0,0,'Quant. mod. (oc)'!Q86)</f>
        <v>108.13200000000002</v>
      </c>
      <c r="R86" s="125">
        <f>IF('Quant. mod. (oc)'!R86&lt;0,0,'Quant. mod. (oc)'!R86)</f>
        <v>108.13200000000002</v>
      </c>
      <c r="S86" s="125">
        <f>IF('Quant. mod. (oc)'!S86&lt;0,0,'Quant. mod. (oc)'!S86)</f>
        <v>108.13200000000002</v>
      </c>
      <c r="T86" s="125">
        <f>IF('Quant. mod. (oc)'!T86&lt;0,0,'Quant. mod. (oc)'!T86)</f>
        <v>10.996700000000001</v>
      </c>
      <c r="U86" s="125">
        <f>IF('Quant. mod. (oc)'!U86&lt;0,0,'Quant. mod. (oc)'!U86)</f>
        <v>10.996700000000001</v>
      </c>
      <c r="V86" s="125">
        <f>IF('Quant. mod. (oc)'!V86&lt;0,0,'Quant. mod. (oc)'!V86)</f>
        <v>108.13200000000002</v>
      </c>
      <c r="W86" s="125">
        <f>IF('Quant. mod. (oc)'!W86&lt;0,0,'Quant. mod. (oc)'!W86)</f>
        <v>108.13200000000002</v>
      </c>
      <c r="X86" s="125">
        <f>IF('Quant. mod. (oc)'!X86&lt;0,0,'Quant. mod. (oc)'!X86)</f>
        <v>0</v>
      </c>
      <c r="Y86" s="125">
        <f>IF('Quant. mod. (oc)'!Y86&lt;0,0,'Quant. mod. (oc)'!Y86)</f>
        <v>0</v>
      </c>
      <c r="Z86" s="125">
        <f>IF('Quant. mod. (oc)'!Z86&lt;0,0,'Quant. mod. (oc)'!Z86)</f>
        <v>0</v>
      </c>
      <c r="AA86" s="125">
        <f>IF('Quant. mod. (oc)'!AA86&lt;0,0,'Quant. mod. (oc)'!AA86)</f>
        <v>0</v>
      </c>
      <c r="AB86" s="125">
        <f>IF('Quant. mod. (oc)'!AB86&lt;0,0,'Quant. mod. (oc)'!AB86)</f>
        <v>0</v>
      </c>
      <c r="AC86" s="125">
        <f>IF('Quant. mod. (oc)'!AC86&lt;0,0,'Quant. mod. (oc)'!AC86)</f>
        <v>0</v>
      </c>
      <c r="AD86" s="125">
        <f>IF('Quant. mod. (oc)'!AD86&lt;0,0,'Quant. mod. (oc)'!AD86)</f>
        <v>0</v>
      </c>
      <c r="AE86" s="125">
        <f>IF('Quant. mod. (oc)'!AE86&lt;0,0,'Quant. mod. (oc)'!AE86)</f>
        <v>0</v>
      </c>
      <c r="AF86" s="125">
        <f>IF('Quant. mod. (oc)'!AF86&lt;0,0,'Quant. mod. (oc)'!AF86)</f>
        <v>0</v>
      </c>
      <c r="AG86" s="126">
        <f>IF('Quant. mod. (oc)'!AG86&lt;0,0,'Quant. mod. (oc)'!AG86)</f>
        <v>0</v>
      </c>
      <c r="AH86" s="22"/>
    </row>
    <row r="87" spans="1:34" x14ac:dyDescent="0.25">
      <c r="A87" s="21"/>
      <c r="B87" s="27" t="s">
        <v>305</v>
      </c>
      <c r="C87" s="67" t="s">
        <v>63</v>
      </c>
      <c r="D87" s="125">
        <f>IF('Quant. mod. (oc)'!D87&lt;0,0,'Quant. mod. (oc)'!D87)</f>
        <v>0</v>
      </c>
      <c r="E87" s="125">
        <f>IF('Quant. mod. (oc)'!E87&lt;0,0,'Quant. mod. (oc)'!E87)</f>
        <v>0</v>
      </c>
      <c r="F87" s="125">
        <f>IF('Quant. mod. (oc)'!F87&lt;0,0,'Quant. mod. (oc)'!F87)</f>
        <v>0</v>
      </c>
      <c r="G87" s="125">
        <f>IF('Quant. mod. (oc)'!G87&lt;0,0,'Quant. mod. (oc)'!G87)</f>
        <v>0</v>
      </c>
      <c r="H87" s="125">
        <f>IF('Quant. mod. (oc)'!H87&lt;0,0,'Quant. mod. (oc)'!H87)</f>
        <v>0</v>
      </c>
      <c r="I87" s="125">
        <f>IF('Quant. mod. (oc)'!I87&lt;0,0,'Quant. mod. (oc)'!I87)</f>
        <v>0</v>
      </c>
      <c r="J87" s="125">
        <f>IF('Quant. mod. (oc)'!J87&lt;0,0,'Quant. mod. (oc)'!J87)</f>
        <v>0</v>
      </c>
      <c r="K87" s="125">
        <f>IF('Quant. mod. (oc)'!K87&lt;0,0,'Quant. mod. (oc)'!K87)</f>
        <v>0</v>
      </c>
      <c r="L87" s="125">
        <f>IF('Quant. mod. (oc)'!L87&lt;0,0,'Quant. mod. (oc)'!L87)</f>
        <v>0</v>
      </c>
      <c r="M87" s="125">
        <f>IF('Quant. mod. (oc)'!M87&lt;0,0,'Quant. mod. (oc)'!M87)</f>
        <v>0</v>
      </c>
      <c r="N87" s="125">
        <f>IF('Quant. mod. (oc)'!N87&lt;0,0,'Quant. mod. (oc)'!N87)</f>
        <v>504.476</v>
      </c>
      <c r="O87" s="125">
        <f>IF('Quant. mod. (oc)'!O87&lt;0,0,'Quant. mod. (oc)'!O87)</f>
        <v>504.476</v>
      </c>
      <c r="P87" s="125">
        <f>IF('Quant. mod. (oc)'!P87&lt;0,0,'Quant. mod. (oc)'!P87)</f>
        <v>504.476</v>
      </c>
      <c r="Q87" s="125">
        <f>IF('Quant. mod. (oc)'!Q87&lt;0,0,'Quant. mod. (oc)'!Q87)</f>
        <v>252.238</v>
      </c>
      <c r="R87" s="125">
        <f>IF('Quant. mod. (oc)'!R87&lt;0,0,'Quant. mod. (oc)'!R87)</f>
        <v>252.238</v>
      </c>
      <c r="S87" s="125">
        <f>IF('Quant. mod. (oc)'!S87&lt;0,0,'Quant. mod. (oc)'!S87)</f>
        <v>252.238</v>
      </c>
      <c r="T87" s="125">
        <f>IF('Quant. mod. (oc)'!T87&lt;0,0,'Quant. mod. (oc)'!T87)</f>
        <v>504.476</v>
      </c>
      <c r="U87" s="125">
        <f>IF('Quant. mod. (oc)'!U87&lt;0,0,'Quant. mod. (oc)'!U87)</f>
        <v>504.476</v>
      </c>
      <c r="V87" s="125">
        <f>IF('Quant. mod. (oc)'!V87&lt;0,0,'Quant. mod. (oc)'!V87)</f>
        <v>252.238</v>
      </c>
      <c r="W87" s="125">
        <f>IF('Quant. mod. (oc)'!W87&lt;0,0,'Quant. mod. (oc)'!W87)</f>
        <v>252.238</v>
      </c>
      <c r="X87" s="125">
        <f>IF('Quant. mod. (oc)'!X87&lt;0,0,'Quant. mod. (oc)'!X87)</f>
        <v>0</v>
      </c>
      <c r="Y87" s="125">
        <f>IF('Quant. mod. (oc)'!Y87&lt;0,0,'Quant. mod. (oc)'!Y87)</f>
        <v>0</v>
      </c>
      <c r="Z87" s="125">
        <f>IF('Quant. mod. (oc)'!Z87&lt;0,0,'Quant. mod. (oc)'!Z87)</f>
        <v>0</v>
      </c>
      <c r="AA87" s="125">
        <f>IF('Quant. mod. (oc)'!AA87&lt;0,0,'Quant. mod. (oc)'!AA87)</f>
        <v>0</v>
      </c>
      <c r="AB87" s="125">
        <f>IF('Quant. mod. (oc)'!AB87&lt;0,0,'Quant. mod. (oc)'!AB87)</f>
        <v>0</v>
      </c>
      <c r="AC87" s="125">
        <f>IF('Quant. mod. (oc)'!AC87&lt;0,0,'Quant. mod. (oc)'!AC87)</f>
        <v>0</v>
      </c>
      <c r="AD87" s="125">
        <f>IF('Quant. mod. (oc)'!AD87&lt;0,0,'Quant. mod. (oc)'!AD87)</f>
        <v>0</v>
      </c>
      <c r="AE87" s="125">
        <f>IF('Quant. mod. (oc)'!AE87&lt;0,0,'Quant. mod. (oc)'!AE87)</f>
        <v>0</v>
      </c>
      <c r="AF87" s="125">
        <f>IF('Quant. mod. (oc)'!AF87&lt;0,0,'Quant. mod. (oc)'!AF87)</f>
        <v>0</v>
      </c>
      <c r="AG87" s="126">
        <f>IF('Quant. mod. (oc)'!AG87&lt;0,0,'Quant. mod. (oc)'!AG87)</f>
        <v>0</v>
      </c>
      <c r="AH87" s="22"/>
    </row>
    <row r="88" spans="1:34" x14ac:dyDescent="0.25">
      <c r="A88" s="21"/>
      <c r="B88" s="27" t="s">
        <v>465</v>
      </c>
      <c r="C88" s="67" t="s">
        <v>63</v>
      </c>
      <c r="D88" s="125">
        <f>IF('Quant. mod. (oc)'!D88&lt;0,0,'Quant. mod. (oc)'!D88)</f>
        <v>0</v>
      </c>
      <c r="E88" s="125">
        <f>IF('Quant. mod. (oc)'!E88&lt;0,0,'Quant. mod. (oc)'!E88)</f>
        <v>0</v>
      </c>
      <c r="F88" s="125">
        <f>IF('Quant. mod. (oc)'!F88&lt;0,0,'Quant. mod. (oc)'!F88)</f>
        <v>0</v>
      </c>
      <c r="G88" s="125">
        <f>IF('Quant. mod. (oc)'!G88&lt;0,0,'Quant. mod. (oc)'!G88)</f>
        <v>0</v>
      </c>
      <c r="H88" s="125">
        <f>IF('Quant. mod. (oc)'!H88&lt;0,0,'Quant. mod. (oc)'!H88)</f>
        <v>0</v>
      </c>
      <c r="I88" s="125">
        <f>IF('Quant. mod. (oc)'!I88&lt;0,0,'Quant. mod. (oc)'!I88)</f>
        <v>0</v>
      </c>
      <c r="J88" s="125">
        <f>IF('Quant. mod. (oc)'!J88&lt;0,0,'Quant. mod. (oc)'!J88)</f>
        <v>0</v>
      </c>
      <c r="K88" s="125">
        <f>IF('Quant. mod. (oc)'!K88&lt;0,0,'Quant. mod. (oc)'!K88)</f>
        <v>0</v>
      </c>
      <c r="L88" s="125">
        <f>IF('Quant. mod. (oc)'!L88&lt;0,0,'Quant. mod. (oc)'!L88)</f>
        <v>0</v>
      </c>
      <c r="M88" s="125">
        <f>IF('Quant. mod. (oc)'!M88&lt;0,0,'Quant. mod. (oc)'!M88)</f>
        <v>0</v>
      </c>
      <c r="N88" s="125">
        <f>IF('Quant. mod. (oc)'!N88&lt;0,0,'Quant. mod. (oc)'!N88)</f>
        <v>2020.6400000000003</v>
      </c>
      <c r="O88" s="125">
        <f>IF('Quant. mod. (oc)'!O88&lt;0,0,'Quant. mod. (oc)'!O88)</f>
        <v>2020.6400000000003</v>
      </c>
      <c r="P88" s="125">
        <f>IF('Quant. mod. (oc)'!P88&lt;0,0,'Quant. mod. (oc)'!P88)</f>
        <v>2020.6400000000003</v>
      </c>
      <c r="Q88" s="125">
        <f>IF('Quant. mod. (oc)'!Q88&lt;0,0,'Quant. mod. (oc)'!Q88)</f>
        <v>332.73099999999999</v>
      </c>
      <c r="R88" s="125">
        <f>IF('Quant. mod. (oc)'!R88&lt;0,0,'Quant. mod. (oc)'!R88)</f>
        <v>332.73099999999999</v>
      </c>
      <c r="S88" s="125">
        <f>IF('Quant. mod. (oc)'!S88&lt;0,0,'Quant. mod. (oc)'!S88)</f>
        <v>332.73099999999999</v>
      </c>
      <c r="T88" s="125">
        <f>IF('Quant. mod. (oc)'!T88&lt;0,0,'Quant. mod. (oc)'!T88)</f>
        <v>2020.6400000000003</v>
      </c>
      <c r="U88" s="125">
        <f>IF('Quant. mod. (oc)'!U88&lt;0,0,'Quant. mod. (oc)'!U88)</f>
        <v>2020.6400000000003</v>
      </c>
      <c r="V88" s="125">
        <f>IF('Quant. mod. (oc)'!V88&lt;0,0,'Quant. mod. (oc)'!V88)</f>
        <v>332.73099999999999</v>
      </c>
      <c r="W88" s="125">
        <f>IF('Quant. mod. (oc)'!W88&lt;0,0,'Quant. mod. (oc)'!W88)</f>
        <v>332.73099999999999</v>
      </c>
      <c r="X88" s="125">
        <f>IF('Quant. mod. (oc)'!X88&lt;0,0,'Quant. mod. (oc)'!X88)</f>
        <v>0</v>
      </c>
      <c r="Y88" s="125">
        <f>IF('Quant. mod. (oc)'!Y88&lt;0,0,'Quant. mod. (oc)'!Y88)</f>
        <v>0</v>
      </c>
      <c r="Z88" s="125">
        <f>IF('Quant. mod. (oc)'!Z88&lt;0,0,'Quant. mod. (oc)'!Z88)</f>
        <v>0</v>
      </c>
      <c r="AA88" s="125">
        <f>IF('Quant. mod. (oc)'!AA88&lt;0,0,'Quant. mod. (oc)'!AA88)</f>
        <v>0</v>
      </c>
      <c r="AB88" s="125">
        <f>IF('Quant. mod. (oc)'!AB88&lt;0,0,'Quant. mod. (oc)'!AB88)</f>
        <v>0</v>
      </c>
      <c r="AC88" s="125">
        <f>IF('Quant. mod. (oc)'!AC88&lt;0,0,'Quant. mod. (oc)'!AC88)</f>
        <v>0</v>
      </c>
      <c r="AD88" s="125">
        <f>IF('Quant. mod. (oc)'!AD88&lt;0,0,'Quant. mod. (oc)'!AD88)</f>
        <v>0</v>
      </c>
      <c r="AE88" s="125">
        <f>IF('Quant. mod. (oc)'!AE88&lt;0,0,'Quant. mod. (oc)'!AE88)</f>
        <v>0</v>
      </c>
      <c r="AF88" s="125">
        <f>IF('Quant. mod. (oc)'!AF88&lt;0,0,'Quant. mod. (oc)'!AF88)</f>
        <v>0</v>
      </c>
      <c r="AG88" s="126">
        <f>IF('Quant. mod. (oc)'!AG88&lt;0,0,'Quant. mod. (oc)'!AG88)</f>
        <v>0</v>
      </c>
      <c r="AH88" s="22"/>
    </row>
    <row r="89" spans="1:34" x14ac:dyDescent="0.25">
      <c r="A89" s="21"/>
      <c r="B89" s="27" t="s">
        <v>522</v>
      </c>
      <c r="C89" s="67" t="s">
        <v>63</v>
      </c>
      <c r="D89" s="125">
        <f>IF('Quant. mod. (oc)'!D89&lt;0,0,'Quant. mod. (oc)'!D89)</f>
        <v>0</v>
      </c>
      <c r="E89" s="125">
        <f>IF('Quant. mod. (oc)'!E89&lt;0,0,'Quant. mod. (oc)'!E89)</f>
        <v>0</v>
      </c>
      <c r="F89" s="125">
        <f>IF('Quant. mod. (oc)'!F89&lt;0,0,'Quant. mod. (oc)'!F89)</f>
        <v>0</v>
      </c>
      <c r="G89" s="125">
        <f>IF('Quant. mod. (oc)'!G89&lt;0,0,'Quant. mod. (oc)'!G89)</f>
        <v>0</v>
      </c>
      <c r="H89" s="125">
        <f>IF('Quant. mod. (oc)'!H89&lt;0,0,'Quant. mod. (oc)'!H89)</f>
        <v>0</v>
      </c>
      <c r="I89" s="125">
        <f>IF('Quant. mod. (oc)'!I89&lt;0,0,'Quant. mod. (oc)'!I89)</f>
        <v>0</v>
      </c>
      <c r="J89" s="125">
        <f>IF('Quant. mod. (oc)'!J89&lt;0,0,'Quant. mod. (oc)'!J89)</f>
        <v>0</v>
      </c>
      <c r="K89" s="125">
        <f>IF('Quant. mod. (oc)'!K89&lt;0,0,'Quant. mod. (oc)'!K89)</f>
        <v>0</v>
      </c>
      <c r="L89" s="125">
        <f>IF('Quant. mod. (oc)'!L89&lt;0,0,'Quant. mod. (oc)'!L89)</f>
        <v>0</v>
      </c>
      <c r="M89" s="125">
        <f>IF('Quant. mod. (oc)'!M89&lt;0,0,'Quant. mod. (oc)'!M89)</f>
        <v>0</v>
      </c>
      <c r="N89" s="125">
        <f>IF('Quant. mod. (oc)'!N89&lt;0,0,'Quant. mod. (oc)'!N89)</f>
        <v>1010.0699999999999</v>
      </c>
      <c r="O89" s="125">
        <f>IF('Quant. mod. (oc)'!O89&lt;0,0,'Quant. mod. (oc)'!O89)</f>
        <v>1010.0699999999999</v>
      </c>
      <c r="P89" s="125">
        <f>IF('Quant. mod. (oc)'!P89&lt;0,0,'Quant. mod. (oc)'!P89)</f>
        <v>1010.0699999999999</v>
      </c>
      <c r="Q89" s="125">
        <f>IF('Quant. mod. (oc)'!Q89&lt;0,0,'Quant. mod. (oc)'!Q89)</f>
        <v>233.98400000000001</v>
      </c>
      <c r="R89" s="125">
        <f>IF('Quant. mod. (oc)'!R89&lt;0,0,'Quant. mod. (oc)'!R89)</f>
        <v>233.98400000000001</v>
      </c>
      <c r="S89" s="125">
        <f>IF('Quant. mod. (oc)'!S89&lt;0,0,'Quant. mod. (oc)'!S89)</f>
        <v>233.98400000000001</v>
      </c>
      <c r="T89" s="125">
        <f>IF('Quant. mod. (oc)'!T89&lt;0,0,'Quant. mod. (oc)'!T89)</f>
        <v>1010.0699999999999</v>
      </c>
      <c r="U89" s="125">
        <f>IF('Quant. mod. (oc)'!U89&lt;0,0,'Quant. mod. (oc)'!U89)</f>
        <v>1010.0699999999999</v>
      </c>
      <c r="V89" s="125">
        <f>IF('Quant. mod. (oc)'!V89&lt;0,0,'Quant. mod. (oc)'!V89)</f>
        <v>233.98400000000001</v>
      </c>
      <c r="W89" s="125">
        <f>IF('Quant. mod. (oc)'!W89&lt;0,0,'Quant. mod. (oc)'!W89)</f>
        <v>233.98400000000001</v>
      </c>
      <c r="X89" s="125">
        <f>IF('Quant. mod. (oc)'!X89&lt;0,0,'Quant. mod. (oc)'!X89)</f>
        <v>0</v>
      </c>
      <c r="Y89" s="125">
        <f>IF('Quant. mod. (oc)'!Y89&lt;0,0,'Quant. mod. (oc)'!Y89)</f>
        <v>0</v>
      </c>
      <c r="Z89" s="125">
        <f>IF('Quant. mod. (oc)'!Z89&lt;0,0,'Quant. mod. (oc)'!Z89)</f>
        <v>0</v>
      </c>
      <c r="AA89" s="125">
        <f>IF('Quant. mod. (oc)'!AA89&lt;0,0,'Quant. mod. (oc)'!AA89)</f>
        <v>0</v>
      </c>
      <c r="AB89" s="125">
        <f>IF('Quant. mod. (oc)'!AB89&lt;0,0,'Quant. mod. (oc)'!AB89)</f>
        <v>0</v>
      </c>
      <c r="AC89" s="125">
        <f>IF('Quant. mod. (oc)'!AC89&lt;0,0,'Quant. mod. (oc)'!AC89)</f>
        <v>0</v>
      </c>
      <c r="AD89" s="125">
        <f>IF('Quant. mod. (oc)'!AD89&lt;0,0,'Quant. mod. (oc)'!AD89)</f>
        <v>0</v>
      </c>
      <c r="AE89" s="125">
        <f>IF('Quant. mod. (oc)'!AE89&lt;0,0,'Quant. mod. (oc)'!AE89)</f>
        <v>0</v>
      </c>
      <c r="AF89" s="125">
        <f>IF('Quant. mod. (oc)'!AF89&lt;0,0,'Quant. mod. (oc)'!AF89)</f>
        <v>0</v>
      </c>
      <c r="AG89" s="126">
        <f>IF('Quant. mod. (oc)'!AG89&lt;0,0,'Quant. mod. (oc)'!AG89)</f>
        <v>0</v>
      </c>
      <c r="AH89" s="22"/>
    </row>
    <row r="90" spans="1:34" ht="25.5" x14ac:dyDescent="0.25">
      <c r="A90" s="21"/>
      <c r="B90" s="27" t="s">
        <v>516</v>
      </c>
      <c r="C90" s="67" t="s">
        <v>57</v>
      </c>
      <c r="D90" s="125">
        <f>IF('Quant. mod. (oc)'!D90&lt;0,0,'Quant. mod. (oc)'!D90)</f>
        <v>0</v>
      </c>
      <c r="E90" s="125">
        <f>IF('Quant. mod. (oc)'!E90&lt;0,0,'Quant. mod. (oc)'!E90)</f>
        <v>0</v>
      </c>
      <c r="F90" s="125">
        <f>IF('Quant. mod. (oc)'!F90&lt;0,0,'Quant. mod. (oc)'!F90)</f>
        <v>0</v>
      </c>
      <c r="G90" s="125">
        <f>IF('Quant. mod. (oc)'!G90&lt;0,0,'Quant. mod. (oc)'!G90)</f>
        <v>0</v>
      </c>
      <c r="H90" s="125">
        <f>IF('Quant. mod. (oc)'!H90&lt;0,0,'Quant. mod. (oc)'!H90)</f>
        <v>0</v>
      </c>
      <c r="I90" s="125">
        <f>IF('Quant. mod. (oc)'!I90&lt;0,0,'Quant. mod. (oc)'!I90)</f>
        <v>0</v>
      </c>
      <c r="J90" s="125">
        <f>IF('Quant. mod. (oc)'!J90&lt;0,0,'Quant. mod. (oc)'!J90)</f>
        <v>0</v>
      </c>
      <c r="K90" s="125">
        <f>IF('Quant. mod. (oc)'!K90&lt;0,0,'Quant. mod. (oc)'!K90)</f>
        <v>0</v>
      </c>
      <c r="L90" s="125">
        <f>IF('Quant. mod. (oc)'!L90&lt;0,0,'Quant. mod. (oc)'!L90)</f>
        <v>0</v>
      </c>
      <c r="M90" s="125">
        <f>IF('Quant. mod. (oc)'!M90&lt;0,0,'Quant. mod. (oc)'!M90)</f>
        <v>0</v>
      </c>
      <c r="N90" s="125">
        <f>IF('Quant. mod. (oc)'!N90&lt;0,0,'Quant. mod. (oc)'!N90)</f>
        <v>126.77600000000001</v>
      </c>
      <c r="O90" s="125">
        <f>IF('Quant. mod. (oc)'!O90&lt;0,0,'Quant. mod. (oc)'!O90)</f>
        <v>126.77600000000001</v>
      </c>
      <c r="P90" s="125">
        <f>IF('Quant. mod. (oc)'!P90&lt;0,0,'Quant. mod. (oc)'!P90)</f>
        <v>126.77600000000001</v>
      </c>
      <c r="Q90" s="125">
        <f>IF('Quant. mod. (oc)'!Q90&lt;0,0,'Quant. mod. (oc)'!Q90)</f>
        <v>27.723399999999998</v>
      </c>
      <c r="R90" s="125">
        <f>IF('Quant. mod. (oc)'!R90&lt;0,0,'Quant. mod. (oc)'!R90)</f>
        <v>27.723399999999998</v>
      </c>
      <c r="S90" s="125">
        <f>IF('Quant. mod. (oc)'!S90&lt;0,0,'Quant. mod. (oc)'!S90)</f>
        <v>27.723399999999998</v>
      </c>
      <c r="T90" s="125">
        <f>IF('Quant. mod. (oc)'!T90&lt;0,0,'Quant. mod. (oc)'!T90)</f>
        <v>126.77600000000001</v>
      </c>
      <c r="U90" s="125">
        <f>IF('Quant. mod. (oc)'!U90&lt;0,0,'Quant. mod. (oc)'!U90)</f>
        <v>126.77600000000001</v>
      </c>
      <c r="V90" s="125">
        <f>IF('Quant. mod. (oc)'!V90&lt;0,0,'Quant. mod. (oc)'!V90)</f>
        <v>27.723399999999998</v>
      </c>
      <c r="W90" s="125">
        <f>IF('Quant. mod. (oc)'!W90&lt;0,0,'Quant. mod. (oc)'!W90)</f>
        <v>27.723399999999998</v>
      </c>
      <c r="X90" s="125">
        <f>IF('Quant. mod. (oc)'!X90&lt;0,0,'Quant. mod. (oc)'!X90)</f>
        <v>0</v>
      </c>
      <c r="Y90" s="125">
        <f>IF('Quant. mod. (oc)'!Y90&lt;0,0,'Quant. mod. (oc)'!Y90)</f>
        <v>0</v>
      </c>
      <c r="Z90" s="125">
        <f>IF('Quant. mod. (oc)'!Z90&lt;0,0,'Quant. mod. (oc)'!Z90)</f>
        <v>0</v>
      </c>
      <c r="AA90" s="125">
        <f>IF('Quant. mod. (oc)'!AA90&lt;0,0,'Quant. mod. (oc)'!AA90)</f>
        <v>0</v>
      </c>
      <c r="AB90" s="125">
        <f>IF('Quant. mod. (oc)'!AB90&lt;0,0,'Quant. mod. (oc)'!AB90)</f>
        <v>0</v>
      </c>
      <c r="AC90" s="125">
        <f>IF('Quant. mod. (oc)'!AC90&lt;0,0,'Quant. mod. (oc)'!AC90)</f>
        <v>0</v>
      </c>
      <c r="AD90" s="125">
        <f>IF('Quant. mod. (oc)'!AD90&lt;0,0,'Quant. mod. (oc)'!AD90)</f>
        <v>0</v>
      </c>
      <c r="AE90" s="125">
        <f>IF('Quant. mod. (oc)'!AE90&lt;0,0,'Quant. mod. (oc)'!AE90)</f>
        <v>0</v>
      </c>
      <c r="AF90" s="125">
        <f>IF('Quant. mod. (oc)'!AF90&lt;0,0,'Quant. mod. (oc)'!AF90)</f>
        <v>0</v>
      </c>
      <c r="AG90" s="126">
        <f>IF('Quant. mod. (oc)'!AG90&lt;0,0,'Quant. mod. (oc)'!AG90)</f>
        <v>0</v>
      </c>
      <c r="AH90" s="22"/>
    </row>
    <row r="91" spans="1:34" ht="25.5" x14ac:dyDescent="0.25">
      <c r="A91" s="21"/>
      <c r="B91" s="27" t="s">
        <v>517</v>
      </c>
      <c r="C91" s="67" t="s">
        <v>57</v>
      </c>
      <c r="D91" s="125">
        <f>IF('Quant. mod. (oc)'!D91&lt;0,0,'Quant. mod. (oc)'!D91)</f>
        <v>0</v>
      </c>
      <c r="E91" s="125">
        <f>IF('Quant. mod. (oc)'!E91&lt;0,0,'Quant. mod. (oc)'!E91)</f>
        <v>0</v>
      </c>
      <c r="F91" s="125">
        <f>IF('Quant. mod. (oc)'!F91&lt;0,0,'Quant. mod. (oc)'!F91)</f>
        <v>0</v>
      </c>
      <c r="G91" s="125">
        <f>IF('Quant. mod. (oc)'!G91&lt;0,0,'Quant. mod. (oc)'!G91)</f>
        <v>0</v>
      </c>
      <c r="H91" s="125">
        <f>IF('Quant. mod. (oc)'!H91&lt;0,0,'Quant. mod. (oc)'!H91)</f>
        <v>0</v>
      </c>
      <c r="I91" s="125">
        <f>IF('Quant. mod. (oc)'!I91&lt;0,0,'Quant. mod. (oc)'!I91)</f>
        <v>0</v>
      </c>
      <c r="J91" s="125">
        <f>IF('Quant. mod. (oc)'!J91&lt;0,0,'Quant. mod. (oc)'!J91)</f>
        <v>0</v>
      </c>
      <c r="K91" s="125">
        <f>IF('Quant. mod. (oc)'!K91&lt;0,0,'Quant. mod. (oc)'!K91)</f>
        <v>0</v>
      </c>
      <c r="L91" s="125">
        <f>IF('Quant. mod. (oc)'!L91&lt;0,0,'Quant. mod. (oc)'!L91)</f>
        <v>0</v>
      </c>
      <c r="M91" s="125">
        <f>IF('Quant. mod. (oc)'!M91&lt;0,0,'Quant. mod. (oc)'!M91)</f>
        <v>0</v>
      </c>
      <c r="N91" s="125">
        <f>IF('Quant. mod. (oc)'!N91&lt;0,0,'Quant. mod. (oc)'!N91)</f>
        <v>126.77600000000001</v>
      </c>
      <c r="O91" s="125">
        <f>IF('Quant. mod. (oc)'!O91&lt;0,0,'Quant. mod. (oc)'!O91)</f>
        <v>126.77600000000001</v>
      </c>
      <c r="P91" s="125">
        <f>IF('Quant. mod. (oc)'!P91&lt;0,0,'Quant. mod. (oc)'!P91)</f>
        <v>126.77600000000001</v>
      </c>
      <c r="Q91" s="125">
        <f>IF('Quant. mod. (oc)'!Q91&lt;0,0,'Quant. mod. (oc)'!Q91)</f>
        <v>27.723399999999998</v>
      </c>
      <c r="R91" s="125">
        <f>IF('Quant. mod. (oc)'!R91&lt;0,0,'Quant. mod. (oc)'!R91)</f>
        <v>27.723399999999998</v>
      </c>
      <c r="S91" s="125">
        <f>IF('Quant. mod. (oc)'!S91&lt;0,0,'Quant. mod. (oc)'!S91)</f>
        <v>27.723399999999998</v>
      </c>
      <c r="T91" s="125">
        <f>IF('Quant. mod. (oc)'!T91&lt;0,0,'Quant. mod. (oc)'!T91)</f>
        <v>126.77600000000001</v>
      </c>
      <c r="U91" s="125">
        <f>IF('Quant. mod. (oc)'!U91&lt;0,0,'Quant. mod. (oc)'!U91)</f>
        <v>126.77600000000001</v>
      </c>
      <c r="V91" s="125">
        <f>IF('Quant. mod. (oc)'!V91&lt;0,0,'Quant. mod. (oc)'!V91)</f>
        <v>27.723399999999998</v>
      </c>
      <c r="W91" s="125">
        <f>IF('Quant. mod. (oc)'!W91&lt;0,0,'Quant. mod. (oc)'!W91)</f>
        <v>27.723399999999998</v>
      </c>
      <c r="X91" s="125">
        <f>IF('Quant. mod. (oc)'!X91&lt;0,0,'Quant. mod. (oc)'!X91)</f>
        <v>0</v>
      </c>
      <c r="Y91" s="125">
        <f>IF('Quant. mod. (oc)'!Y91&lt;0,0,'Quant. mod. (oc)'!Y91)</f>
        <v>0</v>
      </c>
      <c r="Z91" s="125">
        <f>IF('Quant. mod. (oc)'!Z91&lt;0,0,'Quant. mod. (oc)'!Z91)</f>
        <v>0</v>
      </c>
      <c r="AA91" s="125">
        <f>IF('Quant. mod. (oc)'!AA91&lt;0,0,'Quant. mod. (oc)'!AA91)</f>
        <v>0</v>
      </c>
      <c r="AB91" s="125">
        <f>IF('Quant. mod. (oc)'!AB91&lt;0,0,'Quant. mod. (oc)'!AB91)</f>
        <v>0</v>
      </c>
      <c r="AC91" s="125">
        <f>IF('Quant. mod. (oc)'!AC91&lt;0,0,'Quant. mod. (oc)'!AC91)</f>
        <v>0</v>
      </c>
      <c r="AD91" s="125">
        <f>IF('Quant. mod. (oc)'!AD91&lt;0,0,'Quant. mod. (oc)'!AD91)</f>
        <v>0</v>
      </c>
      <c r="AE91" s="125">
        <f>IF('Quant. mod. (oc)'!AE91&lt;0,0,'Quant. mod. (oc)'!AE91)</f>
        <v>0</v>
      </c>
      <c r="AF91" s="125">
        <f>IF('Quant. mod. (oc)'!AF91&lt;0,0,'Quant. mod. (oc)'!AF91)</f>
        <v>0</v>
      </c>
      <c r="AG91" s="126">
        <f>IF('Quant. mod. (oc)'!AG91&lt;0,0,'Quant. mod. (oc)'!AG91)</f>
        <v>0</v>
      </c>
      <c r="AH91" s="22"/>
    </row>
    <row r="92" spans="1:34" x14ac:dyDescent="0.25">
      <c r="A92" s="21"/>
      <c r="B92" s="27" t="s">
        <v>523</v>
      </c>
      <c r="C92" s="67" t="s">
        <v>65</v>
      </c>
      <c r="D92" s="125">
        <f>IF('Quant. mod. (oc)'!D92&lt;0,0,'Quant. mod. (oc)'!D92)</f>
        <v>0</v>
      </c>
      <c r="E92" s="125">
        <f>IF('Quant. mod. (oc)'!E92&lt;0,0,'Quant. mod. (oc)'!E92)</f>
        <v>0</v>
      </c>
      <c r="F92" s="125">
        <f>IF('Quant. mod. (oc)'!F92&lt;0,0,'Quant. mod. (oc)'!F92)</f>
        <v>0</v>
      </c>
      <c r="G92" s="125">
        <f>IF('Quant. mod. (oc)'!G92&lt;0,0,'Quant. mod. (oc)'!G92)</f>
        <v>0</v>
      </c>
      <c r="H92" s="125">
        <f>IF('Quant. mod. (oc)'!H92&lt;0,0,'Quant. mod. (oc)'!H92)</f>
        <v>0</v>
      </c>
      <c r="I92" s="125">
        <f>IF('Quant. mod. (oc)'!I92&lt;0,0,'Quant. mod. (oc)'!I92)</f>
        <v>0</v>
      </c>
      <c r="J92" s="125">
        <f>IF('Quant. mod. (oc)'!J92&lt;0,0,'Quant. mod. (oc)'!J92)</f>
        <v>0</v>
      </c>
      <c r="K92" s="125">
        <f>IF('Quant. mod. (oc)'!K92&lt;0,0,'Quant. mod. (oc)'!K92)</f>
        <v>0</v>
      </c>
      <c r="L92" s="125">
        <f>IF('Quant. mod. (oc)'!L92&lt;0,0,'Quant. mod. (oc)'!L92)</f>
        <v>0</v>
      </c>
      <c r="M92" s="125">
        <f>IF('Quant. mod. (oc)'!M92&lt;0,0,'Quant. mod. (oc)'!M92)</f>
        <v>0</v>
      </c>
      <c r="N92" s="125">
        <f>IF('Quant. mod. (oc)'!N92&lt;0,0,'Quant. mod. (oc)'!N92)</f>
        <v>0.76319999999999999</v>
      </c>
      <c r="O92" s="125">
        <f>IF('Quant. mod. (oc)'!O92&lt;0,0,'Quant. mod. (oc)'!O92)</f>
        <v>0.76319999999999999</v>
      </c>
      <c r="P92" s="125">
        <f>IF('Quant. mod. (oc)'!P92&lt;0,0,'Quant. mod. (oc)'!P92)</f>
        <v>0.76319999999999999</v>
      </c>
      <c r="Q92" s="125">
        <f>IF('Quant. mod. (oc)'!Q92&lt;0,0,'Quant. mod. (oc)'!Q92)</f>
        <v>0.76319999999999999</v>
      </c>
      <c r="R92" s="125">
        <f>IF('Quant. mod. (oc)'!R92&lt;0,0,'Quant. mod. (oc)'!R92)</f>
        <v>0.76319999999999999</v>
      </c>
      <c r="S92" s="125">
        <f>IF('Quant. mod. (oc)'!S92&lt;0,0,'Quant. mod. (oc)'!S92)</f>
        <v>0.76319999999999999</v>
      </c>
      <c r="T92" s="125">
        <f>IF('Quant. mod. (oc)'!T92&lt;0,0,'Quant. mod. (oc)'!T92)</f>
        <v>0.76319999999999999</v>
      </c>
      <c r="U92" s="125">
        <f>IF('Quant. mod. (oc)'!U92&lt;0,0,'Quant. mod. (oc)'!U92)</f>
        <v>0.76319999999999999</v>
      </c>
      <c r="V92" s="125">
        <f>IF('Quant. mod. (oc)'!V92&lt;0,0,'Quant. mod. (oc)'!V92)</f>
        <v>0.76319999999999999</v>
      </c>
      <c r="W92" s="125">
        <f>IF('Quant. mod. (oc)'!W92&lt;0,0,'Quant. mod. (oc)'!W92)</f>
        <v>0.76319999999999999</v>
      </c>
      <c r="X92" s="125">
        <f>IF('Quant. mod. (oc)'!X92&lt;0,0,'Quant. mod. (oc)'!X92)</f>
        <v>0</v>
      </c>
      <c r="Y92" s="125">
        <f>IF('Quant. mod. (oc)'!Y92&lt;0,0,'Quant. mod. (oc)'!Y92)</f>
        <v>0</v>
      </c>
      <c r="Z92" s="125">
        <f>IF('Quant. mod. (oc)'!Z92&lt;0,0,'Quant. mod. (oc)'!Z92)</f>
        <v>0</v>
      </c>
      <c r="AA92" s="125">
        <f>IF('Quant. mod. (oc)'!AA92&lt;0,0,'Quant. mod. (oc)'!AA92)</f>
        <v>0</v>
      </c>
      <c r="AB92" s="125">
        <f>IF('Quant. mod. (oc)'!AB92&lt;0,0,'Quant. mod. (oc)'!AB92)</f>
        <v>0</v>
      </c>
      <c r="AC92" s="125">
        <f>IF('Quant. mod. (oc)'!AC92&lt;0,0,'Quant. mod. (oc)'!AC92)</f>
        <v>0</v>
      </c>
      <c r="AD92" s="125">
        <f>IF('Quant. mod. (oc)'!AD92&lt;0,0,'Quant. mod. (oc)'!AD92)</f>
        <v>0</v>
      </c>
      <c r="AE92" s="125">
        <f>IF('Quant. mod. (oc)'!AE92&lt;0,0,'Quant. mod. (oc)'!AE92)</f>
        <v>0</v>
      </c>
      <c r="AF92" s="125">
        <f>IF('Quant. mod. (oc)'!AF92&lt;0,0,'Quant. mod. (oc)'!AF92)</f>
        <v>0</v>
      </c>
      <c r="AG92" s="126">
        <f>IF('Quant. mod. (oc)'!AG92&lt;0,0,'Quant. mod. (oc)'!AG92)</f>
        <v>0</v>
      </c>
      <c r="AH92" s="22"/>
    </row>
    <row r="93" spans="1:34" x14ac:dyDescent="0.25">
      <c r="A93" s="21"/>
      <c r="B93" s="27" t="s">
        <v>524</v>
      </c>
      <c r="C93" s="67" t="s">
        <v>65</v>
      </c>
      <c r="D93" s="125">
        <f>IF('Quant. mod. (oc)'!D93&lt;0,0,'Quant. mod. (oc)'!D93)</f>
        <v>0</v>
      </c>
      <c r="E93" s="125">
        <f>IF('Quant. mod. (oc)'!E93&lt;0,0,'Quant. mod. (oc)'!E93)</f>
        <v>0</v>
      </c>
      <c r="F93" s="125">
        <f>IF('Quant. mod. (oc)'!F93&lt;0,0,'Quant. mod. (oc)'!F93)</f>
        <v>0</v>
      </c>
      <c r="G93" s="125">
        <f>IF('Quant. mod. (oc)'!G93&lt;0,0,'Quant. mod. (oc)'!G93)</f>
        <v>0</v>
      </c>
      <c r="H93" s="125">
        <f>IF('Quant. mod. (oc)'!H93&lt;0,0,'Quant. mod. (oc)'!H93)</f>
        <v>0</v>
      </c>
      <c r="I93" s="125">
        <f>IF('Quant. mod. (oc)'!I93&lt;0,0,'Quant. mod. (oc)'!I93)</f>
        <v>0</v>
      </c>
      <c r="J93" s="125">
        <f>IF('Quant. mod. (oc)'!J93&lt;0,0,'Quant. mod. (oc)'!J93)</f>
        <v>0</v>
      </c>
      <c r="K93" s="125">
        <f>IF('Quant. mod. (oc)'!K93&lt;0,0,'Quant. mod. (oc)'!K93)</f>
        <v>0</v>
      </c>
      <c r="L93" s="125">
        <f>IF('Quant. mod. (oc)'!L93&lt;0,0,'Quant. mod. (oc)'!L93)</f>
        <v>0</v>
      </c>
      <c r="M93" s="125">
        <f>IF('Quant. mod. (oc)'!M93&lt;0,0,'Quant. mod. (oc)'!M93)</f>
        <v>0</v>
      </c>
      <c r="N93" s="125">
        <f>IF('Quant. mod. (oc)'!N93&lt;0,0,'Quant. mod. (oc)'!N93)</f>
        <v>0.3861</v>
      </c>
      <c r="O93" s="125">
        <f>IF('Quant. mod. (oc)'!O93&lt;0,0,'Quant. mod. (oc)'!O93)</f>
        <v>0.3861</v>
      </c>
      <c r="P93" s="125">
        <f>IF('Quant. mod. (oc)'!P93&lt;0,0,'Quant. mod. (oc)'!P93)</f>
        <v>0.3861</v>
      </c>
      <c r="Q93" s="125">
        <f>IF('Quant. mod. (oc)'!Q93&lt;0,0,'Quant. mod. (oc)'!Q93)</f>
        <v>0.3861</v>
      </c>
      <c r="R93" s="125">
        <f>IF('Quant. mod. (oc)'!R93&lt;0,0,'Quant. mod. (oc)'!R93)</f>
        <v>0.3861</v>
      </c>
      <c r="S93" s="125">
        <f>IF('Quant. mod. (oc)'!S93&lt;0,0,'Quant. mod. (oc)'!S93)</f>
        <v>0.3861</v>
      </c>
      <c r="T93" s="125">
        <f>IF('Quant. mod. (oc)'!T93&lt;0,0,'Quant. mod. (oc)'!T93)</f>
        <v>0.3861</v>
      </c>
      <c r="U93" s="125">
        <f>IF('Quant. mod. (oc)'!U93&lt;0,0,'Quant. mod. (oc)'!U93)</f>
        <v>0.3861</v>
      </c>
      <c r="V93" s="125">
        <f>IF('Quant. mod. (oc)'!V93&lt;0,0,'Quant. mod. (oc)'!V93)</f>
        <v>0.3861</v>
      </c>
      <c r="W93" s="125">
        <f>IF('Quant. mod. (oc)'!W93&lt;0,0,'Quant. mod. (oc)'!W93)</f>
        <v>0.3861</v>
      </c>
      <c r="X93" s="125">
        <f>IF('Quant. mod. (oc)'!X93&lt;0,0,'Quant. mod. (oc)'!X93)</f>
        <v>0</v>
      </c>
      <c r="Y93" s="125">
        <f>IF('Quant. mod. (oc)'!Y93&lt;0,0,'Quant. mod. (oc)'!Y93)</f>
        <v>0</v>
      </c>
      <c r="Z93" s="125">
        <f>IF('Quant. mod. (oc)'!Z93&lt;0,0,'Quant. mod. (oc)'!Z93)</f>
        <v>0</v>
      </c>
      <c r="AA93" s="125">
        <f>IF('Quant. mod. (oc)'!AA93&lt;0,0,'Quant. mod. (oc)'!AA93)</f>
        <v>0</v>
      </c>
      <c r="AB93" s="125">
        <f>IF('Quant. mod. (oc)'!AB93&lt;0,0,'Quant. mod. (oc)'!AB93)</f>
        <v>0</v>
      </c>
      <c r="AC93" s="125">
        <f>IF('Quant. mod. (oc)'!AC93&lt;0,0,'Quant. mod. (oc)'!AC93)</f>
        <v>0</v>
      </c>
      <c r="AD93" s="125">
        <f>IF('Quant. mod. (oc)'!AD93&lt;0,0,'Quant. mod. (oc)'!AD93)</f>
        <v>0</v>
      </c>
      <c r="AE93" s="125">
        <f>IF('Quant. mod. (oc)'!AE93&lt;0,0,'Quant. mod. (oc)'!AE93)</f>
        <v>0</v>
      </c>
      <c r="AF93" s="125">
        <f>IF('Quant. mod. (oc)'!AF93&lt;0,0,'Quant. mod. (oc)'!AF93)</f>
        <v>0</v>
      </c>
      <c r="AG93" s="126">
        <f>IF('Quant. mod. (oc)'!AG93&lt;0,0,'Quant. mod. (oc)'!AG93)</f>
        <v>0</v>
      </c>
      <c r="AH93" s="22"/>
    </row>
    <row r="94" spans="1:34" x14ac:dyDescent="0.25">
      <c r="A94" s="21"/>
      <c r="B94" s="27" t="s">
        <v>525</v>
      </c>
      <c r="C94" s="67" t="s">
        <v>65</v>
      </c>
      <c r="D94" s="125">
        <f>IF('Quant. mod. (oc)'!D94&lt;0,0,'Quant. mod. (oc)'!D94)</f>
        <v>0</v>
      </c>
      <c r="E94" s="125">
        <f>IF('Quant. mod. (oc)'!E94&lt;0,0,'Quant. mod. (oc)'!E94)</f>
        <v>0</v>
      </c>
      <c r="F94" s="125">
        <f>IF('Quant. mod. (oc)'!F94&lt;0,0,'Quant. mod. (oc)'!F94)</f>
        <v>0</v>
      </c>
      <c r="G94" s="125">
        <f>IF('Quant. mod. (oc)'!G94&lt;0,0,'Quant. mod. (oc)'!G94)</f>
        <v>0</v>
      </c>
      <c r="H94" s="125">
        <f>IF('Quant. mod. (oc)'!H94&lt;0,0,'Quant. mod. (oc)'!H94)</f>
        <v>0</v>
      </c>
      <c r="I94" s="125">
        <f>IF('Quant. mod. (oc)'!I94&lt;0,0,'Quant. mod. (oc)'!I94)</f>
        <v>0</v>
      </c>
      <c r="J94" s="125">
        <f>IF('Quant. mod. (oc)'!J94&lt;0,0,'Quant. mod. (oc)'!J94)</f>
        <v>0</v>
      </c>
      <c r="K94" s="125">
        <f>IF('Quant. mod. (oc)'!K94&lt;0,0,'Quant. mod. (oc)'!K94)</f>
        <v>0</v>
      </c>
      <c r="L94" s="125">
        <f>IF('Quant. mod. (oc)'!L94&lt;0,0,'Quant. mod. (oc)'!L94)</f>
        <v>0</v>
      </c>
      <c r="M94" s="125">
        <f>IF('Quant. mod. (oc)'!M94&lt;0,0,'Quant. mod. (oc)'!M94)</f>
        <v>0</v>
      </c>
      <c r="N94" s="125">
        <f>IF('Quant. mod. (oc)'!N94&lt;0,0,'Quant. mod. (oc)'!N94)</f>
        <v>0.3861</v>
      </c>
      <c r="O94" s="125">
        <f>IF('Quant. mod. (oc)'!O94&lt;0,0,'Quant. mod. (oc)'!O94)</f>
        <v>0.3861</v>
      </c>
      <c r="P94" s="125">
        <f>IF('Quant. mod. (oc)'!P94&lt;0,0,'Quant. mod. (oc)'!P94)</f>
        <v>0.3861</v>
      </c>
      <c r="Q94" s="125">
        <f>IF('Quant. mod. (oc)'!Q94&lt;0,0,'Quant. mod. (oc)'!Q94)</f>
        <v>0.3861</v>
      </c>
      <c r="R94" s="125">
        <f>IF('Quant. mod. (oc)'!R94&lt;0,0,'Quant. mod. (oc)'!R94)</f>
        <v>0.3861</v>
      </c>
      <c r="S94" s="125">
        <f>IF('Quant. mod. (oc)'!S94&lt;0,0,'Quant. mod. (oc)'!S94)</f>
        <v>0.3861</v>
      </c>
      <c r="T94" s="125">
        <f>IF('Quant. mod. (oc)'!T94&lt;0,0,'Quant. mod. (oc)'!T94)</f>
        <v>0.3861</v>
      </c>
      <c r="U94" s="125">
        <f>IF('Quant. mod. (oc)'!U94&lt;0,0,'Quant. mod. (oc)'!U94)</f>
        <v>0.3861</v>
      </c>
      <c r="V94" s="125">
        <f>IF('Quant. mod. (oc)'!V94&lt;0,0,'Quant. mod. (oc)'!V94)</f>
        <v>0.3861</v>
      </c>
      <c r="W94" s="125">
        <f>IF('Quant. mod. (oc)'!W94&lt;0,0,'Quant. mod. (oc)'!W94)</f>
        <v>0.3861</v>
      </c>
      <c r="X94" s="125">
        <f>IF('Quant. mod. (oc)'!X94&lt;0,0,'Quant. mod. (oc)'!X94)</f>
        <v>0</v>
      </c>
      <c r="Y94" s="125">
        <f>IF('Quant. mod. (oc)'!Y94&lt;0,0,'Quant. mod. (oc)'!Y94)</f>
        <v>0</v>
      </c>
      <c r="Z94" s="125">
        <f>IF('Quant. mod. (oc)'!Z94&lt;0,0,'Quant. mod. (oc)'!Z94)</f>
        <v>0</v>
      </c>
      <c r="AA94" s="125">
        <f>IF('Quant. mod. (oc)'!AA94&lt;0,0,'Quant. mod. (oc)'!AA94)</f>
        <v>0</v>
      </c>
      <c r="AB94" s="125">
        <f>IF('Quant. mod. (oc)'!AB94&lt;0,0,'Quant. mod. (oc)'!AB94)</f>
        <v>0</v>
      </c>
      <c r="AC94" s="125">
        <f>IF('Quant. mod. (oc)'!AC94&lt;0,0,'Quant. mod. (oc)'!AC94)</f>
        <v>0</v>
      </c>
      <c r="AD94" s="125">
        <f>IF('Quant. mod. (oc)'!AD94&lt;0,0,'Quant. mod. (oc)'!AD94)</f>
        <v>0</v>
      </c>
      <c r="AE94" s="125">
        <f>IF('Quant. mod. (oc)'!AE94&lt;0,0,'Quant. mod. (oc)'!AE94)</f>
        <v>0</v>
      </c>
      <c r="AF94" s="125">
        <f>IF('Quant. mod. (oc)'!AF94&lt;0,0,'Quant. mod. (oc)'!AF94)</f>
        <v>0</v>
      </c>
      <c r="AG94" s="126">
        <f>IF('Quant. mod. (oc)'!AG94&lt;0,0,'Quant. mod. (oc)'!AG94)</f>
        <v>0</v>
      </c>
      <c r="AH94" s="22"/>
    </row>
    <row r="95" spans="1:34" x14ac:dyDescent="0.25">
      <c r="A95" s="21"/>
      <c r="B95" s="27" t="s">
        <v>526</v>
      </c>
      <c r="C95" s="67" t="s">
        <v>65</v>
      </c>
      <c r="D95" s="125">
        <f>IF('Quant. mod. (oc)'!D95&lt;0,0,'Quant. mod. (oc)'!D95)</f>
        <v>0</v>
      </c>
      <c r="E95" s="125">
        <f>IF('Quant. mod. (oc)'!E95&lt;0,0,'Quant. mod. (oc)'!E95)</f>
        <v>0</v>
      </c>
      <c r="F95" s="125">
        <f>IF('Quant. mod. (oc)'!F95&lt;0,0,'Quant. mod. (oc)'!F95)</f>
        <v>0</v>
      </c>
      <c r="G95" s="125">
        <f>IF('Quant. mod. (oc)'!G95&lt;0,0,'Quant. mod. (oc)'!G95)</f>
        <v>0</v>
      </c>
      <c r="H95" s="125">
        <f>IF('Quant. mod. (oc)'!H95&lt;0,0,'Quant. mod. (oc)'!H95)</f>
        <v>0</v>
      </c>
      <c r="I95" s="125">
        <f>IF('Quant. mod. (oc)'!I95&lt;0,0,'Quant. mod. (oc)'!I95)</f>
        <v>0</v>
      </c>
      <c r="J95" s="125">
        <f>IF('Quant. mod. (oc)'!J95&lt;0,0,'Quant. mod. (oc)'!J95)</f>
        <v>0</v>
      </c>
      <c r="K95" s="125">
        <f>IF('Quant. mod. (oc)'!K95&lt;0,0,'Quant. mod. (oc)'!K95)</f>
        <v>0</v>
      </c>
      <c r="L95" s="125">
        <f>IF('Quant. mod. (oc)'!L95&lt;0,0,'Quant. mod. (oc)'!L95)</f>
        <v>0</v>
      </c>
      <c r="M95" s="125">
        <f>IF('Quant. mod. (oc)'!M95&lt;0,0,'Quant. mod. (oc)'!M95)</f>
        <v>0</v>
      </c>
      <c r="N95" s="125">
        <f>IF('Quant. mod. (oc)'!N95&lt;0,0,'Quant. mod. (oc)'!N95)</f>
        <v>0.3861</v>
      </c>
      <c r="O95" s="125">
        <f>IF('Quant. mod. (oc)'!O95&lt;0,0,'Quant. mod. (oc)'!O95)</f>
        <v>0.3861</v>
      </c>
      <c r="P95" s="125">
        <f>IF('Quant. mod. (oc)'!P95&lt;0,0,'Quant. mod. (oc)'!P95)</f>
        <v>0.3861</v>
      </c>
      <c r="Q95" s="125">
        <f>IF('Quant. mod. (oc)'!Q95&lt;0,0,'Quant. mod. (oc)'!Q95)</f>
        <v>0.3861</v>
      </c>
      <c r="R95" s="125">
        <f>IF('Quant. mod. (oc)'!R95&lt;0,0,'Quant. mod. (oc)'!R95)</f>
        <v>0.3861</v>
      </c>
      <c r="S95" s="125">
        <f>IF('Quant. mod. (oc)'!S95&lt;0,0,'Quant. mod. (oc)'!S95)</f>
        <v>0.3861</v>
      </c>
      <c r="T95" s="125">
        <f>IF('Quant. mod. (oc)'!T95&lt;0,0,'Quant. mod. (oc)'!T95)</f>
        <v>0.3861</v>
      </c>
      <c r="U95" s="125">
        <f>IF('Quant. mod. (oc)'!U95&lt;0,0,'Quant. mod. (oc)'!U95)</f>
        <v>0.3861</v>
      </c>
      <c r="V95" s="125">
        <f>IF('Quant. mod. (oc)'!V95&lt;0,0,'Quant. mod. (oc)'!V95)</f>
        <v>0.3861</v>
      </c>
      <c r="W95" s="125">
        <f>IF('Quant. mod. (oc)'!W95&lt;0,0,'Quant. mod. (oc)'!W95)</f>
        <v>0.3861</v>
      </c>
      <c r="X95" s="125">
        <f>IF('Quant. mod. (oc)'!X95&lt;0,0,'Quant. mod. (oc)'!X95)</f>
        <v>0</v>
      </c>
      <c r="Y95" s="125">
        <f>IF('Quant. mod. (oc)'!Y95&lt;0,0,'Quant. mod. (oc)'!Y95)</f>
        <v>0</v>
      </c>
      <c r="Z95" s="125">
        <f>IF('Quant. mod. (oc)'!Z95&lt;0,0,'Quant. mod. (oc)'!Z95)</f>
        <v>0</v>
      </c>
      <c r="AA95" s="125">
        <f>IF('Quant. mod. (oc)'!AA95&lt;0,0,'Quant. mod. (oc)'!AA95)</f>
        <v>0</v>
      </c>
      <c r="AB95" s="125">
        <f>IF('Quant. mod. (oc)'!AB95&lt;0,0,'Quant. mod. (oc)'!AB95)</f>
        <v>0</v>
      </c>
      <c r="AC95" s="125">
        <f>IF('Quant. mod. (oc)'!AC95&lt;0,0,'Quant. mod. (oc)'!AC95)</f>
        <v>0</v>
      </c>
      <c r="AD95" s="125">
        <f>IF('Quant. mod. (oc)'!AD95&lt;0,0,'Quant. mod. (oc)'!AD95)</f>
        <v>0</v>
      </c>
      <c r="AE95" s="125">
        <f>IF('Quant. mod. (oc)'!AE95&lt;0,0,'Quant. mod. (oc)'!AE95)</f>
        <v>0</v>
      </c>
      <c r="AF95" s="125">
        <f>IF('Quant. mod. (oc)'!AF95&lt;0,0,'Quant. mod. (oc)'!AF95)</f>
        <v>0</v>
      </c>
      <c r="AG95" s="126">
        <f>IF('Quant. mod. (oc)'!AG95&lt;0,0,'Quant. mod. (oc)'!AG95)</f>
        <v>0</v>
      </c>
      <c r="AH95" s="22"/>
    </row>
    <row r="96" spans="1:34" x14ac:dyDescent="0.25">
      <c r="A96" s="21"/>
      <c r="B96" s="27" t="s">
        <v>527</v>
      </c>
      <c r="C96" s="67" t="s">
        <v>65</v>
      </c>
      <c r="D96" s="125">
        <f>IF('Quant. mod. (oc)'!D96&lt;0,0,'Quant. mod. (oc)'!D96)</f>
        <v>0</v>
      </c>
      <c r="E96" s="125">
        <f>IF('Quant. mod. (oc)'!E96&lt;0,0,'Quant. mod. (oc)'!E96)</f>
        <v>0</v>
      </c>
      <c r="F96" s="125">
        <f>IF('Quant. mod. (oc)'!F96&lt;0,0,'Quant. mod. (oc)'!F96)</f>
        <v>0</v>
      </c>
      <c r="G96" s="125">
        <f>IF('Quant. mod. (oc)'!G96&lt;0,0,'Quant. mod. (oc)'!G96)</f>
        <v>0</v>
      </c>
      <c r="H96" s="125">
        <f>IF('Quant. mod. (oc)'!H96&lt;0,0,'Quant. mod. (oc)'!H96)</f>
        <v>0</v>
      </c>
      <c r="I96" s="125">
        <f>IF('Quant. mod. (oc)'!I96&lt;0,0,'Quant. mod. (oc)'!I96)</f>
        <v>0</v>
      </c>
      <c r="J96" s="125">
        <f>IF('Quant. mod. (oc)'!J96&lt;0,0,'Quant. mod. (oc)'!J96)</f>
        <v>0</v>
      </c>
      <c r="K96" s="125">
        <f>IF('Quant. mod. (oc)'!K96&lt;0,0,'Quant. mod. (oc)'!K96)</f>
        <v>0</v>
      </c>
      <c r="L96" s="125">
        <f>IF('Quant. mod. (oc)'!L96&lt;0,0,'Quant. mod. (oc)'!L96)</f>
        <v>0</v>
      </c>
      <c r="M96" s="125">
        <f>IF('Quant. mod. (oc)'!M96&lt;0,0,'Quant. mod. (oc)'!M96)</f>
        <v>0</v>
      </c>
      <c r="N96" s="125">
        <f>IF('Quant. mod. (oc)'!N96&lt;0,0,'Quant. mod. (oc)'!N96)</f>
        <v>0.3861</v>
      </c>
      <c r="O96" s="125">
        <f>IF('Quant. mod. (oc)'!O96&lt;0,0,'Quant. mod. (oc)'!O96)</f>
        <v>0.3861</v>
      </c>
      <c r="P96" s="125">
        <f>IF('Quant. mod. (oc)'!P96&lt;0,0,'Quant. mod. (oc)'!P96)</f>
        <v>0.3861</v>
      </c>
      <c r="Q96" s="125">
        <f>IF('Quant. mod. (oc)'!Q96&lt;0,0,'Quant. mod. (oc)'!Q96)</f>
        <v>0.3861</v>
      </c>
      <c r="R96" s="125">
        <f>IF('Quant. mod. (oc)'!R96&lt;0,0,'Quant. mod. (oc)'!R96)</f>
        <v>0.3861</v>
      </c>
      <c r="S96" s="125">
        <f>IF('Quant. mod. (oc)'!S96&lt;0,0,'Quant. mod. (oc)'!S96)</f>
        <v>0.3861</v>
      </c>
      <c r="T96" s="125">
        <f>IF('Quant. mod. (oc)'!T96&lt;0,0,'Quant. mod. (oc)'!T96)</f>
        <v>0.3861</v>
      </c>
      <c r="U96" s="125">
        <f>IF('Quant. mod. (oc)'!U96&lt;0,0,'Quant. mod. (oc)'!U96)</f>
        <v>0.3861</v>
      </c>
      <c r="V96" s="125">
        <f>IF('Quant. mod. (oc)'!V96&lt;0,0,'Quant. mod. (oc)'!V96)</f>
        <v>0.3861</v>
      </c>
      <c r="W96" s="125">
        <f>IF('Quant. mod. (oc)'!W96&lt;0,0,'Quant. mod. (oc)'!W96)</f>
        <v>0.3861</v>
      </c>
      <c r="X96" s="125">
        <f>IF('Quant. mod. (oc)'!X96&lt;0,0,'Quant. mod. (oc)'!X96)</f>
        <v>0</v>
      </c>
      <c r="Y96" s="125">
        <f>IF('Quant. mod. (oc)'!Y96&lt;0,0,'Quant. mod. (oc)'!Y96)</f>
        <v>0</v>
      </c>
      <c r="Z96" s="125">
        <f>IF('Quant. mod. (oc)'!Z96&lt;0,0,'Quant. mod. (oc)'!Z96)</f>
        <v>0</v>
      </c>
      <c r="AA96" s="125">
        <f>IF('Quant. mod. (oc)'!AA96&lt;0,0,'Quant. mod. (oc)'!AA96)</f>
        <v>0</v>
      </c>
      <c r="AB96" s="125">
        <f>IF('Quant. mod. (oc)'!AB96&lt;0,0,'Quant. mod. (oc)'!AB96)</f>
        <v>0</v>
      </c>
      <c r="AC96" s="125">
        <f>IF('Quant. mod. (oc)'!AC96&lt;0,0,'Quant. mod. (oc)'!AC96)</f>
        <v>0</v>
      </c>
      <c r="AD96" s="125">
        <f>IF('Quant. mod. (oc)'!AD96&lt;0,0,'Quant. mod. (oc)'!AD96)</f>
        <v>0</v>
      </c>
      <c r="AE96" s="125">
        <f>IF('Quant. mod. (oc)'!AE96&lt;0,0,'Quant. mod. (oc)'!AE96)</f>
        <v>0</v>
      </c>
      <c r="AF96" s="125">
        <f>IF('Quant. mod. (oc)'!AF96&lt;0,0,'Quant. mod. (oc)'!AF96)</f>
        <v>0</v>
      </c>
      <c r="AG96" s="126">
        <f>IF('Quant. mod. (oc)'!AG96&lt;0,0,'Quant. mod. (oc)'!AG96)</f>
        <v>0</v>
      </c>
      <c r="AH96" s="22"/>
    </row>
    <row r="97" spans="1:34" x14ac:dyDescent="0.25">
      <c r="A97" s="21"/>
      <c r="B97" s="27" t="s">
        <v>528</v>
      </c>
      <c r="C97" s="67" t="s">
        <v>65</v>
      </c>
      <c r="D97" s="125">
        <f>IF('Quant. mod. (oc)'!D97&lt;0,0,'Quant. mod. (oc)'!D97)</f>
        <v>0</v>
      </c>
      <c r="E97" s="125">
        <f>IF('Quant. mod. (oc)'!E97&lt;0,0,'Quant. mod. (oc)'!E97)</f>
        <v>0</v>
      </c>
      <c r="F97" s="125">
        <f>IF('Quant. mod. (oc)'!F97&lt;0,0,'Quant. mod. (oc)'!F97)</f>
        <v>0</v>
      </c>
      <c r="G97" s="125">
        <f>IF('Quant. mod. (oc)'!G97&lt;0,0,'Quant. mod. (oc)'!G97)</f>
        <v>0</v>
      </c>
      <c r="H97" s="125">
        <f>IF('Quant. mod. (oc)'!H97&lt;0,0,'Quant. mod. (oc)'!H97)</f>
        <v>0</v>
      </c>
      <c r="I97" s="125">
        <f>IF('Quant. mod. (oc)'!I97&lt;0,0,'Quant. mod. (oc)'!I97)</f>
        <v>0</v>
      </c>
      <c r="J97" s="125">
        <f>IF('Quant. mod. (oc)'!J97&lt;0,0,'Quant. mod. (oc)'!J97)</f>
        <v>0</v>
      </c>
      <c r="K97" s="125">
        <f>IF('Quant. mod. (oc)'!K97&lt;0,0,'Quant. mod. (oc)'!K97)</f>
        <v>0</v>
      </c>
      <c r="L97" s="125">
        <f>IF('Quant. mod. (oc)'!L97&lt;0,0,'Quant. mod. (oc)'!L97)</f>
        <v>0</v>
      </c>
      <c r="M97" s="125">
        <f>IF('Quant. mod. (oc)'!M97&lt;0,0,'Quant. mod. (oc)'!M97)</f>
        <v>0</v>
      </c>
      <c r="N97" s="125">
        <f>IF('Quant. mod. (oc)'!N97&lt;0,0,'Quant. mod. (oc)'!N97)</f>
        <v>0.64119999999999999</v>
      </c>
      <c r="O97" s="125">
        <f>IF('Quant. mod. (oc)'!O97&lt;0,0,'Quant. mod. (oc)'!O97)</f>
        <v>0.64119999999999999</v>
      </c>
      <c r="P97" s="125">
        <f>IF('Quant. mod. (oc)'!P97&lt;0,0,'Quant. mod. (oc)'!P97)</f>
        <v>0.64119999999999999</v>
      </c>
      <c r="Q97" s="125">
        <f>IF('Quant. mod. (oc)'!Q97&lt;0,0,'Quant. mod. (oc)'!Q97)</f>
        <v>0.64119999999999999</v>
      </c>
      <c r="R97" s="125">
        <f>IF('Quant. mod. (oc)'!R97&lt;0,0,'Quant. mod. (oc)'!R97)</f>
        <v>0.64119999999999999</v>
      </c>
      <c r="S97" s="125">
        <f>IF('Quant. mod. (oc)'!S97&lt;0,0,'Quant. mod. (oc)'!S97)</f>
        <v>0.64119999999999999</v>
      </c>
      <c r="T97" s="125">
        <f>IF('Quant. mod. (oc)'!T97&lt;0,0,'Quant. mod. (oc)'!T97)</f>
        <v>0.64119999999999999</v>
      </c>
      <c r="U97" s="125">
        <f>IF('Quant. mod. (oc)'!U97&lt;0,0,'Quant. mod. (oc)'!U97)</f>
        <v>0.64119999999999999</v>
      </c>
      <c r="V97" s="125">
        <f>IF('Quant. mod. (oc)'!V97&lt;0,0,'Quant. mod. (oc)'!V97)</f>
        <v>0.64119999999999999</v>
      </c>
      <c r="W97" s="125">
        <f>IF('Quant. mod. (oc)'!W97&lt;0,0,'Quant. mod. (oc)'!W97)</f>
        <v>0.64119999999999999</v>
      </c>
      <c r="X97" s="125">
        <f>IF('Quant. mod. (oc)'!X97&lt;0,0,'Quant. mod. (oc)'!X97)</f>
        <v>0</v>
      </c>
      <c r="Y97" s="125">
        <f>IF('Quant. mod. (oc)'!Y97&lt;0,0,'Quant. mod. (oc)'!Y97)</f>
        <v>0</v>
      </c>
      <c r="Z97" s="125">
        <f>IF('Quant. mod. (oc)'!Z97&lt;0,0,'Quant. mod. (oc)'!Z97)</f>
        <v>0</v>
      </c>
      <c r="AA97" s="125">
        <f>IF('Quant. mod. (oc)'!AA97&lt;0,0,'Quant. mod. (oc)'!AA97)</f>
        <v>0</v>
      </c>
      <c r="AB97" s="125">
        <f>IF('Quant. mod. (oc)'!AB97&lt;0,0,'Quant. mod. (oc)'!AB97)</f>
        <v>0</v>
      </c>
      <c r="AC97" s="125">
        <f>IF('Quant. mod. (oc)'!AC97&lt;0,0,'Quant. mod. (oc)'!AC97)</f>
        <v>0</v>
      </c>
      <c r="AD97" s="125">
        <f>IF('Quant. mod. (oc)'!AD97&lt;0,0,'Quant. mod. (oc)'!AD97)</f>
        <v>0</v>
      </c>
      <c r="AE97" s="125">
        <f>IF('Quant. mod. (oc)'!AE97&lt;0,0,'Quant. mod. (oc)'!AE97)</f>
        <v>0</v>
      </c>
      <c r="AF97" s="125">
        <f>IF('Quant. mod. (oc)'!AF97&lt;0,0,'Quant. mod. (oc)'!AF97)</f>
        <v>0</v>
      </c>
      <c r="AG97" s="126">
        <f>IF('Quant. mod. (oc)'!AG97&lt;0,0,'Quant. mod. (oc)'!AG97)</f>
        <v>0</v>
      </c>
      <c r="AH97" s="22"/>
    </row>
    <row r="98" spans="1:34" x14ac:dyDescent="0.25">
      <c r="A98" s="21"/>
      <c r="B98" s="27" t="s">
        <v>529</v>
      </c>
      <c r="C98" s="67" t="s">
        <v>65</v>
      </c>
      <c r="D98" s="125">
        <f>IF('Quant. mod. (oc)'!D98&lt;0,0,'Quant. mod. (oc)'!D98)</f>
        <v>0</v>
      </c>
      <c r="E98" s="125">
        <f>IF('Quant. mod. (oc)'!E98&lt;0,0,'Quant. mod. (oc)'!E98)</f>
        <v>0</v>
      </c>
      <c r="F98" s="125">
        <f>IF('Quant. mod. (oc)'!F98&lt;0,0,'Quant. mod. (oc)'!F98)</f>
        <v>0</v>
      </c>
      <c r="G98" s="125">
        <f>IF('Quant. mod. (oc)'!G98&lt;0,0,'Quant. mod. (oc)'!G98)</f>
        <v>0</v>
      </c>
      <c r="H98" s="125">
        <f>IF('Quant. mod. (oc)'!H98&lt;0,0,'Quant. mod. (oc)'!H98)</f>
        <v>0</v>
      </c>
      <c r="I98" s="125">
        <f>IF('Quant. mod. (oc)'!I98&lt;0,0,'Quant. mod. (oc)'!I98)</f>
        <v>0</v>
      </c>
      <c r="J98" s="125">
        <f>IF('Quant. mod. (oc)'!J98&lt;0,0,'Quant. mod. (oc)'!J98)</f>
        <v>0</v>
      </c>
      <c r="K98" s="125">
        <f>IF('Quant. mod. (oc)'!K98&lt;0,0,'Quant. mod. (oc)'!K98)</f>
        <v>0</v>
      </c>
      <c r="L98" s="125">
        <f>IF('Quant. mod. (oc)'!L98&lt;0,0,'Quant. mod. (oc)'!L98)</f>
        <v>0</v>
      </c>
      <c r="M98" s="125">
        <f>IF('Quant. mod. (oc)'!M98&lt;0,0,'Quant. mod. (oc)'!M98)</f>
        <v>0</v>
      </c>
      <c r="N98" s="125">
        <f>IF('Quant. mod. (oc)'!N98&lt;0,0,'Quant. mod. (oc)'!N98)</f>
        <v>0.64119999999999999</v>
      </c>
      <c r="O98" s="125">
        <f>IF('Quant. mod. (oc)'!O98&lt;0,0,'Quant. mod. (oc)'!O98)</f>
        <v>0.64119999999999999</v>
      </c>
      <c r="P98" s="125">
        <f>IF('Quant. mod. (oc)'!P98&lt;0,0,'Quant. mod. (oc)'!P98)</f>
        <v>0.64119999999999999</v>
      </c>
      <c r="Q98" s="125">
        <f>IF('Quant. mod. (oc)'!Q98&lt;0,0,'Quant. mod. (oc)'!Q98)</f>
        <v>0.64119999999999999</v>
      </c>
      <c r="R98" s="125">
        <f>IF('Quant. mod. (oc)'!R98&lt;0,0,'Quant. mod. (oc)'!R98)</f>
        <v>0.64119999999999999</v>
      </c>
      <c r="S98" s="125">
        <f>IF('Quant. mod. (oc)'!S98&lt;0,0,'Quant. mod. (oc)'!S98)</f>
        <v>0.64119999999999999</v>
      </c>
      <c r="T98" s="125">
        <f>IF('Quant. mod. (oc)'!T98&lt;0,0,'Quant. mod. (oc)'!T98)</f>
        <v>0.64119999999999999</v>
      </c>
      <c r="U98" s="125">
        <f>IF('Quant. mod. (oc)'!U98&lt;0,0,'Quant. mod. (oc)'!U98)</f>
        <v>0.64119999999999999</v>
      </c>
      <c r="V98" s="125">
        <f>IF('Quant. mod. (oc)'!V98&lt;0,0,'Quant. mod. (oc)'!V98)</f>
        <v>0.64119999999999999</v>
      </c>
      <c r="W98" s="125">
        <f>IF('Quant. mod. (oc)'!W98&lt;0,0,'Quant. mod. (oc)'!W98)</f>
        <v>0.64119999999999999</v>
      </c>
      <c r="X98" s="125">
        <f>IF('Quant. mod. (oc)'!X98&lt;0,0,'Quant. mod. (oc)'!X98)</f>
        <v>0</v>
      </c>
      <c r="Y98" s="125">
        <f>IF('Quant. mod. (oc)'!Y98&lt;0,0,'Quant. mod. (oc)'!Y98)</f>
        <v>0</v>
      </c>
      <c r="Z98" s="125">
        <f>IF('Quant. mod. (oc)'!Z98&lt;0,0,'Quant. mod. (oc)'!Z98)</f>
        <v>0</v>
      </c>
      <c r="AA98" s="125">
        <f>IF('Quant. mod. (oc)'!AA98&lt;0,0,'Quant. mod. (oc)'!AA98)</f>
        <v>0</v>
      </c>
      <c r="AB98" s="125">
        <f>IF('Quant. mod. (oc)'!AB98&lt;0,0,'Quant. mod. (oc)'!AB98)</f>
        <v>0</v>
      </c>
      <c r="AC98" s="125">
        <f>IF('Quant. mod. (oc)'!AC98&lt;0,0,'Quant. mod. (oc)'!AC98)</f>
        <v>0</v>
      </c>
      <c r="AD98" s="125">
        <f>IF('Quant. mod. (oc)'!AD98&lt;0,0,'Quant. mod. (oc)'!AD98)</f>
        <v>0</v>
      </c>
      <c r="AE98" s="125">
        <f>IF('Quant. mod. (oc)'!AE98&lt;0,0,'Quant. mod. (oc)'!AE98)</f>
        <v>0</v>
      </c>
      <c r="AF98" s="125">
        <f>IF('Quant. mod. (oc)'!AF98&lt;0,0,'Quant. mod. (oc)'!AF98)</f>
        <v>0</v>
      </c>
      <c r="AG98" s="126">
        <f>IF('Quant. mod. (oc)'!AG98&lt;0,0,'Quant. mod. (oc)'!AG98)</f>
        <v>0</v>
      </c>
      <c r="AH98" s="22"/>
    </row>
    <row r="99" spans="1:34" x14ac:dyDescent="0.25">
      <c r="A99" s="21"/>
      <c r="B99" s="27" t="s">
        <v>534</v>
      </c>
      <c r="C99" s="67" t="s">
        <v>65</v>
      </c>
      <c r="D99" s="125">
        <f>IF('Quant. mod. (oc)'!D99&lt;0,0,'Quant. mod. (oc)'!D99)</f>
        <v>0</v>
      </c>
      <c r="E99" s="125">
        <f>IF('Quant. mod. (oc)'!E99&lt;0,0,'Quant. mod. (oc)'!E99)</f>
        <v>0</v>
      </c>
      <c r="F99" s="125">
        <f>IF('Quant. mod. (oc)'!F99&lt;0,0,'Quant. mod. (oc)'!F99)</f>
        <v>0</v>
      </c>
      <c r="G99" s="125">
        <f>IF('Quant. mod. (oc)'!G99&lt;0,0,'Quant. mod. (oc)'!G99)</f>
        <v>0</v>
      </c>
      <c r="H99" s="125">
        <f>IF('Quant. mod. (oc)'!H99&lt;0,0,'Quant. mod. (oc)'!H99)</f>
        <v>0</v>
      </c>
      <c r="I99" s="125">
        <f>IF('Quant. mod. (oc)'!I99&lt;0,0,'Quant. mod. (oc)'!I99)</f>
        <v>0</v>
      </c>
      <c r="J99" s="125">
        <f>IF('Quant. mod. (oc)'!J99&lt;0,0,'Quant. mod. (oc)'!J99)</f>
        <v>0</v>
      </c>
      <c r="K99" s="125">
        <f>IF('Quant. mod. (oc)'!K99&lt;0,0,'Quant. mod. (oc)'!K99)</f>
        <v>0</v>
      </c>
      <c r="L99" s="125">
        <f>IF('Quant. mod. (oc)'!L99&lt;0,0,'Quant. mod. (oc)'!L99)</f>
        <v>0</v>
      </c>
      <c r="M99" s="125">
        <f>IF('Quant. mod. (oc)'!M99&lt;0,0,'Quant. mod. (oc)'!M99)</f>
        <v>0</v>
      </c>
      <c r="N99" s="125">
        <f>IF('Quant. mod. (oc)'!N99&lt;0,0,'Quant. mod. (oc)'!N99)</f>
        <v>9.7035999999999998</v>
      </c>
      <c r="O99" s="125">
        <f>IF('Quant. mod. (oc)'!O99&lt;0,0,'Quant. mod. (oc)'!O99)</f>
        <v>9.7035999999999998</v>
      </c>
      <c r="P99" s="125">
        <f>IF('Quant. mod. (oc)'!P99&lt;0,0,'Quant. mod. (oc)'!P99)</f>
        <v>9.7035999999999998</v>
      </c>
      <c r="Q99" s="125">
        <f>IF('Quant. mod. (oc)'!Q99&lt;0,0,'Quant. mod. (oc)'!Q99)</f>
        <v>9.7035999999999998</v>
      </c>
      <c r="R99" s="125">
        <f>IF('Quant. mod. (oc)'!R99&lt;0,0,'Quant. mod. (oc)'!R99)</f>
        <v>9.7035999999999998</v>
      </c>
      <c r="S99" s="125">
        <f>IF('Quant. mod. (oc)'!S99&lt;0,0,'Quant. mod. (oc)'!S99)</f>
        <v>9.7035999999999998</v>
      </c>
      <c r="T99" s="125">
        <f>IF('Quant. mod. (oc)'!T99&lt;0,0,'Quant. mod. (oc)'!T99)</f>
        <v>9.7035999999999998</v>
      </c>
      <c r="U99" s="125">
        <f>IF('Quant. mod. (oc)'!U99&lt;0,0,'Quant. mod. (oc)'!U99)</f>
        <v>9.7035999999999998</v>
      </c>
      <c r="V99" s="125">
        <f>IF('Quant. mod. (oc)'!V99&lt;0,0,'Quant. mod. (oc)'!V99)</f>
        <v>9.7035999999999998</v>
      </c>
      <c r="W99" s="125">
        <f>IF('Quant. mod. (oc)'!W99&lt;0,0,'Quant. mod. (oc)'!W99)</f>
        <v>9.7035999999999998</v>
      </c>
      <c r="X99" s="125">
        <f>IF('Quant. mod. (oc)'!X99&lt;0,0,'Quant. mod. (oc)'!X99)</f>
        <v>0</v>
      </c>
      <c r="Y99" s="125">
        <f>IF('Quant. mod. (oc)'!Y99&lt;0,0,'Quant. mod. (oc)'!Y99)</f>
        <v>0</v>
      </c>
      <c r="Z99" s="125">
        <f>IF('Quant. mod. (oc)'!Z99&lt;0,0,'Quant. mod. (oc)'!Z99)</f>
        <v>0</v>
      </c>
      <c r="AA99" s="125">
        <f>IF('Quant. mod. (oc)'!AA99&lt;0,0,'Quant. mod. (oc)'!AA99)</f>
        <v>0</v>
      </c>
      <c r="AB99" s="125">
        <f>IF('Quant. mod. (oc)'!AB99&lt;0,0,'Quant. mod. (oc)'!AB99)</f>
        <v>0</v>
      </c>
      <c r="AC99" s="125">
        <f>IF('Quant. mod. (oc)'!AC99&lt;0,0,'Quant. mod. (oc)'!AC99)</f>
        <v>0</v>
      </c>
      <c r="AD99" s="125">
        <f>IF('Quant. mod. (oc)'!AD99&lt;0,0,'Quant. mod. (oc)'!AD99)</f>
        <v>0</v>
      </c>
      <c r="AE99" s="125">
        <f>IF('Quant. mod. (oc)'!AE99&lt;0,0,'Quant. mod. (oc)'!AE99)</f>
        <v>0</v>
      </c>
      <c r="AF99" s="125">
        <f>IF('Quant. mod. (oc)'!AF99&lt;0,0,'Quant. mod. (oc)'!AF99)</f>
        <v>0</v>
      </c>
      <c r="AG99" s="126">
        <f>IF('Quant. mod. (oc)'!AG99&lt;0,0,'Quant. mod. (oc)'!AG99)</f>
        <v>0</v>
      </c>
      <c r="AH99" s="22"/>
    </row>
    <row r="100" spans="1:34" x14ac:dyDescent="0.25">
      <c r="A100" s="21"/>
      <c r="B100" s="120" t="s">
        <v>519</v>
      </c>
      <c r="C100" s="121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8"/>
      <c r="AH100" s="22"/>
    </row>
    <row r="101" spans="1:34" ht="25.5" x14ac:dyDescent="0.25">
      <c r="A101" s="21"/>
      <c r="B101" s="270" t="s">
        <v>294</v>
      </c>
      <c r="C101" s="67" t="s">
        <v>65</v>
      </c>
      <c r="D101" s="125">
        <f>IF('Quant. mod. (oc)'!D101&lt;0,0,'Quant. mod. (oc)'!D101)</f>
        <v>22.249500000000001</v>
      </c>
      <c r="E101" s="125">
        <f>IF('Quant. mod. (oc)'!E101&lt;0,0,'Quant. mod. (oc)'!E101)</f>
        <v>22.249500000000001</v>
      </c>
      <c r="F101" s="125">
        <f>IF('Quant. mod. (oc)'!F101&lt;0,0,'Quant. mod. (oc)'!F101)</f>
        <v>22.249500000000001</v>
      </c>
      <c r="G101" s="125">
        <f>IF('Quant. mod. (oc)'!G101&lt;0,0,'Quant. mod. (oc)'!G101)</f>
        <v>37.493400000000001</v>
      </c>
      <c r="H101" s="125">
        <f>IF('Quant. mod. (oc)'!H101&lt;0,0,'Quant. mod. (oc)'!H101)</f>
        <v>37.493400000000001</v>
      </c>
      <c r="I101" s="125">
        <f>IF('Quant. mod. (oc)'!I101&lt;0,0,'Quant. mod. (oc)'!I101)</f>
        <v>37.493400000000001</v>
      </c>
      <c r="J101" s="125">
        <f>IF('Quant. mod. (oc)'!J101&lt;0,0,'Quant. mod. (oc)'!J101)</f>
        <v>22.249500000000001</v>
      </c>
      <c r="K101" s="125">
        <f>IF('Quant. mod. (oc)'!K101&lt;0,0,'Quant. mod. (oc)'!K101)</f>
        <v>22.249500000000001</v>
      </c>
      <c r="L101" s="125">
        <f>IF('Quant. mod. (oc)'!L101&lt;0,0,'Quant. mod. (oc)'!L101)</f>
        <v>37.493400000000001</v>
      </c>
      <c r="M101" s="125">
        <f>IF('Quant. mod. (oc)'!M101&lt;0,0,'Quant. mod. (oc)'!M101)</f>
        <v>37.493400000000001</v>
      </c>
      <c r="N101" s="125">
        <f>IF('Quant. mod. (oc)'!N101&lt;0,0,'Quant. mod. (oc)'!N101)</f>
        <v>0</v>
      </c>
      <c r="O101" s="125">
        <f>IF('Quant. mod. (oc)'!O101&lt;0,0,'Quant. mod. (oc)'!O101)</f>
        <v>0</v>
      </c>
      <c r="P101" s="125">
        <f>IF('Quant. mod. (oc)'!P101&lt;0,0,'Quant. mod. (oc)'!P101)</f>
        <v>0</v>
      </c>
      <c r="Q101" s="125">
        <f>IF('Quant. mod. (oc)'!Q101&lt;0,0,'Quant. mod. (oc)'!Q101)</f>
        <v>0</v>
      </c>
      <c r="R101" s="125">
        <f>IF('Quant. mod. (oc)'!R101&lt;0,0,'Quant. mod. (oc)'!R101)</f>
        <v>0</v>
      </c>
      <c r="S101" s="125">
        <f>IF('Quant. mod. (oc)'!S101&lt;0,0,'Quant. mod. (oc)'!S101)</f>
        <v>0</v>
      </c>
      <c r="T101" s="125">
        <f>IF('Quant. mod. (oc)'!T101&lt;0,0,'Quant. mod. (oc)'!T101)</f>
        <v>0</v>
      </c>
      <c r="U101" s="125">
        <f>IF('Quant. mod. (oc)'!U101&lt;0,0,'Quant. mod. (oc)'!U101)</f>
        <v>0</v>
      </c>
      <c r="V101" s="125">
        <f>IF('Quant. mod. (oc)'!V101&lt;0,0,'Quant. mod. (oc)'!V101)</f>
        <v>0</v>
      </c>
      <c r="W101" s="125">
        <f>IF('Quant. mod. (oc)'!W101&lt;0,0,'Quant. mod. (oc)'!W101)</f>
        <v>0</v>
      </c>
      <c r="X101" s="125">
        <f>IF('Quant. mod. (oc)'!X101&lt;0,0,'Quant. mod. (oc)'!X101)</f>
        <v>0</v>
      </c>
      <c r="Y101" s="125">
        <f>IF('Quant. mod. (oc)'!Y101&lt;0,0,'Quant. mod. (oc)'!Y101)</f>
        <v>0</v>
      </c>
      <c r="Z101" s="125">
        <f>IF('Quant. mod. (oc)'!Z101&lt;0,0,'Quant. mod. (oc)'!Z101)</f>
        <v>0</v>
      </c>
      <c r="AA101" s="125">
        <f>IF('Quant. mod. (oc)'!AA101&lt;0,0,'Quant. mod. (oc)'!AA101)</f>
        <v>0</v>
      </c>
      <c r="AB101" s="125">
        <f>IF('Quant. mod. (oc)'!AB101&lt;0,0,'Quant. mod. (oc)'!AB101)</f>
        <v>0</v>
      </c>
      <c r="AC101" s="125">
        <f>IF('Quant. mod. (oc)'!AC101&lt;0,0,'Quant. mod. (oc)'!AC101)</f>
        <v>0</v>
      </c>
      <c r="AD101" s="125">
        <f>IF('Quant. mod. (oc)'!AD101&lt;0,0,'Quant. mod. (oc)'!AD101)</f>
        <v>0</v>
      </c>
      <c r="AE101" s="125">
        <f>IF('Quant. mod. (oc)'!AE101&lt;0,0,'Quant. mod. (oc)'!AE101)</f>
        <v>0</v>
      </c>
      <c r="AF101" s="125">
        <f>IF('Quant. mod. (oc)'!AF101&lt;0,0,'Quant. mod. (oc)'!AF101)</f>
        <v>0</v>
      </c>
      <c r="AG101" s="126">
        <f>IF('Quant. mod. (oc)'!AG101&lt;0,0,'Quant. mod. (oc)'!AG101)</f>
        <v>0</v>
      </c>
      <c r="AH101" s="22"/>
    </row>
    <row r="102" spans="1:34" x14ac:dyDescent="0.25">
      <c r="A102" s="21"/>
      <c r="B102" s="270" t="s">
        <v>290</v>
      </c>
      <c r="C102" s="67" t="s">
        <v>63</v>
      </c>
      <c r="D102" s="125">
        <f>IF('Quant. mod. (oc)'!D102&lt;0,0,'Quant. mod. (oc)'!D102)</f>
        <v>8.8952000000000009</v>
      </c>
      <c r="E102" s="125">
        <f>IF('Quant. mod. (oc)'!E102&lt;0,0,'Quant. mod. (oc)'!E102)</f>
        <v>8.8952000000000009</v>
      </c>
      <c r="F102" s="125">
        <f>IF('Quant. mod. (oc)'!F102&lt;0,0,'Quant. mod. (oc)'!F102)</f>
        <v>8.8952000000000009</v>
      </c>
      <c r="G102" s="125">
        <f>IF('Quant. mod. (oc)'!G102&lt;0,0,'Quant. mod. (oc)'!G102)</f>
        <v>14.994999999999999</v>
      </c>
      <c r="H102" s="125">
        <f>IF('Quant. mod. (oc)'!H102&lt;0,0,'Quant. mod. (oc)'!H102)</f>
        <v>14.994999999999999</v>
      </c>
      <c r="I102" s="125">
        <f>IF('Quant. mod. (oc)'!I102&lt;0,0,'Quant. mod. (oc)'!I102)</f>
        <v>14.994999999999999</v>
      </c>
      <c r="J102" s="125">
        <f>IF('Quant. mod. (oc)'!J102&lt;0,0,'Quant. mod. (oc)'!J102)</f>
        <v>8.8952000000000009</v>
      </c>
      <c r="K102" s="125">
        <f>IF('Quant. mod. (oc)'!K102&lt;0,0,'Quant. mod. (oc)'!K102)</f>
        <v>8.8952000000000009</v>
      </c>
      <c r="L102" s="125">
        <f>IF('Quant. mod. (oc)'!L102&lt;0,0,'Quant. mod. (oc)'!L102)</f>
        <v>14.994999999999999</v>
      </c>
      <c r="M102" s="125">
        <f>IF('Quant. mod. (oc)'!M102&lt;0,0,'Quant. mod. (oc)'!M102)</f>
        <v>14.994999999999999</v>
      </c>
      <c r="N102" s="125">
        <f>IF('Quant. mod. (oc)'!N102&lt;0,0,'Quant. mod. (oc)'!N102)</f>
        <v>0</v>
      </c>
      <c r="O102" s="125">
        <f>IF('Quant. mod. (oc)'!O102&lt;0,0,'Quant. mod. (oc)'!O102)</f>
        <v>0</v>
      </c>
      <c r="P102" s="125">
        <f>IF('Quant. mod. (oc)'!P102&lt;0,0,'Quant. mod. (oc)'!P102)</f>
        <v>0</v>
      </c>
      <c r="Q102" s="125">
        <f>IF('Quant. mod. (oc)'!Q102&lt;0,0,'Quant. mod. (oc)'!Q102)</f>
        <v>0</v>
      </c>
      <c r="R102" s="125">
        <f>IF('Quant. mod. (oc)'!R102&lt;0,0,'Quant. mod. (oc)'!R102)</f>
        <v>0</v>
      </c>
      <c r="S102" s="125">
        <f>IF('Quant. mod. (oc)'!S102&lt;0,0,'Quant. mod. (oc)'!S102)</f>
        <v>0</v>
      </c>
      <c r="T102" s="125">
        <f>IF('Quant. mod. (oc)'!T102&lt;0,0,'Quant. mod. (oc)'!T102)</f>
        <v>0</v>
      </c>
      <c r="U102" s="125">
        <f>IF('Quant. mod. (oc)'!U102&lt;0,0,'Quant. mod. (oc)'!U102)</f>
        <v>0</v>
      </c>
      <c r="V102" s="125">
        <f>IF('Quant. mod. (oc)'!V102&lt;0,0,'Quant. mod. (oc)'!V102)</f>
        <v>0</v>
      </c>
      <c r="W102" s="125">
        <f>IF('Quant. mod. (oc)'!W102&lt;0,0,'Quant. mod. (oc)'!W102)</f>
        <v>0</v>
      </c>
      <c r="X102" s="125">
        <f>IF('Quant. mod. (oc)'!X102&lt;0,0,'Quant. mod. (oc)'!X102)</f>
        <v>0</v>
      </c>
      <c r="Y102" s="125">
        <f>IF('Quant. mod. (oc)'!Y102&lt;0,0,'Quant. mod. (oc)'!Y102)</f>
        <v>0</v>
      </c>
      <c r="Z102" s="125">
        <f>IF('Quant. mod. (oc)'!Z102&lt;0,0,'Quant. mod. (oc)'!Z102)</f>
        <v>0</v>
      </c>
      <c r="AA102" s="125">
        <f>IF('Quant. mod. (oc)'!AA102&lt;0,0,'Quant. mod. (oc)'!AA102)</f>
        <v>0</v>
      </c>
      <c r="AB102" s="125">
        <f>IF('Quant. mod. (oc)'!AB102&lt;0,0,'Quant. mod. (oc)'!AB102)</f>
        <v>0</v>
      </c>
      <c r="AC102" s="125">
        <f>IF('Quant. mod. (oc)'!AC102&lt;0,0,'Quant. mod. (oc)'!AC102)</f>
        <v>0</v>
      </c>
      <c r="AD102" s="125">
        <f>IF('Quant. mod. (oc)'!AD102&lt;0,0,'Quant. mod. (oc)'!AD102)</f>
        <v>0</v>
      </c>
      <c r="AE102" s="125">
        <f>IF('Quant. mod. (oc)'!AE102&lt;0,0,'Quant. mod. (oc)'!AE102)</f>
        <v>0</v>
      </c>
      <c r="AF102" s="125">
        <f>IF('Quant. mod. (oc)'!AF102&lt;0,0,'Quant. mod. (oc)'!AF102)</f>
        <v>0</v>
      </c>
      <c r="AG102" s="126">
        <f>IF('Quant. mod. (oc)'!AG102&lt;0,0,'Quant. mod. (oc)'!AG102)</f>
        <v>0</v>
      </c>
      <c r="AH102" s="22"/>
    </row>
    <row r="103" spans="1:34" ht="25.5" x14ac:dyDescent="0.25">
      <c r="A103" s="21"/>
      <c r="B103" s="270" t="s">
        <v>295</v>
      </c>
      <c r="C103" s="67" t="s">
        <v>57</v>
      </c>
      <c r="D103" s="125">
        <f>IF('Quant. mod. (oc)'!D103&lt;0,0,'Quant. mod. (oc)'!D103)</f>
        <v>26.684000000000005</v>
      </c>
      <c r="E103" s="125">
        <f>IF('Quant. mod. (oc)'!E103&lt;0,0,'Quant. mod. (oc)'!E103)</f>
        <v>26.684000000000005</v>
      </c>
      <c r="F103" s="125">
        <f>IF('Quant. mod. (oc)'!F103&lt;0,0,'Quant. mod. (oc)'!F103)</f>
        <v>26.684000000000005</v>
      </c>
      <c r="G103" s="125">
        <f>IF('Quant. mod. (oc)'!G103&lt;0,0,'Quant. mod. (oc)'!G103)</f>
        <v>104.76199999999999</v>
      </c>
      <c r="H103" s="125">
        <f>IF('Quant. mod. (oc)'!H103&lt;0,0,'Quant. mod. (oc)'!H103)</f>
        <v>104.76199999999999</v>
      </c>
      <c r="I103" s="125">
        <f>IF('Quant. mod. (oc)'!I103&lt;0,0,'Quant. mod. (oc)'!I103)</f>
        <v>104.76199999999999</v>
      </c>
      <c r="J103" s="125">
        <f>IF('Quant. mod. (oc)'!J103&lt;0,0,'Quant. mod. (oc)'!J103)</f>
        <v>26.684000000000005</v>
      </c>
      <c r="K103" s="125">
        <f>IF('Quant. mod. (oc)'!K103&lt;0,0,'Quant. mod. (oc)'!K103)</f>
        <v>26.684000000000005</v>
      </c>
      <c r="L103" s="125">
        <f>IF('Quant. mod. (oc)'!L103&lt;0,0,'Quant. mod. (oc)'!L103)</f>
        <v>104.76199999999999</v>
      </c>
      <c r="M103" s="125">
        <f>IF('Quant. mod. (oc)'!M103&lt;0,0,'Quant. mod. (oc)'!M103)</f>
        <v>104.76199999999999</v>
      </c>
      <c r="N103" s="125">
        <f>IF('Quant. mod. (oc)'!N103&lt;0,0,'Quant. mod. (oc)'!N103)</f>
        <v>0</v>
      </c>
      <c r="O103" s="125">
        <f>IF('Quant. mod. (oc)'!O103&lt;0,0,'Quant. mod. (oc)'!O103)</f>
        <v>0</v>
      </c>
      <c r="P103" s="125">
        <f>IF('Quant. mod. (oc)'!P103&lt;0,0,'Quant. mod. (oc)'!P103)</f>
        <v>0</v>
      </c>
      <c r="Q103" s="125">
        <f>IF('Quant. mod. (oc)'!Q103&lt;0,0,'Quant. mod. (oc)'!Q103)</f>
        <v>0</v>
      </c>
      <c r="R103" s="125">
        <f>IF('Quant. mod. (oc)'!R103&lt;0,0,'Quant. mod. (oc)'!R103)</f>
        <v>0</v>
      </c>
      <c r="S103" s="125">
        <f>IF('Quant. mod. (oc)'!S103&lt;0,0,'Quant. mod. (oc)'!S103)</f>
        <v>0</v>
      </c>
      <c r="T103" s="125">
        <f>IF('Quant. mod. (oc)'!T103&lt;0,0,'Quant. mod. (oc)'!T103)</f>
        <v>0</v>
      </c>
      <c r="U103" s="125">
        <f>IF('Quant. mod. (oc)'!U103&lt;0,0,'Quant. mod. (oc)'!U103)</f>
        <v>0</v>
      </c>
      <c r="V103" s="125">
        <f>IF('Quant. mod. (oc)'!V103&lt;0,0,'Quant. mod. (oc)'!V103)</f>
        <v>0</v>
      </c>
      <c r="W103" s="125">
        <f>IF('Quant. mod. (oc)'!W103&lt;0,0,'Quant. mod. (oc)'!W103)</f>
        <v>0</v>
      </c>
      <c r="X103" s="125">
        <f>IF('Quant. mod. (oc)'!X103&lt;0,0,'Quant. mod. (oc)'!X103)</f>
        <v>0</v>
      </c>
      <c r="Y103" s="125">
        <f>IF('Quant. mod. (oc)'!Y103&lt;0,0,'Quant. mod. (oc)'!Y103)</f>
        <v>0</v>
      </c>
      <c r="Z103" s="125">
        <f>IF('Quant. mod. (oc)'!Z103&lt;0,0,'Quant. mod. (oc)'!Z103)</f>
        <v>0</v>
      </c>
      <c r="AA103" s="125">
        <f>IF('Quant. mod. (oc)'!AA103&lt;0,0,'Quant. mod. (oc)'!AA103)</f>
        <v>0</v>
      </c>
      <c r="AB103" s="125">
        <f>IF('Quant. mod. (oc)'!AB103&lt;0,0,'Quant. mod. (oc)'!AB103)</f>
        <v>0</v>
      </c>
      <c r="AC103" s="125">
        <f>IF('Quant. mod. (oc)'!AC103&lt;0,0,'Quant. mod. (oc)'!AC103)</f>
        <v>0</v>
      </c>
      <c r="AD103" s="125">
        <f>IF('Quant. mod. (oc)'!AD103&lt;0,0,'Quant. mod. (oc)'!AD103)</f>
        <v>0</v>
      </c>
      <c r="AE103" s="125">
        <f>IF('Quant. mod. (oc)'!AE103&lt;0,0,'Quant. mod. (oc)'!AE103)</f>
        <v>0</v>
      </c>
      <c r="AF103" s="125">
        <f>IF('Quant. mod. (oc)'!AF103&lt;0,0,'Quant. mod. (oc)'!AF103)</f>
        <v>0</v>
      </c>
      <c r="AG103" s="126">
        <f>IF('Quant. mod. (oc)'!AG103&lt;0,0,'Quant. mod. (oc)'!AG103)</f>
        <v>0</v>
      </c>
      <c r="AH103" s="22"/>
    </row>
    <row r="104" spans="1:34" x14ac:dyDescent="0.25">
      <c r="A104" s="21"/>
      <c r="B104" s="27" t="s">
        <v>305</v>
      </c>
      <c r="C104" s="67" t="s">
        <v>63</v>
      </c>
      <c r="D104" s="125">
        <f>IF('Quant. mod. (oc)'!D104&lt;0,0,'Quant. mod. (oc)'!D104)</f>
        <v>709.92240000000004</v>
      </c>
      <c r="E104" s="125">
        <f>IF('Quant. mod. (oc)'!E104&lt;0,0,'Quant. mod. (oc)'!E104)</f>
        <v>709.92240000000004</v>
      </c>
      <c r="F104" s="125">
        <f>IF('Quant. mod. (oc)'!F104&lt;0,0,'Quant. mod. (oc)'!F104)</f>
        <v>709.92240000000004</v>
      </c>
      <c r="G104" s="125">
        <f>IF('Quant. mod. (oc)'!G104&lt;0,0,'Quant. mod. (oc)'!G104)</f>
        <v>354.96120000000002</v>
      </c>
      <c r="H104" s="125">
        <f>IF('Quant. mod. (oc)'!H104&lt;0,0,'Quant. mod. (oc)'!H104)</f>
        <v>354.96120000000002</v>
      </c>
      <c r="I104" s="125">
        <f>IF('Quant. mod. (oc)'!I104&lt;0,0,'Quant. mod. (oc)'!I104)</f>
        <v>354.96120000000002</v>
      </c>
      <c r="J104" s="125">
        <f>IF('Quant. mod. (oc)'!J104&lt;0,0,'Quant. mod. (oc)'!J104)</f>
        <v>709.92240000000004</v>
      </c>
      <c r="K104" s="125">
        <f>IF('Quant. mod. (oc)'!K104&lt;0,0,'Quant. mod. (oc)'!K104)</f>
        <v>709.92240000000004</v>
      </c>
      <c r="L104" s="125">
        <f>IF('Quant. mod. (oc)'!L104&lt;0,0,'Quant. mod. (oc)'!L104)</f>
        <v>354.96120000000002</v>
      </c>
      <c r="M104" s="125">
        <f>IF('Quant. mod. (oc)'!M104&lt;0,0,'Quant. mod. (oc)'!M104)</f>
        <v>354.96120000000002</v>
      </c>
      <c r="N104" s="125">
        <f>IF('Quant. mod. (oc)'!N104&lt;0,0,'Quant. mod. (oc)'!N104)</f>
        <v>0</v>
      </c>
      <c r="O104" s="125">
        <f>IF('Quant. mod. (oc)'!O104&lt;0,0,'Quant. mod. (oc)'!O104)</f>
        <v>0</v>
      </c>
      <c r="P104" s="125">
        <f>IF('Quant. mod. (oc)'!P104&lt;0,0,'Quant. mod. (oc)'!P104)</f>
        <v>0</v>
      </c>
      <c r="Q104" s="125">
        <f>IF('Quant. mod. (oc)'!Q104&lt;0,0,'Quant. mod. (oc)'!Q104)</f>
        <v>0</v>
      </c>
      <c r="R104" s="125">
        <f>IF('Quant. mod. (oc)'!R104&lt;0,0,'Quant. mod. (oc)'!R104)</f>
        <v>0</v>
      </c>
      <c r="S104" s="125">
        <f>IF('Quant. mod. (oc)'!S104&lt;0,0,'Quant. mod. (oc)'!S104)</f>
        <v>0</v>
      </c>
      <c r="T104" s="125">
        <f>IF('Quant. mod. (oc)'!T104&lt;0,0,'Quant. mod. (oc)'!T104)</f>
        <v>0</v>
      </c>
      <c r="U104" s="125">
        <f>IF('Quant. mod. (oc)'!U104&lt;0,0,'Quant. mod. (oc)'!U104)</f>
        <v>0</v>
      </c>
      <c r="V104" s="125">
        <f>IF('Quant. mod. (oc)'!V104&lt;0,0,'Quant. mod. (oc)'!V104)</f>
        <v>0</v>
      </c>
      <c r="W104" s="125">
        <f>IF('Quant. mod. (oc)'!W104&lt;0,0,'Quant. mod. (oc)'!W104)</f>
        <v>0</v>
      </c>
      <c r="X104" s="125">
        <f>IF('Quant. mod. (oc)'!X104&lt;0,0,'Quant. mod. (oc)'!X104)</f>
        <v>0</v>
      </c>
      <c r="Y104" s="125">
        <f>IF('Quant. mod. (oc)'!Y104&lt;0,0,'Quant. mod. (oc)'!Y104)</f>
        <v>0</v>
      </c>
      <c r="Z104" s="125">
        <f>IF('Quant. mod. (oc)'!Z104&lt;0,0,'Quant. mod. (oc)'!Z104)</f>
        <v>0</v>
      </c>
      <c r="AA104" s="125">
        <f>IF('Quant. mod. (oc)'!AA104&lt;0,0,'Quant. mod. (oc)'!AA104)</f>
        <v>0</v>
      </c>
      <c r="AB104" s="125">
        <f>IF('Quant. mod. (oc)'!AB104&lt;0,0,'Quant. mod. (oc)'!AB104)</f>
        <v>0</v>
      </c>
      <c r="AC104" s="125">
        <f>IF('Quant. mod. (oc)'!AC104&lt;0,0,'Quant. mod. (oc)'!AC104)</f>
        <v>0</v>
      </c>
      <c r="AD104" s="125">
        <f>IF('Quant. mod. (oc)'!AD104&lt;0,0,'Quant. mod. (oc)'!AD104)</f>
        <v>0</v>
      </c>
      <c r="AE104" s="125">
        <f>IF('Quant. mod. (oc)'!AE104&lt;0,0,'Quant. mod. (oc)'!AE104)</f>
        <v>0</v>
      </c>
      <c r="AF104" s="125">
        <f>IF('Quant. mod. (oc)'!AF104&lt;0,0,'Quant. mod. (oc)'!AF104)</f>
        <v>0</v>
      </c>
      <c r="AG104" s="126">
        <f>IF('Quant. mod. (oc)'!AG104&lt;0,0,'Quant. mod. (oc)'!AG104)</f>
        <v>0</v>
      </c>
      <c r="AH104" s="22"/>
    </row>
    <row r="105" spans="1:34" x14ac:dyDescent="0.25">
      <c r="A105" s="21"/>
      <c r="B105" s="27" t="s">
        <v>465</v>
      </c>
      <c r="C105" s="67" t="s">
        <v>63</v>
      </c>
      <c r="D105" s="125">
        <f>IF('Quant. mod. (oc)'!D105&lt;0,0,'Quant. mod. (oc)'!D105)</f>
        <v>1662.0500000000002</v>
      </c>
      <c r="E105" s="125">
        <f>IF('Quant. mod. (oc)'!E105&lt;0,0,'Quant. mod. (oc)'!E105)</f>
        <v>1662.0500000000002</v>
      </c>
      <c r="F105" s="125">
        <f>IF('Quant. mod. (oc)'!F105&lt;0,0,'Quant. mod. (oc)'!F105)</f>
        <v>1662.0500000000002</v>
      </c>
      <c r="G105" s="125">
        <f>IF('Quant. mod. (oc)'!G105&lt;0,0,'Quant. mod. (oc)'!G105)</f>
        <v>306.99900000000008</v>
      </c>
      <c r="H105" s="125">
        <f>IF('Quant. mod. (oc)'!H105&lt;0,0,'Quant. mod. (oc)'!H105)</f>
        <v>306.99900000000008</v>
      </c>
      <c r="I105" s="125">
        <f>IF('Quant. mod. (oc)'!I105&lt;0,0,'Quant. mod. (oc)'!I105)</f>
        <v>306.99900000000008</v>
      </c>
      <c r="J105" s="125">
        <f>IF('Quant. mod. (oc)'!J105&lt;0,0,'Quant. mod. (oc)'!J105)</f>
        <v>1662.0500000000002</v>
      </c>
      <c r="K105" s="125">
        <f>IF('Quant. mod. (oc)'!K105&lt;0,0,'Quant. mod. (oc)'!K105)</f>
        <v>1662.0500000000002</v>
      </c>
      <c r="L105" s="125">
        <f>IF('Quant. mod. (oc)'!L105&lt;0,0,'Quant. mod. (oc)'!L105)</f>
        <v>306.99900000000008</v>
      </c>
      <c r="M105" s="125">
        <f>IF('Quant. mod. (oc)'!M105&lt;0,0,'Quant. mod. (oc)'!M105)</f>
        <v>306.99900000000008</v>
      </c>
      <c r="N105" s="125">
        <f>IF('Quant. mod. (oc)'!N105&lt;0,0,'Quant. mod. (oc)'!N105)</f>
        <v>0</v>
      </c>
      <c r="O105" s="125">
        <f>IF('Quant. mod. (oc)'!O105&lt;0,0,'Quant. mod. (oc)'!O105)</f>
        <v>0</v>
      </c>
      <c r="P105" s="125">
        <f>IF('Quant. mod. (oc)'!P105&lt;0,0,'Quant. mod. (oc)'!P105)</f>
        <v>0</v>
      </c>
      <c r="Q105" s="125">
        <f>IF('Quant. mod. (oc)'!Q105&lt;0,0,'Quant. mod. (oc)'!Q105)</f>
        <v>0</v>
      </c>
      <c r="R105" s="125">
        <f>IF('Quant. mod. (oc)'!R105&lt;0,0,'Quant. mod. (oc)'!R105)</f>
        <v>0</v>
      </c>
      <c r="S105" s="125">
        <f>IF('Quant. mod. (oc)'!S105&lt;0,0,'Quant. mod. (oc)'!S105)</f>
        <v>0</v>
      </c>
      <c r="T105" s="125">
        <f>IF('Quant. mod. (oc)'!T105&lt;0,0,'Quant. mod. (oc)'!T105)</f>
        <v>0</v>
      </c>
      <c r="U105" s="125">
        <f>IF('Quant. mod. (oc)'!U105&lt;0,0,'Quant. mod. (oc)'!U105)</f>
        <v>0</v>
      </c>
      <c r="V105" s="125">
        <f>IF('Quant. mod. (oc)'!V105&lt;0,0,'Quant. mod. (oc)'!V105)</f>
        <v>0</v>
      </c>
      <c r="W105" s="125">
        <f>IF('Quant. mod. (oc)'!W105&lt;0,0,'Quant. mod. (oc)'!W105)</f>
        <v>0</v>
      </c>
      <c r="X105" s="125">
        <f>IF('Quant. mod. (oc)'!X105&lt;0,0,'Quant. mod. (oc)'!X105)</f>
        <v>0</v>
      </c>
      <c r="Y105" s="125">
        <f>IF('Quant. mod. (oc)'!Y105&lt;0,0,'Quant. mod. (oc)'!Y105)</f>
        <v>0</v>
      </c>
      <c r="Z105" s="125">
        <f>IF('Quant. mod. (oc)'!Z105&lt;0,0,'Quant. mod. (oc)'!Z105)</f>
        <v>0</v>
      </c>
      <c r="AA105" s="125">
        <f>IF('Quant. mod. (oc)'!AA105&lt;0,0,'Quant. mod. (oc)'!AA105)</f>
        <v>0</v>
      </c>
      <c r="AB105" s="125">
        <f>IF('Quant. mod. (oc)'!AB105&lt;0,0,'Quant. mod. (oc)'!AB105)</f>
        <v>0</v>
      </c>
      <c r="AC105" s="125">
        <f>IF('Quant. mod. (oc)'!AC105&lt;0,0,'Quant. mod. (oc)'!AC105)</f>
        <v>0</v>
      </c>
      <c r="AD105" s="125">
        <f>IF('Quant. mod. (oc)'!AD105&lt;0,0,'Quant. mod. (oc)'!AD105)</f>
        <v>0</v>
      </c>
      <c r="AE105" s="125">
        <f>IF('Quant. mod. (oc)'!AE105&lt;0,0,'Quant. mod. (oc)'!AE105)</f>
        <v>0</v>
      </c>
      <c r="AF105" s="125">
        <f>IF('Quant. mod. (oc)'!AF105&lt;0,0,'Quant. mod. (oc)'!AF105)</f>
        <v>0</v>
      </c>
      <c r="AG105" s="126">
        <f>IF('Quant. mod. (oc)'!AG105&lt;0,0,'Quant. mod. (oc)'!AG105)</f>
        <v>0</v>
      </c>
      <c r="AH105" s="22"/>
    </row>
    <row r="106" spans="1:34" x14ac:dyDescent="0.25">
      <c r="A106" s="21"/>
      <c r="B106" s="27" t="s">
        <v>522</v>
      </c>
      <c r="C106" s="67" t="s">
        <v>63</v>
      </c>
      <c r="D106" s="125">
        <f>IF('Quant. mod. (oc)'!D106&lt;0,0,'Quant. mod. (oc)'!D106)</f>
        <v>948.80999999999983</v>
      </c>
      <c r="E106" s="125">
        <f>IF('Quant. mod. (oc)'!E106&lt;0,0,'Quant. mod. (oc)'!E106)</f>
        <v>948.80999999999983</v>
      </c>
      <c r="F106" s="125">
        <f>IF('Quant. mod. (oc)'!F106&lt;0,0,'Quant. mod. (oc)'!F106)</f>
        <v>948.80999999999983</v>
      </c>
      <c r="G106" s="125">
        <f>IF('Quant. mod. (oc)'!G106&lt;0,0,'Quant. mod. (oc)'!G106)</f>
        <v>264.77800000000002</v>
      </c>
      <c r="H106" s="125">
        <f>IF('Quant. mod. (oc)'!H106&lt;0,0,'Quant. mod. (oc)'!H106)</f>
        <v>264.77800000000002</v>
      </c>
      <c r="I106" s="125">
        <f>IF('Quant. mod. (oc)'!I106&lt;0,0,'Quant. mod. (oc)'!I106)</f>
        <v>264.77800000000002</v>
      </c>
      <c r="J106" s="125">
        <f>IF('Quant. mod. (oc)'!J106&lt;0,0,'Quant. mod. (oc)'!J106)</f>
        <v>948.80999999999983</v>
      </c>
      <c r="K106" s="125">
        <f>IF('Quant. mod. (oc)'!K106&lt;0,0,'Quant. mod. (oc)'!K106)</f>
        <v>948.80999999999983</v>
      </c>
      <c r="L106" s="125">
        <f>IF('Quant. mod. (oc)'!L106&lt;0,0,'Quant. mod. (oc)'!L106)</f>
        <v>264.77800000000002</v>
      </c>
      <c r="M106" s="125">
        <f>IF('Quant. mod. (oc)'!M106&lt;0,0,'Quant. mod. (oc)'!M106)</f>
        <v>264.77800000000002</v>
      </c>
      <c r="N106" s="125">
        <f>IF('Quant. mod. (oc)'!N106&lt;0,0,'Quant. mod. (oc)'!N106)</f>
        <v>0</v>
      </c>
      <c r="O106" s="125">
        <f>IF('Quant. mod. (oc)'!O106&lt;0,0,'Quant. mod. (oc)'!O106)</f>
        <v>0</v>
      </c>
      <c r="P106" s="125">
        <f>IF('Quant. mod. (oc)'!P106&lt;0,0,'Quant. mod. (oc)'!P106)</f>
        <v>0</v>
      </c>
      <c r="Q106" s="125">
        <f>IF('Quant. mod. (oc)'!Q106&lt;0,0,'Quant. mod. (oc)'!Q106)</f>
        <v>0</v>
      </c>
      <c r="R106" s="125">
        <f>IF('Quant. mod. (oc)'!R106&lt;0,0,'Quant. mod. (oc)'!R106)</f>
        <v>0</v>
      </c>
      <c r="S106" s="125">
        <f>IF('Quant. mod. (oc)'!S106&lt;0,0,'Quant. mod. (oc)'!S106)</f>
        <v>0</v>
      </c>
      <c r="T106" s="125">
        <f>IF('Quant. mod. (oc)'!T106&lt;0,0,'Quant. mod. (oc)'!T106)</f>
        <v>0</v>
      </c>
      <c r="U106" s="125">
        <f>IF('Quant. mod. (oc)'!U106&lt;0,0,'Quant. mod. (oc)'!U106)</f>
        <v>0</v>
      </c>
      <c r="V106" s="125">
        <f>IF('Quant. mod. (oc)'!V106&lt;0,0,'Quant. mod. (oc)'!V106)</f>
        <v>0</v>
      </c>
      <c r="W106" s="125">
        <f>IF('Quant. mod. (oc)'!W106&lt;0,0,'Quant. mod. (oc)'!W106)</f>
        <v>0</v>
      </c>
      <c r="X106" s="125">
        <f>IF('Quant. mod. (oc)'!X106&lt;0,0,'Quant. mod. (oc)'!X106)</f>
        <v>0</v>
      </c>
      <c r="Y106" s="125">
        <f>IF('Quant. mod. (oc)'!Y106&lt;0,0,'Quant. mod. (oc)'!Y106)</f>
        <v>0</v>
      </c>
      <c r="Z106" s="125">
        <f>IF('Quant. mod. (oc)'!Z106&lt;0,0,'Quant. mod. (oc)'!Z106)</f>
        <v>0</v>
      </c>
      <c r="AA106" s="125">
        <f>IF('Quant. mod. (oc)'!AA106&lt;0,0,'Quant. mod. (oc)'!AA106)</f>
        <v>0</v>
      </c>
      <c r="AB106" s="125">
        <f>IF('Quant. mod. (oc)'!AB106&lt;0,0,'Quant. mod. (oc)'!AB106)</f>
        <v>0</v>
      </c>
      <c r="AC106" s="125">
        <f>IF('Quant. mod. (oc)'!AC106&lt;0,0,'Quant. mod. (oc)'!AC106)</f>
        <v>0</v>
      </c>
      <c r="AD106" s="125">
        <f>IF('Quant. mod. (oc)'!AD106&lt;0,0,'Quant. mod. (oc)'!AD106)</f>
        <v>0</v>
      </c>
      <c r="AE106" s="125">
        <f>IF('Quant. mod. (oc)'!AE106&lt;0,0,'Quant. mod. (oc)'!AE106)</f>
        <v>0</v>
      </c>
      <c r="AF106" s="125">
        <f>IF('Quant. mod. (oc)'!AF106&lt;0,0,'Quant. mod. (oc)'!AF106)</f>
        <v>0</v>
      </c>
      <c r="AG106" s="126">
        <f>IF('Quant. mod. (oc)'!AG106&lt;0,0,'Quant. mod. (oc)'!AG106)</f>
        <v>0</v>
      </c>
      <c r="AH106" s="22"/>
    </row>
    <row r="107" spans="1:34" ht="25.5" x14ac:dyDescent="0.25">
      <c r="A107" s="21"/>
      <c r="B107" s="27" t="s">
        <v>516</v>
      </c>
      <c r="C107" s="67" t="s">
        <v>57</v>
      </c>
      <c r="D107" s="125">
        <f>IF('Quant. mod. (oc)'!D107&lt;0,0,'Quant. mod. (oc)'!D107)</f>
        <v>116.23199999999999</v>
      </c>
      <c r="E107" s="125">
        <f>IF('Quant. mod. (oc)'!E107&lt;0,0,'Quant. mod. (oc)'!E107)</f>
        <v>116.23199999999999</v>
      </c>
      <c r="F107" s="125">
        <f>IF('Quant. mod. (oc)'!F107&lt;0,0,'Quant. mod. (oc)'!F107)</f>
        <v>116.23199999999999</v>
      </c>
      <c r="G107" s="125">
        <f>IF('Quant. mod. (oc)'!G107&lt;0,0,'Quant. mod. (oc)'!G107)</f>
        <v>30.531699999999997</v>
      </c>
      <c r="H107" s="125">
        <f>IF('Quant. mod. (oc)'!H107&lt;0,0,'Quant. mod. (oc)'!H107)</f>
        <v>30.531699999999997</v>
      </c>
      <c r="I107" s="125">
        <f>IF('Quant. mod. (oc)'!I107&lt;0,0,'Quant. mod. (oc)'!I107)</f>
        <v>30.531699999999997</v>
      </c>
      <c r="J107" s="125">
        <f>IF('Quant. mod. (oc)'!J107&lt;0,0,'Quant. mod. (oc)'!J107)</f>
        <v>116.23199999999999</v>
      </c>
      <c r="K107" s="125">
        <f>IF('Quant. mod. (oc)'!K107&lt;0,0,'Quant. mod. (oc)'!K107)</f>
        <v>116.23199999999999</v>
      </c>
      <c r="L107" s="125">
        <f>IF('Quant. mod. (oc)'!L107&lt;0,0,'Quant. mod. (oc)'!L107)</f>
        <v>30.531699999999997</v>
      </c>
      <c r="M107" s="125">
        <f>IF('Quant. mod. (oc)'!M107&lt;0,0,'Quant. mod. (oc)'!M107)</f>
        <v>30.531699999999997</v>
      </c>
      <c r="N107" s="125">
        <f>IF('Quant. mod. (oc)'!N107&lt;0,0,'Quant. mod. (oc)'!N107)</f>
        <v>0</v>
      </c>
      <c r="O107" s="125">
        <f>IF('Quant. mod. (oc)'!O107&lt;0,0,'Quant. mod. (oc)'!O107)</f>
        <v>0</v>
      </c>
      <c r="P107" s="125">
        <f>IF('Quant. mod. (oc)'!P107&lt;0,0,'Quant. mod. (oc)'!P107)</f>
        <v>0</v>
      </c>
      <c r="Q107" s="125">
        <f>IF('Quant. mod. (oc)'!Q107&lt;0,0,'Quant. mod. (oc)'!Q107)</f>
        <v>0</v>
      </c>
      <c r="R107" s="125">
        <f>IF('Quant. mod. (oc)'!R107&lt;0,0,'Quant. mod. (oc)'!R107)</f>
        <v>0</v>
      </c>
      <c r="S107" s="125">
        <f>IF('Quant. mod. (oc)'!S107&lt;0,0,'Quant. mod. (oc)'!S107)</f>
        <v>0</v>
      </c>
      <c r="T107" s="125">
        <f>IF('Quant. mod. (oc)'!T107&lt;0,0,'Quant. mod. (oc)'!T107)</f>
        <v>0</v>
      </c>
      <c r="U107" s="125">
        <f>IF('Quant. mod. (oc)'!U107&lt;0,0,'Quant. mod. (oc)'!U107)</f>
        <v>0</v>
      </c>
      <c r="V107" s="125">
        <f>IF('Quant. mod. (oc)'!V107&lt;0,0,'Quant. mod. (oc)'!V107)</f>
        <v>0</v>
      </c>
      <c r="W107" s="125">
        <f>IF('Quant. mod. (oc)'!W107&lt;0,0,'Quant. mod. (oc)'!W107)</f>
        <v>0</v>
      </c>
      <c r="X107" s="125">
        <f>IF('Quant. mod. (oc)'!X107&lt;0,0,'Quant. mod. (oc)'!X107)</f>
        <v>0</v>
      </c>
      <c r="Y107" s="125">
        <f>IF('Quant. mod. (oc)'!Y107&lt;0,0,'Quant. mod. (oc)'!Y107)</f>
        <v>0</v>
      </c>
      <c r="Z107" s="125">
        <f>IF('Quant. mod. (oc)'!Z107&lt;0,0,'Quant. mod. (oc)'!Z107)</f>
        <v>0</v>
      </c>
      <c r="AA107" s="125">
        <f>IF('Quant. mod. (oc)'!AA107&lt;0,0,'Quant. mod. (oc)'!AA107)</f>
        <v>0</v>
      </c>
      <c r="AB107" s="125">
        <f>IF('Quant. mod. (oc)'!AB107&lt;0,0,'Quant. mod. (oc)'!AB107)</f>
        <v>0</v>
      </c>
      <c r="AC107" s="125">
        <f>IF('Quant. mod. (oc)'!AC107&lt;0,0,'Quant. mod. (oc)'!AC107)</f>
        <v>0</v>
      </c>
      <c r="AD107" s="125">
        <f>IF('Quant. mod. (oc)'!AD107&lt;0,0,'Quant. mod. (oc)'!AD107)</f>
        <v>0</v>
      </c>
      <c r="AE107" s="125">
        <f>IF('Quant. mod. (oc)'!AE107&lt;0,0,'Quant. mod. (oc)'!AE107)</f>
        <v>0</v>
      </c>
      <c r="AF107" s="125">
        <f>IF('Quant. mod. (oc)'!AF107&lt;0,0,'Quant. mod. (oc)'!AF107)</f>
        <v>0</v>
      </c>
      <c r="AG107" s="126">
        <f>IF('Quant. mod. (oc)'!AG107&lt;0,0,'Quant. mod. (oc)'!AG107)</f>
        <v>0</v>
      </c>
      <c r="AH107" s="22"/>
    </row>
    <row r="108" spans="1:34" ht="25.5" x14ac:dyDescent="0.25">
      <c r="A108" s="21"/>
      <c r="B108" s="27" t="s">
        <v>517</v>
      </c>
      <c r="C108" s="67" t="s">
        <v>57</v>
      </c>
      <c r="D108" s="125">
        <f>IF('Quant. mod. (oc)'!D108&lt;0,0,'Quant. mod. (oc)'!D108)</f>
        <v>116.23199999999999</v>
      </c>
      <c r="E108" s="125">
        <f>IF('Quant. mod. (oc)'!E108&lt;0,0,'Quant. mod. (oc)'!E108)</f>
        <v>116.23199999999999</v>
      </c>
      <c r="F108" s="125">
        <f>IF('Quant. mod. (oc)'!F108&lt;0,0,'Quant. mod. (oc)'!F108)</f>
        <v>116.23199999999999</v>
      </c>
      <c r="G108" s="125">
        <f>IF('Quant. mod. (oc)'!G108&lt;0,0,'Quant. mod. (oc)'!G108)</f>
        <v>30.531699999999997</v>
      </c>
      <c r="H108" s="125">
        <f>IF('Quant. mod. (oc)'!H108&lt;0,0,'Quant. mod. (oc)'!H108)</f>
        <v>30.531699999999997</v>
      </c>
      <c r="I108" s="125">
        <f>IF('Quant. mod. (oc)'!I108&lt;0,0,'Quant. mod. (oc)'!I108)</f>
        <v>30.531699999999997</v>
      </c>
      <c r="J108" s="125">
        <f>IF('Quant. mod. (oc)'!J108&lt;0,0,'Quant. mod. (oc)'!J108)</f>
        <v>116.23199999999999</v>
      </c>
      <c r="K108" s="125">
        <f>IF('Quant. mod. (oc)'!K108&lt;0,0,'Quant. mod. (oc)'!K108)</f>
        <v>116.23199999999999</v>
      </c>
      <c r="L108" s="125">
        <f>IF('Quant. mod. (oc)'!L108&lt;0,0,'Quant. mod. (oc)'!L108)</f>
        <v>30.531699999999997</v>
      </c>
      <c r="M108" s="125">
        <f>IF('Quant. mod. (oc)'!M108&lt;0,0,'Quant. mod. (oc)'!M108)</f>
        <v>30.531699999999997</v>
      </c>
      <c r="N108" s="125">
        <f>IF('Quant. mod. (oc)'!N108&lt;0,0,'Quant. mod. (oc)'!N108)</f>
        <v>0</v>
      </c>
      <c r="O108" s="125">
        <f>IF('Quant. mod. (oc)'!O108&lt;0,0,'Quant. mod. (oc)'!O108)</f>
        <v>0</v>
      </c>
      <c r="P108" s="125">
        <f>IF('Quant. mod. (oc)'!P108&lt;0,0,'Quant. mod. (oc)'!P108)</f>
        <v>0</v>
      </c>
      <c r="Q108" s="125">
        <f>IF('Quant. mod. (oc)'!Q108&lt;0,0,'Quant. mod. (oc)'!Q108)</f>
        <v>0</v>
      </c>
      <c r="R108" s="125">
        <f>IF('Quant. mod. (oc)'!R108&lt;0,0,'Quant. mod. (oc)'!R108)</f>
        <v>0</v>
      </c>
      <c r="S108" s="125">
        <f>IF('Quant. mod. (oc)'!S108&lt;0,0,'Quant. mod. (oc)'!S108)</f>
        <v>0</v>
      </c>
      <c r="T108" s="125">
        <f>IF('Quant. mod. (oc)'!T108&lt;0,0,'Quant. mod. (oc)'!T108)</f>
        <v>0</v>
      </c>
      <c r="U108" s="125">
        <f>IF('Quant. mod. (oc)'!U108&lt;0,0,'Quant. mod. (oc)'!U108)</f>
        <v>0</v>
      </c>
      <c r="V108" s="125">
        <f>IF('Quant. mod. (oc)'!V108&lt;0,0,'Quant. mod. (oc)'!V108)</f>
        <v>0</v>
      </c>
      <c r="W108" s="125">
        <f>IF('Quant. mod. (oc)'!W108&lt;0,0,'Quant. mod. (oc)'!W108)</f>
        <v>0</v>
      </c>
      <c r="X108" s="125">
        <f>IF('Quant. mod. (oc)'!X108&lt;0,0,'Quant. mod. (oc)'!X108)</f>
        <v>0</v>
      </c>
      <c r="Y108" s="125">
        <f>IF('Quant. mod. (oc)'!Y108&lt;0,0,'Quant. mod. (oc)'!Y108)</f>
        <v>0</v>
      </c>
      <c r="Z108" s="125">
        <f>IF('Quant. mod. (oc)'!Z108&lt;0,0,'Quant. mod. (oc)'!Z108)</f>
        <v>0</v>
      </c>
      <c r="AA108" s="125">
        <f>IF('Quant. mod. (oc)'!AA108&lt;0,0,'Quant. mod. (oc)'!AA108)</f>
        <v>0</v>
      </c>
      <c r="AB108" s="125">
        <f>IF('Quant. mod. (oc)'!AB108&lt;0,0,'Quant. mod. (oc)'!AB108)</f>
        <v>0</v>
      </c>
      <c r="AC108" s="125">
        <f>IF('Quant. mod. (oc)'!AC108&lt;0,0,'Quant. mod. (oc)'!AC108)</f>
        <v>0</v>
      </c>
      <c r="AD108" s="125">
        <f>IF('Quant. mod. (oc)'!AD108&lt;0,0,'Quant. mod. (oc)'!AD108)</f>
        <v>0</v>
      </c>
      <c r="AE108" s="125">
        <f>IF('Quant. mod. (oc)'!AE108&lt;0,0,'Quant. mod. (oc)'!AE108)</f>
        <v>0</v>
      </c>
      <c r="AF108" s="125">
        <f>IF('Quant. mod. (oc)'!AF108&lt;0,0,'Quant. mod. (oc)'!AF108)</f>
        <v>0</v>
      </c>
      <c r="AG108" s="126">
        <f>IF('Quant. mod. (oc)'!AG108&lt;0,0,'Quant. mod. (oc)'!AG108)</f>
        <v>0</v>
      </c>
      <c r="AH108" s="22"/>
    </row>
    <row r="109" spans="1:34" x14ac:dyDescent="0.25">
      <c r="A109" s="21"/>
      <c r="B109" s="27" t="s">
        <v>530</v>
      </c>
      <c r="C109" s="67" t="s">
        <v>65</v>
      </c>
      <c r="D109" s="125">
        <f>IF('Quant. mod. (oc)'!D109&lt;0,0,'Quant. mod. (oc)'!D109)</f>
        <v>0.71890000000000009</v>
      </c>
      <c r="E109" s="125">
        <f>IF('Quant. mod. (oc)'!E109&lt;0,0,'Quant. mod. (oc)'!E109)</f>
        <v>0.71890000000000009</v>
      </c>
      <c r="F109" s="125">
        <f>IF('Quant. mod. (oc)'!F109&lt;0,0,'Quant. mod. (oc)'!F109)</f>
        <v>0.71890000000000009</v>
      </c>
      <c r="G109" s="125">
        <f>IF('Quant. mod. (oc)'!G109&lt;0,0,'Quant. mod. (oc)'!G109)</f>
        <v>0.71890000000000009</v>
      </c>
      <c r="H109" s="125">
        <f>IF('Quant. mod. (oc)'!H109&lt;0,0,'Quant. mod. (oc)'!H109)</f>
        <v>0.71890000000000009</v>
      </c>
      <c r="I109" s="125">
        <f>IF('Quant. mod. (oc)'!I109&lt;0,0,'Quant. mod. (oc)'!I109)</f>
        <v>0.71890000000000009</v>
      </c>
      <c r="J109" s="125">
        <f>IF('Quant. mod. (oc)'!J109&lt;0,0,'Quant. mod. (oc)'!J109)</f>
        <v>0.71890000000000009</v>
      </c>
      <c r="K109" s="125">
        <f>IF('Quant. mod. (oc)'!K109&lt;0,0,'Quant. mod. (oc)'!K109)</f>
        <v>0.71890000000000009</v>
      </c>
      <c r="L109" s="125">
        <f>IF('Quant. mod. (oc)'!L109&lt;0,0,'Quant. mod. (oc)'!L109)</f>
        <v>0.71890000000000009</v>
      </c>
      <c r="M109" s="125">
        <f>IF('Quant. mod. (oc)'!M109&lt;0,0,'Quant. mod. (oc)'!M109)</f>
        <v>0.71890000000000009</v>
      </c>
      <c r="N109" s="125">
        <f>IF('Quant. mod. (oc)'!N109&lt;0,0,'Quant. mod. (oc)'!N109)</f>
        <v>0</v>
      </c>
      <c r="O109" s="125">
        <f>IF('Quant. mod. (oc)'!O109&lt;0,0,'Quant. mod. (oc)'!O109)</f>
        <v>0</v>
      </c>
      <c r="P109" s="125">
        <f>IF('Quant. mod. (oc)'!P109&lt;0,0,'Quant. mod. (oc)'!P109)</f>
        <v>0</v>
      </c>
      <c r="Q109" s="125">
        <f>IF('Quant. mod. (oc)'!Q109&lt;0,0,'Quant. mod. (oc)'!Q109)</f>
        <v>0</v>
      </c>
      <c r="R109" s="125">
        <f>IF('Quant. mod. (oc)'!R109&lt;0,0,'Quant. mod. (oc)'!R109)</f>
        <v>0</v>
      </c>
      <c r="S109" s="125">
        <f>IF('Quant. mod. (oc)'!S109&lt;0,0,'Quant. mod. (oc)'!S109)</f>
        <v>0</v>
      </c>
      <c r="T109" s="125">
        <f>IF('Quant. mod. (oc)'!T109&lt;0,0,'Quant. mod. (oc)'!T109)</f>
        <v>0</v>
      </c>
      <c r="U109" s="125">
        <f>IF('Quant. mod. (oc)'!U109&lt;0,0,'Quant. mod. (oc)'!U109)</f>
        <v>0</v>
      </c>
      <c r="V109" s="125">
        <f>IF('Quant. mod. (oc)'!V109&lt;0,0,'Quant. mod. (oc)'!V109)</f>
        <v>0</v>
      </c>
      <c r="W109" s="125">
        <f>IF('Quant. mod. (oc)'!W109&lt;0,0,'Quant. mod. (oc)'!W109)</f>
        <v>0</v>
      </c>
      <c r="X109" s="125">
        <f>IF('Quant. mod. (oc)'!X109&lt;0,0,'Quant. mod. (oc)'!X109)</f>
        <v>0</v>
      </c>
      <c r="Y109" s="125">
        <f>IF('Quant. mod. (oc)'!Y109&lt;0,0,'Quant. mod. (oc)'!Y109)</f>
        <v>0</v>
      </c>
      <c r="Z109" s="125">
        <f>IF('Quant. mod. (oc)'!Z109&lt;0,0,'Quant. mod. (oc)'!Z109)</f>
        <v>0</v>
      </c>
      <c r="AA109" s="125">
        <f>IF('Quant. mod. (oc)'!AA109&lt;0,0,'Quant. mod. (oc)'!AA109)</f>
        <v>0</v>
      </c>
      <c r="AB109" s="125">
        <f>IF('Quant. mod. (oc)'!AB109&lt;0,0,'Quant. mod. (oc)'!AB109)</f>
        <v>0</v>
      </c>
      <c r="AC109" s="125">
        <f>IF('Quant. mod. (oc)'!AC109&lt;0,0,'Quant. mod. (oc)'!AC109)</f>
        <v>0</v>
      </c>
      <c r="AD109" s="125">
        <f>IF('Quant. mod. (oc)'!AD109&lt;0,0,'Quant. mod. (oc)'!AD109)</f>
        <v>0</v>
      </c>
      <c r="AE109" s="125">
        <f>IF('Quant. mod. (oc)'!AE109&lt;0,0,'Quant. mod. (oc)'!AE109)</f>
        <v>0</v>
      </c>
      <c r="AF109" s="125">
        <f>IF('Quant. mod. (oc)'!AF109&lt;0,0,'Quant. mod. (oc)'!AF109)</f>
        <v>0</v>
      </c>
      <c r="AG109" s="126">
        <f>IF('Quant. mod. (oc)'!AG109&lt;0,0,'Quant. mod. (oc)'!AG109)</f>
        <v>0</v>
      </c>
      <c r="AH109" s="22"/>
    </row>
    <row r="110" spans="1:34" x14ac:dyDescent="0.25">
      <c r="A110" s="21"/>
      <c r="B110" s="27" t="s">
        <v>524</v>
      </c>
      <c r="C110" s="67" t="s">
        <v>65</v>
      </c>
      <c r="D110" s="125">
        <f>IF('Quant. mod. (oc)'!D110&lt;0,0,'Quant. mod. (oc)'!D110)</f>
        <v>0.71890000000000009</v>
      </c>
      <c r="E110" s="125">
        <f>IF('Quant. mod. (oc)'!E110&lt;0,0,'Quant. mod. (oc)'!E110)</f>
        <v>0.71890000000000009</v>
      </c>
      <c r="F110" s="125">
        <f>IF('Quant. mod. (oc)'!F110&lt;0,0,'Quant. mod. (oc)'!F110)</f>
        <v>0.71890000000000009</v>
      </c>
      <c r="G110" s="125">
        <f>IF('Quant. mod. (oc)'!G110&lt;0,0,'Quant. mod. (oc)'!G110)</f>
        <v>0.71890000000000009</v>
      </c>
      <c r="H110" s="125">
        <f>IF('Quant. mod. (oc)'!H110&lt;0,0,'Quant. mod. (oc)'!H110)</f>
        <v>0.71890000000000009</v>
      </c>
      <c r="I110" s="125">
        <f>IF('Quant. mod. (oc)'!I110&lt;0,0,'Quant. mod. (oc)'!I110)</f>
        <v>0.71890000000000009</v>
      </c>
      <c r="J110" s="125">
        <f>IF('Quant. mod. (oc)'!J110&lt;0,0,'Quant. mod. (oc)'!J110)</f>
        <v>0.71890000000000009</v>
      </c>
      <c r="K110" s="125">
        <f>IF('Quant. mod. (oc)'!K110&lt;0,0,'Quant. mod. (oc)'!K110)</f>
        <v>0.71890000000000009</v>
      </c>
      <c r="L110" s="125">
        <f>IF('Quant. mod. (oc)'!L110&lt;0,0,'Quant. mod. (oc)'!L110)</f>
        <v>0.71890000000000009</v>
      </c>
      <c r="M110" s="125">
        <f>IF('Quant. mod. (oc)'!M110&lt;0,0,'Quant. mod. (oc)'!M110)</f>
        <v>0.71890000000000009</v>
      </c>
      <c r="N110" s="125">
        <f>IF('Quant. mod. (oc)'!N110&lt;0,0,'Quant. mod. (oc)'!N110)</f>
        <v>0</v>
      </c>
      <c r="O110" s="125">
        <f>IF('Quant. mod. (oc)'!O110&lt;0,0,'Quant. mod. (oc)'!O110)</f>
        <v>0</v>
      </c>
      <c r="P110" s="125">
        <f>IF('Quant. mod. (oc)'!P110&lt;0,0,'Quant. mod. (oc)'!P110)</f>
        <v>0</v>
      </c>
      <c r="Q110" s="125">
        <f>IF('Quant. mod. (oc)'!Q110&lt;0,0,'Quant. mod. (oc)'!Q110)</f>
        <v>0</v>
      </c>
      <c r="R110" s="125">
        <f>IF('Quant. mod. (oc)'!R110&lt;0,0,'Quant. mod. (oc)'!R110)</f>
        <v>0</v>
      </c>
      <c r="S110" s="125">
        <f>IF('Quant. mod. (oc)'!S110&lt;0,0,'Quant. mod. (oc)'!S110)</f>
        <v>0</v>
      </c>
      <c r="T110" s="125">
        <f>IF('Quant. mod. (oc)'!T110&lt;0,0,'Quant. mod. (oc)'!T110)</f>
        <v>0</v>
      </c>
      <c r="U110" s="125">
        <f>IF('Quant. mod. (oc)'!U110&lt;0,0,'Quant. mod. (oc)'!U110)</f>
        <v>0</v>
      </c>
      <c r="V110" s="125">
        <f>IF('Quant. mod. (oc)'!V110&lt;0,0,'Quant. mod. (oc)'!V110)</f>
        <v>0</v>
      </c>
      <c r="W110" s="125">
        <f>IF('Quant. mod. (oc)'!W110&lt;0,0,'Quant. mod. (oc)'!W110)</f>
        <v>0</v>
      </c>
      <c r="X110" s="125">
        <f>IF('Quant. mod. (oc)'!X110&lt;0,0,'Quant. mod. (oc)'!X110)</f>
        <v>0</v>
      </c>
      <c r="Y110" s="125">
        <f>IF('Quant. mod. (oc)'!Y110&lt;0,0,'Quant. mod. (oc)'!Y110)</f>
        <v>0</v>
      </c>
      <c r="Z110" s="125">
        <f>IF('Quant. mod. (oc)'!Z110&lt;0,0,'Quant. mod. (oc)'!Z110)</f>
        <v>0</v>
      </c>
      <c r="AA110" s="125">
        <f>IF('Quant. mod. (oc)'!AA110&lt;0,0,'Quant. mod. (oc)'!AA110)</f>
        <v>0</v>
      </c>
      <c r="AB110" s="125">
        <f>IF('Quant. mod. (oc)'!AB110&lt;0,0,'Quant. mod. (oc)'!AB110)</f>
        <v>0</v>
      </c>
      <c r="AC110" s="125">
        <f>IF('Quant. mod. (oc)'!AC110&lt;0,0,'Quant. mod. (oc)'!AC110)</f>
        <v>0</v>
      </c>
      <c r="AD110" s="125">
        <f>IF('Quant. mod. (oc)'!AD110&lt;0,0,'Quant. mod. (oc)'!AD110)</f>
        <v>0</v>
      </c>
      <c r="AE110" s="125">
        <f>IF('Quant. mod. (oc)'!AE110&lt;0,0,'Quant. mod. (oc)'!AE110)</f>
        <v>0</v>
      </c>
      <c r="AF110" s="125">
        <f>IF('Quant. mod. (oc)'!AF110&lt;0,0,'Quant. mod. (oc)'!AF110)</f>
        <v>0</v>
      </c>
      <c r="AG110" s="126">
        <f>IF('Quant. mod. (oc)'!AG110&lt;0,0,'Quant. mod. (oc)'!AG110)</f>
        <v>0</v>
      </c>
      <c r="AH110" s="22"/>
    </row>
    <row r="111" spans="1:34" x14ac:dyDescent="0.25">
      <c r="A111" s="21"/>
      <c r="B111" s="27" t="s">
        <v>525</v>
      </c>
      <c r="C111" s="67" t="s">
        <v>65</v>
      </c>
      <c r="D111" s="125">
        <f>IF('Quant. mod. (oc)'!D111&lt;0,0,'Quant. mod. (oc)'!D111)</f>
        <v>1.4378000000000002</v>
      </c>
      <c r="E111" s="125">
        <f>IF('Quant. mod. (oc)'!E111&lt;0,0,'Quant. mod. (oc)'!E111)</f>
        <v>1.4378000000000002</v>
      </c>
      <c r="F111" s="125">
        <f>IF('Quant. mod. (oc)'!F111&lt;0,0,'Quant. mod. (oc)'!F111)</f>
        <v>1.4378000000000002</v>
      </c>
      <c r="G111" s="125">
        <f>IF('Quant. mod. (oc)'!G111&lt;0,0,'Quant. mod. (oc)'!G111)</f>
        <v>1.4378000000000002</v>
      </c>
      <c r="H111" s="125">
        <f>IF('Quant. mod. (oc)'!H111&lt;0,0,'Quant. mod. (oc)'!H111)</f>
        <v>1.4378000000000002</v>
      </c>
      <c r="I111" s="125">
        <f>IF('Quant. mod. (oc)'!I111&lt;0,0,'Quant. mod. (oc)'!I111)</f>
        <v>1.4378000000000002</v>
      </c>
      <c r="J111" s="125">
        <f>IF('Quant. mod. (oc)'!J111&lt;0,0,'Quant. mod. (oc)'!J111)</f>
        <v>1.4378000000000002</v>
      </c>
      <c r="K111" s="125">
        <f>IF('Quant. mod. (oc)'!K111&lt;0,0,'Quant. mod. (oc)'!K111)</f>
        <v>1.4378000000000002</v>
      </c>
      <c r="L111" s="125">
        <f>IF('Quant. mod. (oc)'!L111&lt;0,0,'Quant. mod. (oc)'!L111)</f>
        <v>1.4378000000000002</v>
      </c>
      <c r="M111" s="125">
        <f>IF('Quant. mod. (oc)'!M111&lt;0,0,'Quant. mod. (oc)'!M111)</f>
        <v>1.4378000000000002</v>
      </c>
      <c r="N111" s="125">
        <f>IF('Quant. mod. (oc)'!N111&lt;0,0,'Quant. mod. (oc)'!N111)</f>
        <v>0</v>
      </c>
      <c r="O111" s="125">
        <f>IF('Quant. mod. (oc)'!O111&lt;0,0,'Quant. mod. (oc)'!O111)</f>
        <v>0</v>
      </c>
      <c r="P111" s="125">
        <f>IF('Quant. mod. (oc)'!P111&lt;0,0,'Quant. mod. (oc)'!P111)</f>
        <v>0</v>
      </c>
      <c r="Q111" s="125">
        <f>IF('Quant. mod. (oc)'!Q111&lt;0,0,'Quant. mod. (oc)'!Q111)</f>
        <v>0</v>
      </c>
      <c r="R111" s="125">
        <f>IF('Quant. mod. (oc)'!R111&lt;0,0,'Quant. mod. (oc)'!R111)</f>
        <v>0</v>
      </c>
      <c r="S111" s="125">
        <f>IF('Quant. mod. (oc)'!S111&lt;0,0,'Quant. mod. (oc)'!S111)</f>
        <v>0</v>
      </c>
      <c r="T111" s="125">
        <f>IF('Quant. mod. (oc)'!T111&lt;0,0,'Quant. mod. (oc)'!T111)</f>
        <v>0</v>
      </c>
      <c r="U111" s="125">
        <f>IF('Quant. mod. (oc)'!U111&lt;0,0,'Quant. mod. (oc)'!U111)</f>
        <v>0</v>
      </c>
      <c r="V111" s="125">
        <f>IF('Quant. mod. (oc)'!V111&lt;0,0,'Quant. mod. (oc)'!V111)</f>
        <v>0</v>
      </c>
      <c r="W111" s="125">
        <f>IF('Quant. mod. (oc)'!W111&lt;0,0,'Quant. mod. (oc)'!W111)</f>
        <v>0</v>
      </c>
      <c r="X111" s="125">
        <f>IF('Quant. mod. (oc)'!X111&lt;0,0,'Quant. mod. (oc)'!X111)</f>
        <v>0</v>
      </c>
      <c r="Y111" s="125">
        <f>IF('Quant. mod. (oc)'!Y111&lt;0,0,'Quant. mod. (oc)'!Y111)</f>
        <v>0</v>
      </c>
      <c r="Z111" s="125">
        <f>IF('Quant. mod. (oc)'!Z111&lt;0,0,'Quant. mod. (oc)'!Z111)</f>
        <v>0</v>
      </c>
      <c r="AA111" s="125">
        <f>IF('Quant. mod. (oc)'!AA111&lt;0,0,'Quant. mod. (oc)'!AA111)</f>
        <v>0</v>
      </c>
      <c r="AB111" s="125">
        <f>IF('Quant. mod. (oc)'!AB111&lt;0,0,'Quant. mod. (oc)'!AB111)</f>
        <v>0</v>
      </c>
      <c r="AC111" s="125">
        <f>IF('Quant. mod. (oc)'!AC111&lt;0,0,'Quant. mod. (oc)'!AC111)</f>
        <v>0</v>
      </c>
      <c r="AD111" s="125">
        <f>IF('Quant. mod. (oc)'!AD111&lt;0,0,'Quant. mod. (oc)'!AD111)</f>
        <v>0</v>
      </c>
      <c r="AE111" s="125">
        <f>IF('Quant. mod. (oc)'!AE111&lt;0,0,'Quant. mod. (oc)'!AE111)</f>
        <v>0</v>
      </c>
      <c r="AF111" s="125">
        <f>IF('Quant. mod. (oc)'!AF111&lt;0,0,'Quant. mod. (oc)'!AF111)</f>
        <v>0</v>
      </c>
      <c r="AG111" s="126">
        <f>IF('Quant. mod. (oc)'!AG111&lt;0,0,'Quant. mod. (oc)'!AG111)</f>
        <v>0</v>
      </c>
      <c r="AH111" s="22"/>
    </row>
    <row r="112" spans="1:34" x14ac:dyDescent="0.25">
      <c r="A112" s="21"/>
      <c r="B112" s="27" t="s">
        <v>531</v>
      </c>
      <c r="C112" s="67" t="s">
        <v>65</v>
      </c>
      <c r="D112" s="125">
        <f>IF('Quant. mod. (oc)'!D112&lt;0,0,'Quant. mod. (oc)'!D112)</f>
        <v>2.1515999999999997</v>
      </c>
      <c r="E112" s="125">
        <f>IF('Quant. mod. (oc)'!E112&lt;0,0,'Quant. mod. (oc)'!E112)</f>
        <v>2.1515999999999997</v>
      </c>
      <c r="F112" s="125">
        <f>IF('Quant. mod. (oc)'!F112&lt;0,0,'Quant. mod. (oc)'!F112)</f>
        <v>2.1515999999999997</v>
      </c>
      <c r="G112" s="125">
        <f>IF('Quant. mod. (oc)'!G112&lt;0,0,'Quant. mod. (oc)'!G112)</f>
        <v>2.1515999999999997</v>
      </c>
      <c r="H112" s="125">
        <f>IF('Quant. mod. (oc)'!H112&lt;0,0,'Quant. mod. (oc)'!H112)</f>
        <v>2.1515999999999997</v>
      </c>
      <c r="I112" s="125">
        <f>IF('Quant. mod. (oc)'!I112&lt;0,0,'Quant. mod. (oc)'!I112)</f>
        <v>2.1515999999999997</v>
      </c>
      <c r="J112" s="125">
        <f>IF('Quant. mod. (oc)'!J112&lt;0,0,'Quant. mod. (oc)'!J112)</f>
        <v>2.1515999999999997</v>
      </c>
      <c r="K112" s="125">
        <f>IF('Quant. mod. (oc)'!K112&lt;0,0,'Quant. mod. (oc)'!K112)</f>
        <v>2.1515999999999997</v>
      </c>
      <c r="L112" s="125">
        <f>IF('Quant. mod. (oc)'!L112&lt;0,0,'Quant. mod. (oc)'!L112)</f>
        <v>2.1515999999999997</v>
      </c>
      <c r="M112" s="125">
        <f>IF('Quant. mod. (oc)'!M112&lt;0,0,'Quant. mod. (oc)'!M112)</f>
        <v>2.1515999999999997</v>
      </c>
      <c r="N112" s="125">
        <f>IF('Quant. mod. (oc)'!N112&lt;0,0,'Quant. mod. (oc)'!N112)</f>
        <v>0</v>
      </c>
      <c r="O112" s="125">
        <f>IF('Quant. mod. (oc)'!O112&lt;0,0,'Quant. mod. (oc)'!O112)</f>
        <v>0</v>
      </c>
      <c r="P112" s="125">
        <f>IF('Quant. mod. (oc)'!P112&lt;0,0,'Quant. mod. (oc)'!P112)</f>
        <v>0</v>
      </c>
      <c r="Q112" s="125">
        <f>IF('Quant. mod. (oc)'!Q112&lt;0,0,'Quant. mod. (oc)'!Q112)</f>
        <v>0</v>
      </c>
      <c r="R112" s="125">
        <f>IF('Quant. mod. (oc)'!R112&lt;0,0,'Quant. mod. (oc)'!R112)</f>
        <v>0</v>
      </c>
      <c r="S112" s="125">
        <f>IF('Quant. mod. (oc)'!S112&lt;0,0,'Quant. mod. (oc)'!S112)</f>
        <v>0</v>
      </c>
      <c r="T112" s="125">
        <f>IF('Quant. mod. (oc)'!T112&lt;0,0,'Quant. mod. (oc)'!T112)</f>
        <v>0</v>
      </c>
      <c r="U112" s="125">
        <f>IF('Quant. mod. (oc)'!U112&lt;0,0,'Quant. mod. (oc)'!U112)</f>
        <v>0</v>
      </c>
      <c r="V112" s="125">
        <f>IF('Quant. mod. (oc)'!V112&lt;0,0,'Quant. mod. (oc)'!V112)</f>
        <v>0</v>
      </c>
      <c r="W112" s="125">
        <f>IF('Quant. mod. (oc)'!W112&lt;0,0,'Quant. mod. (oc)'!W112)</f>
        <v>0</v>
      </c>
      <c r="X112" s="125">
        <f>IF('Quant. mod. (oc)'!X112&lt;0,0,'Quant. mod. (oc)'!X112)</f>
        <v>0</v>
      </c>
      <c r="Y112" s="125">
        <f>IF('Quant. mod. (oc)'!Y112&lt;0,0,'Quant. mod. (oc)'!Y112)</f>
        <v>0</v>
      </c>
      <c r="Z112" s="125">
        <f>IF('Quant. mod. (oc)'!Z112&lt;0,0,'Quant. mod. (oc)'!Z112)</f>
        <v>0</v>
      </c>
      <c r="AA112" s="125">
        <f>IF('Quant. mod. (oc)'!AA112&lt;0,0,'Quant. mod. (oc)'!AA112)</f>
        <v>0</v>
      </c>
      <c r="AB112" s="125">
        <f>IF('Quant. mod. (oc)'!AB112&lt;0,0,'Quant. mod. (oc)'!AB112)</f>
        <v>0</v>
      </c>
      <c r="AC112" s="125">
        <f>IF('Quant. mod. (oc)'!AC112&lt;0,0,'Quant. mod. (oc)'!AC112)</f>
        <v>0</v>
      </c>
      <c r="AD112" s="125">
        <f>IF('Quant. mod. (oc)'!AD112&lt;0,0,'Quant. mod. (oc)'!AD112)</f>
        <v>0</v>
      </c>
      <c r="AE112" s="125">
        <f>IF('Quant. mod. (oc)'!AE112&lt;0,0,'Quant. mod. (oc)'!AE112)</f>
        <v>0</v>
      </c>
      <c r="AF112" s="125">
        <f>IF('Quant. mod. (oc)'!AF112&lt;0,0,'Quant. mod. (oc)'!AF112)</f>
        <v>0</v>
      </c>
      <c r="AG112" s="126">
        <f>IF('Quant. mod. (oc)'!AG112&lt;0,0,'Quant. mod. (oc)'!AG112)</f>
        <v>0</v>
      </c>
      <c r="AH112" s="22"/>
    </row>
    <row r="113" spans="1:34" x14ac:dyDescent="0.25">
      <c r="A113" s="21"/>
      <c r="B113" s="27" t="s">
        <v>527</v>
      </c>
      <c r="C113" s="67" t="s">
        <v>65</v>
      </c>
      <c r="D113" s="125">
        <f>IF('Quant. mod. (oc)'!D113&lt;0,0,'Quant. mod. (oc)'!D113)</f>
        <v>4.3123000000000005</v>
      </c>
      <c r="E113" s="125">
        <f>IF('Quant. mod. (oc)'!E113&lt;0,0,'Quant. mod. (oc)'!E113)</f>
        <v>4.3123000000000005</v>
      </c>
      <c r="F113" s="125">
        <f>IF('Quant. mod. (oc)'!F113&lt;0,0,'Quant. mod. (oc)'!F113)</f>
        <v>4.3123000000000005</v>
      </c>
      <c r="G113" s="125">
        <f>IF('Quant. mod. (oc)'!G113&lt;0,0,'Quant. mod. (oc)'!G113)</f>
        <v>4.3123000000000005</v>
      </c>
      <c r="H113" s="125">
        <f>IF('Quant. mod. (oc)'!H113&lt;0,0,'Quant. mod. (oc)'!H113)</f>
        <v>4.3123000000000005</v>
      </c>
      <c r="I113" s="125">
        <f>IF('Quant. mod. (oc)'!I113&lt;0,0,'Quant. mod. (oc)'!I113)</f>
        <v>4.3123000000000005</v>
      </c>
      <c r="J113" s="125">
        <f>IF('Quant. mod. (oc)'!J113&lt;0,0,'Quant. mod. (oc)'!J113)</f>
        <v>4.3123000000000005</v>
      </c>
      <c r="K113" s="125">
        <f>IF('Quant. mod. (oc)'!K113&lt;0,0,'Quant. mod. (oc)'!K113)</f>
        <v>4.3123000000000005</v>
      </c>
      <c r="L113" s="125">
        <f>IF('Quant. mod. (oc)'!L113&lt;0,0,'Quant. mod. (oc)'!L113)</f>
        <v>4.3123000000000005</v>
      </c>
      <c r="M113" s="125">
        <f>IF('Quant. mod. (oc)'!M113&lt;0,0,'Quant. mod. (oc)'!M113)</f>
        <v>4.3123000000000005</v>
      </c>
      <c r="N113" s="125">
        <f>IF('Quant. mod. (oc)'!N113&lt;0,0,'Quant. mod. (oc)'!N113)</f>
        <v>0</v>
      </c>
      <c r="O113" s="125">
        <f>IF('Quant. mod. (oc)'!O113&lt;0,0,'Quant. mod. (oc)'!O113)</f>
        <v>0</v>
      </c>
      <c r="P113" s="125">
        <f>IF('Quant. mod. (oc)'!P113&lt;0,0,'Quant. mod. (oc)'!P113)</f>
        <v>0</v>
      </c>
      <c r="Q113" s="125">
        <f>IF('Quant. mod. (oc)'!Q113&lt;0,0,'Quant. mod. (oc)'!Q113)</f>
        <v>0</v>
      </c>
      <c r="R113" s="125">
        <f>IF('Quant. mod. (oc)'!R113&lt;0,0,'Quant. mod. (oc)'!R113)</f>
        <v>0</v>
      </c>
      <c r="S113" s="125">
        <f>IF('Quant. mod. (oc)'!S113&lt;0,0,'Quant. mod. (oc)'!S113)</f>
        <v>0</v>
      </c>
      <c r="T113" s="125">
        <f>IF('Quant. mod. (oc)'!T113&lt;0,0,'Quant. mod. (oc)'!T113)</f>
        <v>0</v>
      </c>
      <c r="U113" s="125">
        <f>IF('Quant. mod. (oc)'!U113&lt;0,0,'Quant. mod. (oc)'!U113)</f>
        <v>0</v>
      </c>
      <c r="V113" s="125">
        <f>IF('Quant. mod. (oc)'!V113&lt;0,0,'Quant. mod. (oc)'!V113)</f>
        <v>0</v>
      </c>
      <c r="W113" s="125">
        <f>IF('Quant. mod. (oc)'!W113&lt;0,0,'Quant. mod. (oc)'!W113)</f>
        <v>0</v>
      </c>
      <c r="X113" s="125">
        <f>IF('Quant. mod. (oc)'!X113&lt;0,0,'Quant. mod. (oc)'!X113)</f>
        <v>0</v>
      </c>
      <c r="Y113" s="125">
        <f>IF('Quant. mod. (oc)'!Y113&lt;0,0,'Quant. mod. (oc)'!Y113)</f>
        <v>0</v>
      </c>
      <c r="Z113" s="125">
        <f>IF('Quant. mod. (oc)'!Z113&lt;0,0,'Quant. mod. (oc)'!Z113)</f>
        <v>0</v>
      </c>
      <c r="AA113" s="125">
        <f>IF('Quant. mod. (oc)'!AA113&lt;0,0,'Quant. mod. (oc)'!AA113)</f>
        <v>0</v>
      </c>
      <c r="AB113" s="125">
        <f>IF('Quant. mod. (oc)'!AB113&lt;0,0,'Quant. mod. (oc)'!AB113)</f>
        <v>0</v>
      </c>
      <c r="AC113" s="125">
        <f>IF('Quant. mod. (oc)'!AC113&lt;0,0,'Quant. mod. (oc)'!AC113)</f>
        <v>0</v>
      </c>
      <c r="AD113" s="125">
        <f>IF('Quant. mod. (oc)'!AD113&lt;0,0,'Quant. mod. (oc)'!AD113)</f>
        <v>0</v>
      </c>
      <c r="AE113" s="125">
        <f>IF('Quant. mod. (oc)'!AE113&lt;0,0,'Quant. mod. (oc)'!AE113)</f>
        <v>0</v>
      </c>
      <c r="AF113" s="125">
        <f>IF('Quant. mod. (oc)'!AF113&lt;0,0,'Quant. mod. (oc)'!AF113)</f>
        <v>0</v>
      </c>
      <c r="AG113" s="126">
        <f>IF('Quant. mod. (oc)'!AG113&lt;0,0,'Quant. mod. (oc)'!AG113)</f>
        <v>0</v>
      </c>
      <c r="AH113" s="22"/>
    </row>
    <row r="114" spans="1:34" x14ac:dyDescent="0.25">
      <c r="A114" s="21"/>
      <c r="B114" s="120" t="s">
        <v>520</v>
      </c>
      <c r="C114" s="121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8"/>
      <c r="AH114" s="22"/>
    </row>
    <row r="115" spans="1:34" ht="25.5" x14ac:dyDescent="0.25">
      <c r="A115" s="21"/>
      <c r="B115" s="270" t="s">
        <v>294</v>
      </c>
      <c r="C115" s="67" t="s">
        <v>65</v>
      </c>
      <c r="D115" s="125">
        <f>IF('Quant. mod. (oc)'!D115&lt;0,0,'Quant. mod. (oc)'!D115)</f>
        <v>4.0092999999999996</v>
      </c>
      <c r="E115" s="125">
        <f>IF('Quant. mod. (oc)'!E115&lt;0,0,'Quant. mod. (oc)'!E115)</f>
        <v>4.0092999999999996</v>
      </c>
      <c r="F115" s="125">
        <f>IF('Quant. mod. (oc)'!F115&lt;0,0,'Quant. mod. (oc)'!F115)</f>
        <v>4.0092999999999996</v>
      </c>
      <c r="G115" s="125">
        <f>IF('Quant. mod. (oc)'!G115&lt;0,0,'Quant. mod. (oc)'!G115)</f>
        <v>14.834699999999994</v>
      </c>
      <c r="H115" s="125">
        <f>IF('Quant. mod. (oc)'!H115&lt;0,0,'Quant. mod. (oc)'!H115)</f>
        <v>14.834699999999994</v>
      </c>
      <c r="I115" s="125">
        <f>IF('Quant. mod. (oc)'!I115&lt;0,0,'Quant. mod. (oc)'!I115)</f>
        <v>14.834699999999994</v>
      </c>
      <c r="J115" s="125">
        <f>IF('Quant. mod. (oc)'!J115&lt;0,0,'Quant. mod. (oc)'!J115)</f>
        <v>4.0092999999999996</v>
      </c>
      <c r="K115" s="125">
        <f>IF('Quant. mod. (oc)'!K115&lt;0,0,'Quant. mod. (oc)'!K115)</f>
        <v>4.0092999999999996</v>
      </c>
      <c r="L115" s="125">
        <f>IF('Quant. mod. (oc)'!L115&lt;0,0,'Quant. mod. (oc)'!L115)</f>
        <v>14.834699999999994</v>
      </c>
      <c r="M115" s="125">
        <f>IF('Quant. mod. (oc)'!M115&lt;0,0,'Quant. mod. (oc)'!M115)</f>
        <v>14.834699999999994</v>
      </c>
      <c r="N115" s="125">
        <f>IF('Quant. mod. (oc)'!N115&lt;0,0,'Quant. mod. (oc)'!N115)</f>
        <v>0</v>
      </c>
      <c r="O115" s="125">
        <f>IF('Quant. mod. (oc)'!O115&lt;0,0,'Quant. mod. (oc)'!O115)</f>
        <v>0</v>
      </c>
      <c r="P115" s="125">
        <f>IF('Quant. mod. (oc)'!P115&lt;0,0,'Quant. mod. (oc)'!P115)</f>
        <v>0</v>
      </c>
      <c r="Q115" s="125">
        <f>IF('Quant. mod. (oc)'!Q115&lt;0,0,'Quant. mod. (oc)'!Q115)</f>
        <v>0</v>
      </c>
      <c r="R115" s="125">
        <f>IF('Quant. mod. (oc)'!R115&lt;0,0,'Quant. mod. (oc)'!R115)</f>
        <v>0</v>
      </c>
      <c r="S115" s="125">
        <f>IF('Quant. mod. (oc)'!S115&lt;0,0,'Quant. mod. (oc)'!S115)</f>
        <v>0</v>
      </c>
      <c r="T115" s="125">
        <f>IF('Quant. mod. (oc)'!T115&lt;0,0,'Quant. mod. (oc)'!T115)</f>
        <v>0</v>
      </c>
      <c r="U115" s="125">
        <f>IF('Quant. mod. (oc)'!U115&lt;0,0,'Quant. mod. (oc)'!U115)</f>
        <v>0</v>
      </c>
      <c r="V115" s="125">
        <f>IF('Quant. mod. (oc)'!V115&lt;0,0,'Quant. mod. (oc)'!V115)</f>
        <v>0</v>
      </c>
      <c r="W115" s="125">
        <f>IF('Quant. mod. (oc)'!W115&lt;0,0,'Quant. mod. (oc)'!W115)</f>
        <v>0</v>
      </c>
      <c r="X115" s="125">
        <f>IF('Quant. mod. (oc)'!X115&lt;0,0,'Quant. mod. (oc)'!X115)</f>
        <v>3.7242000000000002</v>
      </c>
      <c r="Y115" s="125">
        <f>IF('Quant. mod. (oc)'!Y115&lt;0,0,'Quant. mod. (oc)'!Y115)</f>
        <v>3.7242000000000002</v>
      </c>
      <c r="Z115" s="125">
        <f>IF('Quant. mod. (oc)'!Z115&lt;0,0,'Quant. mod. (oc)'!Z115)</f>
        <v>3.7242000000000002</v>
      </c>
      <c r="AA115" s="125">
        <f>IF('Quant. mod. (oc)'!AA115&lt;0,0,'Quant. mod. (oc)'!AA115)</f>
        <v>16.0015</v>
      </c>
      <c r="AB115" s="125">
        <f>IF('Quant. mod. (oc)'!AB115&lt;0,0,'Quant. mod. (oc)'!AB115)</f>
        <v>16.0015</v>
      </c>
      <c r="AC115" s="125">
        <f>IF('Quant. mod. (oc)'!AC115&lt;0,0,'Quant. mod. (oc)'!AC115)</f>
        <v>16.0015</v>
      </c>
      <c r="AD115" s="125">
        <f>IF('Quant. mod. (oc)'!AD115&lt;0,0,'Quant. mod. (oc)'!AD115)</f>
        <v>3.7242000000000002</v>
      </c>
      <c r="AE115" s="125">
        <f>IF('Quant. mod. (oc)'!AE115&lt;0,0,'Quant. mod. (oc)'!AE115)</f>
        <v>3.7242000000000002</v>
      </c>
      <c r="AF115" s="125">
        <f>IF('Quant. mod. (oc)'!AF115&lt;0,0,'Quant. mod. (oc)'!AF115)</f>
        <v>16.0015</v>
      </c>
      <c r="AG115" s="126">
        <f>IF('Quant. mod. (oc)'!AG115&lt;0,0,'Quant. mod. (oc)'!AG115)</f>
        <v>16.0015</v>
      </c>
      <c r="AH115" s="22"/>
    </row>
    <row r="116" spans="1:34" x14ac:dyDescent="0.25">
      <c r="A116" s="21"/>
      <c r="B116" s="270" t="s">
        <v>290</v>
      </c>
      <c r="C116" s="67" t="s">
        <v>63</v>
      </c>
      <c r="D116" s="125">
        <f>IF('Quant. mod. (oc)'!D116&lt;0,0,'Quant. mod. (oc)'!D116)</f>
        <v>1.6060999999999999</v>
      </c>
      <c r="E116" s="125">
        <f>IF('Quant. mod. (oc)'!E116&lt;0,0,'Quant. mod. (oc)'!E116)</f>
        <v>1.6060999999999999</v>
      </c>
      <c r="F116" s="125">
        <f>IF('Quant. mod. (oc)'!F116&lt;0,0,'Quant. mod. (oc)'!F116)</f>
        <v>1.6060999999999999</v>
      </c>
      <c r="G116" s="125">
        <f>IF('Quant. mod. (oc)'!G116&lt;0,0,'Quant. mod. (oc)'!G116)</f>
        <v>5.9338999999999977</v>
      </c>
      <c r="H116" s="125">
        <f>IF('Quant. mod. (oc)'!H116&lt;0,0,'Quant. mod. (oc)'!H116)</f>
        <v>5.9338999999999977</v>
      </c>
      <c r="I116" s="125">
        <f>IF('Quant. mod. (oc)'!I116&lt;0,0,'Quant. mod. (oc)'!I116)</f>
        <v>5.9338999999999977</v>
      </c>
      <c r="J116" s="125">
        <f>IF('Quant. mod. (oc)'!J116&lt;0,0,'Quant. mod. (oc)'!J116)</f>
        <v>1.6060999999999999</v>
      </c>
      <c r="K116" s="125">
        <f>IF('Quant. mod. (oc)'!K116&lt;0,0,'Quant. mod. (oc)'!K116)</f>
        <v>1.6060999999999999</v>
      </c>
      <c r="L116" s="125">
        <f>IF('Quant. mod. (oc)'!L116&lt;0,0,'Quant. mod. (oc)'!L116)</f>
        <v>5.9338999999999977</v>
      </c>
      <c r="M116" s="125">
        <f>IF('Quant. mod. (oc)'!M116&lt;0,0,'Quant. mod. (oc)'!M116)</f>
        <v>5.9338999999999977</v>
      </c>
      <c r="N116" s="125">
        <f>IF('Quant. mod. (oc)'!N116&lt;0,0,'Quant. mod. (oc)'!N116)</f>
        <v>0</v>
      </c>
      <c r="O116" s="125">
        <f>IF('Quant. mod. (oc)'!O116&lt;0,0,'Quant. mod. (oc)'!O116)</f>
        <v>0</v>
      </c>
      <c r="P116" s="125">
        <f>IF('Quant. mod. (oc)'!P116&lt;0,0,'Quant. mod. (oc)'!P116)</f>
        <v>0</v>
      </c>
      <c r="Q116" s="125">
        <f>IF('Quant. mod. (oc)'!Q116&lt;0,0,'Quant. mod. (oc)'!Q116)</f>
        <v>0</v>
      </c>
      <c r="R116" s="125">
        <f>IF('Quant. mod. (oc)'!R116&lt;0,0,'Quant. mod. (oc)'!R116)</f>
        <v>0</v>
      </c>
      <c r="S116" s="125">
        <f>IF('Quant. mod. (oc)'!S116&lt;0,0,'Quant. mod. (oc)'!S116)</f>
        <v>0</v>
      </c>
      <c r="T116" s="125">
        <f>IF('Quant. mod. (oc)'!T116&lt;0,0,'Quant. mod. (oc)'!T116)</f>
        <v>0</v>
      </c>
      <c r="U116" s="125">
        <f>IF('Quant. mod. (oc)'!U116&lt;0,0,'Quant. mod. (oc)'!U116)</f>
        <v>0</v>
      </c>
      <c r="V116" s="125">
        <f>IF('Quant. mod. (oc)'!V116&lt;0,0,'Quant. mod. (oc)'!V116)</f>
        <v>0</v>
      </c>
      <c r="W116" s="125">
        <f>IF('Quant. mod. (oc)'!W116&lt;0,0,'Quant. mod. (oc)'!W116)</f>
        <v>0</v>
      </c>
      <c r="X116" s="125">
        <f>IF('Quant. mod. (oc)'!X116&lt;0,0,'Quant. mod. (oc)'!X116)</f>
        <v>1.4916999999999998</v>
      </c>
      <c r="Y116" s="125">
        <f>IF('Quant. mod. (oc)'!Y116&lt;0,0,'Quant. mod. (oc)'!Y116)</f>
        <v>1.4916999999999998</v>
      </c>
      <c r="Z116" s="125">
        <f>IF('Quant. mod. (oc)'!Z116&lt;0,0,'Quant. mod. (oc)'!Z116)</f>
        <v>1.4916999999999998</v>
      </c>
      <c r="AA116" s="125">
        <f>IF('Quant. mod. (oc)'!AA116&lt;0,0,'Quant. mod. (oc)'!AA116)</f>
        <v>6.4044000000000008</v>
      </c>
      <c r="AB116" s="125">
        <f>IF('Quant. mod. (oc)'!AB116&lt;0,0,'Quant. mod. (oc)'!AB116)</f>
        <v>6.4044000000000008</v>
      </c>
      <c r="AC116" s="125">
        <f>IF('Quant. mod. (oc)'!AC116&lt;0,0,'Quant. mod. (oc)'!AC116)</f>
        <v>6.4044000000000008</v>
      </c>
      <c r="AD116" s="125">
        <f>IF('Quant. mod. (oc)'!AD116&lt;0,0,'Quant. mod. (oc)'!AD116)</f>
        <v>1.4916999999999998</v>
      </c>
      <c r="AE116" s="125">
        <f>IF('Quant. mod. (oc)'!AE116&lt;0,0,'Quant. mod. (oc)'!AE116)</f>
        <v>1.4916999999999998</v>
      </c>
      <c r="AF116" s="125">
        <f>IF('Quant. mod. (oc)'!AF116&lt;0,0,'Quant. mod. (oc)'!AF116)</f>
        <v>6.4044000000000008</v>
      </c>
      <c r="AG116" s="126">
        <f>IF('Quant. mod. (oc)'!AG116&lt;0,0,'Quant. mod. (oc)'!AG116)</f>
        <v>6.4044000000000008</v>
      </c>
      <c r="AH116" s="22"/>
    </row>
    <row r="117" spans="1:34" ht="25.5" x14ac:dyDescent="0.25">
      <c r="A117" s="21"/>
      <c r="B117" s="270" t="s">
        <v>295</v>
      </c>
      <c r="C117" s="67" t="s">
        <v>57</v>
      </c>
      <c r="D117" s="125">
        <f>IF('Quant. mod. (oc)'!D117&lt;0,0,'Quant. mod. (oc)'!D117)</f>
        <v>5.6639000000000017</v>
      </c>
      <c r="E117" s="125">
        <f>IF('Quant. mod. (oc)'!E117&lt;0,0,'Quant. mod. (oc)'!E117)</f>
        <v>5.6639000000000017</v>
      </c>
      <c r="F117" s="125">
        <f>IF('Quant. mod. (oc)'!F117&lt;0,0,'Quant. mod. (oc)'!F117)</f>
        <v>5.6639000000000017</v>
      </c>
      <c r="G117" s="125">
        <f>IF('Quant. mod. (oc)'!G117&lt;0,0,'Quant. mod. (oc)'!G117)</f>
        <v>90.206000000000003</v>
      </c>
      <c r="H117" s="125">
        <f>IF('Quant. mod. (oc)'!H117&lt;0,0,'Quant. mod. (oc)'!H117)</f>
        <v>90.206000000000003</v>
      </c>
      <c r="I117" s="125">
        <f>IF('Quant. mod. (oc)'!I117&lt;0,0,'Quant. mod. (oc)'!I117)</f>
        <v>90.206000000000003</v>
      </c>
      <c r="J117" s="125">
        <f>IF('Quant. mod. (oc)'!J117&lt;0,0,'Quant. mod. (oc)'!J117)</f>
        <v>5.6639000000000017</v>
      </c>
      <c r="K117" s="125">
        <f>IF('Quant. mod. (oc)'!K117&lt;0,0,'Quant. mod. (oc)'!K117)</f>
        <v>5.6639000000000017</v>
      </c>
      <c r="L117" s="125">
        <f>IF('Quant. mod. (oc)'!L117&lt;0,0,'Quant. mod. (oc)'!L117)</f>
        <v>90.206000000000003</v>
      </c>
      <c r="M117" s="125">
        <f>IF('Quant. mod. (oc)'!M117&lt;0,0,'Quant. mod. (oc)'!M117)</f>
        <v>90.206000000000003</v>
      </c>
      <c r="N117" s="125">
        <f>IF('Quant. mod. (oc)'!N117&lt;0,0,'Quant. mod. (oc)'!N117)</f>
        <v>0</v>
      </c>
      <c r="O117" s="125">
        <f>IF('Quant. mod. (oc)'!O117&lt;0,0,'Quant. mod. (oc)'!O117)</f>
        <v>0</v>
      </c>
      <c r="P117" s="125">
        <f>IF('Quant. mod. (oc)'!P117&lt;0,0,'Quant. mod. (oc)'!P117)</f>
        <v>0</v>
      </c>
      <c r="Q117" s="125">
        <f>IF('Quant. mod. (oc)'!Q117&lt;0,0,'Quant. mod. (oc)'!Q117)</f>
        <v>0</v>
      </c>
      <c r="R117" s="125">
        <f>IF('Quant. mod. (oc)'!R117&lt;0,0,'Quant. mod. (oc)'!R117)</f>
        <v>0</v>
      </c>
      <c r="S117" s="125">
        <f>IF('Quant. mod. (oc)'!S117&lt;0,0,'Quant. mod. (oc)'!S117)</f>
        <v>0</v>
      </c>
      <c r="T117" s="125">
        <f>IF('Quant. mod. (oc)'!T117&lt;0,0,'Quant. mod. (oc)'!T117)</f>
        <v>0</v>
      </c>
      <c r="U117" s="125">
        <f>IF('Quant. mod. (oc)'!U117&lt;0,0,'Quant. mod. (oc)'!U117)</f>
        <v>0</v>
      </c>
      <c r="V117" s="125">
        <f>IF('Quant. mod. (oc)'!V117&lt;0,0,'Quant. mod. (oc)'!V117)</f>
        <v>0</v>
      </c>
      <c r="W117" s="125">
        <f>IF('Quant. mod. (oc)'!W117&lt;0,0,'Quant. mod. (oc)'!W117)</f>
        <v>0</v>
      </c>
      <c r="X117" s="125">
        <f>IF('Quant. mod. (oc)'!X117&lt;0,0,'Quant. mod. (oc)'!X117)</f>
        <v>5.4599999999999991</v>
      </c>
      <c r="Y117" s="125">
        <f>IF('Quant. mod. (oc)'!Y117&lt;0,0,'Quant. mod. (oc)'!Y117)</f>
        <v>5.4599999999999991</v>
      </c>
      <c r="Z117" s="125">
        <f>IF('Quant. mod. (oc)'!Z117&lt;0,0,'Quant. mod. (oc)'!Z117)</f>
        <v>5.4599999999999991</v>
      </c>
      <c r="AA117" s="125">
        <f>IF('Quant. mod. (oc)'!AA117&lt;0,0,'Quant. mod. (oc)'!AA117)</f>
        <v>107.04799999999997</v>
      </c>
      <c r="AB117" s="125">
        <f>IF('Quant. mod. (oc)'!AB117&lt;0,0,'Quant. mod. (oc)'!AB117)</f>
        <v>107.04799999999997</v>
      </c>
      <c r="AC117" s="125">
        <f>IF('Quant. mod. (oc)'!AC117&lt;0,0,'Quant. mod. (oc)'!AC117)</f>
        <v>107.04799999999997</v>
      </c>
      <c r="AD117" s="125">
        <f>IF('Quant. mod. (oc)'!AD117&lt;0,0,'Quant. mod. (oc)'!AD117)</f>
        <v>5.4599999999999991</v>
      </c>
      <c r="AE117" s="125">
        <f>IF('Quant. mod. (oc)'!AE117&lt;0,0,'Quant. mod. (oc)'!AE117)</f>
        <v>5.4599999999999991</v>
      </c>
      <c r="AF117" s="125">
        <f>IF('Quant. mod. (oc)'!AF117&lt;0,0,'Quant. mod. (oc)'!AF117)</f>
        <v>107.04799999999997</v>
      </c>
      <c r="AG117" s="126">
        <f>IF('Quant. mod. (oc)'!AG117&lt;0,0,'Quant. mod. (oc)'!AG117)</f>
        <v>107.04799999999997</v>
      </c>
      <c r="AH117" s="22"/>
    </row>
    <row r="118" spans="1:34" x14ac:dyDescent="0.25">
      <c r="A118" s="21"/>
      <c r="B118" s="27" t="s">
        <v>305</v>
      </c>
      <c r="C118" s="67" t="s">
        <v>63</v>
      </c>
      <c r="D118" s="125">
        <f>IF('Quant. mod. (oc)'!D118&lt;0,0,'Quant. mod. (oc)'!D118)</f>
        <v>504.476</v>
      </c>
      <c r="E118" s="125">
        <f>IF('Quant. mod. (oc)'!E118&lt;0,0,'Quant. mod. (oc)'!E118)</f>
        <v>504.476</v>
      </c>
      <c r="F118" s="125">
        <f>IF('Quant. mod. (oc)'!F118&lt;0,0,'Quant. mod. (oc)'!F118)</f>
        <v>504.476</v>
      </c>
      <c r="G118" s="125">
        <f>IF('Quant. mod. (oc)'!G118&lt;0,0,'Quant. mod. (oc)'!G118)</f>
        <v>252.238</v>
      </c>
      <c r="H118" s="125">
        <f>IF('Quant. mod. (oc)'!H118&lt;0,0,'Quant. mod. (oc)'!H118)</f>
        <v>252.238</v>
      </c>
      <c r="I118" s="125">
        <f>IF('Quant. mod. (oc)'!I118&lt;0,0,'Quant. mod. (oc)'!I118)</f>
        <v>252.238</v>
      </c>
      <c r="J118" s="125">
        <f>IF('Quant. mod. (oc)'!J118&lt;0,0,'Quant. mod. (oc)'!J118)</f>
        <v>504.476</v>
      </c>
      <c r="K118" s="125">
        <f>IF('Quant. mod. (oc)'!K118&lt;0,0,'Quant. mod. (oc)'!K118)</f>
        <v>504.476</v>
      </c>
      <c r="L118" s="125">
        <f>IF('Quant. mod. (oc)'!L118&lt;0,0,'Quant. mod. (oc)'!L118)</f>
        <v>252.238</v>
      </c>
      <c r="M118" s="125">
        <f>IF('Quant. mod. (oc)'!M118&lt;0,0,'Quant. mod. (oc)'!M118)</f>
        <v>252.238</v>
      </c>
      <c r="N118" s="125">
        <f>IF('Quant. mod. (oc)'!N118&lt;0,0,'Quant. mod. (oc)'!N118)</f>
        <v>0</v>
      </c>
      <c r="O118" s="125">
        <f>IF('Quant. mod. (oc)'!O118&lt;0,0,'Quant. mod. (oc)'!O118)</f>
        <v>0</v>
      </c>
      <c r="P118" s="125">
        <f>IF('Quant. mod. (oc)'!P118&lt;0,0,'Quant. mod. (oc)'!P118)</f>
        <v>0</v>
      </c>
      <c r="Q118" s="125">
        <f>IF('Quant. mod. (oc)'!Q118&lt;0,0,'Quant. mod. (oc)'!Q118)</f>
        <v>0</v>
      </c>
      <c r="R118" s="125">
        <f>IF('Quant. mod. (oc)'!R118&lt;0,0,'Quant. mod. (oc)'!R118)</f>
        <v>0</v>
      </c>
      <c r="S118" s="125">
        <f>IF('Quant. mod. (oc)'!S118&lt;0,0,'Quant. mod. (oc)'!S118)</f>
        <v>0</v>
      </c>
      <c r="T118" s="125">
        <f>IF('Quant. mod. (oc)'!T118&lt;0,0,'Quant. mod. (oc)'!T118)</f>
        <v>0</v>
      </c>
      <c r="U118" s="125">
        <f>IF('Quant. mod. (oc)'!U118&lt;0,0,'Quant. mod. (oc)'!U118)</f>
        <v>0</v>
      </c>
      <c r="V118" s="125">
        <f>IF('Quant. mod. (oc)'!V118&lt;0,0,'Quant. mod. (oc)'!V118)</f>
        <v>0</v>
      </c>
      <c r="W118" s="125">
        <f>IF('Quant. mod. (oc)'!W118&lt;0,0,'Quant. mod. (oc)'!W118)</f>
        <v>0</v>
      </c>
      <c r="X118" s="125">
        <f>IF('Quant. mod. (oc)'!X118&lt;0,0,'Quant. mod. (oc)'!X118)</f>
        <v>504.476</v>
      </c>
      <c r="Y118" s="125">
        <f>IF('Quant. mod. (oc)'!Y118&lt;0,0,'Quant. mod. (oc)'!Y118)</f>
        <v>504.476</v>
      </c>
      <c r="Z118" s="125">
        <f>IF('Quant. mod. (oc)'!Z118&lt;0,0,'Quant. mod. (oc)'!Z118)</f>
        <v>504.476</v>
      </c>
      <c r="AA118" s="125">
        <f>IF('Quant. mod. (oc)'!AA118&lt;0,0,'Quant. mod. (oc)'!AA118)</f>
        <v>252.238</v>
      </c>
      <c r="AB118" s="125">
        <f>IF('Quant. mod. (oc)'!AB118&lt;0,0,'Quant. mod. (oc)'!AB118)</f>
        <v>252.238</v>
      </c>
      <c r="AC118" s="125">
        <f>IF('Quant. mod. (oc)'!AC118&lt;0,0,'Quant. mod. (oc)'!AC118)</f>
        <v>252.238</v>
      </c>
      <c r="AD118" s="125">
        <f>IF('Quant. mod. (oc)'!AD118&lt;0,0,'Quant. mod. (oc)'!AD118)</f>
        <v>504.476</v>
      </c>
      <c r="AE118" s="125">
        <f>IF('Quant. mod. (oc)'!AE118&lt;0,0,'Quant. mod. (oc)'!AE118)</f>
        <v>504.476</v>
      </c>
      <c r="AF118" s="125">
        <f>IF('Quant. mod. (oc)'!AF118&lt;0,0,'Quant. mod. (oc)'!AF118)</f>
        <v>252.238</v>
      </c>
      <c r="AG118" s="126">
        <f>IF('Quant. mod. (oc)'!AG118&lt;0,0,'Quant. mod. (oc)'!AG118)</f>
        <v>252.238</v>
      </c>
      <c r="AH118" s="22"/>
    </row>
    <row r="119" spans="1:34" x14ac:dyDescent="0.25">
      <c r="A119" s="21"/>
      <c r="B119" s="27" t="s">
        <v>465</v>
      </c>
      <c r="C119" s="67" t="s">
        <v>63</v>
      </c>
      <c r="D119" s="125">
        <f>IF('Quant. mod. (oc)'!D119&lt;0,0,'Quant. mod. (oc)'!D119)</f>
        <v>1707.86</v>
      </c>
      <c r="E119" s="125">
        <f>IF('Quant. mod. (oc)'!E119&lt;0,0,'Quant. mod. (oc)'!E119)</f>
        <v>1707.86</v>
      </c>
      <c r="F119" s="125">
        <f>IF('Quant. mod. (oc)'!F119&lt;0,0,'Quant. mod. (oc)'!F119)</f>
        <v>1707.86</v>
      </c>
      <c r="G119" s="125">
        <f>IF('Quant. mod. (oc)'!G119&lt;0,0,'Quant. mod. (oc)'!G119)</f>
        <v>237.31</v>
      </c>
      <c r="H119" s="125">
        <f>IF('Quant. mod. (oc)'!H119&lt;0,0,'Quant. mod. (oc)'!H119)</f>
        <v>237.31</v>
      </c>
      <c r="I119" s="125">
        <f>IF('Quant. mod. (oc)'!I119&lt;0,0,'Quant. mod. (oc)'!I119)</f>
        <v>237.31</v>
      </c>
      <c r="J119" s="125">
        <f>IF('Quant. mod. (oc)'!J119&lt;0,0,'Quant. mod. (oc)'!J119)</f>
        <v>1707.86</v>
      </c>
      <c r="K119" s="125">
        <f>IF('Quant. mod. (oc)'!K119&lt;0,0,'Quant. mod. (oc)'!K119)</f>
        <v>1707.86</v>
      </c>
      <c r="L119" s="125">
        <f>IF('Quant. mod. (oc)'!L119&lt;0,0,'Quant. mod. (oc)'!L119)</f>
        <v>237.31</v>
      </c>
      <c r="M119" s="125">
        <f>IF('Quant. mod. (oc)'!M119&lt;0,0,'Quant. mod. (oc)'!M119)</f>
        <v>237.31</v>
      </c>
      <c r="N119" s="125">
        <f>IF('Quant. mod. (oc)'!N119&lt;0,0,'Quant. mod. (oc)'!N119)</f>
        <v>0</v>
      </c>
      <c r="O119" s="125">
        <f>IF('Quant. mod. (oc)'!O119&lt;0,0,'Quant. mod. (oc)'!O119)</f>
        <v>0</v>
      </c>
      <c r="P119" s="125">
        <f>IF('Quant. mod. (oc)'!P119&lt;0,0,'Quant. mod. (oc)'!P119)</f>
        <v>0</v>
      </c>
      <c r="Q119" s="125">
        <f>IF('Quant. mod. (oc)'!Q119&lt;0,0,'Quant. mod. (oc)'!Q119)</f>
        <v>0</v>
      </c>
      <c r="R119" s="125">
        <f>IF('Quant. mod. (oc)'!R119&lt;0,0,'Quant. mod. (oc)'!R119)</f>
        <v>0</v>
      </c>
      <c r="S119" s="125">
        <f>IF('Quant. mod. (oc)'!S119&lt;0,0,'Quant. mod. (oc)'!S119)</f>
        <v>0</v>
      </c>
      <c r="T119" s="125">
        <f>IF('Quant. mod. (oc)'!T119&lt;0,0,'Quant. mod. (oc)'!T119)</f>
        <v>0</v>
      </c>
      <c r="U119" s="125">
        <f>IF('Quant. mod. (oc)'!U119&lt;0,0,'Quant. mod. (oc)'!U119)</f>
        <v>0</v>
      </c>
      <c r="V119" s="125">
        <f>IF('Quant. mod. (oc)'!V119&lt;0,0,'Quant. mod. (oc)'!V119)</f>
        <v>0</v>
      </c>
      <c r="W119" s="125">
        <f>IF('Quant. mod. (oc)'!W119&lt;0,0,'Quant. mod. (oc)'!W119)</f>
        <v>0</v>
      </c>
      <c r="X119" s="125">
        <f>IF('Quant. mod. (oc)'!X119&lt;0,0,'Quant. mod. (oc)'!X119)</f>
        <v>1997.2500000000002</v>
      </c>
      <c r="Y119" s="125">
        <f>IF('Quant. mod. (oc)'!Y119&lt;0,0,'Quant. mod. (oc)'!Y119)</f>
        <v>1997.2500000000002</v>
      </c>
      <c r="Z119" s="125">
        <f>IF('Quant. mod. (oc)'!Z119&lt;0,0,'Quant. mod. (oc)'!Z119)</f>
        <v>1997.2500000000002</v>
      </c>
      <c r="AA119" s="125">
        <f>IF('Quant. mod. (oc)'!AA119&lt;0,0,'Quant. mod. (oc)'!AA119)</f>
        <v>243.96600000000001</v>
      </c>
      <c r="AB119" s="125">
        <f>IF('Quant. mod. (oc)'!AB119&lt;0,0,'Quant. mod. (oc)'!AB119)</f>
        <v>243.96600000000001</v>
      </c>
      <c r="AC119" s="125">
        <f>IF('Quant. mod. (oc)'!AC119&lt;0,0,'Quant. mod. (oc)'!AC119)</f>
        <v>243.96600000000001</v>
      </c>
      <c r="AD119" s="125">
        <f>IF('Quant. mod. (oc)'!AD119&lt;0,0,'Quant. mod. (oc)'!AD119)</f>
        <v>1997.2500000000002</v>
      </c>
      <c r="AE119" s="125">
        <f>IF('Quant. mod. (oc)'!AE119&lt;0,0,'Quant. mod. (oc)'!AE119)</f>
        <v>1997.2500000000002</v>
      </c>
      <c r="AF119" s="125">
        <f>IF('Quant. mod. (oc)'!AF119&lt;0,0,'Quant. mod. (oc)'!AF119)</f>
        <v>243.96600000000001</v>
      </c>
      <c r="AG119" s="126">
        <f>IF('Quant. mod. (oc)'!AG119&lt;0,0,'Quant. mod. (oc)'!AG119)</f>
        <v>243.96600000000001</v>
      </c>
      <c r="AH119" s="22"/>
    </row>
    <row r="120" spans="1:34" x14ac:dyDescent="0.25">
      <c r="A120" s="21"/>
      <c r="B120" s="27" t="s">
        <v>522</v>
      </c>
      <c r="C120" s="67" t="s">
        <v>63</v>
      </c>
      <c r="D120" s="125">
        <f>IF('Quant. mod. (oc)'!D120&lt;0,0,'Quant. mod. (oc)'!D120)</f>
        <v>884.88000000000011</v>
      </c>
      <c r="E120" s="125">
        <f>IF('Quant. mod. (oc)'!E120&lt;0,0,'Quant. mod. (oc)'!E120)</f>
        <v>884.88000000000011</v>
      </c>
      <c r="F120" s="125">
        <f>IF('Quant. mod. (oc)'!F120&lt;0,0,'Quant. mod. (oc)'!F120)</f>
        <v>884.88000000000011</v>
      </c>
      <c r="G120" s="125">
        <f>IF('Quant. mod. (oc)'!G120&lt;0,0,'Quant. mod. (oc)'!G120)</f>
        <v>195.82500000000002</v>
      </c>
      <c r="H120" s="125">
        <f>IF('Quant. mod. (oc)'!H120&lt;0,0,'Quant. mod. (oc)'!H120)</f>
        <v>195.82500000000002</v>
      </c>
      <c r="I120" s="125">
        <f>IF('Quant. mod. (oc)'!I120&lt;0,0,'Quant. mod. (oc)'!I120)</f>
        <v>195.82500000000002</v>
      </c>
      <c r="J120" s="125">
        <f>IF('Quant. mod. (oc)'!J120&lt;0,0,'Quant. mod. (oc)'!J120)</f>
        <v>884.88000000000011</v>
      </c>
      <c r="K120" s="125">
        <f>IF('Quant. mod. (oc)'!K120&lt;0,0,'Quant. mod. (oc)'!K120)</f>
        <v>884.88000000000011</v>
      </c>
      <c r="L120" s="125">
        <f>IF('Quant. mod. (oc)'!L120&lt;0,0,'Quant. mod. (oc)'!L120)</f>
        <v>195.82500000000002</v>
      </c>
      <c r="M120" s="125">
        <f>IF('Quant. mod. (oc)'!M120&lt;0,0,'Quant. mod. (oc)'!M120)</f>
        <v>195.82500000000002</v>
      </c>
      <c r="N120" s="125">
        <f>IF('Quant. mod. (oc)'!N120&lt;0,0,'Quant. mod. (oc)'!N120)</f>
        <v>0</v>
      </c>
      <c r="O120" s="125">
        <f>IF('Quant. mod. (oc)'!O120&lt;0,0,'Quant. mod. (oc)'!O120)</f>
        <v>0</v>
      </c>
      <c r="P120" s="125">
        <f>IF('Quant. mod. (oc)'!P120&lt;0,0,'Quant. mod. (oc)'!P120)</f>
        <v>0</v>
      </c>
      <c r="Q120" s="125">
        <f>IF('Quant. mod. (oc)'!Q120&lt;0,0,'Quant. mod. (oc)'!Q120)</f>
        <v>0</v>
      </c>
      <c r="R120" s="125">
        <f>IF('Quant. mod. (oc)'!R120&lt;0,0,'Quant. mod. (oc)'!R120)</f>
        <v>0</v>
      </c>
      <c r="S120" s="125">
        <f>IF('Quant. mod. (oc)'!S120&lt;0,0,'Quant. mod. (oc)'!S120)</f>
        <v>0</v>
      </c>
      <c r="T120" s="125">
        <f>IF('Quant. mod. (oc)'!T120&lt;0,0,'Quant. mod. (oc)'!T120)</f>
        <v>0</v>
      </c>
      <c r="U120" s="125">
        <f>IF('Quant. mod. (oc)'!U120&lt;0,0,'Quant. mod. (oc)'!U120)</f>
        <v>0</v>
      </c>
      <c r="V120" s="125">
        <f>IF('Quant. mod. (oc)'!V120&lt;0,0,'Quant. mod. (oc)'!V120)</f>
        <v>0</v>
      </c>
      <c r="W120" s="125">
        <f>IF('Quant. mod. (oc)'!W120&lt;0,0,'Quant. mod. (oc)'!W120)</f>
        <v>0</v>
      </c>
      <c r="X120" s="125">
        <f>IF('Quant. mod. (oc)'!X120&lt;0,0,'Quant. mod. (oc)'!X120)</f>
        <v>1000.6699999999998</v>
      </c>
      <c r="Y120" s="125">
        <f>IF('Quant. mod. (oc)'!Y120&lt;0,0,'Quant. mod. (oc)'!Y120)</f>
        <v>1000.6699999999998</v>
      </c>
      <c r="Z120" s="125">
        <f>IF('Quant. mod. (oc)'!Z120&lt;0,0,'Quant. mod. (oc)'!Z120)</f>
        <v>1000.6699999999998</v>
      </c>
      <c r="AA120" s="125">
        <f>IF('Quant. mod. (oc)'!AA120&lt;0,0,'Quant. mod. (oc)'!AA120)</f>
        <v>198.476</v>
      </c>
      <c r="AB120" s="125">
        <f>IF('Quant. mod. (oc)'!AB120&lt;0,0,'Quant. mod. (oc)'!AB120)</f>
        <v>198.476</v>
      </c>
      <c r="AC120" s="125">
        <f>IF('Quant. mod. (oc)'!AC120&lt;0,0,'Quant. mod. (oc)'!AC120)</f>
        <v>198.476</v>
      </c>
      <c r="AD120" s="125">
        <f>IF('Quant. mod. (oc)'!AD120&lt;0,0,'Quant. mod. (oc)'!AD120)</f>
        <v>1000.6699999999998</v>
      </c>
      <c r="AE120" s="125">
        <f>IF('Quant. mod. (oc)'!AE120&lt;0,0,'Quant. mod. (oc)'!AE120)</f>
        <v>1000.6699999999998</v>
      </c>
      <c r="AF120" s="125">
        <f>IF('Quant. mod. (oc)'!AF120&lt;0,0,'Quant. mod. (oc)'!AF120)</f>
        <v>198.476</v>
      </c>
      <c r="AG120" s="126">
        <f>IF('Quant. mod. (oc)'!AG120&lt;0,0,'Quant. mod. (oc)'!AG120)</f>
        <v>198.476</v>
      </c>
      <c r="AH120" s="22"/>
    </row>
    <row r="121" spans="1:34" ht="25.5" x14ac:dyDescent="0.25">
      <c r="A121" s="21"/>
      <c r="B121" s="27" t="s">
        <v>516</v>
      </c>
      <c r="C121" s="67" t="s">
        <v>57</v>
      </c>
      <c r="D121" s="125">
        <f>IF('Quant. mod. (oc)'!D121&lt;0,0,'Quant. mod. (oc)'!D121)</f>
        <v>110.31799999999998</v>
      </c>
      <c r="E121" s="125">
        <f>IF('Quant. mod. (oc)'!E121&lt;0,0,'Quant. mod. (oc)'!E121)</f>
        <v>110.31799999999998</v>
      </c>
      <c r="F121" s="125">
        <f>IF('Quant. mod. (oc)'!F121&lt;0,0,'Quant. mod. (oc)'!F121)</f>
        <v>110.31799999999998</v>
      </c>
      <c r="G121" s="125">
        <f>IF('Quant. mod. (oc)'!G121&lt;0,0,'Quant. mod. (oc)'!G121)</f>
        <v>22.707300000000004</v>
      </c>
      <c r="H121" s="125">
        <f>IF('Quant. mod. (oc)'!H121&lt;0,0,'Quant. mod. (oc)'!H121)</f>
        <v>22.707300000000004</v>
      </c>
      <c r="I121" s="125">
        <f>IF('Quant. mod. (oc)'!I121&lt;0,0,'Quant. mod. (oc)'!I121)</f>
        <v>22.707300000000004</v>
      </c>
      <c r="J121" s="125">
        <f>IF('Quant. mod. (oc)'!J121&lt;0,0,'Quant. mod. (oc)'!J121)</f>
        <v>110.31799999999998</v>
      </c>
      <c r="K121" s="125">
        <f>IF('Quant. mod. (oc)'!K121&lt;0,0,'Quant. mod. (oc)'!K121)</f>
        <v>110.31799999999998</v>
      </c>
      <c r="L121" s="125">
        <f>IF('Quant. mod. (oc)'!L121&lt;0,0,'Quant. mod. (oc)'!L121)</f>
        <v>22.707300000000004</v>
      </c>
      <c r="M121" s="125">
        <f>IF('Quant. mod. (oc)'!M121&lt;0,0,'Quant. mod. (oc)'!M121)</f>
        <v>22.707300000000004</v>
      </c>
      <c r="N121" s="125">
        <f>IF('Quant. mod. (oc)'!N121&lt;0,0,'Quant. mod. (oc)'!N121)</f>
        <v>0</v>
      </c>
      <c r="O121" s="125">
        <f>IF('Quant. mod. (oc)'!O121&lt;0,0,'Quant. mod. (oc)'!O121)</f>
        <v>0</v>
      </c>
      <c r="P121" s="125">
        <f>IF('Quant. mod. (oc)'!P121&lt;0,0,'Quant. mod. (oc)'!P121)</f>
        <v>0</v>
      </c>
      <c r="Q121" s="125">
        <f>IF('Quant. mod. (oc)'!Q121&lt;0,0,'Quant. mod. (oc)'!Q121)</f>
        <v>0</v>
      </c>
      <c r="R121" s="125">
        <f>IF('Quant. mod. (oc)'!R121&lt;0,0,'Quant. mod. (oc)'!R121)</f>
        <v>0</v>
      </c>
      <c r="S121" s="125">
        <f>IF('Quant. mod. (oc)'!S121&lt;0,0,'Quant. mod. (oc)'!S121)</f>
        <v>0</v>
      </c>
      <c r="T121" s="125">
        <f>IF('Quant. mod. (oc)'!T121&lt;0,0,'Quant. mod. (oc)'!T121)</f>
        <v>0</v>
      </c>
      <c r="U121" s="125">
        <f>IF('Quant. mod. (oc)'!U121&lt;0,0,'Quant. mod. (oc)'!U121)</f>
        <v>0</v>
      </c>
      <c r="V121" s="125">
        <f>IF('Quant. mod. (oc)'!V121&lt;0,0,'Quant. mod. (oc)'!V121)</f>
        <v>0</v>
      </c>
      <c r="W121" s="125">
        <f>IF('Quant. mod. (oc)'!W121&lt;0,0,'Quant. mod. (oc)'!W121)</f>
        <v>0</v>
      </c>
      <c r="X121" s="125">
        <f>IF('Quant. mod. (oc)'!X121&lt;0,0,'Quant. mod. (oc)'!X121)</f>
        <v>125.53900000000002</v>
      </c>
      <c r="Y121" s="125">
        <f>IF('Quant. mod. (oc)'!Y121&lt;0,0,'Quant. mod. (oc)'!Y121)</f>
        <v>125.53900000000002</v>
      </c>
      <c r="Z121" s="125">
        <f>IF('Quant. mod. (oc)'!Z121&lt;0,0,'Quant. mod. (oc)'!Z121)</f>
        <v>125.53900000000002</v>
      </c>
      <c r="AA121" s="125">
        <f>IF('Quant. mod. (oc)'!AA121&lt;0,0,'Quant. mod. (oc)'!AA121)</f>
        <v>23.050800000000002</v>
      </c>
      <c r="AB121" s="125">
        <f>IF('Quant. mod. (oc)'!AB121&lt;0,0,'Quant. mod. (oc)'!AB121)</f>
        <v>23.050800000000002</v>
      </c>
      <c r="AC121" s="125">
        <f>IF('Quant. mod. (oc)'!AC121&lt;0,0,'Quant. mod. (oc)'!AC121)</f>
        <v>23.050800000000002</v>
      </c>
      <c r="AD121" s="125">
        <f>IF('Quant. mod. (oc)'!AD121&lt;0,0,'Quant. mod. (oc)'!AD121)</f>
        <v>125.53900000000002</v>
      </c>
      <c r="AE121" s="125">
        <f>IF('Quant. mod. (oc)'!AE121&lt;0,0,'Quant. mod. (oc)'!AE121)</f>
        <v>125.53900000000002</v>
      </c>
      <c r="AF121" s="125">
        <f>IF('Quant. mod. (oc)'!AF121&lt;0,0,'Quant. mod. (oc)'!AF121)</f>
        <v>23.050800000000002</v>
      </c>
      <c r="AG121" s="126">
        <f>IF('Quant. mod. (oc)'!AG121&lt;0,0,'Quant. mod. (oc)'!AG121)</f>
        <v>23.050800000000002</v>
      </c>
      <c r="AH121" s="22"/>
    </row>
    <row r="122" spans="1:34" ht="25.5" x14ac:dyDescent="0.25">
      <c r="A122" s="21"/>
      <c r="B122" s="27" t="s">
        <v>517</v>
      </c>
      <c r="C122" s="67" t="s">
        <v>57</v>
      </c>
      <c r="D122" s="125">
        <f>IF('Quant. mod. (oc)'!D122&lt;0,0,'Quant. mod. (oc)'!D122)</f>
        <v>110.31799999999998</v>
      </c>
      <c r="E122" s="125">
        <f>IF('Quant. mod. (oc)'!E122&lt;0,0,'Quant. mod. (oc)'!E122)</f>
        <v>110.31799999999998</v>
      </c>
      <c r="F122" s="125">
        <f>IF('Quant. mod. (oc)'!F122&lt;0,0,'Quant. mod. (oc)'!F122)</f>
        <v>110.31799999999998</v>
      </c>
      <c r="G122" s="125">
        <f>IF('Quant. mod. (oc)'!G122&lt;0,0,'Quant. mod. (oc)'!G122)</f>
        <v>22.707300000000004</v>
      </c>
      <c r="H122" s="125">
        <f>IF('Quant. mod. (oc)'!H122&lt;0,0,'Quant. mod. (oc)'!H122)</f>
        <v>22.707300000000004</v>
      </c>
      <c r="I122" s="125">
        <f>IF('Quant. mod. (oc)'!I122&lt;0,0,'Quant. mod. (oc)'!I122)</f>
        <v>22.707300000000004</v>
      </c>
      <c r="J122" s="125">
        <f>IF('Quant. mod. (oc)'!J122&lt;0,0,'Quant. mod. (oc)'!J122)</f>
        <v>110.31799999999998</v>
      </c>
      <c r="K122" s="125">
        <f>IF('Quant. mod. (oc)'!K122&lt;0,0,'Quant. mod. (oc)'!K122)</f>
        <v>110.31799999999998</v>
      </c>
      <c r="L122" s="125">
        <f>IF('Quant. mod. (oc)'!L122&lt;0,0,'Quant. mod. (oc)'!L122)</f>
        <v>22.707300000000004</v>
      </c>
      <c r="M122" s="125">
        <f>IF('Quant. mod. (oc)'!M122&lt;0,0,'Quant. mod. (oc)'!M122)</f>
        <v>22.707300000000004</v>
      </c>
      <c r="N122" s="125">
        <f>IF('Quant. mod. (oc)'!N122&lt;0,0,'Quant. mod. (oc)'!N122)</f>
        <v>0</v>
      </c>
      <c r="O122" s="125">
        <f>IF('Quant. mod. (oc)'!O122&lt;0,0,'Quant. mod. (oc)'!O122)</f>
        <v>0</v>
      </c>
      <c r="P122" s="125">
        <f>IF('Quant. mod. (oc)'!P122&lt;0,0,'Quant. mod. (oc)'!P122)</f>
        <v>0</v>
      </c>
      <c r="Q122" s="125">
        <f>IF('Quant. mod. (oc)'!Q122&lt;0,0,'Quant. mod. (oc)'!Q122)</f>
        <v>0</v>
      </c>
      <c r="R122" s="125">
        <f>IF('Quant. mod. (oc)'!R122&lt;0,0,'Quant. mod. (oc)'!R122)</f>
        <v>0</v>
      </c>
      <c r="S122" s="125">
        <f>IF('Quant. mod. (oc)'!S122&lt;0,0,'Quant. mod. (oc)'!S122)</f>
        <v>0</v>
      </c>
      <c r="T122" s="125">
        <f>IF('Quant. mod. (oc)'!T122&lt;0,0,'Quant. mod. (oc)'!T122)</f>
        <v>0</v>
      </c>
      <c r="U122" s="125">
        <f>IF('Quant. mod. (oc)'!U122&lt;0,0,'Quant. mod. (oc)'!U122)</f>
        <v>0</v>
      </c>
      <c r="V122" s="125">
        <f>IF('Quant. mod. (oc)'!V122&lt;0,0,'Quant. mod. (oc)'!V122)</f>
        <v>0</v>
      </c>
      <c r="W122" s="125">
        <f>IF('Quant. mod. (oc)'!W122&lt;0,0,'Quant. mod. (oc)'!W122)</f>
        <v>0</v>
      </c>
      <c r="X122" s="125">
        <f>IF('Quant. mod. (oc)'!X122&lt;0,0,'Quant. mod. (oc)'!X122)</f>
        <v>125.53900000000002</v>
      </c>
      <c r="Y122" s="125">
        <f>IF('Quant. mod. (oc)'!Y122&lt;0,0,'Quant. mod. (oc)'!Y122)</f>
        <v>125.53900000000002</v>
      </c>
      <c r="Z122" s="125">
        <f>IF('Quant. mod. (oc)'!Z122&lt;0,0,'Quant. mod. (oc)'!Z122)</f>
        <v>125.53900000000002</v>
      </c>
      <c r="AA122" s="125">
        <f>IF('Quant. mod. (oc)'!AA122&lt;0,0,'Quant. mod. (oc)'!AA122)</f>
        <v>23.050800000000002</v>
      </c>
      <c r="AB122" s="125">
        <f>IF('Quant. mod. (oc)'!AB122&lt;0,0,'Quant. mod. (oc)'!AB122)</f>
        <v>23.050800000000002</v>
      </c>
      <c r="AC122" s="125">
        <f>IF('Quant. mod. (oc)'!AC122&lt;0,0,'Quant. mod. (oc)'!AC122)</f>
        <v>23.050800000000002</v>
      </c>
      <c r="AD122" s="125">
        <f>IF('Quant. mod. (oc)'!AD122&lt;0,0,'Quant. mod. (oc)'!AD122)</f>
        <v>125.53900000000002</v>
      </c>
      <c r="AE122" s="125">
        <f>IF('Quant. mod. (oc)'!AE122&lt;0,0,'Quant. mod. (oc)'!AE122)</f>
        <v>125.53900000000002</v>
      </c>
      <c r="AF122" s="125">
        <f>IF('Quant. mod. (oc)'!AF122&lt;0,0,'Quant. mod. (oc)'!AF122)</f>
        <v>23.050800000000002</v>
      </c>
      <c r="AG122" s="126">
        <f>IF('Quant. mod. (oc)'!AG122&lt;0,0,'Quant. mod. (oc)'!AG122)</f>
        <v>23.050800000000002</v>
      </c>
      <c r="AH122" s="22"/>
    </row>
    <row r="123" spans="1:34" x14ac:dyDescent="0.25">
      <c r="A123" s="21"/>
      <c r="B123" s="27" t="s">
        <v>532</v>
      </c>
      <c r="C123" s="67" t="s">
        <v>65</v>
      </c>
      <c r="D123" s="125">
        <f>IF('Quant. mod. (oc)'!D123&lt;0,0,'Quant. mod. (oc)'!D123)</f>
        <v>0.3861</v>
      </c>
      <c r="E123" s="125">
        <f>IF('Quant. mod. (oc)'!E123&lt;0,0,'Quant. mod. (oc)'!E123)</f>
        <v>0.3861</v>
      </c>
      <c r="F123" s="125">
        <f>IF('Quant. mod. (oc)'!F123&lt;0,0,'Quant. mod. (oc)'!F123)</f>
        <v>0.3861</v>
      </c>
      <c r="G123" s="125">
        <f>IF('Quant. mod. (oc)'!G123&lt;0,0,'Quant. mod. (oc)'!G123)</f>
        <v>0.3861</v>
      </c>
      <c r="H123" s="125">
        <f>IF('Quant. mod. (oc)'!H123&lt;0,0,'Quant. mod. (oc)'!H123)</f>
        <v>0.3861</v>
      </c>
      <c r="I123" s="125">
        <f>IF('Quant. mod. (oc)'!I123&lt;0,0,'Quant. mod. (oc)'!I123)</f>
        <v>0.3861</v>
      </c>
      <c r="J123" s="125">
        <f>IF('Quant. mod. (oc)'!J123&lt;0,0,'Quant. mod. (oc)'!J123)</f>
        <v>0.3861</v>
      </c>
      <c r="K123" s="125">
        <f>IF('Quant. mod. (oc)'!K123&lt;0,0,'Quant. mod. (oc)'!K123)</f>
        <v>0.3861</v>
      </c>
      <c r="L123" s="125">
        <f>IF('Quant. mod. (oc)'!L123&lt;0,0,'Quant. mod. (oc)'!L123)</f>
        <v>0.3861</v>
      </c>
      <c r="M123" s="125">
        <f>IF('Quant. mod. (oc)'!M123&lt;0,0,'Quant. mod. (oc)'!M123)</f>
        <v>0.3861</v>
      </c>
      <c r="N123" s="125">
        <f>IF('Quant. mod. (oc)'!N123&lt;0,0,'Quant. mod. (oc)'!N123)</f>
        <v>0</v>
      </c>
      <c r="O123" s="125">
        <f>IF('Quant. mod. (oc)'!O123&lt;0,0,'Quant. mod. (oc)'!O123)</f>
        <v>0</v>
      </c>
      <c r="P123" s="125">
        <f>IF('Quant. mod. (oc)'!P123&lt;0,0,'Quant. mod. (oc)'!P123)</f>
        <v>0</v>
      </c>
      <c r="Q123" s="125">
        <f>IF('Quant. mod. (oc)'!Q123&lt;0,0,'Quant. mod. (oc)'!Q123)</f>
        <v>0</v>
      </c>
      <c r="R123" s="125">
        <f>IF('Quant. mod. (oc)'!R123&lt;0,0,'Quant. mod. (oc)'!R123)</f>
        <v>0</v>
      </c>
      <c r="S123" s="125">
        <f>IF('Quant. mod. (oc)'!S123&lt;0,0,'Quant. mod. (oc)'!S123)</f>
        <v>0</v>
      </c>
      <c r="T123" s="125">
        <f>IF('Quant. mod. (oc)'!T123&lt;0,0,'Quant. mod. (oc)'!T123)</f>
        <v>0</v>
      </c>
      <c r="U123" s="125">
        <f>IF('Quant. mod. (oc)'!U123&lt;0,0,'Quant. mod. (oc)'!U123)</f>
        <v>0</v>
      </c>
      <c r="V123" s="125">
        <f>IF('Quant. mod. (oc)'!V123&lt;0,0,'Quant. mod. (oc)'!V123)</f>
        <v>0</v>
      </c>
      <c r="W123" s="125">
        <f>IF('Quant. mod. (oc)'!W123&lt;0,0,'Quant. mod. (oc)'!W123)</f>
        <v>0</v>
      </c>
      <c r="X123" s="125">
        <f>IF('Quant. mod. (oc)'!X123&lt;0,0,'Quant. mod. (oc)'!X123)</f>
        <v>0.3861</v>
      </c>
      <c r="Y123" s="125">
        <f>IF('Quant. mod. (oc)'!Y123&lt;0,0,'Quant. mod. (oc)'!Y123)</f>
        <v>0.3861</v>
      </c>
      <c r="Z123" s="125">
        <f>IF('Quant. mod. (oc)'!Z123&lt;0,0,'Quant. mod. (oc)'!Z123)</f>
        <v>0.3861</v>
      </c>
      <c r="AA123" s="125">
        <f>IF('Quant. mod. (oc)'!AA123&lt;0,0,'Quant. mod. (oc)'!AA123)</f>
        <v>0.3861</v>
      </c>
      <c r="AB123" s="125">
        <f>IF('Quant. mod. (oc)'!AB123&lt;0,0,'Quant. mod. (oc)'!AB123)</f>
        <v>0.3861</v>
      </c>
      <c r="AC123" s="125">
        <f>IF('Quant. mod. (oc)'!AC123&lt;0,0,'Quant. mod. (oc)'!AC123)</f>
        <v>0.3861</v>
      </c>
      <c r="AD123" s="125">
        <f>IF('Quant. mod. (oc)'!AD123&lt;0,0,'Quant. mod. (oc)'!AD123)</f>
        <v>0.3861</v>
      </c>
      <c r="AE123" s="125">
        <f>IF('Quant. mod. (oc)'!AE123&lt;0,0,'Quant. mod. (oc)'!AE123)</f>
        <v>0.3861</v>
      </c>
      <c r="AF123" s="125">
        <f>IF('Quant. mod. (oc)'!AF123&lt;0,0,'Quant. mod. (oc)'!AF123)</f>
        <v>0.3861</v>
      </c>
      <c r="AG123" s="126">
        <f>IF('Quant. mod. (oc)'!AG123&lt;0,0,'Quant. mod. (oc)'!AG123)</f>
        <v>0.3861</v>
      </c>
      <c r="AH123" s="22"/>
    </row>
    <row r="124" spans="1:34" x14ac:dyDescent="0.25">
      <c r="A124" s="21"/>
      <c r="B124" s="27" t="s">
        <v>529</v>
      </c>
      <c r="C124" s="67" t="s">
        <v>65</v>
      </c>
      <c r="D124" s="125">
        <f>IF('Quant. mod. (oc)'!D124&lt;0,0,'Quant. mod. (oc)'!D124)</f>
        <v>0.76319999999999999</v>
      </c>
      <c r="E124" s="125">
        <f>IF('Quant. mod. (oc)'!E124&lt;0,0,'Quant. mod. (oc)'!E124)</f>
        <v>0.76319999999999999</v>
      </c>
      <c r="F124" s="125">
        <f>IF('Quant. mod. (oc)'!F124&lt;0,0,'Quant. mod. (oc)'!F124)</f>
        <v>0.76319999999999999</v>
      </c>
      <c r="G124" s="125">
        <f>IF('Quant. mod. (oc)'!G124&lt;0,0,'Quant. mod. (oc)'!G124)</f>
        <v>0.76319999999999999</v>
      </c>
      <c r="H124" s="125">
        <f>IF('Quant. mod. (oc)'!H124&lt;0,0,'Quant. mod. (oc)'!H124)</f>
        <v>0.76319999999999999</v>
      </c>
      <c r="I124" s="125">
        <f>IF('Quant. mod. (oc)'!I124&lt;0,0,'Quant. mod. (oc)'!I124)</f>
        <v>0.76319999999999999</v>
      </c>
      <c r="J124" s="125">
        <f>IF('Quant. mod. (oc)'!J124&lt;0,0,'Quant. mod. (oc)'!J124)</f>
        <v>0.76319999999999999</v>
      </c>
      <c r="K124" s="125">
        <f>IF('Quant. mod. (oc)'!K124&lt;0,0,'Quant. mod. (oc)'!K124)</f>
        <v>0.76319999999999999</v>
      </c>
      <c r="L124" s="125">
        <f>IF('Quant. mod. (oc)'!L124&lt;0,0,'Quant. mod. (oc)'!L124)</f>
        <v>0.76319999999999999</v>
      </c>
      <c r="M124" s="125">
        <f>IF('Quant. mod. (oc)'!M124&lt;0,0,'Quant. mod. (oc)'!M124)</f>
        <v>0.76319999999999999</v>
      </c>
      <c r="N124" s="125">
        <f>IF('Quant. mod. (oc)'!N124&lt;0,0,'Quant. mod. (oc)'!N124)</f>
        <v>0</v>
      </c>
      <c r="O124" s="125">
        <f>IF('Quant. mod. (oc)'!O124&lt;0,0,'Quant. mod. (oc)'!O124)</f>
        <v>0</v>
      </c>
      <c r="P124" s="125">
        <f>IF('Quant. mod. (oc)'!P124&lt;0,0,'Quant. mod. (oc)'!P124)</f>
        <v>0</v>
      </c>
      <c r="Q124" s="125">
        <f>IF('Quant. mod. (oc)'!Q124&lt;0,0,'Quant. mod. (oc)'!Q124)</f>
        <v>0</v>
      </c>
      <c r="R124" s="125">
        <f>IF('Quant. mod. (oc)'!R124&lt;0,0,'Quant. mod. (oc)'!R124)</f>
        <v>0</v>
      </c>
      <c r="S124" s="125">
        <f>IF('Quant. mod. (oc)'!S124&lt;0,0,'Quant. mod. (oc)'!S124)</f>
        <v>0</v>
      </c>
      <c r="T124" s="125">
        <f>IF('Quant. mod. (oc)'!T124&lt;0,0,'Quant. mod. (oc)'!T124)</f>
        <v>0</v>
      </c>
      <c r="U124" s="125">
        <f>IF('Quant. mod. (oc)'!U124&lt;0,0,'Quant. mod. (oc)'!U124)</f>
        <v>0</v>
      </c>
      <c r="V124" s="125">
        <f>IF('Quant. mod. (oc)'!V124&lt;0,0,'Quant. mod. (oc)'!V124)</f>
        <v>0</v>
      </c>
      <c r="W124" s="125">
        <f>IF('Quant. mod. (oc)'!W124&lt;0,0,'Quant. mod. (oc)'!W124)</f>
        <v>0</v>
      </c>
      <c r="X124" s="125">
        <f>IF('Quant. mod. (oc)'!X124&lt;0,0,'Quant. mod. (oc)'!X124)</f>
        <v>0.76319999999999999</v>
      </c>
      <c r="Y124" s="125">
        <f>IF('Quant. mod. (oc)'!Y124&lt;0,0,'Quant. mod. (oc)'!Y124)</f>
        <v>0.76319999999999999</v>
      </c>
      <c r="Z124" s="125">
        <f>IF('Quant. mod. (oc)'!Z124&lt;0,0,'Quant. mod. (oc)'!Z124)</f>
        <v>0.76319999999999999</v>
      </c>
      <c r="AA124" s="125">
        <f>IF('Quant. mod. (oc)'!AA124&lt;0,0,'Quant. mod. (oc)'!AA124)</f>
        <v>0.76319999999999999</v>
      </c>
      <c r="AB124" s="125">
        <f>IF('Quant. mod. (oc)'!AB124&lt;0,0,'Quant. mod. (oc)'!AB124)</f>
        <v>0.76319999999999999</v>
      </c>
      <c r="AC124" s="125">
        <f>IF('Quant. mod. (oc)'!AC124&lt;0,0,'Quant. mod. (oc)'!AC124)</f>
        <v>0.76319999999999999</v>
      </c>
      <c r="AD124" s="125">
        <f>IF('Quant. mod. (oc)'!AD124&lt;0,0,'Quant. mod. (oc)'!AD124)</f>
        <v>0.76319999999999999</v>
      </c>
      <c r="AE124" s="125">
        <f>IF('Quant. mod. (oc)'!AE124&lt;0,0,'Quant. mod. (oc)'!AE124)</f>
        <v>0.76319999999999999</v>
      </c>
      <c r="AF124" s="125">
        <f>IF('Quant. mod. (oc)'!AF124&lt;0,0,'Quant. mod. (oc)'!AF124)</f>
        <v>0.76319999999999999</v>
      </c>
      <c r="AG124" s="126">
        <f>IF('Quant. mod. (oc)'!AG124&lt;0,0,'Quant. mod. (oc)'!AG124)</f>
        <v>0.76319999999999999</v>
      </c>
      <c r="AH124" s="22"/>
    </row>
    <row r="125" spans="1:34" x14ac:dyDescent="0.25">
      <c r="A125" s="21"/>
      <c r="B125" s="27" t="s">
        <v>526</v>
      </c>
      <c r="C125" s="67" t="s">
        <v>65</v>
      </c>
      <c r="D125" s="125">
        <f>IF('Quant. mod. (oc)'!D125&lt;0,0,'Quant. mod. (oc)'!D125)</f>
        <v>0.76319999999999999</v>
      </c>
      <c r="E125" s="125">
        <f>IF('Quant. mod. (oc)'!E125&lt;0,0,'Quant. mod. (oc)'!E125)</f>
        <v>0.76319999999999999</v>
      </c>
      <c r="F125" s="125">
        <f>IF('Quant. mod. (oc)'!F125&lt;0,0,'Quant. mod. (oc)'!F125)</f>
        <v>0.76319999999999999</v>
      </c>
      <c r="G125" s="125">
        <f>IF('Quant. mod. (oc)'!G125&lt;0,0,'Quant. mod. (oc)'!G125)</f>
        <v>0.76319999999999999</v>
      </c>
      <c r="H125" s="125">
        <f>IF('Quant. mod. (oc)'!H125&lt;0,0,'Quant. mod. (oc)'!H125)</f>
        <v>0.76319999999999999</v>
      </c>
      <c r="I125" s="125">
        <f>IF('Quant. mod. (oc)'!I125&lt;0,0,'Quant. mod. (oc)'!I125)</f>
        <v>0.76319999999999999</v>
      </c>
      <c r="J125" s="125">
        <f>IF('Quant. mod. (oc)'!J125&lt;0,0,'Quant. mod. (oc)'!J125)</f>
        <v>0.76319999999999999</v>
      </c>
      <c r="K125" s="125">
        <f>IF('Quant. mod. (oc)'!K125&lt;0,0,'Quant. mod. (oc)'!K125)</f>
        <v>0.76319999999999999</v>
      </c>
      <c r="L125" s="125">
        <f>IF('Quant. mod. (oc)'!L125&lt;0,0,'Quant. mod. (oc)'!L125)</f>
        <v>0.76319999999999999</v>
      </c>
      <c r="M125" s="125">
        <f>IF('Quant. mod. (oc)'!M125&lt;0,0,'Quant. mod. (oc)'!M125)</f>
        <v>0.76319999999999999</v>
      </c>
      <c r="N125" s="125">
        <f>IF('Quant. mod. (oc)'!N125&lt;0,0,'Quant. mod. (oc)'!N125)</f>
        <v>0</v>
      </c>
      <c r="O125" s="125">
        <f>IF('Quant. mod. (oc)'!O125&lt;0,0,'Quant. mod. (oc)'!O125)</f>
        <v>0</v>
      </c>
      <c r="P125" s="125">
        <f>IF('Quant. mod. (oc)'!P125&lt;0,0,'Quant. mod. (oc)'!P125)</f>
        <v>0</v>
      </c>
      <c r="Q125" s="125">
        <f>IF('Quant. mod. (oc)'!Q125&lt;0,0,'Quant. mod. (oc)'!Q125)</f>
        <v>0</v>
      </c>
      <c r="R125" s="125">
        <f>IF('Quant. mod. (oc)'!R125&lt;0,0,'Quant. mod. (oc)'!R125)</f>
        <v>0</v>
      </c>
      <c r="S125" s="125">
        <f>IF('Quant. mod. (oc)'!S125&lt;0,0,'Quant. mod. (oc)'!S125)</f>
        <v>0</v>
      </c>
      <c r="T125" s="125">
        <f>IF('Quant. mod. (oc)'!T125&lt;0,0,'Quant. mod. (oc)'!T125)</f>
        <v>0</v>
      </c>
      <c r="U125" s="125">
        <f>IF('Quant. mod. (oc)'!U125&lt;0,0,'Quant. mod. (oc)'!U125)</f>
        <v>0</v>
      </c>
      <c r="V125" s="125">
        <f>IF('Quant. mod. (oc)'!V125&lt;0,0,'Quant. mod. (oc)'!V125)</f>
        <v>0</v>
      </c>
      <c r="W125" s="125">
        <f>IF('Quant. mod. (oc)'!W125&lt;0,0,'Quant. mod. (oc)'!W125)</f>
        <v>0</v>
      </c>
      <c r="X125" s="125">
        <f>IF('Quant. mod. (oc)'!X125&lt;0,0,'Quant. mod. (oc)'!X125)</f>
        <v>0.76319999999999999</v>
      </c>
      <c r="Y125" s="125">
        <f>IF('Quant. mod. (oc)'!Y125&lt;0,0,'Quant. mod. (oc)'!Y125)</f>
        <v>0.76319999999999999</v>
      </c>
      <c r="Z125" s="125">
        <f>IF('Quant. mod. (oc)'!Z125&lt;0,0,'Quant. mod. (oc)'!Z125)</f>
        <v>0.76319999999999999</v>
      </c>
      <c r="AA125" s="125">
        <f>IF('Quant. mod. (oc)'!AA125&lt;0,0,'Quant. mod. (oc)'!AA125)</f>
        <v>0.76319999999999999</v>
      </c>
      <c r="AB125" s="125">
        <f>IF('Quant. mod. (oc)'!AB125&lt;0,0,'Quant. mod. (oc)'!AB125)</f>
        <v>0.76319999999999999</v>
      </c>
      <c r="AC125" s="125">
        <f>IF('Quant. mod. (oc)'!AC125&lt;0,0,'Quant. mod. (oc)'!AC125)</f>
        <v>0.76319999999999999</v>
      </c>
      <c r="AD125" s="125">
        <f>IF('Quant. mod. (oc)'!AD125&lt;0,0,'Quant. mod. (oc)'!AD125)</f>
        <v>0.76319999999999999</v>
      </c>
      <c r="AE125" s="125">
        <f>IF('Quant. mod. (oc)'!AE125&lt;0,0,'Quant. mod. (oc)'!AE125)</f>
        <v>0.76319999999999999</v>
      </c>
      <c r="AF125" s="125">
        <f>IF('Quant. mod. (oc)'!AF125&lt;0,0,'Quant. mod. (oc)'!AF125)</f>
        <v>0.76319999999999999</v>
      </c>
      <c r="AG125" s="126">
        <f>IF('Quant. mod. (oc)'!AG125&lt;0,0,'Quant. mod. (oc)'!AG125)</f>
        <v>0.76319999999999999</v>
      </c>
      <c r="AH125" s="22"/>
    </row>
    <row r="126" spans="1:34" x14ac:dyDescent="0.25">
      <c r="A126" s="21"/>
      <c r="B126" s="27" t="s">
        <v>533</v>
      </c>
      <c r="C126" s="67" t="s">
        <v>65</v>
      </c>
      <c r="D126" s="125">
        <f>IF('Quant. mod. (oc)'!D126&lt;0,0,'Quant. mod. (oc)'!D126)</f>
        <v>0.3861</v>
      </c>
      <c r="E126" s="125">
        <f>IF('Quant. mod. (oc)'!E126&lt;0,0,'Quant. mod. (oc)'!E126)</f>
        <v>0.3861</v>
      </c>
      <c r="F126" s="125">
        <f>IF('Quant. mod. (oc)'!F126&lt;0,0,'Quant. mod. (oc)'!F126)</f>
        <v>0.3861</v>
      </c>
      <c r="G126" s="125">
        <f>IF('Quant. mod. (oc)'!G126&lt;0,0,'Quant. mod. (oc)'!G126)</f>
        <v>0.3861</v>
      </c>
      <c r="H126" s="125">
        <f>IF('Quant. mod. (oc)'!H126&lt;0,0,'Quant. mod. (oc)'!H126)</f>
        <v>0.3861</v>
      </c>
      <c r="I126" s="125">
        <f>IF('Quant. mod. (oc)'!I126&lt;0,0,'Quant. mod. (oc)'!I126)</f>
        <v>0.3861</v>
      </c>
      <c r="J126" s="125">
        <f>IF('Quant. mod. (oc)'!J126&lt;0,0,'Quant. mod. (oc)'!J126)</f>
        <v>0.3861</v>
      </c>
      <c r="K126" s="125">
        <f>IF('Quant. mod. (oc)'!K126&lt;0,0,'Quant. mod. (oc)'!K126)</f>
        <v>0.3861</v>
      </c>
      <c r="L126" s="125">
        <f>IF('Quant. mod. (oc)'!L126&lt;0,0,'Quant. mod. (oc)'!L126)</f>
        <v>0.3861</v>
      </c>
      <c r="M126" s="125">
        <f>IF('Quant. mod. (oc)'!M126&lt;0,0,'Quant. mod. (oc)'!M126)</f>
        <v>0.3861</v>
      </c>
      <c r="N126" s="125">
        <f>IF('Quant. mod. (oc)'!N126&lt;0,0,'Quant. mod. (oc)'!N126)</f>
        <v>0</v>
      </c>
      <c r="O126" s="125">
        <f>IF('Quant. mod. (oc)'!O126&lt;0,0,'Quant. mod. (oc)'!O126)</f>
        <v>0</v>
      </c>
      <c r="P126" s="125">
        <f>IF('Quant. mod. (oc)'!P126&lt;0,0,'Quant. mod. (oc)'!P126)</f>
        <v>0</v>
      </c>
      <c r="Q126" s="125">
        <f>IF('Quant. mod. (oc)'!Q126&lt;0,0,'Quant. mod. (oc)'!Q126)</f>
        <v>0</v>
      </c>
      <c r="R126" s="125">
        <f>IF('Quant. mod. (oc)'!R126&lt;0,0,'Quant. mod. (oc)'!R126)</f>
        <v>0</v>
      </c>
      <c r="S126" s="125">
        <f>IF('Quant. mod. (oc)'!S126&lt;0,0,'Quant. mod. (oc)'!S126)</f>
        <v>0</v>
      </c>
      <c r="T126" s="125">
        <f>IF('Quant. mod. (oc)'!T126&lt;0,0,'Quant. mod. (oc)'!T126)</f>
        <v>0</v>
      </c>
      <c r="U126" s="125">
        <f>IF('Quant. mod. (oc)'!U126&lt;0,0,'Quant. mod. (oc)'!U126)</f>
        <v>0</v>
      </c>
      <c r="V126" s="125">
        <f>IF('Quant. mod. (oc)'!V126&lt;0,0,'Quant. mod. (oc)'!V126)</f>
        <v>0</v>
      </c>
      <c r="W126" s="125">
        <f>IF('Quant. mod. (oc)'!W126&lt;0,0,'Quant. mod. (oc)'!W126)</f>
        <v>0</v>
      </c>
      <c r="X126" s="125">
        <f>IF('Quant. mod. (oc)'!X126&lt;0,0,'Quant. mod. (oc)'!X126)</f>
        <v>0.3861</v>
      </c>
      <c r="Y126" s="125">
        <f>IF('Quant. mod. (oc)'!Y126&lt;0,0,'Quant. mod. (oc)'!Y126)</f>
        <v>0.3861</v>
      </c>
      <c r="Z126" s="125">
        <f>IF('Quant. mod. (oc)'!Z126&lt;0,0,'Quant. mod. (oc)'!Z126)</f>
        <v>0.3861</v>
      </c>
      <c r="AA126" s="125">
        <f>IF('Quant. mod. (oc)'!AA126&lt;0,0,'Quant. mod. (oc)'!AA126)</f>
        <v>0.3861</v>
      </c>
      <c r="AB126" s="125">
        <f>IF('Quant. mod. (oc)'!AB126&lt;0,0,'Quant. mod. (oc)'!AB126)</f>
        <v>0.3861</v>
      </c>
      <c r="AC126" s="125">
        <f>IF('Quant. mod. (oc)'!AC126&lt;0,0,'Quant. mod. (oc)'!AC126)</f>
        <v>0.3861</v>
      </c>
      <c r="AD126" s="125">
        <f>IF('Quant. mod. (oc)'!AD126&lt;0,0,'Quant. mod. (oc)'!AD126)</f>
        <v>0.3861</v>
      </c>
      <c r="AE126" s="125">
        <f>IF('Quant. mod. (oc)'!AE126&lt;0,0,'Quant. mod. (oc)'!AE126)</f>
        <v>0.3861</v>
      </c>
      <c r="AF126" s="125">
        <f>IF('Quant. mod. (oc)'!AF126&lt;0,0,'Quant. mod. (oc)'!AF126)</f>
        <v>0.3861</v>
      </c>
      <c r="AG126" s="126">
        <f>IF('Quant. mod. (oc)'!AG126&lt;0,0,'Quant. mod. (oc)'!AG126)</f>
        <v>0.3861</v>
      </c>
      <c r="AH126" s="22"/>
    </row>
    <row r="127" spans="1:34" x14ac:dyDescent="0.25">
      <c r="A127" s="21"/>
      <c r="B127" s="27" t="s">
        <v>534</v>
      </c>
      <c r="C127" s="67" t="s">
        <v>65</v>
      </c>
      <c r="D127" s="125">
        <f>IF('Quant. mod. (oc)'!D127&lt;0,0,'Quant. mod. (oc)'!D127)</f>
        <v>3.0618000000000003</v>
      </c>
      <c r="E127" s="125">
        <f>IF('Quant. mod. (oc)'!E127&lt;0,0,'Quant. mod. (oc)'!E127)</f>
        <v>3.0618000000000003</v>
      </c>
      <c r="F127" s="125">
        <f>IF('Quant. mod. (oc)'!F127&lt;0,0,'Quant. mod. (oc)'!F127)</f>
        <v>3.0618000000000003</v>
      </c>
      <c r="G127" s="125">
        <f>IF('Quant. mod. (oc)'!G127&lt;0,0,'Quant. mod. (oc)'!G127)</f>
        <v>3.0618000000000003</v>
      </c>
      <c r="H127" s="125">
        <f>IF('Quant. mod. (oc)'!H127&lt;0,0,'Quant. mod. (oc)'!H127)</f>
        <v>3.0618000000000003</v>
      </c>
      <c r="I127" s="125">
        <f>IF('Quant. mod. (oc)'!I127&lt;0,0,'Quant. mod. (oc)'!I127)</f>
        <v>3.0618000000000003</v>
      </c>
      <c r="J127" s="125">
        <f>IF('Quant. mod. (oc)'!J127&lt;0,0,'Quant. mod. (oc)'!J127)</f>
        <v>3.0618000000000003</v>
      </c>
      <c r="K127" s="125">
        <f>IF('Quant. mod. (oc)'!K127&lt;0,0,'Quant. mod. (oc)'!K127)</f>
        <v>3.0618000000000003</v>
      </c>
      <c r="L127" s="125">
        <f>IF('Quant. mod. (oc)'!L127&lt;0,0,'Quant. mod. (oc)'!L127)</f>
        <v>3.0618000000000003</v>
      </c>
      <c r="M127" s="125">
        <f>IF('Quant. mod. (oc)'!M127&lt;0,0,'Quant. mod. (oc)'!M127)</f>
        <v>3.0618000000000003</v>
      </c>
      <c r="N127" s="125">
        <f>IF('Quant. mod. (oc)'!N127&lt;0,0,'Quant. mod. (oc)'!N127)</f>
        <v>0</v>
      </c>
      <c r="O127" s="125">
        <f>IF('Quant. mod. (oc)'!O127&lt;0,0,'Quant. mod. (oc)'!O127)</f>
        <v>0</v>
      </c>
      <c r="P127" s="125">
        <f>IF('Quant. mod. (oc)'!P127&lt;0,0,'Quant. mod. (oc)'!P127)</f>
        <v>0</v>
      </c>
      <c r="Q127" s="125">
        <f>IF('Quant. mod. (oc)'!Q127&lt;0,0,'Quant. mod. (oc)'!Q127)</f>
        <v>0</v>
      </c>
      <c r="R127" s="125">
        <f>IF('Quant. mod. (oc)'!R127&lt;0,0,'Quant. mod. (oc)'!R127)</f>
        <v>0</v>
      </c>
      <c r="S127" s="125">
        <f>IF('Quant. mod. (oc)'!S127&lt;0,0,'Quant. mod. (oc)'!S127)</f>
        <v>0</v>
      </c>
      <c r="T127" s="125">
        <f>IF('Quant. mod. (oc)'!T127&lt;0,0,'Quant. mod. (oc)'!T127)</f>
        <v>0</v>
      </c>
      <c r="U127" s="125">
        <f>IF('Quant. mod. (oc)'!U127&lt;0,0,'Quant. mod. (oc)'!U127)</f>
        <v>0</v>
      </c>
      <c r="V127" s="125">
        <f>IF('Quant. mod. (oc)'!V127&lt;0,0,'Quant. mod. (oc)'!V127)</f>
        <v>0</v>
      </c>
      <c r="W127" s="125">
        <f>IF('Quant. mod. (oc)'!W127&lt;0,0,'Quant. mod. (oc)'!W127)</f>
        <v>0</v>
      </c>
      <c r="X127" s="125">
        <f>IF('Quant. mod. (oc)'!X127&lt;0,0,'Quant. mod. (oc)'!X127)</f>
        <v>5.1063999999999998</v>
      </c>
      <c r="Y127" s="125">
        <f>IF('Quant. mod. (oc)'!Y127&lt;0,0,'Quant. mod. (oc)'!Y127)</f>
        <v>5.1063999999999998</v>
      </c>
      <c r="Z127" s="125">
        <f>IF('Quant. mod. (oc)'!Z127&lt;0,0,'Quant. mod. (oc)'!Z127)</f>
        <v>5.1063999999999998</v>
      </c>
      <c r="AA127" s="125">
        <f>IF('Quant. mod. (oc)'!AA127&lt;0,0,'Quant. mod. (oc)'!AA127)</f>
        <v>5.1063999999999998</v>
      </c>
      <c r="AB127" s="125">
        <f>IF('Quant. mod. (oc)'!AB127&lt;0,0,'Quant. mod. (oc)'!AB127)</f>
        <v>5.1063999999999998</v>
      </c>
      <c r="AC127" s="125">
        <f>IF('Quant. mod. (oc)'!AC127&lt;0,0,'Quant. mod. (oc)'!AC127)</f>
        <v>5.1063999999999998</v>
      </c>
      <c r="AD127" s="125">
        <f>IF('Quant. mod. (oc)'!AD127&lt;0,0,'Quant. mod. (oc)'!AD127)</f>
        <v>5.1063999999999998</v>
      </c>
      <c r="AE127" s="125">
        <f>IF('Quant. mod. (oc)'!AE127&lt;0,0,'Quant. mod. (oc)'!AE127)</f>
        <v>5.1063999999999998</v>
      </c>
      <c r="AF127" s="125">
        <f>IF('Quant. mod. (oc)'!AF127&lt;0,0,'Quant. mod. (oc)'!AF127)</f>
        <v>5.1063999999999998</v>
      </c>
      <c r="AG127" s="126">
        <f>IF('Quant. mod. (oc)'!AG127&lt;0,0,'Quant. mod. (oc)'!AG127)</f>
        <v>5.1063999999999998</v>
      </c>
      <c r="AH127" s="22"/>
    </row>
    <row r="128" spans="1:34" x14ac:dyDescent="0.25">
      <c r="A128" s="21"/>
      <c r="B128" s="120" t="s">
        <v>536</v>
      </c>
      <c r="C128" s="121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8"/>
      <c r="AH128" s="130"/>
    </row>
    <row r="129" spans="1:34" x14ac:dyDescent="0.25">
      <c r="A129" s="112"/>
      <c r="B129" s="27" t="s">
        <v>514</v>
      </c>
      <c r="C129" s="67" t="s">
        <v>57</v>
      </c>
      <c r="D129" s="125">
        <f>IF('Quant. mod. (oc)'!D129&lt;0,0,'Quant. mod. (oc)'!D129)</f>
        <v>11.103300000000001</v>
      </c>
      <c r="E129" s="125">
        <f>IF('Quant. mod. (oc)'!E129&lt;0,0,'Quant. mod. (oc)'!E129)</f>
        <v>11.103300000000001</v>
      </c>
      <c r="F129" s="125">
        <f>IF('Quant. mod. (oc)'!F129&lt;0,0,'Quant. mod. (oc)'!F129)</f>
        <v>11.103300000000001</v>
      </c>
      <c r="G129" s="125">
        <f>IF('Quant. mod. (oc)'!G129&lt;0,0,'Quant. mod. (oc)'!G129)</f>
        <v>12.003299999999999</v>
      </c>
      <c r="H129" s="125">
        <f>IF('Quant. mod. (oc)'!H129&lt;0,0,'Quant. mod. (oc)'!H129)</f>
        <v>12.003299999999999</v>
      </c>
      <c r="I129" s="125">
        <f>IF('Quant. mod. (oc)'!I129&lt;0,0,'Quant. mod. (oc)'!I129)</f>
        <v>12.003299999999999</v>
      </c>
      <c r="J129" s="125">
        <f>IF('Quant. mod. (oc)'!J129&lt;0,0,'Quant. mod. (oc)'!J129)</f>
        <v>11.103300000000001</v>
      </c>
      <c r="K129" s="125">
        <f>IF('Quant. mod. (oc)'!K129&lt;0,0,'Quant. mod. (oc)'!K129)</f>
        <v>11.103300000000001</v>
      </c>
      <c r="L129" s="125">
        <f>IF('Quant. mod. (oc)'!L129&lt;0,0,'Quant. mod. (oc)'!L129)</f>
        <v>12.003299999999999</v>
      </c>
      <c r="M129" s="125">
        <f>IF('Quant. mod. (oc)'!M129&lt;0,0,'Quant. mod. (oc)'!M129)</f>
        <v>12.003299999999999</v>
      </c>
      <c r="N129" s="125">
        <f>IF('Quant. mod. (oc)'!N129&lt;0,0,'Quant. mod. (oc)'!N129)</f>
        <v>7.6099999999999994</v>
      </c>
      <c r="O129" s="125">
        <f>IF('Quant. mod. (oc)'!O129&lt;0,0,'Quant. mod. (oc)'!O129)</f>
        <v>7.6099999999999994</v>
      </c>
      <c r="P129" s="125">
        <f>IF('Quant. mod. (oc)'!P129&lt;0,0,'Quant. mod. (oc)'!P129)</f>
        <v>7.6099999999999994</v>
      </c>
      <c r="Q129" s="125">
        <f>IF('Quant. mod. (oc)'!Q129&lt;0,0,'Quant. mod. (oc)'!Q129)</f>
        <v>8.0599999999999987</v>
      </c>
      <c r="R129" s="125">
        <f>IF('Quant. mod. (oc)'!R129&lt;0,0,'Quant. mod. (oc)'!R129)</f>
        <v>8.0599999999999987</v>
      </c>
      <c r="S129" s="125">
        <f>IF('Quant. mod. (oc)'!S129&lt;0,0,'Quant. mod. (oc)'!S129)</f>
        <v>8.0599999999999987</v>
      </c>
      <c r="T129" s="125">
        <f>IF('Quant. mod. (oc)'!T129&lt;0,0,'Quant. mod. (oc)'!T129)</f>
        <v>7.6099999999999994</v>
      </c>
      <c r="U129" s="125">
        <f>IF('Quant. mod. (oc)'!U129&lt;0,0,'Quant. mod. (oc)'!U129)</f>
        <v>7.6099999999999994</v>
      </c>
      <c r="V129" s="125">
        <f>IF('Quant. mod. (oc)'!V129&lt;0,0,'Quant. mod. (oc)'!V129)</f>
        <v>8.0599999999999987</v>
      </c>
      <c r="W129" s="125">
        <f>IF('Quant. mod. (oc)'!W129&lt;0,0,'Quant. mod. (oc)'!W129)</f>
        <v>8.0599999999999987</v>
      </c>
      <c r="X129" s="125">
        <f>IF('Quant. mod. (oc)'!X129&lt;0,0,'Quant. mod. (oc)'!X129)</f>
        <v>7.1050000000000004</v>
      </c>
      <c r="Y129" s="125">
        <f>IF('Quant. mod. (oc)'!Y129&lt;0,0,'Quant. mod. (oc)'!Y129)</f>
        <v>7.1050000000000004</v>
      </c>
      <c r="Z129" s="125">
        <f>IF('Quant. mod. (oc)'!Z129&lt;0,0,'Quant. mod. (oc)'!Z129)</f>
        <v>7.1050000000000004</v>
      </c>
      <c r="AA129" s="125">
        <f>IF('Quant. mod. (oc)'!AA129&lt;0,0,'Quant. mod. (oc)'!AA129)</f>
        <v>7.7749999999999995</v>
      </c>
      <c r="AB129" s="125">
        <f>IF('Quant. mod. (oc)'!AB129&lt;0,0,'Quant. mod. (oc)'!AB129)</f>
        <v>7.7749999999999995</v>
      </c>
      <c r="AC129" s="125">
        <f>IF('Quant. mod. (oc)'!AC129&lt;0,0,'Quant. mod. (oc)'!AC129)</f>
        <v>7.7749999999999995</v>
      </c>
      <c r="AD129" s="125">
        <f>IF('Quant. mod. (oc)'!AD129&lt;0,0,'Quant. mod. (oc)'!AD129)</f>
        <v>7.1050000000000004</v>
      </c>
      <c r="AE129" s="125">
        <f>IF('Quant. mod. (oc)'!AE129&lt;0,0,'Quant. mod. (oc)'!AE129)</f>
        <v>7.1050000000000004</v>
      </c>
      <c r="AF129" s="125">
        <f>IF('Quant. mod. (oc)'!AF129&lt;0,0,'Quant. mod. (oc)'!AF129)</f>
        <v>7.7749999999999995</v>
      </c>
      <c r="AG129" s="126">
        <f>IF('Quant. mod. (oc)'!AG129&lt;0,0,'Quant. mod. (oc)'!AG129)</f>
        <v>7.7749999999999995</v>
      </c>
      <c r="AH129" s="130"/>
    </row>
    <row r="130" spans="1:34" x14ac:dyDescent="0.25">
      <c r="A130" s="112"/>
      <c r="B130" s="27" t="s">
        <v>458</v>
      </c>
      <c r="C130" s="67" t="s">
        <v>64</v>
      </c>
      <c r="D130" s="125">
        <f>IF('Quant. mod. (oc)'!D130&lt;0,0,'Quant. mod. (oc)'!D130)</f>
        <v>5.3</v>
      </c>
      <c r="E130" s="125">
        <f>IF('Quant. mod. (oc)'!E130&lt;0,0,'Quant. mod. (oc)'!E130)</f>
        <v>5.3</v>
      </c>
      <c r="F130" s="125">
        <f>IF('Quant. mod. (oc)'!F130&lt;0,0,'Quant. mod. (oc)'!F130)</f>
        <v>5.3</v>
      </c>
      <c r="G130" s="125">
        <f>IF('Quant. mod. (oc)'!G130&lt;0,0,'Quant. mod. (oc)'!G130)</f>
        <v>5.3</v>
      </c>
      <c r="H130" s="125">
        <f>IF('Quant. mod. (oc)'!H130&lt;0,0,'Quant. mod. (oc)'!H130)</f>
        <v>5.3</v>
      </c>
      <c r="I130" s="125">
        <f>IF('Quant. mod. (oc)'!I130&lt;0,0,'Quant. mod. (oc)'!I130)</f>
        <v>5.3</v>
      </c>
      <c r="J130" s="125">
        <f>IF('Quant. mod. (oc)'!J130&lt;0,0,'Quant. mod. (oc)'!J130)</f>
        <v>5.3</v>
      </c>
      <c r="K130" s="125">
        <f>IF('Quant. mod. (oc)'!K130&lt;0,0,'Quant. mod. (oc)'!K130)</f>
        <v>5.3</v>
      </c>
      <c r="L130" s="125">
        <f>IF('Quant. mod. (oc)'!L130&lt;0,0,'Quant. mod. (oc)'!L130)</f>
        <v>5.3</v>
      </c>
      <c r="M130" s="125">
        <f>IF('Quant. mod. (oc)'!M130&lt;0,0,'Quant. mod. (oc)'!M130)</f>
        <v>5.3</v>
      </c>
      <c r="N130" s="125">
        <f>IF('Quant. mod. (oc)'!N130&lt;0,0,'Quant. mod. (oc)'!N130)</f>
        <v>5.3</v>
      </c>
      <c r="O130" s="125">
        <f>IF('Quant. mod. (oc)'!O130&lt;0,0,'Quant. mod. (oc)'!O130)</f>
        <v>5.3</v>
      </c>
      <c r="P130" s="125">
        <f>IF('Quant. mod. (oc)'!P130&lt;0,0,'Quant. mod. (oc)'!P130)</f>
        <v>5.3</v>
      </c>
      <c r="Q130" s="125">
        <f>IF('Quant. mod. (oc)'!Q130&lt;0,0,'Quant. mod. (oc)'!Q130)</f>
        <v>5.3</v>
      </c>
      <c r="R130" s="125">
        <f>IF('Quant. mod. (oc)'!R130&lt;0,0,'Quant. mod. (oc)'!R130)</f>
        <v>5.3</v>
      </c>
      <c r="S130" s="125">
        <f>IF('Quant. mod. (oc)'!S130&lt;0,0,'Quant. mod. (oc)'!S130)</f>
        <v>5.3</v>
      </c>
      <c r="T130" s="125">
        <f>IF('Quant. mod. (oc)'!T130&lt;0,0,'Quant. mod. (oc)'!T130)</f>
        <v>5.3</v>
      </c>
      <c r="U130" s="125">
        <f>IF('Quant. mod. (oc)'!U130&lt;0,0,'Quant. mod. (oc)'!U130)</f>
        <v>5.3</v>
      </c>
      <c r="V130" s="125">
        <f>IF('Quant. mod. (oc)'!V130&lt;0,0,'Quant. mod. (oc)'!V130)</f>
        <v>5.3</v>
      </c>
      <c r="W130" s="125">
        <f>IF('Quant. mod. (oc)'!W130&lt;0,0,'Quant. mod. (oc)'!W130)</f>
        <v>5.3</v>
      </c>
      <c r="X130" s="125">
        <f>IF('Quant. mod. (oc)'!X130&lt;0,0,'Quant. mod. (oc)'!X130)</f>
        <v>5.3</v>
      </c>
      <c r="Y130" s="125">
        <f>IF('Quant. mod. (oc)'!Y130&lt;0,0,'Quant. mod. (oc)'!Y130)</f>
        <v>5.3</v>
      </c>
      <c r="Z130" s="125">
        <f>IF('Quant. mod. (oc)'!Z130&lt;0,0,'Quant. mod. (oc)'!Z130)</f>
        <v>5.3</v>
      </c>
      <c r="AA130" s="125">
        <f>IF('Quant. mod. (oc)'!AA130&lt;0,0,'Quant. mod. (oc)'!AA130)</f>
        <v>5.3</v>
      </c>
      <c r="AB130" s="125">
        <f>IF('Quant. mod. (oc)'!AB130&lt;0,0,'Quant. mod. (oc)'!AB130)</f>
        <v>5.3</v>
      </c>
      <c r="AC130" s="125">
        <f>IF('Quant. mod. (oc)'!AC130&lt;0,0,'Quant. mod. (oc)'!AC130)</f>
        <v>5.3</v>
      </c>
      <c r="AD130" s="125">
        <f>IF('Quant. mod. (oc)'!AD130&lt;0,0,'Quant. mod. (oc)'!AD130)</f>
        <v>5.3</v>
      </c>
      <c r="AE130" s="125">
        <f>IF('Quant. mod. (oc)'!AE130&lt;0,0,'Quant. mod. (oc)'!AE130)</f>
        <v>5.3</v>
      </c>
      <c r="AF130" s="125">
        <f>IF('Quant. mod. (oc)'!AF130&lt;0,0,'Quant. mod. (oc)'!AF130)</f>
        <v>5.3</v>
      </c>
      <c r="AG130" s="126">
        <f>IF('Quant. mod. (oc)'!AG130&lt;0,0,'Quant. mod. (oc)'!AG130)</f>
        <v>5.3</v>
      </c>
      <c r="AH130" s="130"/>
    </row>
    <row r="131" spans="1:34" x14ac:dyDescent="0.25">
      <c r="A131" s="112"/>
      <c r="B131" s="27" t="s">
        <v>535</v>
      </c>
      <c r="C131" s="67" t="s">
        <v>57</v>
      </c>
      <c r="D131" s="125">
        <f>IF('Quant. mod. (oc)'!D131&lt;0,0,'Quant. mod. (oc)'!D131)</f>
        <v>24.78</v>
      </c>
      <c r="E131" s="125">
        <f>IF('Quant. mod. (oc)'!E131&lt;0,0,'Quant. mod. (oc)'!E131)</f>
        <v>24.78</v>
      </c>
      <c r="F131" s="125">
        <f>IF('Quant. mod. (oc)'!F131&lt;0,0,'Quant. mod. (oc)'!F131)</f>
        <v>24.78</v>
      </c>
      <c r="G131" s="125">
        <f>IF('Quant. mod. (oc)'!G131&lt;0,0,'Quant. mod. (oc)'!G131)</f>
        <v>26.783000000000001</v>
      </c>
      <c r="H131" s="125">
        <f>IF('Quant. mod. (oc)'!H131&lt;0,0,'Quant. mod. (oc)'!H131)</f>
        <v>26.783000000000001</v>
      </c>
      <c r="I131" s="125">
        <f>IF('Quant. mod. (oc)'!I131&lt;0,0,'Quant. mod. (oc)'!I131)</f>
        <v>26.783000000000001</v>
      </c>
      <c r="J131" s="125">
        <f>IF('Quant. mod. (oc)'!J131&lt;0,0,'Quant. mod. (oc)'!J131)</f>
        <v>24.78</v>
      </c>
      <c r="K131" s="125">
        <f>IF('Quant. mod. (oc)'!K131&lt;0,0,'Quant. mod. (oc)'!K131)</f>
        <v>24.78</v>
      </c>
      <c r="L131" s="125">
        <f>IF('Quant. mod. (oc)'!L131&lt;0,0,'Quant. mod. (oc)'!L131)</f>
        <v>26.783000000000001</v>
      </c>
      <c r="M131" s="125">
        <f>IF('Quant. mod. (oc)'!M131&lt;0,0,'Quant. mod. (oc)'!M131)</f>
        <v>26.783000000000001</v>
      </c>
      <c r="N131" s="125">
        <f>IF('Quant. mod. (oc)'!N131&lt;0,0,'Quant. mod. (oc)'!N131)</f>
        <v>16.835000000000001</v>
      </c>
      <c r="O131" s="125">
        <f>IF('Quant. mod. (oc)'!O131&lt;0,0,'Quant. mod. (oc)'!O131)</f>
        <v>16.835000000000001</v>
      </c>
      <c r="P131" s="125">
        <f>IF('Quant. mod. (oc)'!P131&lt;0,0,'Quant. mod. (oc)'!P131)</f>
        <v>16.835000000000001</v>
      </c>
      <c r="Q131" s="125">
        <f>IF('Quant. mod. (oc)'!Q131&lt;0,0,'Quant. mod. (oc)'!Q131)</f>
        <v>17.838299999999997</v>
      </c>
      <c r="R131" s="125">
        <f>IF('Quant. mod. (oc)'!R131&lt;0,0,'Quant. mod. (oc)'!R131)</f>
        <v>17.838299999999997</v>
      </c>
      <c r="S131" s="125">
        <f>IF('Quant. mod. (oc)'!S131&lt;0,0,'Quant. mod. (oc)'!S131)</f>
        <v>17.838299999999997</v>
      </c>
      <c r="T131" s="125">
        <f>IF('Quant. mod. (oc)'!T131&lt;0,0,'Quant. mod. (oc)'!T131)</f>
        <v>16.835000000000001</v>
      </c>
      <c r="U131" s="125">
        <f>IF('Quant. mod. (oc)'!U131&lt;0,0,'Quant. mod. (oc)'!U131)</f>
        <v>16.835000000000001</v>
      </c>
      <c r="V131" s="125">
        <f>IF('Quant. mod. (oc)'!V131&lt;0,0,'Quant. mod. (oc)'!V131)</f>
        <v>17.838299999999997</v>
      </c>
      <c r="W131" s="125">
        <f>IF('Quant. mod. (oc)'!W131&lt;0,0,'Quant. mod. (oc)'!W131)</f>
        <v>17.838299999999997</v>
      </c>
      <c r="X131" s="125">
        <f>IF('Quant. mod. (oc)'!X131&lt;0,0,'Quant. mod. (oc)'!X131)</f>
        <v>15.734999999999999</v>
      </c>
      <c r="Y131" s="125">
        <f>IF('Quant. mod. (oc)'!Y131&lt;0,0,'Quant. mod. (oc)'!Y131)</f>
        <v>15.734999999999999</v>
      </c>
      <c r="Z131" s="125">
        <f>IF('Quant. mod. (oc)'!Z131&lt;0,0,'Quant. mod. (oc)'!Z131)</f>
        <v>15.734999999999999</v>
      </c>
      <c r="AA131" s="125">
        <f>IF('Quant. mod. (oc)'!AA131&lt;0,0,'Quant. mod. (oc)'!AA131)</f>
        <v>17.245000000000001</v>
      </c>
      <c r="AB131" s="125">
        <f>IF('Quant. mod. (oc)'!AB131&lt;0,0,'Quant. mod. (oc)'!AB131)</f>
        <v>17.245000000000001</v>
      </c>
      <c r="AC131" s="125">
        <f>IF('Quant. mod. (oc)'!AC131&lt;0,0,'Quant. mod. (oc)'!AC131)</f>
        <v>17.245000000000001</v>
      </c>
      <c r="AD131" s="125">
        <f>IF('Quant. mod. (oc)'!AD131&lt;0,0,'Quant. mod. (oc)'!AD131)</f>
        <v>15.734999999999999</v>
      </c>
      <c r="AE131" s="125">
        <f>IF('Quant. mod. (oc)'!AE131&lt;0,0,'Quant. mod. (oc)'!AE131)</f>
        <v>15.734999999999999</v>
      </c>
      <c r="AF131" s="125">
        <f>IF('Quant. mod. (oc)'!AF131&lt;0,0,'Quant. mod. (oc)'!AF131)</f>
        <v>17.245000000000001</v>
      </c>
      <c r="AG131" s="126">
        <f>IF('Quant. mod. (oc)'!AG131&lt;0,0,'Quant. mod. (oc)'!AG131)</f>
        <v>17.245000000000001</v>
      </c>
      <c r="AH131" s="130"/>
    </row>
    <row r="132" spans="1:34" ht="25.5" x14ac:dyDescent="0.25">
      <c r="A132" s="112"/>
      <c r="B132" s="27" t="s">
        <v>416</v>
      </c>
      <c r="C132" s="67" t="s">
        <v>64</v>
      </c>
      <c r="D132" s="125">
        <f>IF('Quant. mod. (oc)'!D132&lt;0,0,'Quant. mod. (oc)'!D132)</f>
        <v>5.3</v>
      </c>
      <c r="E132" s="125">
        <f>IF('Quant. mod. (oc)'!E132&lt;0,0,'Quant. mod. (oc)'!E132)</f>
        <v>5.3</v>
      </c>
      <c r="F132" s="125">
        <f>IF('Quant. mod. (oc)'!F132&lt;0,0,'Quant. mod. (oc)'!F132)</f>
        <v>5.3</v>
      </c>
      <c r="G132" s="125">
        <f>IF('Quant. mod. (oc)'!G132&lt;0,0,'Quant. mod. (oc)'!G132)</f>
        <v>5.3</v>
      </c>
      <c r="H132" s="125">
        <f>IF('Quant. mod. (oc)'!H132&lt;0,0,'Quant. mod. (oc)'!H132)</f>
        <v>5.3</v>
      </c>
      <c r="I132" s="125">
        <f>IF('Quant. mod. (oc)'!I132&lt;0,0,'Quant. mod. (oc)'!I132)</f>
        <v>5.3</v>
      </c>
      <c r="J132" s="125">
        <f>IF('Quant. mod. (oc)'!J132&lt;0,0,'Quant. mod. (oc)'!J132)</f>
        <v>5.3</v>
      </c>
      <c r="K132" s="125">
        <f>IF('Quant. mod. (oc)'!K132&lt;0,0,'Quant. mod. (oc)'!K132)</f>
        <v>5.3</v>
      </c>
      <c r="L132" s="125">
        <f>IF('Quant. mod. (oc)'!L132&lt;0,0,'Quant. mod. (oc)'!L132)</f>
        <v>5.3</v>
      </c>
      <c r="M132" s="125">
        <f>IF('Quant. mod. (oc)'!M132&lt;0,0,'Quant. mod. (oc)'!M132)</f>
        <v>5.3</v>
      </c>
      <c r="N132" s="125">
        <f>IF('Quant. mod. (oc)'!N132&lt;0,0,'Quant. mod. (oc)'!N132)</f>
        <v>5.3</v>
      </c>
      <c r="O132" s="125">
        <f>IF('Quant. mod. (oc)'!O132&lt;0,0,'Quant. mod. (oc)'!O132)</f>
        <v>5.3</v>
      </c>
      <c r="P132" s="125">
        <f>IF('Quant. mod. (oc)'!P132&lt;0,0,'Quant. mod. (oc)'!P132)</f>
        <v>5.3</v>
      </c>
      <c r="Q132" s="125">
        <f>IF('Quant. mod. (oc)'!Q132&lt;0,0,'Quant. mod. (oc)'!Q132)</f>
        <v>5.3</v>
      </c>
      <c r="R132" s="125">
        <f>IF('Quant. mod. (oc)'!R132&lt;0,0,'Quant. mod. (oc)'!R132)</f>
        <v>5.3</v>
      </c>
      <c r="S132" s="125">
        <f>IF('Quant. mod. (oc)'!S132&lt;0,0,'Quant. mod. (oc)'!S132)</f>
        <v>5.3</v>
      </c>
      <c r="T132" s="125">
        <f>IF('Quant. mod. (oc)'!T132&lt;0,0,'Quant. mod. (oc)'!T132)</f>
        <v>5.3</v>
      </c>
      <c r="U132" s="125">
        <f>IF('Quant. mod. (oc)'!U132&lt;0,0,'Quant. mod. (oc)'!U132)</f>
        <v>5.3</v>
      </c>
      <c r="V132" s="125">
        <f>IF('Quant. mod. (oc)'!V132&lt;0,0,'Quant. mod. (oc)'!V132)</f>
        <v>5.3</v>
      </c>
      <c r="W132" s="125">
        <f>IF('Quant. mod. (oc)'!W132&lt;0,0,'Quant. mod. (oc)'!W132)</f>
        <v>5.3</v>
      </c>
      <c r="X132" s="125">
        <f>IF('Quant. mod. (oc)'!X132&lt;0,0,'Quant. mod. (oc)'!X132)</f>
        <v>5.3</v>
      </c>
      <c r="Y132" s="125">
        <f>IF('Quant. mod. (oc)'!Y132&lt;0,0,'Quant. mod. (oc)'!Y132)</f>
        <v>5.3</v>
      </c>
      <c r="Z132" s="125">
        <f>IF('Quant. mod. (oc)'!Z132&lt;0,0,'Quant. mod. (oc)'!Z132)</f>
        <v>5.3</v>
      </c>
      <c r="AA132" s="125">
        <f>IF('Quant. mod. (oc)'!AA132&lt;0,0,'Quant. mod. (oc)'!AA132)</f>
        <v>5.3</v>
      </c>
      <c r="AB132" s="125">
        <f>IF('Quant. mod. (oc)'!AB132&lt;0,0,'Quant. mod. (oc)'!AB132)</f>
        <v>5.3</v>
      </c>
      <c r="AC132" s="125">
        <f>IF('Quant. mod. (oc)'!AC132&lt;0,0,'Quant. mod. (oc)'!AC132)</f>
        <v>5.3</v>
      </c>
      <c r="AD132" s="125">
        <f>IF('Quant. mod. (oc)'!AD132&lt;0,0,'Quant. mod. (oc)'!AD132)</f>
        <v>5.3</v>
      </c>
      <c r="AE132" s="125">
        <f>IF('Quant. mod. (oc)'!AE132&lt;0,0,'Quant. mod. (oc)'!AE132)</f>
        <v>5.3</v>
      </c>
      <c r="AF132" s="125">
        <f>IF('Quant. mod. (oc)'!AF132&lt;0,0,'Quant. mod. (oc)'!AF132)</f>
        <v>5.3</v>
      </c>
      <c r="AG132" s="126">
        <f>IF('Quant. mod. (oc)'!AG132&lt;0,0,'Quant. mod. (oc)'!AG132)</f>
        <v>5.3</v>
      </c>
      <c r="AH132" s="130"/>
    </row>
    <row r="133" spans="1:34" x14ac:dyDescent="0.25">
      <c r="A133" s="112"/>
      <c r="B133" s="120" t="s">
        <v>537</v>
      </c>
      <c r="C133" s="121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8"/>
      <c r="AH133" s="130"/>
    </row>
    <row r="134" spans="1:34" ht="51" x14ac:dyDescent="0.25">
      <c r="A134" s="112"/>
      <c r="B134" s="27" t="s">
        <v>296</v>
      </c>
      <c r="C134" s="67" t="s">
        <v>65</v>
      </c>
      <c r="D134" s="125">
        <f>IF('Quant. mod. (oc)'!D134&lt;0,0,'Quant. mod. (oc)'!D134)</f>
        <v>58.381</v>
      </c>
      <c r="E134" s="125">
        <f>IF('Quant. mod. (oc)'!E134&lt;0,0,'Quant. mod. (oc)'!E134)</f>
        <v>58.381</v>
      </c>
      <c r="F134" s="125">
        <f>IF('Quant. mod. (oc)'!F134&lt;0,0,'Quant. mod. (oc)'!F134)</f>
        <v>58.381</v>
      </c>
      <c r="G134" s="125">
        <f>IF('Quant. mod. (oc)'!G134&lt;0,0,'Quant. mod. (oc)'!G134)</f>
        <v>69.375</v>
      </c>
      <c r="H134" s="125">
        <f>IF('Quant. mod. (oc)'!H134&lt;0,0,'Quant. mod. (oc)'!H134)</f>
        <v>69.375</v>
      </c>
      <c r="I134" s="125">
        <f>IF('Quant. mod. (oc)'!I134&lt;0,0,'Quant. mod. (oc)'!I134)</f>
        <v>69.375</v>
      </c>
      <c r="J134" s="125">
        <f>IF('Quant. mod. (oc)'!J134&lt;0,0,'Quant. mod. (oc)'!J134)</f>
        <v>58.381</v>
      </c>
      <c r="K134" s="125">
        <f>IF('Quant. mod. (oc)'!K134&lt;0,0,'Quant. mod. (oc)'!K134)</f>
        <v>58.381</v>
      </c>
      <c r="L134" s="125">
        <f>IF('Quant. mod. (oc)'!L134&lt;0,0,'Quant. mod. (oc)'!L134)</f>
        <v>69.375</v>
      </c>
      <c r="M134" s="125">
        <f>IF('Quant. mod. (oc)'!M134&lt;0,0,'Quant. mod. (oc)'!M134)</f>
        <v>69.375</v>
      </c>
      <c r="N134" s="125">
        <f>IF('Quant. mod. (oc)'!N134&lt;0,0,'Quant. mod. (oc)'!N134)</f>
        <v>8.0932000000000013</v>
      </c>
      <c r="O134" s="125">
        <f>IF('Quant. mod. (oc)'!O134&lt;0,0,'Quant. mod. (oc)'!O134)</f>
        <v>8.0932000000000013</v>
      </c>
      <c r="P134" s="125">
        <f>IF('Quant. mod. (oc)'!P134&lt;0,0,'Quant. mod. (oc)'!P134)</f>
        <v>8.0932000000000013</v>
      </c>
      <c r="Q134" s="125">
        <f>IF('Quant. mod. (oc)'!Q134&lt;0,0,'Quant. mod. (oc)'!Q134)</f>
        <v>10.01</v>
      </c>
      <c r="R134" s="125">
        <f>IF('Quant. mod. (oc)'!R134&lt;0,0,'Quant. mod. (oc)'!R134)</f>
        <v>10.01</v>
      </c>
      <c r="S134" s="125">
        <f>IF('Quant. mod. (oc)'!S134&lt;0,0,'Quant. mod. (oc)'!S134)</f>
        <v>10.01</v>
      </c>
      <c r="T134" s="125">
        <f>IF('Quant. mod. (oc)'!T134&lt;0,0,'Quant. mod. (oc)'!T134)</f>
        <v>8.0932000000000013</v>
      </c>
      <c r="U134" s="125">
        <f>IF('Quant. mod. (oc)'!U134&lt;0,0,'Quant. mod. (oc)'!U134)</f>
        <v>8.0932000000000013</v>
      </c>
      <c r="V134" s="125">
        <f>IF('Quant. mod. (oc)'!V134&lt;0,0,'Quant. mod. (oc)'!V134)</f>
        <v>10.01</v>
      </c>
      <c r="W134" s="125">
        <f>IF('Quant. mod. (oc)'!W134&lt;0,0,'Quant. mod. (oc)'!W134)</f>
        <v>10.01</v>
      </c>
      <c r="X134" s="125">
        <f>IF('Quant. mod. (oc)'!X134&lt;0,0,'Quant. mod. (oc)'!X134)</f>
        <v>45.535000000000004</v>
      </c>
      <c r="Y134" s="125">
        <f>IF('Quant. mod. (oc)'!Y134&lt;0,0,'Quant. mod. (oc)'!Y134)</f>
        <v>45.535000000000004</v>
      </c>
      <c r="Z134" s="125">
        <f>IF('Quant. mod. (oc)'!Z134&lt;0,0,'Quant. mod. (oc)'!Z134)</f>
        <v>45.535000000000004</v>
      </c>
      <c r="AA134" s="125">
        <f>IF('Quant. mod. (oc)'!AA134&lt;0,0,'Quant. mod. (oc)'!AA134)</f>
        <v>54.248999999999995</v>
      </c>
      <c r="AB134" s="125">
        <f>IF('Quant. mod. (oc)'!AB134&lt;0,0,'Quant. mod. (oc)'!AB134)</f>
        <v>54.248999999999995</v>
      </c>
      <c r="AC134" s="125">
        <f>IF('Quant. mod. (oc)'!AC134&lt;0,0,'Quant. mod. (oc)'!AC134)</f>
        <v>54.248999999999995</v>
      </c>
      <c r="AD134" s="125">
        <f>IF('Quant. mod. (oc)'!AD134&lt;0,0,'Quant. mod. (oc)'!AD134)</f>
        <v>45.535000000000004</v>
      </c>
      <c r="AE134" s="125">
        <f>IF('Quant. mod. (oc)'!AE134&lt;0,0,'Quant. mod. (oc)'!AE134)</f>
        <v>45.535000000000004</v>
      </c>
      <c r="AF134" s="125">
        <f>IF('Quant. mod. (oc)'!AF134&lt;0,0,'Quant. mod. (oc)'!AF134)</f>
        <v>54.248999999999995</v>
      </c>
      <c r="AG134" s="126">
        <f>IF('Quant. mod. (oc)'!AG134&lt;0,0,'Quant. mod. (oc)'!AG134)</f>
        <v>54.248999999999995</v>
      </c>
      <c r="AH134" s="130"/>
    </row>
    <row r="135" spans="1:34" ht="25.5" x14ac:dyDescent="0.25">
      <c r="A135" s="112"/>
      <c r="B135" s="270" t="s">
        <v>294</v>
      </c>
      <c r="C135" s="67" t="s">
        <v>65</v>
      </c>
      <c r="D135" s="125">
        <f>IF('Quant. mod. (oc)'!D135&lt;0,0,'Quant. mod. (oc)'!D135)</f>
        <v>6.4474999999999998</v>
      </c>
      <c r="E135" s="125">
        <f>IF('Quant. mod. (oc)'!E135&lt;0,0,'Quant. mod. (oc)'!E135)</f>
        <v>6.4474999999999998</v>
      </c>
      <c r="F135" s="125">
        <f>IF('Quant. mod. (oc)'!F135&lt;0,0,'Quant. mod. (oc)'!F135)</f>
        <v>6.4474999999999998</v>
      </c>
      <c r="G135" s="125">
        <f>IF('Quant. mod. (oc)'!G135&lt;0,0,'Quant. mod. (oc)'!G135)</f>
        <v>42.607000000000006</v>
      </c>
      <c r="H135" s="125">
        <f>IF('Quant. mod. (oc)'!H135&lt;0,0,'Quant. mod. (oc)'!H135)</f>
        <v>42.607000000000006</v>
      </c>
      <c r="I135" s="125">
        <f>IF('Quant. mod. (oc)'!I135&lt;0,0,'Quant. mod. (oc)'!I135)</f>
        <v>42.607000000000006</v>
      </c>
      <c r="J135" s="125">
        <f>IF('Quant. mod. (oc)'!J135&lt;0,0,'Quant. mod. (oc)'!J135)</f>
        <v>6.4474999999999998</v>
      </c>
      <c r="K135" s="125">
        <f>IF('Quant. mod. (oc)'!K135&lt;0,0,'Quant. mod. (oc)'!K135)</f>
        <v>6.4474999999999998</v>
      </c>
      <c r="L135" s="125">
        <f>IF('Quant. mod. (oc)'!L135&lt;0,0,'Quant. mod. (oc)'!L135)</f>
        <v>42.607000000000006</v>
      </c>
      <c r="M135" s="125">
        <f>IF('Quant. mod. (oc)'!M135&lt;0,0,'Quant. mod. (oc)'!M135)</f>
        <v>42.607000000000006</v>
      </c>
      <c r="N135" s="125">
        <f>IF('Quant. mod. (oc)'!N135&lt;0,0,'Quant. mod. (oc)'!N135)</f>
        <v>7.1915000000000004</v>
      </c>
      <c r="O135" s="125">
        <f>IF('Quant. mod. (oc)'!O135&lt;0,0,'Quant. mod. (oc)'!O135)</f>
        <v>7.1915000000000004</v>
      </c>
      <c r="P135" s="125">
        <f>IF('Quant. mod. (oc)'!P135&lt;0,0,'Quant. mod. (oc)'!P135)</f>
        <v>7.1915000000000004</v>
      </c>
      <c r="Q135" s="125">
        <f>IF('Quant. mod. (oc)'!Q135&lt;0,0,'Quant. mod. (oc)'!Q135)</f>
        <v>44.971000000000004</v>
      </c>
      <c r="R135" s="125">
        <f>IF('Quant. mod. (oc)'!R135&lt;0,0,'Quant. mod. (oc)'!R135)</f>
        <v>44.971000000000004</v>
      </c>
      <c r="S135" s="125">
        <f>IF('Quant. mod. (oc)'!S135&lt;0,0,'Quant. mod. (oc)'!S135)</f>
        <v>44.971000000000004</v>
      </c>
      <c r="T135" s="125">
        <f>IF('Quant. mod. (oc)'!T135&lt;0,0,'Quant. mod. (oc)'!T135)</f>
        <v>7.1915000000000004</v>
      </c>
      <c r="U135" s="125">
        <f>IF('Quant. mod. (oc)'!U135&lt;0,0,'Quant. mod. (oc)'!U135)</f>
        <v>7.1915000000000004</v>
      </c>
      <c r="V135" s="125">
        <f>IF('Quant. mod. (oc)'!V135&lt;0,0,'Quant. mod. (oc)'!V135)</f>
        <v>44.971000000000004</v>
      </c>
      <c r="W135" s="125">
        <f>IF('Quant. mod. (oc)'!W135&lt;0,0,'Quant. mod. (oc)'!W135)</f>
        <v>44.971000000000004</v>
      </c>
      <c r="X135" s="125">
        <f>IF('Quant. mod. (oc)'!X135&lt;0,0,'Quant. mod. (oc)'!X135)</f>
        <v>6.4508000000000001</v>
      </c>
      <c r="Y135" s="125">
        <f>IF('Quant. mod. (oc)'!Y135&lt;0,0,'Quant. mod. (oc)'!Y135)</f>
        <v>6.4508000000000001</v>
      </c>
      <c r="Z135" s="125">
        <f>IF('Quant. mod. (oc)'!Z135&lt;0,0,'Quant. mod. (oc)'!Z135)</f>
        <v>6.4508000000000001</v>
      </c>
      <c r="AA135" s="125">
        <f>IF('Quant. mod. (oc)'!AA135&lt;0,0,'Quant. mod. (oc)'!AA135)</f>
        <v>41.032000000000004</v>
      </c>
      <c r="AB135" s="125">
        <f>IF('Quant. mod. (oc)'!AB135&lt;0,0,'Quant. mod. (oc)'!AB135)</f>
        <v>41.032000000000004</v>
      </c>
      <c r="AC135" s="125">
        <f>IF('Quant. mod. (oc)'!AC135&lt;0,0,'Quant. mod. (oc)'!AC135)</f>
        <v>41.032000000000004</v>
      </c>
      <c r="AD135" s="125">
        <f>IF('Quant. mod. (oc)'!AD135&lt;0,0,'Quant. mod. (oc)'!AD135)</f>
        <v>6.4508000000000001</v>
      </c>
      <c r="AE135" s="125">
        <f>IF('Quant. mod. (oc)'!AE135&lt;0,0,'Quant. mod. (oc)'!AE135)</f>
        <v>6.4508000000000001</v>
      </c>
      <c r="AF135" s="125">
        <f>IF('Quant. mod. (oc)'!AF135&lt;0,0,'Quant. mod. (oc)'!AF135)</f>
        <v>41.032000000000004</v>
      </c>
      <c r="AG135" s="126">
        <f>IF('Quant. mod. (oc)'!AG135&lt;0,0,'Quant. mod. (oc)'!AG135)</f>
        <v>41.032000000000004</v>
      </c>
      <c r="AH135" s="130"/>
    </row>
    <row r="136" spans="1:34" x14ac:dyDescent="0.25">
      <c r="A136" s="112"/>
      <c r="B136" s="270" t="s">
        <v>290</v>
      </c>
      <c r="C136" s="67" t="s">
        <v>63</v>
      </c>
      <c r="D136" s="125">
        <f>IF('Quant. mod. (oc)'!D136&lt;0,0,'Quant. mod. (oc)'!D136)</f>
        <v>2.5768</v>
      </c>
      <c r="E136" s="125">
        <f>IF('Quant. mod. (oc)'!E136&lt;0,0,'Quant. mod. (oc)'!E136)</f>
        <v>2.5768</v>
      </c>
      <c r="F136" s="125">
        <f>IF('Quant. mod. (oc)'!F136&lt;0,0,'Quant. mod. (oc)'!F136)</f>
        <v>2.5768</v>
      </c>
      <c r="G136" s="125">
        <f>IF('Quant. mod. (oc)'!G136&lt;0,0,'Quant. mod. (oc)'!G136)</f>
        <v>17.042999999999999</v>
      </c>
      <c r="H136" s="125">
        <f>IF('Quant. mod. (oc)'!H136&lt;0,0,'Quant. mod. (oc)'!H136)</f>
        <v>17.042999999999999</v>
      </c>
      <c r="I136" s="125">
        <f>IF('Quant. mod. (oc)'!I136&lt;0,0,'Quant. mod. (oc)'!I136)</f>
        <v>17.042999999999999</v>
      </c>
      <c r="J136" s="125">
        <f>IF('Quant. mod. (oc)'!J136&lt;0,0,'Quant. mod. (oc)'!J136)</f>
        <v>2.5768</v>
      </c>
      <c r="K136" s="125">
        <f>IF('Quant. mod. (oc)'!K136&lt;0,0,'Quant. mod. (oc)'!K136)</f>
        <v>2.5768</v>
      </c>
      <c r="L136" s="125">
        <f>IF('Quant. mod. (oc)'!L136&lt;0,0,'Quant. mod. (oc)'!L136)</f>
        <v>17.042999999999999</v>
      </c>
      <c r="M136" s="125">
        <f>IF('Quant. mod. (oc)'!M136&lt;0,0,'Quant. mod. (oc)'!M136)</f>
        <v>17.042999999999999</v>
      </c>
      <c r="N136" s="125">
        <f>IF('Quant. mod. (oc)'!N136&lt;0,0,'Quant. mod. (oc)'!N136)</f>
        <v>2.871</v>
      </c>
      <c r="O136" s="125">
        <f>IF('Quant. mod. (oc)'!O136&lt;0,0,'Quant. mod. (oc)'!O136)</f>
        <v>2.871</v>
      </c>
      <c r="P136" s="125">
        <f>IF('Quant. mod. (oc)'!P136&lt;0,0,'Quant. mod. (oc)'!P136)</f>
        <v>2.871</v>
      </c>
      <c r="Q136" s="125">
        <f>IF('Quant. mod. (oc)'!Q136&lt;0,0,'Quant. mod. (oc)'!Q136)</f>
        <v>17.993000000000002</v>
      </c>
      <c r="R136" s="125">
        <f>IF('Quant. mod. (oc)'!R136&lt;0,0,'Quant. mod. (oc)'!R136)</f>
        <v>17.993000000000002</v>
      </c>
      <c r="S136" s="125">
        <f>IF('Quant. mod. (oc)'!S136&lt;0,0,'Quant. mod. (oc)'!S136)</f>
        <v>17.993000000000002</v>
      </c>
      <c r="T136" s="125">
        <f>IF('Quant. mod. (oc)'!T136&lt;0,0,'Quant. mod. (oc)'!T136)</f>
        <v>2.871</v>
      </c>
      <c r="U136" s="125">
        <f>IF('Quant. mod. (oc)'!U136&lt;0,0,'Quant. mod. (oc)'!U136)</f>
        <v>2.871</v>
      </c>
      <c r="V136" s="125">
        <f>IF('Quant. mod. (oc)'!V136&lt;0,0,'Quant. mod. (oc)'!V136)</f>
        <v>17.993000000000002</v>
      </c>
      <c r="W136" s="125">
        <f>IF('Quant. mod. (oc)'!W136&lt;0,0,'Quant. mod. (oc)'!W136)</f>
        <v>17.993000000000002</v>
      </c>
      <c r="X136" s="125">
        <f>IF('Quant. mod. (oc)'!X136&lt;0,0,'Quant. mod. (oc)'!X136)</f>
        <v>2.5821000000000001</v>
      </c>
      <c r="Y136" s="125">
        <f>IF('Quant. mod. (oc)'!Y136&lt;0,0,'Quant. mod. (oc)'!Y136)</f>
        <v>2.5821000000000001</v>
      </c>
      <c r="Z136" s="125">
        <f>IF('Quant. mod. (oc)'!Z136&lt;0,0,'Quant. mod. (oc)'!Z136)</f>
        <v>2.5821000000000001</v>
      </c>
      <c r="AA136" s="125">
        <f>IF('Quant. mod. (oc)'!AA136&lt;0,0,'Quant. mod. (oc)'!AA136)</f>
        <v>16.417000000000002</v>
      </c>
      <c r="AB136" s="125">
        <f>IF('Quant. mod. (oc)'!AB136&lt;0,0,'Quant. mod. (oc)'!AB136)</f>
        <v>16.417000000000002</v>
      </c>
      <c r="AC136" s="125">
        <f>IF('Quant. mod. (oc)'!AC136&lt;0,0,'Quant. mod. (oc)'!AC136)</f>
        <v>16.417000000000002</v>
      </c>
      <c r="AD136" s="125">
        <f>IF('Quant. mod. (oc)'!AD136&lt;0,0,'Quant. mod. (oc)'!AD136)</f>
        <v>2.5821000000000001</v>
      </c>
      <c r="AE136" s="125">
        <f>IF('Quant. mod. (oc)'!AE136&lt;0,0,'Quant. mod. (oc)'!AE136)</f>
        <v>2.5821000000000001</v>
      </c>
      <c r="AF136" s="125">
        <f>IF('Quant. mod. (oc)'!AF136&lt;0,0,'Quant. mod. (oc)'!AF136)</f>
        <v>16.417000000000002</v>
      </c>
      <c r="AG136" s="126">
        <f>IF('Quant. mod. (oc)'!AG136&lt;0,0,'Quant. mod. (oc)'!AG136)</f>
        <v>16.417000000000002</v>
      </c>
      <c r="AH136" s="130"/>
    </row>
    <row r="137" spans="1:34" ht="25.5" x14ac:dyDescent="0.25">
      <c r="A137" s="112"/>
      <c r="B137" s="270" t="s">
        <v>295</v>
      </c>
      <c r="C137" s="67" t="s">
        <v>57</v>
      </c>
      <c r="D137" s="125">
        <f>IF('Quant. mod. (oc)'!D137&lt;0,0,'Quant. mod. (oc)'!D137)</f>
        <v>5.0476000000000001</v>
      </c>
      <c r="E137" s="125">
        <f>IF('Quant. mod. (oc)'!E137&lt;0,0,'Quant. mod. (oc)'!E137)</f>
        <v>5.0476000000000001</v>
      </c>
      <c r="F137" s="125">
        <f>IF('Quant. mod. (oc)'!F137&lt;0,0,'Quant. mod. (oc)'!F137)</f>
        <v>5.0476000000000001</v>
      </c>
      <c r="G137" s="125">
        <f>IF('Quant. mod. (oc)'!G137&lt;0,0,'Quant. mod. (oc)'!G137)</f>
        <v>379.22</v>
      </c>
      <c r="H137" s="125">
        <f>IF('Quant. mod. (oc)'!H137&lt;0,0,'Quant. mod. (oc)'!H137)</f>
        <v>379.22</v>
      </c>
      <c r="I137" s="125">
        <f>IF('Quant. mod. (oc)'!I137&lt;0,0,'Quant. mod. (oc)'!I137)</f>
        <v>379.22</v>
      </c>
      <c r="J137" s="125">
        <f>IF('Quant. mod. (oc)'!J137&lt;0,0,'Quant. mod. (oc)'!J137)</f>
        <v>5.0476000000000001</v>
      </c>
      <c r="K137" s="125">
        <f>IF('Quant. mod. (oc)'!K137&lt;0,0,'Quant. mod. (oc)'!K137)</f>
        <v>5.0476000000000001</v>
      </c>
      <c r="L137" s="125">
        <f>IF('Quant. mod. (oc)'!L137&lt;0,0,'Quant. mod. (oc)'!L137)</f>
        <v>379.22</v>
      </c>
      <c r="M137" s="125">
        <f>IF('Quant. mod. (oc)'!M137&lt;0,0,'Quant. mod. (oc)'!M137)</f>
        <v>379.22</v>
      </c>
      <c r="N137" s="125">
        <f>IF('Quant. mod. (oc)'!N137&lt;0,0,'Quant. mod. (oc)'!N137)</f>
        <v>5.5401999999999996</v>
      </c>
      <c r="O137" s="125">
        <f>IF('Quant. mod. (oc)'!O137&lt;0,0,'Quant. mod. (oc)'!O137)</f>
        <v>5.5401999999999996</v>
      </c>
      <c r="P137" s="125">
        <f>IF('Quant. mod. (oc)'!P137&lt;0,0,'Quant. mod. (oc)'!P137)</f>
        <v>5.5401999999999996</v>
      </c>
      <c r="Q137" s="125">
        <f>IF('Quant. mod. (oc)'!Q137&lt;0,0,'Quant. mod. (oc)'!Q137)</f>
        <v>395.15200000000004</v>
      </c>
      <c r="R137" s="125">
        <f>IF('Quant. mod. (oc)'!R137&lt;0,0,'Quant. mod. (oc)'!R137)</f>
        <v>395.15200000000004</v>
      </c>
      <c r="S137" s="125">
        <f>IF('Quant. mod. (oc)'!S137&lt;0,0,'Quant. mod. (oc)'!S137)</f>
        <v>395.15200000000004</v>
      </c>
      <c r="T137" s="125">
        <f>IF('Quant. mod. (oc)'!T137&lt;0,0,'Quant. mod. (oc)'!T137)</f>
        <v>5.5401999999999996</v>
      </c>
      <c r="U137" s="125">
        <f>IF('Quant. mod. (oc)'!U137&lt;0,0,'Quant. mod. (oc)'!U137)</f>
        <v>5.5401999999999996</v>
      </c>
      <c r="V137" s="125">
        <f>IF('Quant. mod. (oc)'!V137&lt;0,0,'Quant. mod. (oc)'!V137)</f>
        <v>395.15200000000004</v>
      </c>
      <c r="W137" s="125">
        <f>IF('Quant. mod. (oc)'!W137&lt;0,0,'Quant. mod. (oc)'!W137)</f>
        <v>395.15200000000004</v>
      </c>
      <c r="X137" s="125">
        <f>IF('Quant. mod. (oc)'!X137&lt;0,0,'Quant. mod. (oc)'!X137)</f>
        <v>5.0460000000000003</v>
      </c>
      <c r="Y137" s="125">
        <f>IF('Quant. mod. (oc)'!Y137&lt;0,0,'Quant. mod. (oc)'!Y137)</f>
        <v>5.0460000000000003</v>
      </c>
      <c r="Z137" s="125">
        <f>IF('Quant. mod. (oc)'!Z137&lt;0,0,'Quant. mod. (oc)'!Z137)</f>
        <v>5.0460000000000003</v>
      </c>
      <c r="AA137" s="125">
        <f>IF('Quant. mod. (oc)'!AA137&lt;0,0,'Quant. mod. (oc)'!AA137)</f>
        <v>363.79499999999996</v>
      </c>
      <c r="AB137" s="125">
        <f>IF('Quant. mod. (oc)'!AB137&lt;0,0,'Quant. mod. (oc)'!AB137)</f>
        <v>363.79499999999996</v>
      </c>
      <c r="AC137" s="125">
        <f>IF('Quant. mod. (oc)'!AC137&lt;0,0,'Quant. mod. (oc)'!AC137)</f>
        <v>363.79499999999996</v>
      </c>
      <c r="AD137" s="125">
        <f>IF('Quant. mod. (oc)'!AD137&lt;0,0,'Quant. mod. (oc)'!AD137)</f>
        <v>5.0460000000000003</v>
      </c>
      <c r="AE137" s="125">
        <f>IF('Quant. mod. (oc)'!AE137&lt;0,0,'Quant. mod. (oc)'!AE137)</f>
        <v>5.0460000000000003</v>
      </c>
      <c r="AF137" s="125">
        <f>IF('Quant. mod. (oc)'!AF137&lt;0,0,'Quant. mod. (oc)'!AF137)</f>
        <v>363.79499999999996</v>
      </c>
      <c r="AG137" s="126">
        <f>IF('Quant. mod. (oc)'!AG137&lt;0,0,'Quant. mod. (oc)'!AG137)</f>
        <v>363.79499999999996</v>
      </c>
      <c r="AH137" s="130"/>
    </row>
    <row r="138" spans="1:34" x14ac:dyDescent="0.25">
      <c r="A138" s="112"/>
      <c r="B138" s="27" t="s">
        <v>305</v>
      </c>
      <c r="C138" s="67" t="s">
        <v>63</v>
      </c>
      <c r="D138" s="125">
        <f>IF('Quant. mod. (oc)'!D138&lt;0,0,'Quant. mod. (oc)'!D138)</f>
        <v>1273.6100000000001</v>
      </c>
      <c r="E138" s="125">
        <f>IF('Quant. mod. (oc)'!E138&lt;0,0,'Quant. mod. (oc)'!E138)</f>
        <v>1273.6100000000001</v>
      </c>
      <c r="F138" s="125">
        <f>IF('Quant. mod. (oc)'!F138&lt;0,0,'Quant. mod. (oc)'!F138)</f>
        <v>1273.6100000000001</v>
      </c>
      <c r="G138" s="125">
        <f>IF('Quant. mod. (oc)'!G138&lt;0,0,'Quant. mod. (oc)'!G138)</f>
        <v>0</v>
      </c>
      <c r="H138" s="125">
        <f>IF('Quant. mod. (oc)'!H138&lt;0,0,'Quant. mod. (oc)'!H138)</f>
        <v>0</v>
      </c>
      <c r="I138" s="125">
        <f>IF('Quant. mod. (oc)'!I138&lt;0,0,'Quant. mod. (oc)'!I138)</f>
        <v>0</v>
      </c>
      <c r="J138" s="125">
        <f>IF('Quant. mod. (oc)'!J138&lt;0,0,'Quant. mod. (oc)'!J138)</f>
        <v>1273.6100000000001</v>
      </c>
      <c r="K138" s="125">
        <f>IF('Quant. mod. (oc)'!K138&lt;0,0,'Quant. mod. (oc)'!K138)</f>
        <v>1273.6100000000001</v>
      </c>
      <c r="L138" s="125">
        <f>IF('Quant. mod. (oc)'!L138&lt;0,0,'Quant. mod. (oc)'!L138)</f>
        <v>0</v>
      </c>
      <c r="M138" s="125">
        <f>IF('Quant. mod. (oc)'!M138&lt;0,0,'Quant. mod. (oc)'!M138)</f>
        <v>0</v>
      </c>
      <c r="N138" s="125">
        <f>IF('Quant. mod. (oc)'!N138&lt;0,0,'Quant. mod. (oc)'!N138)</f>
        <v>1419.84</v>
      </c>
      <c r="O138" s="125">
        <f>IF('Quant. mod. (oc)'!O138&lt;0,0,'Quant. mod. (oc)'!O138)</f>
        <v>1419.84</v>
      </c>
      <c r="P138" s="125">
        <f>IF('Quant. mod. (oc)'!P138&lt;0,0,'Quant. mod. (oc)'!P138)</f>
        <v>1419.84</v>
      </c>
      <c r="Q138" s="125">
        <f>IF('Quant. mod. (oc)'!Q138&lt;0,0,'Quant. mod. (oc)'!Q138)</f>
        <v>0</v>
      </c>
      <c r="R138" s="125">
        <f>IF('Quant. mod. (oc)'!R138&lt;0,0,'Quant. mod. (oc)'!R138)</f>
        <v>0</v>
      </c>
      <c r="S138" s="125">
        <f>IF('Quant. mod. (oc)'!S138&lt;0,0,'Quant. mod. (oc)'!S138)</f>
        <v>0</v>
      </c>
      <c r="T138" s="125">
        <f>IF('Quant. mod. (oc)'!T138&lt;0,0,'Quant. mod. (oc)'!T138)</f>
        <v>1419.84</v>
      </c>
      <c r="U138" s="125">
        <f>IF('Quant. mod. (oc)'!U138&lt;0,0,'Quant. mod. (oc)'!U138)</f>
        <v>1419.84</v>
      </c>
      <c r="V138" s="125">
        <f>IF('Quant. mod. (oc)'!V138&lt;0,0,'Quant. mod. (oc)'!V138)</f>
        <v>0</v>
      </c>
      <c r="W138" s="125">
        <f>IF('Quant. mod. (oc)'!W138&lt;0,0,'Quant. mod. (oc)'!W138)</f>
        <v>0</v>
      </c>
      <c r="X138" s="125">
        <f>IF('Quant. mod. (oc)'!X138&lt;0,0,'Quant. mod. (oc)'!X138)</f>
        <v>1273.6600000000001</v>
      </c>
      <c r="Y138" s="125">
        <f>IF('Quant. mod. (oc)'!Y138&lt;0,0,'Quant. mod. (oc)'!Y138)</f>
        <v>1273.6600000000001</v>
      </c>
      <c r="Z138" s="125">
        <f>IF('Quant. mod. (oc)'!Z138&lt;0,0,'Quant. mod. (oc)'!Z138)</f>
        <v>1273.6600000000001</v>
      </c>
      <c r="AA138" s="125">
        <f>IF('Quant. mod. (oc)'!AA138&lt;0,0,'Quant. mod. (oc)'!AA138)</f>
        <v>0</v>
      </c>
      <c r="AB138" s="125">
        <f>IF('Quant. mod. (oc)'!AB138&lt;0,0,'Quant. mod. (oc)'!AB138)</f>
        <v>0</v>
      </c>
      <c r="AC138" s="125">
        <f>IF('Quant. mod. (oc)'!AC138&lt;0,0,'Quant. mod. (oc)'!AC138)</f>
        <v>0</v>
      </c>
      <c r="AD138" s="125">
        <f>IF('Quant. mod. (oc)'!AD138&lt;0,0,'Quant. mod. (oc)'!AD138)</f>
        <v>1273.6600000000001</v>
      </c>
      <c r="AE138" s="125">
        <f>IF('Quant. mod. (oc)'!AE138&lt;0,0,'Quant. mod. (oc)'!AE138)</f>
        <v>1273.6600000000001</v>
      </c>
      <c r="AF138" s="125">
        <f>IF('Quant. mod. (oc)'!AF138&lt;0,0,'Quant. mod. (oc)'!AF138)</f>
        <v>0</v>
      </c>
      <c r="AG138" s="126">
        <f>IF('Quant. mod. (oc)'!AG138&lt;0,0,'Quant. mod. (oc)'!AG138)</f>
        <v>0</v>
      </c>
      <c r="AH138" s="130"/>
    </row>
    <row r="139" spans="1:34" x14ac:dyDescent="0.25">
      <c r="A139" s="112"/>
      <c r="B139" s="27" t="s">
        <v>465</v>
      </c>
      <c r="C139" s="67" t="s">
        <v>63</v>
      </c>
      <c r="D139" s="125">
        <f>IF('Quant. mod. (oc)'!D139&lt;0,0,'Quant. mod. (oc)'!D139)</f>
        <v>6179.0499999999993</v>
      </c>
      <c r="E139" s="125">
        <f>IF('Quant. mod. (oc)'!E139&lt;0,0,'Quant. mod. (oc)'!E139)</f>
        <v>6179.0499999999993</v>
      </c>
      <c r="F139" s="125">
        <f>IF('Quant. mod. (oc)'!F139&lt;0,0,'Quant. mod. (oc)'!F139)</f>
        <v>6179.0499999999993</v>
      </c>
      <c r="G139" s="125">
        <f>IF('Quant. mod. (oc)'!G139&lt;0,0,'Quant. mod. (oc)'!G139)</f>
        <v>0</v>
      </c>
      <c r="H139" s="125">
        <f>IF('Quant. mod. (oc)'!H139&lt;0,0,'Quant. mod. (oc)'!H139)</f>
        <v>0</v>
      </c>
      <c r="I139" s="125">
        <f>IF('Quant. mod. (oc)'!I139&lt;0,0,'Quant. mod. (oc)'!I139)</f>
        <v>0</v>
      </c>
      <c r="J139" s="125">
        <f>IF('Quant. mod. (oc)'!J139&lt;0,0,'Quant. mod. (oc)'!J139)</f>
        <v>6179.0499999999993</v>
      </c>
      <c r="K139" s="125">
        <f>IF('Quant. mod. (oc)'!K139&lt;0,0,'Quant. mod. (oc)'!K139)</f>
        <v>6179.0499999999993</v>
      </c>
      <c r="L139" s="125">
        <f>IF('Quant. mod. (oc)'!L139&lt;0,0,'Quant. mod. (oc)'!L139)</f>
        <v>0</v>
      </c>
      <c r="M139" s="125">
        <f>IF('Quant. mod. (oc)'!M139&lt;0,0,'Quant. mod. (oc)'!M139)</f>
        <v>0</v>
      </c>
      <c r="N139" s="125">
        <f>IF('Quant. mod. (oc)'!N139&lt;0,0,'Quant. mod. (oc)'!N139)</f>
        <v>6399.67</v>
      </c>
      <c r="O139" s="125">
        <f>IF('Quant. mod. (oc)'!O139&lt;0,0,'Quant. mod. (oc)'!O139)</f>
        <v>6399.67</v>
      </c>
      <c r="P139" s="125">
        <f>IF('Quant. mod. (oc)'!P139&lt;0,0,'Quant. mod. (oc)'!P139)</f>
        <v>6399.67</v>
      </c>
      <c r="Q139" s="125">
        <f>IF('Quant. mod. (oc)'!Q139&lt;0,0,'Quant. mod. (oc)'!Q139)</f>
        <v>0</v>
      </c>
      <c r="R139" s="125">
        <f>IF('Quant. mod. (oc)'!R139&lt;0,0,'Quant. mod. (oc)'!R139)</f>
        <v>0</v>
      </c>
      <c r="S139" s="125">
        <f>IF('Quant. mod. (oc)'!S139&lt;0,0,'Quant. mod. (oc)'!S139)</f>
        <v>0</v>
      </c>
      <c r="T139" s="125">
        <f>IF('Quant. mod. (oc)'!T139&lt;0,0,'Quant. mod. (oc)'!T139)</f>
        <v>6399.67</v>
      </c>
      <c r="U139" s="125">
        <f>IF('Quant. mod. (oc)'!U139&lt;0,0,'Quant. mod. (oc)'!U139)</f>
        <v>6399.67</v>
      </c>
      <c r="V139" s="125">
        <f>IF('Quant. mod. (oc)'!V139&lt;0,0,'Quant. mod. (oc)'!V139)</f>
        <v>0</v>
      </c>
      <c r="W139" s="125">
        <f>IF('Quant. mod. (oc)'!W139&lt;0,0,'Quant. mod. (oc)'!W139)</f>
        <v>0</v>
      </c>
      <c r="X139" s="125">
        <f>IF('Quant. mod. (oc)'!X139&lt;0,0,'Quant. mod. (oc)'!X139)</f>
        <v>5904.9400000000005</v>
      </c>
      <c r="Y139" s="125">
        <f>IF('Quant. mod. (oc)'!Y139&lt;0,0,'Quant. mod. (oc)'!Y139)</f>
        <v>5904.9400000000005</v>
      </c>
      <c r="Z139" s="125">
        <f>IF('Quant. mod. (oc)'!Z139&lt;0,0,'Quant. mod. (oc)'!Z139)</f>
        <v>5904.9400000000005</v>
      </c>
      <c r="AA139" s="125">
        <f>IF('Quant. mod. (oc)'!AA139&lt;0,0,'Quant. mod. (oc)'!AA139)</f>
        <v>0</v>
      </c>
      <c r="AB139" s="125">
        <f>IF('Quant. mod. (oc)'!AB139&lt;0,0,'Quant. mod. (oc)'!AB139)</f>
        <v>0</v>
      </c>
      <c r="AC139" s="125">
        <f>IF('Quant. mod. (oc)'!AC139&lt;0,0,'Quant. mod. (oc)'!AC139)</f>
        <v>0</v>
      </c>
      <c r="AD139" s="125">
        <f>IF('Quant. mod. (oc)'!AD139&lt;0,0,'Quant. mod. (oc)'!AD139)</f>
        <v>5904.9400000000005</v>
      </c>
      <c r="AE139" s="125">
        <f>IF('Quant. mod. (oc)'!AE139&lt;0,0,'Quant. mod. (oc)'!AE139)</f>
        <v>5904.9400000000005</v>
      </c>
      <c r="AF139" s="125">
        <f>IF('Quant. mod. (oc)'!AF139&lt;0,0,'Quant. mod. (oc)'!AF139)</f>
        <v>0</v>
      </c>
      <c r="AG139" s="126">
        <f>IF('Quant. mod. (oc)'!AG139&lt;0,0,'Quant. mod. (oc)'!AG139)</f>
        <v>0</v>
      </c>
      <c r="AH139" s="130"/>
    </row>
    <row r="140" spans="1:34" x14ac:dyDescent="0.25">
      <c r="A140" s="112"/>
      <c r="B140" s="27" t="s">
        <v>522</v>
      </c>
      <c r="C140" s="67" t="s">
        <v>63</v>
      </c>
      <c r="D140" s="125">
        <f>IF('Quant. mod. (oc)'!D140&lt;0,0,'Quant. mod. (oc)'!D140)</f>
        <v>2981.05</v>
      </c>
      <c r="E140" s="125">
        <f>IF('Quant. mod. (oc)'!E140&lt;0,0,'Quant. mod. (oc)'!E140)</f>
        <v>2981.05</v>
      </c>
      <c r="F140" s="125">
        <f>IF('Quant. mod. (oc)'!F140&lt;0,0,'Quant. mod. (oc)'!F140)</f>
        <v>2981.05</v>
      </c>
      <c r="G140" s="125">
        <f>IF('Quant. mod. (oc)'!G140&lt;0,0,'Quant. mod. (oc)'!G140)</f>
        <v>0</v>
      </c>
      <c r="H140" s="125">
        <f>IF('Quant. mod. (oc)'!H140&lt;0,0,'Quant. mod. (oc)'!H140)</f>
        <v>0</v>
      </c>
      <c r="I140" s="125">
        <f>IF('Quant. mod. (oc)'!I140&lt;0,0,'Quant. mod. (oc)'!I140)</f>
        <v>0</v>
      </c>
      <c r="J140" s="125">
        <f>IF('Quant. mod. (oc)'!J140&lt;0,0,'Quant. mod. (oc)'!J140)</f>
        <v>2981.05</v>
      </c>
      <c r="K140" s="125">
        <f>IF('Quant. mod. (oc)'!K140&lt;0,0,'Quant. mod. (oc)'!K140)</f>
        <v>2981.05</v>
      </c>
      <c r="L140" s="125">
        <f>IF('Quant. mod. (oc)'!L140&lt;0,0,'Quant. mod. (oc)'!L140)</f>
        <v>0</v>
      </c>
      <c r="M140" s="125">
        <f>IF('Quant. mod. (oc)'!M140&lt;0,0,'Quant. mod. (oc)'!M140)</f>
        <v>0</v>
      </c>
      <c r="N140" s="125">
        <f>IF('Quant. mod. (oc)'!N140&lt;0,0,'Quant. mod. (oc)'!N140)</f>
        <v>3127.87</v>
      </c>
      <c r="O140" s="125">
        <f>IF('Quant. mod. (oc)'!O140&lt;0,0,'Quant. mod. (oc)'!O140)</f>
        <v>3127.87</v>
      </c>
      <c r="P140" s="125">
        <f>IF('Quant. mod. (oc)'!P140&lt;0,0,'Quant. mod. (oc)'!P140)</f>
        <v>3127.87</v>
      </c>
      <c r="Q140" s="125">
        <f>IF('Quant. mod. (oc)'!Q140&lt;0,0,'Quant. mod. (oc)'!Q140)</f>
        <v>0</v>
      </c>
      <c r="R140" s="125">
        <f>IF('Quant. mod. (oc)'!R140&lt;0,0,'Quant. mod. (oc)'!R140)</f>
        <v>0</v>
      </c>
      <c r="S140" s="125">
        <f>IF('Quant. mod. (oc)'!S140&lt;0,0,'Quant. mod. (oc)'!S140)</f>
        <v>0</v>
      </c>
      <c r="T140" s="125">
        <f>IF('Quant. mod. (oc)'!T140&lt;0,0,'Quant. mod. (oc)'!T140)</f>
        <v>3127.87</v>
      </c>
      <c r="U140" s="125">
        <f>IF('Quant. mod. (oc)'!U140&lt;0,0,'Quant. mod. (oc)'!U140)</f>
        <v>3127.87</v>
      </c>
      <c r="V140" s="125">
        <f>IF('Quant. mod. (oc)'!V140&lt;0,0,'Quant. mod. (oc)'!V140)</f>
        <v>0</v>
      </c>
      <c r="W140" s="125">
        <f>IF('Quant. mod. (oc)'!W140&lt;0,0,'Quant. mod. (oc)'!W140)</f>
        <v>0</v>
      </c>
      <c r="X140" s="125">
        <f>IF('Quant. mod. (oc)'!X140&lt;0,0,'Quant. mod. (oc)'!X140)</f>
        <v>2871.44</v>
      </c>
      <c r="Y140" s="125">
        <f>IF('Quant. mod. (oc)'!Y140&lt;0,0,'Quant. mod. (oc)'!Y140)</f>
        <v>2871.44</v>
      </c>
      <c r="Z140" s="125">
        <f>IF('Quant. mod. (oc)'!Z140&lt;0,0,'Quant. mod. (oc)'!Z140)</f>
        <v>2871.44</v>
      </c>
      <c r="AA140" s="125">
        <f>IF('Quant. mod. (oc)'!AA140&lt;0,0,'Quant. mod. (oc)'!AA140)</f>
        <v>0</v>
      </c>
      <c r="AB140" s="125">
        <f>IF('Quant. mod. (oc)'!AB140&lt;0,0,'Quant. mod. (oc)'!AB140)</f>
        <v>0</v>
      </c>
      <c r="AC140" s="125">
        <f>IF('Quant. mod. (oc)'!AC140&lt;0,0,'Quant. mod. (oc)'!AC140)</f>
        <v>0</v>
      </c>
      <c r="AD140" s="125">
        <f>IF('Quant. mod. (oc)'!AD140&lt;0,0,'Quant. mod. (oc)'!AD140)</f>
        <v>2871.44</v>
      </c>
      <c r="AE140" s="125">
        <f>IF('Quant. mod. (oc)'!AE140&lt;0,0,'Quant. mod. (oc)'!AE140)</f>
        <v>2871.44</v>
      </c>
      <c r="AF140" s="125">
        <f>IF('Quant. mod. (oc)'!AF140&lt;0,0,'Quant. mod. (oc)'!AF140)</f>
        <v>0</v>
      </c>
      <c r="AG140" s="126">
        <f>IF('Quant. mod. (oc)'!AG140&lt;0,0,'Quant. mod. (oc)'!AG140)</f>
        <v>0</v>
      </c>
      <c r="AH140" s="130"/>
    </row>
    <row r="141" spans="1:34" ht="25.5" x14ac:dyDescent="0.25">
      <c r="A141" s="112"/>
      <c r="B141" s="27" t="s">
        <v>516</v>
      </c>
      <c r="C141" s="67" t="s">
        <v>57</v>
      </c>
      <c r="D141" s="125">
        <f>IF('Quant. mod. (oc)'!D141&lt;0,0,'Quant. mod. (oc)'!D141)</f>
        <v>376.78900000000004</v>
      </c>
      <c r="E141" s="125">
        <f>IF('Quant. mod. (oc)'!E141&lt;0,0,'Quant. mod. (oc)'!E141)</f>
        <v>376.78900000000004</v>
      </c>
      <c r="F141" s="125">
        <f>IF('Quant. mod. (oc)'!F141&lt;0,0,'Quant. mod. (oc)'!F141)</f>
        <v>376.78900000000004</v>
      </c>
      <c r="G141" s="125">
        <f>IF('Quant. mod. (oc)'!G141&lt;0,0,'Quant. mod. (oc)'!G141)</f>
        <v>0</v>
      </c>
      <c r="H141" s="125">
        <f>IF('Quant. mod. (oc)'!H141&lt;0,0,'Quant. mod. (oc)'!H141)</f>
        <v>0</v>
      </c>
      <c r="I141" s="125">
        <f>IF('Quant. mod. (oc)'!I141&lt;0,0,'Quant. mod. (oc)'!I141)</f>
        <v>0</v>
      </c>
      <c r="J141" s="125">
        <f>IF('Quant. mod. (oc)'!J141&lt;0,0,'Quant. mod. (oc)'!J141)</f>
        <v>376.78900000000004</v>
      </c>
      <c r="K141" s="125">
        <f>IF('Quant. mod. (oc)'!K141&lt;0,0,'Quant. mod. (oc)'!K141)</f>
        <v>376.78900000000004</v>
      </c>
      <c r="L141" s="125">
        <f>IF('Quant. mod. (oc)'!L141&lt;0,0,'Quant. mod. (oc)'!L141)</f>
        <v>0</v>
      </c>
      <c r="M141" s="125">
        <f>IF('Quant. mod. (oc)'!M141&lt;0,0,'Quant. mod. (oc)'!M141)</f>
        <v>0</v>
      </c>
      <c r="N141" s="125">
        <f>IF('Quant. mod. (oc)'!N141&lt;0,0,'Quant. mod. (oc)'!N141)</f>
        <v>394.32599999999996</v>
      </c>
      <c r="O141" s="125">
        <f>IF('Quant. mod. (oc)'!O141&lt;0,0,'Quant. mod. (oc)'!O141)</f>
        <v>394.32599999999996</v>
      </c>
      <c r="P141" s="125">
        <f>IF('Quant. mod. (oc)'!P141&lt;0,0,'Quant. mod. (oc)'!P141)</f>
        <v>394.32599999999996</v>
      </c>
      <c r="Q141" s="125">
        <f>IF('Quant. mod. (oc)'!Q141&lt;0,0,'Quant. mod. (oc)'!Q141)</f>
        <v>0</v>
      </c>
      <c r="R141" s="125">
        <f>IF('Quant. mod. (oc)'!R141&lt;0,0,'Quant. mod. (oc)'!R141)</f>
        <v>0</v>
      </c>
      <c r="S141" s="125">
        <f>IF('Quant. mod. (oc)'!S141&lt;0,0,'Quant. mod. (oc)'!S141)</f>
        <v>0</v>
      </c>
      <c r="T141" s="125">
        <f>IF('Quant. mod. (oc)'!T141&lt;0,0,'Quant. mod. (oc)'!T141)</f>
        <v>394.32599999999996</v>
      </c>
      <c r="U141" s="125">
        <f>IF('Quant. mod. (oc)'!U141&lt;0,0,'Quant. mod. (oc)'!U141)</f>
        <v>394.32599999999996</v>
      </c>
      <c r="V141" s="125">
        <f>IF('Quant. mod. (oc)'!V141&lt;0,0,'Quant. mod. (oc)'!V141)</f>
        <v>0</v>
      </c>
      <c r="W141" s="125">
        <f>IF('Quant. mod. (oc)'!W141&lt;0,0,'Quant. mod. (oc)'!W141)</f>
        <v>0</v>
      </c>
      <c r="X141" s="125">
        <f>IF('Quant. mod. (oc)'!X141&lt;0,0,'Quant. mod. (oc)'!X141)</f>
        <v>362.36100000000005</v>
      </c>
      <c r="Y141" s="125">
        <f>IF('Quant. mod. (oc)'!Y141&lt;0,0,'Quant. mod. (oc)'!Y141)</f>
        <v>362.36100000000005</v>
      </c>
      <c r="Z141" s="125">
        <f>IF('Quant. mod. (oc)'!Z141&lt;0,0,'Quant. mod. (oc)'!Z141)</f>
        <v>362.36100000000005</v>
      </c>
      <c r="AA141" s="125">
        <f>IF('Quant. mod. (oc)'!AA141&lt;0,0,'Quant. mod. (oc)'!AA141)</f>
        <v>0</v>
      </c>
      <c r="AB141" s="125">
        <f>IF('Quant. mod. (oc)'!AB141&lt;0,0,'Quant. mod. (oc)'!AB141)</f>
        <v>0</v>
      </c>
      <c r="AC141" s="125">
        <f>IF('Quant. mod. (oc)'!AC141&lt;0,0,'Quant. mod. (oc)'!AC141)</f>
        <v>0</v>
      </c>
      <c r="AD141" s="125">
        <f>IF('Quant. mod. (oc)'!AD141&lt;0,0,'Quant. mod. (oc)'!AD141)</f>
        <v>362.36100000000005</v>
      </c>
      <c r="AE141" s="125">
        <f>IF('Quant. mod. (oc)'!AE141&lt;0,0,'Quant. mod. (oc)'!AE141)</f>
        <v>362.36100000000005</v>
      </c>
      <c r="AF141" s="125">
        <f>IF('Quant. mod. (oc)'!AF141&lt;0,0,'Quant. mod. (oc)'!AF141)</f>
        <v>0</v>
      </c>
      <c r="AG141" s="126">
        <f>IF('Quant. mod. (oc)'!AG141&lt;0,0,'Quant. mod. (oc)'!AG141)</f>
        <v>0</v>
      </c>
      <c r="AH141" s="130"/>
    </row>
    <row r="142" spans="1:34" ht="25.5" x14ac:dyDescent="0.25">
      <c r="A142" s="112"/>
      <c r="B142" s="27" t="s">
        <v>517</v>
      </c>
      <c r="C142" s="67" t="s">
        <v>57</v>
      </c>
      <c r="D142" s="125">
        <f>IF('Quant. mod. (oc)'!D142&lt;0,0,'Quant. mod. (oc)'!D142)</f>
        <v>376.78900000000004</v>
      </c>
      <c r="E142" s="125">
        <f>IF('Quant. mod. (oc)'!E142&lt;0,0,'Quant. mod. (oc)'!E142)</f>
        <v>376.78900000000004</v>
      </c>
      <c r="F142" s="125">
        <f>IF('Quant. mod. (oc)'!F142&lt;0,0,'Quant. mod. (oc)'!F142)</f>
        <v>376.78900000000004</v>
      </c>
      <c r="G142" s="125">
        <f>IF('Quant. mod. (oc)'!G142&lt;0,0,'Quant. mod. (oc)'!G142)</f>
        <v>0</v>
      </c>
      <c r="H142" s="125">
        <f>IF('Quant. mod. (oc)'!H142&lt;0,0,'Quant. mod. (oc)'!H142)</f>
        <v>0</v>
      </c>
      <c r="I142" s="125">
        <f>IF('Quant. mod. (oc)'!I142&lt;0,0,'Quant. mod. (oc)'!I142)</f>
        <v>0</v>
      </c>
      <c r="J142" s="125">
        <f>IF('Quant. mod. (oc)'!J142&lt;0,0,'Quant. mod. (oc)'!J142)</f>
        <v>376.78900000000004</v>
      </c>
      <c r="K142" s="125">
        <f>IF('Quant. mod. (oc)'!K142&lt;0,0,'Quant. mod. (oc)'!K142)</f>
        <v>376.78900000000004</v>
      </c>
      <c r="L142" s="125">
        <f>IF('Quant. mod. (oc)'!L142&lt;0,0,'Quant. mod. (oc)'!L142)</f>
        <v>0</v>
      </c>
      <c r="M142" s="125">
        <f>IF('Quant. mod. (oc)'!M142&lt;0,0,'Quant. mod. (oc)'!M142)</f>
        <v>0</v>
      </c>
      <c r="N142" s="125">
        <f>IF('Quant. mod. (oc)'!N142&lt;0,0,'Quant. mod. (oc)'!N142)</f>
        <v>394.32599999999996</v>
      </c>
      <c r="O142" s="125">
        <f>IF('Quant. mod. (oc)'!O142&lt;0,0,'Quant. mod. (oc)'!O142)</f>
        <v>394.32599999999996</v>
      </c>
      <c r="P142" s="125">
        <f>IF('Quant. mod. (oc)'!P142&lt;0,0,'Quant. mod. (oc)'!P142)</f>
        <v>394.32599999999996</v>
      </c>
      <c r="Q142" s="125">
        <f>IF('Quant. mod. (oc)'!Q142&lt;0,0,'Quant. mod. (oc)'!Q142)</f>
        <v>0</v>
      </c>
      <c r="R142" s="125">
        <f>IF('Quant. mod. (oc)'!R142&lt;0,0,'Quant. mod. (oc)'!R142)</f>
        <v>0</v>
      </c>
      <c r="S142" s="125">
        <f>IF('Quant. mod. (oc)'!S142&lt;0,0,'Quant. mod. (oc)'!S142)</f>
        <v>0</v>
      </c>
      <c r="T142" s="125">
        <f>IF('Quant. mod. (oc)'!T142&lt;0,0,'Quant. mod. (oc)'!T142)</f>
        <v>394.32599999999996</v>
      </c>
      <c r="U142" s="125">
        <f>IF('Quant. mod. (oc)'!U142&lt;0,0,'Quant. mod. (oc)'!U142)</f>
        <v>394.32599999999996</v>
      </c>
      <c r="V142" s="125">
        <f>IF('Quant. mod. (oc)'!V142&lt;0,0,'Quant. mod. (oc)'!V142)</f>
        <v>0</v>
      </c>
      <c r="W142" s="125">
        <f>IF('Quant. mod. (oc)'!W142&lt;0,0,'Quant. mod. (oc)'!W142)</f>
        <v>0</v>
      </c>
      <c r="X142" s="125">
        <f>IF('Quant. mod. (oc)'!X142&lt;0,0,'Quant. mod. (oc)'!X142)</f>
        <v>362.36100000000005</v>
      </c>
      <c r="Y142" s="125">
        <f>IF('Quant. mod. (oc)'!Y142&lt;0,0,'Quant. mod. (oc)'!Y142)</f>
        <v>362.36100000000005</v>
      </c>
      <c r="Z142" s="125">
        <f>IF('Quant. mod. (oc)'!Z142&lt;0,0,'Quant. mod. (oc)'!Z142)</f>
        <v>362.36100000000005</v>
      </c>
      <c r="AA142" s="125">
        <f>IF('Quant. mod. (oc)'!AA142&lt;0,0,'Quant. mod. (oc)'!AA142)</f>
        <v>0</v>
      </c>
      <c r="AB142" s="125">
        <f>IF('Quant. mod. (oc)'!AB142&lt;0,0,'Quant. mod. (oc)'!AB142)</f>
        <v>0</v>
      </c>
      <c r="AC142" s="125">
        <f>IF('Quant. mod. (oc)'!AC142&lt;0,0,'Quant. mod. (oc)'!AC142)</f>
        <v>0</v>
      </c>
      <c r="AD142" s="125">
        <f>IF('Quant. mod. (oc)'!AD142&lt;0,0,'Quant. mod. (oc)'!AD142)</f>
        <v>362.36100000000005</v>
      </c>
      <c r="AE142" s="125">
        <f>IF('Quant. mod. (oc)'!AE142&lt;0,0,'Quant. mod. (oc)'!AE142)</f>
        <v>362.36100000000005</v>
      </c>
      <c r="AF142" s="125">
        <f>IF('Quant. mod. (oc)'!AF142&lt;0,0,'Quant. mod. (oc)'!AF142)</f>
        <v>0</v>
      </c>
      <c r="AG142" s="126">
        <f>IF('Quant. mod. (oc)'!AG142&lt;0,0,'Quant. mod. (oc)'!AG142)</f>
        <v>0</v>
      </c>
      <c r="AH142" s="130"/>
    </row>
    <row r="143" spans="1:34" x14ac:dyDescent="0.25">
      <c r="A143" s="112"/>
      <c r="B143" s="120" t="s">
        <v>538</v>
      </c>
      <c r="C143" s="121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8"/>
      <c r="AH143" s="130"/>
    </row>
    <row r="144" spans="1:34" ht="51" x14ac:dyDescent="0.25">
      <c r="B144" s="131" t="s">
        <v>440</v>
      </c>
      <c r="C144" s="125" t="s">
        <v>65</v>
      </c>
      <c r="D144" s="125">
        <f>IF('Quant. mod. (oc)'!D144&lt;0,0,'Quant. mod. (oc)'!D144)</f>
        <v>237.06</v>
      </c>
      <c r="E144" s="125">
        <f>IF('Quant. mod. (oc)'!E144&lt;0,0,'Quant. mod. (oc)'!E144)</f>
        <v>0</v>
      </c>
      <c r="F144" s="125">
        <f>IF('Quant. mod. (oc)'!F144&lt;0,0,'Quant. mod. (oc)'!F144)</f>
        <v>0</v>
      </c>
      <c r="G144" s="125">
        <f>IF('Quant. mod. (oc)'!G144&lt;0,0,'Quant. mod. (oc)'!G144)</f>
        <v>237.06</v>
      </c>
      <c r="H144" s="125">
        <f>IF('Quant. mod. (oc)'!H144&lt;0,0,'Quant. mod. (oc)'!H144)</f>
        <v>0</v>
      </c>
      <c r="I144" s="125">
        <f>IF('Quant. mod. (oc)'!I144&lt;0,0,'Quant. mod. (oc)'!I144)</f>
        <v>0</v>
      </c>
      <c r="J144" s="125">
        <f>IF('Quant. mod. (oc)'!J144&lt;0,0,'Quant. mod. (oc)'!J144)</f>
        <v>237.06</v>
      </c>
      <c r="K144" s="125">
        <f>IF('Quant. mod. (oc)'!K144&lt;0,0,'Quant. mod. (oc)'!K144)</f>
        <v>0</v>
      </c>
      <c r="L144" s="125">
        <f>IF('Quant. mod. (oc)'!L144&lt;0,0,'Quant. mod. (oc)'!L144)</f>
        <v>237.06</v>
      </c>
      <c r="M144" s="125">
        <f>IF('Quant. mod. (oc)'!M144&lt;0,0,'Quant. mod. (oc)'!M144)</f>
        <v>0</v>
      </c>
      <c r="N144" s="125">
        <f>IF('Quant. mod. (oc)'!N144&lt;0,0,'Quant. mod. (oc)'!N144)</f>
        <v>214.44099999999997</v>
      </c>
      <c r="O144" s="125">
        <f>IF('Quant. mod. (oc)'!O144&lt;0,0,'Quant. mod. (oc)'!O144)</f>
        <v>0</v>
      </c>
      <c r="P144" s="125">
        <f>IF('Quant. mod. (oc)'!P144&lt;0,0,'Quant. mod. (oc)'!P144)</f>
        <v>0</v>
      </c>
      <c r="Q144" s="125">
        <f>IF('Quant. mod. (oc)'!Q144&lt;0,0,'Quant. mod. (oc)'!Q144)</f>
        <v>214.44099999999997</v>
      </c>
      <c r="R144" s="125">
        <f>IF('Quant. mod. (oc)'!R144&lt;0,0,'Quant. mod. (oc)'!R144)</f>
        <v>0</v>
      </c>
      <c r="S144" s="125">
        <f>IF('Quant. mod. (oc)'!S144&lt;0,0,'Quant. mod. (oc)'!S144)</f>
        <v>0</v>
      </c>
      <c r="T144" s="125">
        <f>IF('Quant. mod. (oc)'!T144&lt;0,0,'Quant. mod. (oc)'!T144)</f>
        <v>214.44099999999997</v>
      </c>
      <c r="U144" s="125">
        <f>IF('Quant. mod. (oc)'!U144&lt;0,0,'Quant. mod. (oc)'!U144)</f>
        <v>0</v>
      </c>
      <c r="V144" s="125">
        <f>IF('Quant. mod. (oc)'!V144&lt;0,0,'Quant. mod. (oc)'!V144)</f>
        <v>214.44099999999997</v>
      </c>
      <c r="W144" s="125">
        <f>IF('Quant. mod. (oc)'!W144&lt;0,0,'Quant. mod. (oc)'!W144)</f>
        <v>0</v>
      </c>
      <c r="X144" s="125">
        <f>IF('Quant. mod. (oc)'!X144&lt;0,0,'Quant. mod. (oc)'!X144)</f>
        <v>180.512</v>
      </c>
      <c r="Y144" s="125">
        <f>IF('Quant. mod. (oc)'!Y144&lt;0,0,'Quant. mod. (oc)'!Y144)</f>
        <v>0</v>
      </c>
      <c r="Z144" s="125">
        <f>IF('Quant. mod. (oc)'!Z144&lt;0,0,'Quant. mod. (oc)'!Z144)</f>
        <v>0</v>
      </c>
      <c r="AA144" s="125">
        <f>IF('Quant. mod. (oc)'!AA144&lt;0,0,'Quant. mod. (oc)'!AA144)</f>
        <v>180.512</v>
      </c>
      <c r="AB144" s="125">
        <f>IF('Quant. mod. (oc)'!AB144&lt;0,0,'Quant. mod. (oc)'!AB144)</f>
        <v>0</v>
      </c>
      <c r="AC144" s="125">
        <f>IF('Quant. mod. (oc)'!AC144&lt;0,0,'Quant. mod. (oc)'!AC144)</f>
        <v>0</v>
      </c>
      <c r="AD144" s="125">
        <f>IF('Quant. mod. (oc)'!AD144&lt;0,0,'Quant. mod. (oc)'!AD144)</f>
        <v>180.512</v>
      </c>
      <c r="AE144" s="125">
        <f>IF('Quant. mod. (oc)'!AE144&lt;0,0,'Quant. mod. (oc)'!AE144)</f>
        <v>0</v>
      </c>
      <c r="AF144" s="125">
        <f>IF('Quant. mod. (oc)'!AF144&lt;0,0,'Quant. mod. (oc)'!AF144)</f>
        <v>180.512</v>
      </c>
      <c r="AG144" s="126">
        <f>IF('Quant. mod. (oc)'!AG144&lt;0,0,'Quant. mod. (oc)'!AG144)</f>
        <v>0</v>
      </c>
      <c r="AH144" s="22"/>
    </row>
    <row r="145" spans="1:34" ht="25.5" x14ac:dyDescent="0.25">
      <c r="A145" s="112"/>
      <c r="B145" s="270" t="s">
        <v>294</v>
      </c>
      <c r="C145" s="125" t="s">
        <v>65</v>
      </c>
      <c r="D145" s="125">
        <f>IF('Quant. mod. (oc)'!D145&lt;0,0,'Quant. mod. (oc)'!D145)</f>
        <v>52.814999999999991</v>
      </c>
      <c r="E145" s="125">
        <f>IF('Quant. mod. (oc)'!E145&lt;0,0,'Quant. mod. (oc)'!E145)</f>
        <v>0</v>
      </c>
      <c r="F145" s="125">
        <f>IF('Quant. mod. (oc)'!F145&lt;0,0,'Quant. mod. (oc)'!F145)</f>
        <v>0</v>
      </c>
      <c r="G145" s="125">
        <f>IF('Quant. mod. (oc)'!G145&lt;0,0,'Quant. mod. (oc)'!G145)</f>
        <v>52.814999999999991</v>
      </c>
      <c r="H145" s="125">
        <f>IF('Quant. mod. (oc)'!H145&lt;0,0,'Quant. mod. (oc)'!H145)</f>
        <v>0</v>
      </c>
      <c r="I145" s="125">
        <f>IF('Quant. mod. (oc)'!I145&lt;0,0,'Quant. mod. (oc)'!I145)</f>
        <v>0</v>
      </c>
      <c r="J145" s="125">
        <f>IF('Quant. mod. (oc)'!J145&lt;0,0,'Quant. mod. (oc)'!J145)</f>
        <v>52.814999999999991</v>
      </c>
      <c r="K145" s="125">
        <f>IF('Quant. mod. (oc)'!K145&lt;0,0,'Quant. mod. (oc)'!K145)</f>
        <v>0</v>
      </c>
      <c r="L145" s="125">
        <f>IF('Quant. mod. (oc)'!L145&lt;0,0,'Quant. mod. (oc)'!L145)</f>
        <v>52.814999999999991</v>
      </c>
      <c r="M145" s="125">
        <f>IF('Quant. mod. (oc)'!M145&lt;0,0,'Quant. mod. (oc)'!M145)</f>
        <v>0</v>
      </c>
      <c r="N145" s="125">
        <f>IF('Quant. mod. (oc)'!N145&lt;0,0,'Quant. mod. (oc)'!N145)</f>
        <v>49.201999999999998</v>
      </c>
      <c r="O145" s="125">
        <f>IF('Quant. mod. (oc)'!O145&lt;0,0,'Quant. mod. (oc)'!O145)</f>
        <v>0</v>
      </c>
      <c r="P145" s="125">
        <f>IF('Quant. mod. (oc)'!P145&lt;0,0,'Quant. mod. (oc)'!P145)</f>
        <v>0</v>
      </c>
      <c r="Q145" s="125">
        <f>IF('Quant. mod. (oc)'!Q145&lt;0,0,'Quant. mod. (oc)'!Q145)</f>
        <v>49.201999999999998</v>
      </c>
      <c r="R145" s="125">
        <f>IF('Quant. mod. (oc)'!R145&lt;0,0,'Quant. mod. (oc)'!R145)</f>
        <v>0</v>
      </c>
      <c r="S145" s="125">
        <f>IF('Quant. mod. (oc)'!S145&lt;0,0,'Quant. mod. (oc)'!S145)</f>
        <v>0</v>
      </c>
      <c r="T145" s="125">
        <f>IF('Quant. mod. (oc)'!T145&lt;0,0,'Quant. mod. (oc)'!T145)</f>
        <v>49.201999999999998</v>
      </c>
      <c r="U145" s="125">
        <f>IF('Quant. mod. (oc)'!U145&lt;0,0,'Quant. mod. (oc)'!U145)</f>
        <v>0</v>
      </c>
      <c r="V145" s="125">
        <f>IF('Quant. mod. (oc)'!V145&lt;0,0,'Quant. mod. (oc)'!V145)</f>
        <v>49.201999999999998</v>
      </c>
      <c r="W145" s="125">
        <f>IF('Quant. mod. (oc)'!W145&lt;0,0,'Quant. mod. (oc)'!W145)</f>
        <v>0</v>
      </c>
      <c r="X145" s="125">
        <f>IF('Quant. mod. (oc)'!X145&lt;0,0,'Quant. mod. (oc)'!X145)</f>
        <v>43.78</v>
      </c>
      <c r="Y145" s="125">
        <f>IF('Quant. mod. (oc)'!Y145&lt;0,0,'Quant. mod. (oc)'!Y145)</f>
        <v>0</v>
      </c>
      <c r="Z145" s="125">
        <f>IF('Quant. mod. (oc)'!Z145&lt;0,0,'Quant. mod. (oc)'!Z145)</f>
        <v>0</v>
      </c>
      <c r="AA145" s="125">
        <f>IF('Quant. mod. (oc)'!AA145&lt;0,0,'Quant. mod. (oc)'!AA145)</f>
        <v>43.78</v>
      </c>
      <c r="AB145" s="125">
        <f>IF('Quant. mod. (oc)'!AB145&lt;0,0,'Quant. mod. (oc)'!AB145)</f>
        <v>0</v>
      </c>
      <c r="AC145" s="125">
        <f>IF('Quant. mod. (oc)'!AC145&lt;0,0,'Quant. mod. (oc)'!AC145)</f>
        <v>0</v>
      </c>
      <c r="AD145" s="125">
        <f>IF('Quant. mod. (oc)'!AD145&lt;0,0,'Quant. mod. (oc)'!AD145)</f>
        <v>43.78</v>
      </c>
      <c r="AE145" s="125">
        <f>IF('Quant. mod. (oc)'!AE145&lt;0,0,'Quant. mod. (oc)'!AE145)</f>
        <v>0</v>
      </c>
      <c r="AF145" s="125">
        <f>IF('Quant. mod. (oc)'!AF145&lt;0,0,'Quant. mod. (oc)'!AF145)</f>
        <v>43.78</v>
      </c>
      <c r="AG145" s="126">
        <f>IF('Quant. mod. (oc)'!AG145&lt;0,0,'Quant. mod. (oc)'!AG145)</f>
        <v>0</v>
      </c>
      <c r="AH145" s="22"/>
    </row>
    <row r="146" spans="1:34" x14ac:dyDescent="0.25">
      <c r="A146" s="112"/>
      <c r="B146" s="270" t="s">
        <v>290</v>
      </c>
      <c r="C146" s="125" t="s">
        <v>63</v>
      </c>
      <c r="D146" s="125">
        <f>IF('Quant. mod. (oc)'!D146&lt;0,0,'Quant. mod. (oc)'!D146)</f>
        <v>21.130000000000006</v>
      </c>
      <c r="E146" s="125">
        <f>IF('Quant. mod. (oc)'!E146&lt;0,0,'Quant. mod. (oc)'!E146)</f>
        <v>0</v>
      </c>
      <c r="F146" s="125">
        <f>IF('Quant. mod. (oc)'!F146&lt;0,0,'Quant. mod. (oc)'!F146)</f>
        <v>0</v>
      </c>
      <c r="G146" s="125">
        <f>IF('Quant. mod. (oc)'!G146&lt;0,0,'Quant. mod. (oc)'!G146)</f>
        <v>21.130000000000006</v>
      </c>
      <c r="H146" s="125">
        <f>IF('Quant. mod. (oc)'!H146&lt;0,0,'Quant. mod. (oc)'!H146)</f>
        <v>0</v>
      </c>
      <c r="I146" s="125">
        <f>IF('Quant. mod. (oc)'!I146&lt;0,0,'Quant. mod. (oc)'!I146)</f>
        <v>0</v>
      </c>
      <c r="J146" s="125">
        <f>IF('Quant. mod. (oc)'!J146&lt;0,0,'Quant. mod. (oc)'!J146)</f>
        <v>21.130000000000006</v>
      </c>
      <c r="K146" s="125">
        <f>IF('Quant. mod. (oc)'!K146&lt;0,0,'Quant. mod. (oc)'!K146)</f>
        <v>0</v>
      </c>
      <c r="L146" s="125">
        <f>IF('Quant. mod. (oc)'!L146&lt;0,0,'Quant. mod. (oc)'!L146)</f>
        <v>21.130000000000006</v>
      </c>
      <c r="M146" s="125">
        <f>IF('Quant. mod. (oc)'!M146&lt;0,0,'Quant. mod. (oc)'!M146)</f>
        <v>0</v>
      </c>
      <c r="N146" s="125">
        <f>IF('Quant. mod. (oc)'!N146&lt;0,0,'Quant. mod. (oc)'!N146)</f>
        <v>19.680399999999999</v>
      </c>
      <c r="O146" s="125">
        <f>IF('Quant. mod. (oc)'!O146&lt;0,0,'Quant. mod. (oc)'!O146)</f>
        <v>0</v>
      </c>
      <c r="P146" s="125">
        <f>IF('Quant. mod. (oc)'!P146&lt;0,0,'Quant. mod. (oc)'!P146)</f>
        <v>0</v>
      </c>
      <c r="Q146" s="125">
        <f>IF('Quant. mod. (oc)'!Q146&lt;0,0,'Quant. mod. (oc)'!Q146)</f>
        <v>19.680399999999999</v>
      </c>
      <c r="R146" s="125">
        <f>IF('Quant. mod. (oc)'!R146&lt;0,0,'Quant. mod. (oc)'!R146)</f>
        <v>0</v>
      </c>
      <c r="S146" s="125">
        <f>IF('Quant. mod. (oc)'!S146&lt;0,0,'Quant. mod. (oc)'!S146)</f>
        <v>0</v>
      </c>
      <c r="T146" s="125">
        <f>IF('Quant. mod. (oc)'!T146&lt;0,0,'Quant. mod. (oc)'!T146)</f>
        <v>19.680399999999999</v>
      </c>
      <c r="U146" s="125">
        <f>IF('Quant. mod. (oc)'!U146&lt;0,0,'Quant. mod. (oc)'!U146)</f>
        <v>0</v>
      </c>
      <c r="V146" s="125">
        <f>IF('Quant. mod. (oc)'!V146&lt;0,0,'Quant. mod. (oc)'!V146)</f>
        <v>19.680399999999999</v>
      </c>
      <c r="W146" s="125">
        <f>IF('Quant. mod. (oc)'!W146&lt;0,0,'Quant. mod. (oc)'!W146)</f>
        <v>0</v>
      </c>
      <c r="X146" s="125">
        <f>IF('Quant. mod. (oc)'!X146&lt;0,0,'Quant. mod. (oc)'!X146)</f>
        <v>17.5124</v>
      </c>
      <c r="Y146" s="125">
        <f>IF('Quant. mod. (oc)'!Y146&lt;0,0,'Quant. mod. (oc)'!Y146)</f>
        <v>0</v>
      </c>
      <c r="Z146" s="125">
        <f>IF('Quant. mod. (oc)'!Z146&lt;0,0,'Quant. mod. (oc)'!Z146)</f>
        <v>0</v>
      </c>
      <c r="AA146" s="125">
        <f>IF('Quant. mod. (oc)'!AA146&lt;0,0,'Quant. mod. (oc)'!AA146)</f>
        <v>17.5124</v>
      </c>
      <c r="AB146" s="125">
        <f>IF('Quant. mod. (oc)'!AB146&lt;0,0,'Quant. mod. (oc)'!AB146)</f>
        <v>0</v>
      </c>
      <c r="AC146" s="125">
        <f>IF('Quant. mod. (oc)'!AC146&lt;0,0,'Quant. mod. (oc)'!AC146)</f>
        <v>0</v>
      </c>
      <c r="AD146" s="125">
        <f>IF('Quant. mod. (oc)'!AD146&lt;0,0,'Quant. mod. (oc)'!AD146)</f>
        <v>17.5124</v>
      </c>
      <c r="AE146" s="125">
        <f>IF('Quant. mod. (oc)'!AE146&lt;0,0,'Quant. mod. (oc)'!AE146)</f>
        <v>0</v>
      </c>
      <c r="AF146" s="125">
        <f>IF('Quant. mod. (oc)'!AF146&lt;0,0,'Quant. mod. (oc)'!AF146)</f>
        <v>17.5124</v>
      </c>
      <c r="AG146" s="126">
        <f>IF('Quant. mod. (oc)'!AG146&lt;0,0,'Quant. mod. (oc)'!AG146)</f>
        <v>0</v>
      </c>
      <c r="AH146" s="22"/>
    </row>
    <row r="147" spans="1:34" ht="25.5" x14ac:dyDescent="0.25">
      <c r="A147" s="112"/>
      <c r="B147" s="270" t="s">
        <v>295</v>
      </c>
      <c r="C147" s="125" t="s">
        <v>57</v>
      </c>
      <c r="D147" s="125">
        <f>IF('Quant. mod. (oc)'!D147&lt;0,0,'Quant. mod. (oc)'!D147)</f>
        <v>451.29000000000008</v>
      </c>
      <c r="E147" s="125">
        <f>IF('Quant. mod. (oc)'!E147&lt;0,0,'Quant. mod. (oc)'!E147)</f>
        <v>0</v>
      </c>
      <c r="F147" s="125">
        <f>IF('Quant. mod. (oc)'!F147&lt;0,0,'Quant. mod. (oc)'!F147)</f>
        <v>0</v>
      </c>
      <c r="G147" s="125">
        <f>IF('Quant. mod. (oc)'!G147&lt;0,0,'Quant. mod. (oc)'!G147)</f>
        <v>451.29000000000008</v>
      </c>
      <c r="H147" s="125">
        <f>IF('Quant. mod. (oc)'!H147&lt;0,0,'Quant. mod. (oc)'!H147)</f>
        <v>0</v>
      </c>
      <c r="I147" s="125">
        <f>IF('Quant. mod. (oc)'!I147&lt;0,0,'Quant. mod. (oc)'!I147)</f>
        <v>0</v>
      </c>
      <c r="J147" s="125">
        <f>IF('Quant. mod. (oc)'!J147&lt;0,0,'Quant. mod. (oc)'!J147)</f>
        <v>451.29000000000008</v>
      </c>
      <c r="K147" s="125">
        <f>IF('Quant. mod. (oc)'!K147&lt;0,0,'Quant. mod. (oc)'!K147)</f>
        <v>0</v>
      </c>
      <c r="L147" s="125">
        <f>IF('Quant. mod. (oc)'!L147&lt;0,0,'Quant. mod. (oc)'!L147)</f>
        <v>451.29000000000008</v>
      </c>
      <c r="M147" s="125">
        <f>IF('Quant. mod. (oc)'!M147&lt;0,0,'Quant. mod. (oc)'!M147)</f>
        <v>0</v>
      </c>
      <c r="N147" s="125">
        <f>IF('Quant. mod. (oc)'!N147&lt;0,0,'Quant. mod. (oc)'!N147)</f>
        <v>422.39000000000004</v>
      </c>
      <c r="O147" s="125">
        <f>IF('Quant. mod. (oc)'!O147&lt;0,0,'Quant. mod. (oc)'!O147)</f>
        <v>0</v>
      </c>
      <c r="P147" s="125">
        <f>IF('Quant. mod. (oc)'!P147&lt;0,0,'Quant. mod. (oc)'!P147)</f>
        <v>0</v>
      </c>
      <c r="Q147" s="125">
        <f>IF('Quant. mod. (oc)'!Q147&lt;0,0,'Quant. mod. (oc)'!Q147)</f>
        <v>422.39000000000004</v>
      </c>
      <c r="R147" s="125">
        <f>IF('Quant. mod. (oc)'!R147&lt;0,0,'Quant. mod. (oc)'!R147)</f>
        <v>0</v>
      </c>
      <c r="S147" s="125">
        <f>IF('Quant. mod. (oc)'!S147&lt;0,0,'Quant. mod. (oc)'!S147)</f>
        <v>0</v>
      </c>
      <c r="T147" s="125">
        <f>IF('Quant. mod. (oc)'!T147&lt;0,0,'Quant. mod. (oc)'!T147)</f>
        <v>422.39000000000004</v>
      </c>
      <c r="U147" s="125">
        <f>IF('Quant. mod. (oc)'!U147&lt;0,0,'Quant. mod. (oc)'!U147)</f>
        <v>0</v>
      </c>
      <c r="V147" s="125">
        <f>IF('Quant. mod. (oc)'!V147&lt;0,0,'Quant. mod. (oc)'!V147)</f>
        <v>422.39000000000004</v>
      </c>
      <c r="W147" s="125">
        <f>IF('Quant. mod. (oc)'!W147&lt;0,0,'Quant. mod. (oc)'!W147)</f>
        <v>0</v>
      </c>
      <c r="X147" s="125">
        <f>IF('Quant. mod. (oc)'!X147&lt;0,0,'Quant. mod. (oc)'!X147)</f>
        <v>379.03</v>
      </c>
      <c r="Y147" s="125">
        <f>IF('Quant. mod. (oc)'!Y147&lt;0,0,'Quant. mod. (oc)'!Y147)</f>
        <v>0</v>
      </c>
      <c r="Z147" s="125">
        <f>IF('Quant. mod. (oc)'!Z147&lt;0,0,'Quant. mod. (oc)'!Z147)</f>
        <v>0</v>
      </c>
      <c r="AA147" s="125">
        <f>IF('Quant. mod. (oc)'!AA147&lt;0,0,'Quant. mod. (oc)'!AA147)</f>
        <v>379.03</v>
      </c>
      <c r="AB147" s="125">
        <f>IF('Quant. mod. (oc)'!AB147&lt;0,0,'Quant. mod. (oc)'!AB147)</f>
        <v>0</v>
      </c>
      <c r="AC147" s="125">
        <f>IF('Quant. mod. (oc)'!AC147&lt;0,0,'Quant. mod. (oc)'!AC147)</f>
        <v>0</v>
      </c>
      <c r="AD147" s="125">
        <f>IF('Quant. mod. (oc)'!AD147&lt;0,0,'Quant. mod. (oc)'!AD147)</f>
        <v>379.03</v>
      </c>
      <c r="AE147" s="125">
        <f>IF('Quant. mod. (oc)'!AE147&lt;0,0,'Quant. mod. (oc)'!AE147)</f>
        <v>0</v>
      </c>
      <c r="AF147" s="125">
        <f>IF('Quant. mod. (oc)'!AF147&lt;0,0,'Quant. mod. (oc)'!AF147)</f>
        <v>379.03</v>
      </c>
      <c r="AG147" s="126">
        <f>IF('Quant. mod. (oc)'!AG147&lt;0,0,'Quant. mod. (oc)'!AG147)</f>
        <v>0</v>
      </c>
      <c r="AH147" s="22"/>
    </row>
    <row r="148" spans="1:34" x14ac:dyDescent="0.25">
      <c r="A148" s="112"/>
      <c r="B148" s="27" t="s">
        <v>535</v>
      </c>
      <c r="C148" s="125" t="s">
        <v>57</v>
      </c>
      <c r="D148" s="125">
        <f>IF('Quant. mod. (oc)'!D148&lt;0,0,'Quant. mod. (oc)'!D148)</f>
        <v>38.954999999999998</v>
      </c>
      <c r="E148" s="125">
        <f>IF('Quant. mod. (oc)'!E148&lt;0,0,'Quant. mod. (oc)'!E148)</f>
        <v>0</v>
      </c>
      <c r="F148" s="125">
        <f>IF('Quant. mod. (oc)'!F148&lt;0,0,'Quant. mod. (oc)'!F148)</f>
        <v>0</v>
      </c>
      <c r="G148" s="125">
        <f>IF('Quant. mod. (oc)'!G148&lt;0,0,'Quant. mod. (oc)'!G148)</f>
        <v>38.954999999999998</v>
      </c>
      <c r="H148" s="125">
        <f>IF('Quant. mod. (oc)'!H148&lt;0,0,'Quant. mod. (oc)'!H148)</f>
        <v>0</v>
      </c>
      <c r="I148" s="125">
        <f>IF('Quant. mod. (oc)'!I148&lt;0,0,'Quant. mod. (oc)'!I148)</f>
        <v>0</v>
      </c>
      <c r="J148" s="125">
        <f>IF('Quant. mod. (oc)'!J148&lt;0,0,'Quant. mod. (oc)'!J148)</f>
        <v>38.954999999999998</v>
      </c>
      <c r="K148" s="125">
        <f>IF('Quant. mod. (oc)'!K148&lt;0,0,'Quant. mod. (oc)'!K148)</f>
        <v>0</v>
      </c>
      <c r="L148" s="125">
        <f>IF('Quant. mod. (oc)'!L148&lt;0,0,'Quant. mod. (oc)'!L148)</f>
        <v>38.954999999999998</v>
      </c>
      <c r="M148" s="125">
        <f>IF('Quant. mod. (oc)'!M148&lt;0,0,'Quant. mod. (oc)'!M148)</f>
        <v>0</v>
      </c>
      <c r="N148" s="125">
        <f>IF('Quant. mod. (oc)'!N148&lt;0,0,'Quant. mod. (oc)'!N148)</f>
        <v>38.954999999999998</v>
      </c>
      <c r="O148" s="125">
        <f>IF('Quant. mod. (oc)'!O148&lt;0,0,'Quant. mod. (oc)'!O148)</f>
        <v>0</v>
      </c>
      <c r="P148" s="125">
        <f>IF('Quant. mod. (oc)'!P148&lt;0,0,'Quant. mod. (oc)'!P148)</f>
        <v>0</v>
      </c>
      <c r="Q148" s="125">
        <f>IF('Quant. mod. (oc)'!Q148&lt;0,0,'Quant. mod. (oc)'!Q148)</f>
        <v>38.954999999999998</v>
      </c>
      <c r="R148" s="125">
        <f>IF('Quant. mod. (oc)'!R148&lt;0,0,'Quant. mod. (oc)'!R148)</f>
        <v>0</v>
      </c>
      <c r="S148" s="125">
        <f>IF('Quant. mod. (oc)'!S148&lt;0,0,'Quant. mod. (oc)'!S148)</f>
        <v>0</v>
      </c>
      <c r="T148" s="125">
        <f>IF('Quant. mod. (oc)'!T148&lt;0,0,'Quant. mod. (oc)'!T148)</f>
        <v>38.954999999999998</v>
      </c>
      <c r="U148" s="125">
        <f>IF('Quant. mod. (oc)'!U148&lt;0,0,'Quant. mod. (oc)'!U148)</f>
        <v>0</v>
      </c>
      <c r="V148" s="125">
        <f>IF('Quant. mod. (oc)'!V148&lt;0,0,'Quant. mod. (oc)'!V148)</f>
        <v>38.954999999999998</v>
      </c>
      <c r="W148" s="125">
        <f>IF('Quant. mod. (oc)'!W148&lt;0,0,'Quant. mod. (oc)'!W148)</f>
        <v>0</v>
      </c>
      <c r="X148" s="125">
        <f>IF('Quant. mod. (oc)'!X148&lt;0,0,'Quant. mod. (oc)'!X148)</f>
        <v>38.951000000000001</v>
      </c>
      <c r="Y148" s="125">
        <f>IF('Quant. mod. (oc)'!Y148&lt;0,0,'Quant. mod. (oc)'!Y148)</f>
        <v>0</v>
      </c>
      <c r="Z148" s="125">
        <f>IF('Quant. mod. (oc)'!Z148&lt;0,0,'Quant. mod. (oc)'!Z148)</f>
        <v>0</v>
      </c>
      <c r="AA148" s="125">
        <f>IF('Quant. mod. (oc)'!AA148&lt;0,0,'Quant. mod. (oc)'!AA148)</f>
        <v>38.951000000000001</v>
      </c>
      <c r="AB148" s="125">
        <f>IF('Quant. mod. (oc)'!AB148&lt;0,0,'Quant. mod. (oc)'!AB148)</f>
        <v>0</v>
      </c>
      <c r="AC148" s="125">
        <f>IF('Quant. mod. (oc)'!AC148&lt;0,0,'Quant. mod. (oc)'!AC148)</f>
        <v>0</v>
      </c>
      <c r="AD148" s="125">
        <f>IF('Quant. mod. (oc)'!AD148&lt;0,0,'Quant. mod. (oc)'!AD148)</f>
        <v>38.951000000000001</v>
      </c>
      <c r="AE148" s="125">
        <f>IF('Quant. mod. (oc)'!AE148&lt;0,0,'Quant. mod. (oc)'!AE148)</f>
        <v>0</v>
      </c>
      <c r="AF148" s="125">
        <f>IF('Quant. mod. (oc)'!AF148&lt;0,0,'Quant. mod. (oc)'!AF148)</f>
        <v>38.951000000000001</v>
      </c>
      <c r="AG148" s="126">
        <f>IF('Quant. mod. (oc)'!AG148&lt;0,0,'Quant. mod. (oc)'!AG148)</f>
        <v>0</v>
      </c>
      <c r="AH148" s="22"/>
    </row>
    <row r="149" spans="1:34" x14ac:dyDescent="0.25">
      <c r="A149" s="112"/>
      <c r="B149" s="27" t="s">
        <v>445</v>
      </c>
      <c r="C149" s="125" t="s">
        <v>59</v>
      </c>
      <c r="D149" s="125">
        <f>IF('Quant. mod. (oc)'!D149&lt;0,0,ROUND('Quant. mod. (oc)'!D149,0))</f>
        <v>2</v>
      </c>
      <c r="E149" s="125">
        <f>IF('Quant. mod. (oc)'!E149&lt;0,0,ROUND('Quant. mod. (oc)'!E149,0))</f>
        <v>0</v>
      </c>
      <c r="F149" s="125">
        <f>IF('Quant. mod. (oc)'!F149&lt;0,0,ROUND('Quant. mod. (oc)'!F149,0))</f>
        <v>0</v>
      </c>
      <c r="G149" s="125">
        <f>IF('Quant. mod. (oc)'!G149&lt;0,0,ROUND('Quant. mod. (oc)'!G149,0))</f>
        <v>2</v>
      </c>
      <c r="H149" s="125">
        <f>IF('Quant. mod. (oc)'!H149&lt;0,0,ROUND('Quant. mod. (oc)'!H149,0))</f>
        <v>0</v>
      </c>
      <c r="I149" s="125">
        <f>IF('Quant. mod. (oc)'!I149&lt;0,0,ROUND('Quant. mod. (oc)'!I149,0))</f>
        <v>0</v>
      </c>
      <c r="J149" s="125">
        <f>IF('Quant. mod. (oc)'!J149&lt;0,0,ROUND('Quant. mod. (oc)'!J149,0))</f>
        <v>2</v>
      </c>
      <c r="K149" s="125">
        <f>IF('Quant. mod. (oc)'!K149&lt;0,0,ROUND('Quant. mod. (oc)'!K149,0))</f>
        <v>0</v>
      </c>
      <c r="L149" s="125">
        <f>IF('Quant. mod. (oc)'!L149&lt;0,0,ROUND('Quant. mod. (oc)'!L149,0))</f>
        <v>2</v>
      </c>
      <c r="M149" s="125">
        <f>IF('Quant. mod. (oc)'!M149&lt;0,0,ROUND('Quant. mod. (oc)'!M149,0))</f>
        <v>0</v>
      </c>
      <c r="N149" s="125">
        <f>IF('Quant. mod. (oc)'!N149&lt;0,0,ROUND('Quant. mod. (oc)'!N149,0))</f>
        <v>2</v>
      </c>
      <c r="O149" s="125">
        <f>IF('Quant. mod. (oc)'!O149&lt;0,0,ROUND('Quant. mod. (oc)'!O149,0))</f>
        <v>0</v>
      </c>
      <c r="P149" s="125">
        <f>IF('Quant. mod. (oc)'!P149&lt;0,0,ROUND('Quant. mod. (oc)'!P149,0))</f>
        <v>0</v>
      </c>
      <c r="Q149" s="125">
        <f>IF('Quant. mod. (oc)'!Q149&lt;0,0,ROUND('Quant. mod. (oc)'!Q149,0))</f>
        <v>2</v>
      </c>
      <c r="R149" s="125">
        <f>IF('Quant. mod. (oc)'!R149&lt;0,0,ROUND('Quant. mod. (oc)'!R149,0))</f>
        <v>0</v>
      </c>
      <c r="S149" s="125">
        <f>IF('Quant. mod. (oc)'!S149&lt;0,0,ROUND('Quant. mod. (oc)'!S149,0))</f>
        <v>0</v>
      </c>
      <c r="T149" s="125">
        <f>IF('Quant. mod. (oc)'!T149&lt;0,0,ROUND('Quant. mod. (oc)'!T149,0))</f>
        <v>2</v>
      </c>
      <c r="U149" s="125">
        <f>IF('Quant. mod. (oc)'!U149&lt;0,0,ROUND('Quant. mod. (oc)'!U149,0))</f>
        <v>0</v>
      </c>
      <c r="V149" s="125">
        <f>IF('Quant. mod. (oc)'!V149&lt;0,0,ROUND('Quant. mod. (oc)'!V149,0))</f>
        <v>2</v>
      </c>
      <c r="W149" s="125">
        <f>IF('Quant. mod. (oc)'!W149&lt;0,0,ROUND('Quant. mod. (oc)'!W149,0))</f>
        <v>0</v>
      </c>
      <c r="X149" s="125">
        <f>IF('Quant. mod. (oc)'!X149&lt;0,0,ROUND('Quant. mod. (oc)'!X149,0))</f>
        <v>2</v>
      </c>
      <c r="Y149" s="125">
        <f>IF('Quant. mod. (oc)'!Y149&lt;0,0,ROUND('Quant. mod. (oc)'!Y149,0))</f>
        <v>0</v>
      </c>
      <c r="Z149" s="125">
        <f>IF('Quant. mod. (oc)'!Z149&lt;0,0,ROUND('Quant. mod. (oc)'!Z149,0))</f>
        <v>0</v>
      </c>
      <c r="AA149" s="125">
        <f>IF('Quant. mod. (oc)'!AA149&lt;0,0,ROUND('Quant. mod. (oc)'!AA149,0))</f>
        <v>2</v>
      </c>
      <c r="AB149" s="125">
        <f>IF('Quant. mod. (oc)'!AB149&lt;0,0,ROUND('Quant. mod. (oc)'!AB149,0))</f>
        <v>0</v>
      </c>
      <c r="AC149" s="125">
        <f>IF('Quant. mod. (oc)'!AC149&lt;0,0,ROUND('Quant. mod. (oc)'!AC149,0))</f>
        <v>0</v>
      </c>
      <c r="AD149" s="125">
        <f>IF('Quant. mod. (oc)'!AD149&lt;0,0,ROUND('Quant. mod. (oc)'!AD149,0))</f>
        <v>2</v>
      </c>
      <c r="AE149" s="125">
        <f>IF('Quant. mod. (oc)'!AE149&lt;0,0,ROUND('Quant. mod. (oc)'!AE149,0))</f>
        <v>0</v>
      </c>
      <c r="AF149" s="125">
        <f>IF('Quant. mod. (oc)'!AF149&lt;0,0,ROUND('Quant. mod. (oc)'!AF149,0))</f>
        <v>2</v>
      </c>
      <c r="AG149" s="126">
        <f>IF('Quant. mod. (oc)'!AG149&lt;0,0,ROUND('Quant. mod. (oc)'!AG149,0))</f>
        <v>0</v>
      </c>
      <c r="AH149" s="22"/>
    </row>
    <row r="150" spans="1:34" x14ac:dyDescent="0.25">
      <c r="A150" s="112"/>
      <c r="B150" s="120" t="s">
        <v>539</v>
      </c>
      <c r="C150" s="121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8"/>
      <c r="AH150" s="22"/>
    </row>
    <row r="151" spans="1:34" ht="51" x14ac:dyDescent="0.25">
      <c r="A151" s="112"/>
      <c r="B151" s="131" t="s">
        <v>440</v>
      </c>
      <c r="C151" s="125" t="s">
        <v>65</v>
      </c>
      <c r="D151" s="125">
        <f>IF('Quant. mod. (oc)'!D151&lt;0,0,'Quant. mod. (oc)'!D151)</f>
        <v>146.12</v>
      </c>
      <c r="E151" s="125">
        <f>IF('Quant. mod. (oc)'!E151&lt;0,0,'Quant. mod. (oc)'!E151)</f>
        <v>0</v>
      </c>
      <c r="F151" s="125">
        <f>IF('Quant. mod. (oc)'!F151&lt;0,0,'Quant. mod. (oc)'!F151)</f>
        <v>0</v>
      </c>
      <c r="G151" s="125">
        <f>IF('Quant. mod. (oc)'!G151&lt;0,0,'Quant. mod. (oc)'!G151)</f>
        <v>146.12</v>
      </c>
      <c r="H151" s="125">
        <f>IF('Quant. mod. (oc)'!H151&lt;0,0,'Quant. mod. (oc)'!H151)</f>
        <v>0</v>
      </c>
      <c r="I151" s="125">
        <f>IF('Quant. mod. (oc)'!I151&lt;0,0,'Quant. mod. (oc)'!I151)</f>
        <v>0</v>
      </c>
      <c r="J151" s="125">
        <f>IF('Quant. mod. (oc)'!J151&lt;0,0,'Quant. mod. (oc)'!J151)</f>
        <v>146.12</v>
      </c>
      <c r="K151" s="125">
        <f>IF('Quant. mod. (oc)'!K151&lt;0,0,'Quant. mod. (oc)'!K151)</f>
        <v>0</v>
      </c>
      <c r="L151" s="125">
        <f>IF('Quant. mod. (oc)'!L151&lt;0,0,'Quant. mod. (oc)'!L151)</f>
        <v>146.12</v>
      </c>
      <c r="M151" s="125">
        <f>IF('Quant. mod. (oc)'!M151&lt;0,0,'Quant. mod. (oc)'!M151)</f>
        <v>0</v>
      </c>
      <c r="N151" s="125">
        <f>IF('Quant. mod. (oc)'!N151&lt;0,0,'Quant. mod. (oc)'!N151)</f>
        <v>134.977</v>
      </c>
      <c r="O151" s="125">
        <f>IF('Quant. mod. (oc)'!O151&lt;0,0,'Quant. mod. (oc)'!O151)</f>
        <v>0</v>
      </c>
      <c r="P151" s="125">
        <f>IF('Quant. mod. (oc)'!P151&lt;0,0,'Quant. mod. (oc)'!P151)</f>
        <v>0</v>
      </c>
      <c r="Q151" s="125">
        <f>IF('Quant. mod. (oc)'!Q151&lt;0,0,'Quant. mod. (oc)'!Q151)</f>
        <v>134.977</v>
      </c>
      <c r="R151" s="125">
        <f>IF('Quant. mod. (oc)'!R151&lt;0,0,'Quant. mod. (oc)'!R151)</f>
        <v>0</v>
      </c>
      <c r="S151" s="125">
        <f>IF('Quant. mod. (oc)'!S151&lt;0,0,'Quant. mod. (oc)'!S151)</f>
        <v>0</v>
      </c>
      <c r="T151" s="125">
        <f>IF('Quant. mod. (oc)'!T151&lt;0,0,'Quant. mod. (oc)'!T151)</f>
        <v>134.977</v>
      </c>
      <c r="U151" s="125">
        <f>IF('Quant. mod. (oc)'!U151&lt;0,0,'Quant. mod. (oc)'!U151)</f>
        <v>0</v>
      </c>
      <c r="V151" s="125">
        <f>IF('Quant. mod. (oc)'!V151&lt;0,0,'Quant. mod. (oc)'!V151)</f>
        <v>134.977</v>
      </c>
      <c r="W151" s="125">
        <f>IF('Quant. mod. (oc)'!W151&lt;0,0,'Quant. mod. (oc)'!W151)</f>
        <v>0</v>
      </c>
      <c r="X151" s="125">
        <f>IF('Quant. mod. (oc)'!X151&lt;0,0,'Quant. mod. (oc)'!X151)</f>
        <v>120.125</v>
      </c>
      <c r="Y151" s="125">
        <f>IF('Quant. mod. (oc)'!Y151&lt;0,0,'Quant. mod. (oc)'!Y151)</f>
        <v>0</v>
      </c>
      <c r="Z151" s="125">
        <f>IF('Quant. mod. (oc)'!Z151&lt;0,0,'Quant. mod. (oc)'!Z151)</f>
        <v>0</v>
      </c>
      <c r="AA151" s="125">
        <f>IF('Quant. mod. (oc)'!AA151&lt;0,0,'Quant. mod. (oc)'!AA151)</f>
        <v>120.125</v>
      </c>
      <c r="AB151" s="125">
        <f>IF('Quant. mod. (oc)'!AB151&lt;0,0,'Quant. mod. (oc)'!AB151)</f>
        <v>0</v>
      </c>
      <c r="AC151" s="125">
        <f>IF('Quant. mod. (oc)'!AC151&lt;0,0,'Quant. mod. (oc)'!AC151)</f>
        <v>0</v>
      </c>
      <c r="AD151" s="125">
        <f>IF('Quant. mod. (oc)'!AD151&lt;0,0,'Quant. mod. (oc)'!AD151)</f>
        <v>120.125</v>
      </c>
      <c r="AE151" s="125">
        <f>IF('Quant. mod. (oc)'!AE151&lt;0,0,'Quant. mod. (oc)'!AE151)</f>
        <v>0</v>
      </c>
      <c r="AF151" s="125">
        <f>IF('Quant. mod. (oc)'!AF151&lt;0,0,'Quant. mod. (oc)'!AF151)</f>
        <v>120.125</v>
      </c>
      <c r="AG151" s="126">
        <f>IF('Quant. mod. (oc)'!AG151&lt;0,0,'Quant. mod. (oc)'!AG151)</f>
        <v>0</v>
      </c>
      <c r="AH151" s="22"/>
    </row>
    <row r="152" spans="1:34" ht="25.5" x14ac:dyDescent="0.25">
      <c r="A152" s="112"/>
      <c r="B152" s="270" t="s">
        <v>294</v>
      </c>
      <c r="C152" s="125" t="s">
        <v>65</v>
      </c>
      <c r="D152" s="125">
        <f>IF('Quant. mod. (oc)'!D152&lt;0,0,'Quant. mod. (oc)'!D152)</f>
        <v>36.79</v>
      </c>
      <c r="E152" s="125">
        <f>IF('Quant. mod. (oc)'!E152&lt;0,0,'Quant. mod. (oc)'!E152)</f>
        <v>0</v>
      </c>
      <c r="F152" s="125">
        <f>IF('Quant. mod. (oc)'!F152&lt;0,0,'Quant. mod. (oc)'!F152)</f>
        <v>0</v>
      </c>
      <c r="G152" s="125">
        <f>IF('Quant. mod. (oc)'!G152&lt;0,0,'Quant. mod. (oc)'!G152)</f>
        <v>36.79</v>
      </c>
      <c r="H152" s="125">
        <f>IF('Quant. mod. (oc)'!H152&lt;0,0,'Quant. mod. (oc)'!H152)</f>
        <v>0</v>
      </c>
      <c r="I152" s="125">
        <f>IF('Quant. mod. (oc)'!I152&lt;0,0,'Quant. mod. (oc)'!I152)</f>
        <v>0</v>
      </c>
      <c r="J152" s="125">
        <f>IF('Quant. mod. (oc)'!J152&lt;0,0,'Quant. mod. (oc)'!J152)</f>
        <v>36.79</v>
      </c>
      <c r="K152" s="125">
        <f>IF('Quant. mod. (oc)'!K152&lt;0,0,'Quant. mod. (oc)'!K152)</f>
        <v>0</v>
      </c>
      <c r="L152" s="125">
        <f>IF('Quant. mod. (oc)'!L152&lt;0,0,'Quant. mod. (oc)'!L152)</f>
        <v>36.79</v>
      </c>
      <c r="M152" s="125">
        <f>IF('Quant. mod. (oc)'!M152&lt;0,0,'Quant. mod. (oc)'!M152)</f>
        <v>0</v>
      </c>
      <c r="N152" s="125">
        <f>IF('Quant. mod. (oc)'!N152&lt;0,0,'Quant. mod. (oc)'!N152)</f>
        <v>34.655999999999999</v>
      </c>
      <c r="O152" s="125">
        <f>IF('Quant. mod. (oc)'!O152&lt;0,0,'Quant. mod. (oc)'!O152)</f>
        <v>0</v>
      </c>
      <c r="P152" s="125">
        <f>IF('Quant. mod. (oc)'!P152&lt;0,0,'Quant. mod. (oc)'!P152)</f>
        <v>0</v>
      </c>
      <c r="Q152" s="125">
        <f>IF('Quant. mod. (oc)'!Q152&lt;0,0,'Quant. mod. (oc)'!Q152)</f>
        <v>34.655999999999999</v>
      </c>
      <c r="R152" s="125">
        <f>IF('Quant. mod. (oc)'!R152&lt;0,0,'Quant. mod. (oc)'!R152)</f>
        <v>0</v>
      </c>
      <c r="S152" s="125">
        <f>IF('Quant. mod. (oc)'!S152&lt;0,0,'Quant. mod. (oc)'!S152)</f>
        <v>0</v>
      </c>
      <c r="T152" s="125">
        <f>IF('Quant. mod. (oc)'!T152&lt;0,0,'Quant. mod. (oc)'!T152)</f>
        <v>34.655999999999999</v>
      </c>
      <c r="U152" s="125">
        <f>IF('Quant. mod. (oc)'!U152&lt;0,0,'Quant. mod. (oc)'!U152)</f>
        <v>0</v>
      </c>
      <c r="V152" s="125">
        <f>IF('Quant. mod. (oc)'!V152&lt;0,0,'Quant. mod. (oc)'!V152)</f>
        <v>34.655999999999999</v>
      </c>
      <c r="W152" s="125">
        <f>IF('Quant. mod. (oc)'!W152&lt;0,0,'Quant. mod. (oc)'!W152)</f>
        <v>0</v>
      </c>
      <c r="X152" s="125">
        <f>IF('Quant. mod. (oc)'!X152&lt;0,0,'Quant. mod. (oc)'!X152)</f>
        <v>31.800999999999998</v>
      </c>
      <c r="Y152" s="125">
        <f>IF('Quant. mod. (oc)'!Y152&lt;0,0,'Quant. mod. (oc)'!Y152)</f>
        <v>0</v>
      </c>
      <c r="Z152" s="125">
        <f>IF('Quant. mod. (oc)'!Z152&lt;0,0,'Quant. mod. (oc)'!Z152)</f>
        <v>0</v>
      </c>
      <c r="AA152" s="125">
        <f>IF('Quant. mod. (oc)'!AA152&lt;0,0,'Quant. mod. (oc)'!AA152)</f>
        <v>31.800999999999998</v>
      </c>
      <c r="AB152" s="125">
        <f>IF('Quant. mod. (oc)'!AB152&lt;0,0,'Quant. mod. (oc)'!AB152)</f>
        <v>0</v>
      </c>
      <c r="AC152" s="125">
        <f>IF('Quant. mod. (oc)'!AC152&lt;0,0,'Quant. mod. (oc)'!AC152)</f>
        <v>0</v>
      </c>
      <c r="AD152" s="125">
        <f>IF('Quant. mod. (oc)'!AD152&lt;0,0,'Quant. mod. (oc)'!AD152)</f>
        <v>31.800999999999998</v>
      </c>
      <c r="AE152" s="125">
        <f>IF('Quant. mod. (oc)'!AE152&lt;0,0,'Quant. mod. (oc)'!AE152)</f>
        <v>0</v>
      </c>
      <c r="AF152" s="125">
        <f>IF('Quant. mod. (oc)'!AF152&lt;0,0,'Quant. mod. (oc)'!AF152)</f>
        <v>31.800999999999998</v>
      </c>
      <c r="AG152" s="126">
        <f>IF('Quant. mod. (oc)'!AG152&lt;0,0,'Quant. mod. (oc)'!AG152)</f>
        <v>0</v>
      </c>
      <c r="AH152" s="22"/>
    </row>
    <row r="153" spans="1:34" x14ac:dyDescent="0.25">
      <c r="A153" s="112"/>
      <c r="B153" s="270" t="s">
        <v>290</v>
      </c>
      <c r="C153" s="125" t="s">
        <v>63</v>
      </c>
      <c r="D153" s="125">
        <f>IF('Quant. mod. (oc)'!D153&lt;0,0,'Quant. mod. (oc)'!D153)</f>
        <v>14.718</v>
      </c>
      <c r="E153" s="125">
        <f>IF('Quant. mod. (oc)'!E153&lt;0,0,'Quant. mod. (oc)'!E153)</f>
        <v>0</v>
      </c>
      <c r="F153" s="125">
        <f>IF('Quant. mod. (oc)'!F153&lt;0,0,'Quant. mod. (oc)'!F153)</f>
        <v>0</v>
      </c>
      <c r="G153" s="125">
        <f>IF('Quant. mod. (oc)'!G153&lt;0,0,'Quant. mod. (oc)'!G153)</f>
        <v>14.718</v>
      </c>
      <c r="H153" s="125">
        <f>IF('Quant. mod. (oc)'!H153&lt;0,0,'Quant. mod. (oc)'!H153)</f>
        <v>0</v>
      </c>
      <c r="I153" s="125">
        <f>IF('Quant. mod. (oc)'!I153&lt;0,0,'Quant. mod. (oc)'!I153)</f>
        <v>0</v>
      </c>
      <c r="J153" s="125">
        <f>IF('Quant. mod. (oc)'!J153&lt;0,0,'Quant. mod. (oc)'!J153)</f>
        <v>14.718</v>
      </c>
      <c r="K153" s="125">
        <f>IF('Quant. mod. (oc)'!K153&lt;0,0,'Quant. mod. (oc)'!K153)</f>
        <v>0</v>
      </c>
      <c r="L153" s="125">
        <f>IF('Quant. mod. (oc)'!L153&lt;0,0,'Quant. mod. (oc)'!L153)</f>
        <v>14.718</v>
      </c>
      <c r="M153" s="125">
        <f>IF('Quant. mod. (oc)'!M153&lt;0,0,'Quant. mod. (oc)'!M153)</f>
        <v>0</v>
      </c>
      <c r="N153" s="125">
        <f>IF('Quant. mod. (oc)'!N153&lt;0,0,'Quant. mod. (oc)'!N153)</f>
        <v>13.86</v>
      </c>
      <c r="O153" s="125">
        <f>IF('Quant. mod. (oc)'!O153&lt;0,0,'Quant. mod. (oc)'!O153)</f>
        <v>0</v>
      </c>
      <c r="P153" s="125">
        <f>IF('Quant. mod. (oc)'!P153&lt;0,0,'Quant. mod. (oc)'!P153)</f>
        <v>0</v>
      </c>
      <c r="Q153" s="125">
        <f>IF('Quant. mod. (oc)'!Q153&lt;0,0,'Quant. mod. (oc)'!Q153)</f>
        <v>13.86</v>
      </c>
      <c r="R153" s="125">
        <f>IF('Quant. mod. (oc)'!R153&lt;0,0,'Quant. mod. (oc)'!R153)</f>
        <v>0</v>
      </c>
      <c r="S153" s="125">
        <f>IF('Quant. mod. (oc)'!S153&lt;0,0,'Quant. mod. (oc)'!S153)</f>
        <v>0</v>
      </c>
      <c r="T153" s="125">
        <f>IF('Quant. mod. (oc)'!T153&lt;0,0,'Quant. mod. (oc)'!T153)</f>
        <v>13.86</v>
      </c>
      <c r="U153" s="125">
        <f>IF('Quant. mod. (oc)'!U153&lt;0,0,'Quant. mod. (oc)'!U153)</f>
        <v>0</v>
      </c>
      <c r="V153" s="125">
        <f>IF('Quant. mod. (oc)'!V153&lt;0,0,'Quant. mod. (oc)'!V153)</f>
        <v>13.86</v>
      </c>
      <c r="W153" s="125">
        <f>IF('Quant. mod. (oc)'!W153&lt;0,0,'Quant. mod. (oc)'!W153)</f>
        <v>0</v>
      </c>
      <c r="X153" s="125">
        <f>IF('Quant. mod. (oc)'!X153&lt;0,0,'Quant. mod. (oc)'!X153)</f>
        <v>12.7164</v>
      </c>
      <c r="Y153" s="125">
        <f>IF('Quant. mod. (oc)'!Y153&lt;0,0,'Quant. mod. (oc)'!Y153)</f>
        <v>0</v>
      </c>
      <c r="Z153" s="125">
        <f>IF('Quant. mod. (oc)'!Z153&lt;0,0,'Quant. mod. (oc)'!Z153)</f>
        <v>0</v>
      </c>
      <c r="AA153" s="125">
        <f>IF('Quant. mod. (oc)'!AA153&lt;0,0,'Quant. mod. (oc)'!AA153)</f>
        <v>12.7164</v>
      </c>
      <c r="AB153" s="125">
        <f>IF('Quant. mod. (oc)'!AB153&lt;0,0,'Quant. mod. (oc)'!AB153)</f>
        <v>0</v>
      </c>
      <c r="AC153" s="125">
        <f>IF('Quant. mod. (oc)'!AC153&lt;0,0,'Quant. mod. (oc)'!AC153)</f>
        <v>0</v>
      </c>
      <c r="AD153" s="125">
        <f>IF('Quant. mod. (oc)'!AD153&lt;0,0,'Quant. mod. (oc)'!AD153)</f>
        <v>12.7164</v>
      </c>
      <c r="AE153" s="125">
        <f>IF('Quant. mod. (oc)'!AE153&lt;0,0,'Quant. mod. (oc)'!AE153)</f>
        <v>0</v>
      </c>
      <c r="AF153" s="125">
        <f>IF('Quant. mod. (oc)'!AF153&lt;0,0,'Quant. mod. (oc)'!AF153)</f>
        <v>12.7164</v>
      </c>
      <c r="AG153" s="126">
        <f>IF('Quant. mod. (oc)'!AG153&lt;0,0,'Quant. mod. (oc)'!AG153)</f>
        <v>0</v>
      </c>
      <c r="AH153" s="22"/>
    </row>
    <row r="154" spans="1:34" ht="25.5" x14ac:dyDescent="0.25">
      <c r="A154" s="112"/>
      <c r="B154" s="270" t="s">
        <v>295</v>
      </c>
      <c r="C154" s="125" t="s">
        <v>57</v>
      </c>
      <c r="D154" s="125">
        <f>IF('Quant. mod. (oc)'!D154&lt;0,0,'Quant. mod. (oc)'!D154)</f>
        <v>262.5</v>
      </c>
      <c r="E154" s="125">
        <f>IF('Quant. mod. (oc)'!E154&lt;0,0,'Quant. mod. (oc)'!E154)</f>
        <v>0</v>
      </c>
      <c r="F154" s="125">
        <f>IF('Quant. mod. (oc)'!F154&lt;0,0,'Quant. mod. (oc)'!F154)</f>
        <v>0</v>
      </c>
      <c r="G154" s="125">
        <f>IF('Quant. mod. (oc)'!G154&lt;0,0,'Quant. mod. (oc)'!G154)</f>
        <v>262.5</v>
      </c>
      <c r="H154" s="125">
        <f>IF('Quant. mod. (oc)'!H154&lt;0,0,'Quant. mod. (oc)'!H154)</f>
        <v>0</v>
      </c>
      <c r="I154" s="125">
        <f>IF('Quant. mod. (oc)'!I154&lt;0,0,'Quant. mod. (oc)'!I154)</f>
        <v>0</v>
      </c>
      <c r="J154" s="125">
        <f>IF('Quant. mod. (oc)'!J154&lt;0,0,'Quant. mod. (oc)'!J154)</f>
        <v>262.5</v>
      </c>
      <c r="K154" s="125">
        <f>IF('Quant. mod. (oc)'!K154&lt;0,0,'Quant. mod. (oc)'!K154)</f>
        <v>0</v>
      </c>
      <c r="L154" s="125">
        <f>IF('Quant. mod. (oc)'!L154&lt;0,0,'Quant. mod. (oc)'!L154)</f>
        <v>262.5</v>
      </c>
      <c r="M154" s="125">
        <f>IF('Quant. mod. (oc)'!M154&lt;0,0,'Quant. mod. (oc)'!M154)</f>
        <v>0</v>
      </c>
      <c r="N154" s="125">
        <f>IF('Quant. mod. (oc)'!N154&lt;0,0,'Quant. mod. (oc)'!N154)</f>
        <v>245.39999999999998</v>
      </c>
      <c r="O154" s="125">
        <f>IF('Quant. mod. (oc)'!O154&lt;0,0,'Quant. mod. (oc)'!O154)</f>
        <v>0</v>
      </c>
      <c r="P154" s="125">
        <f>IF('Quant. mod. (oc)'!P154&lt;0,0,'Quant. mod. (oc)'!P154)</f>
        <v>0</v>
      </c>
      <c r="Q154" s="125">
        <f>IF('Quant. mod. (oc)'!Q154&lt;0,0,'Quant. mod. (oc)'!Q154)</f>
        <v>245.39999999999998</v>
      </c>
      <c r="R154" s="125">
        <f>IF('Quant. mod. (oc)'!R154&lt;0,0,'Quant. mod. (oc)'!R154)</f>
        <v>0</v>
      </c>
      <c r="S154" s="125">
        <f>IF('Quant. mod. (oc)'!S154&lt;0,0,'Quant. mod. (oc)'!S154)</f>
        <v>0</v>
      </c>
      <c r="T154" s="125">
        <f>IF('Quant. mod. (oc)'!T154&lt;0,0,'Quant. mod. (oc)'!T154)</f>
        <v>245.39999999999998</v>
      </c>
      <c r="U154" s="125">
        <f>IF('Quant. mod. (oc)'!U154&lt;0,0,'Quant. mod. (oc)'!U154)</f>
        <v>0</v>
      </c>
      <c r="V154" s="125">
        <f>IF('Quant. mod. (oc)'!V154&lt;0,0,'Quant. mod. (oc)'!V154)</f>
        <v>245.39999999999998</v>
      </c>
      <c r="W154" s="125">
        <f>IF('Quant. mod. (oc)'!W154&lt;0,0,'Quant. mod. (oc)'!W154)</f>
        <v>0</v>
      </c>
      <c r="X154" s="125">
        <f>IF('Quant. mod. (oc)'!X154&lt;0,0,'Quant. mod. (oc)'!X154)</f>
        <v>222.6</v>
      </c>
      <c r="Y154" s="125">
        <f>IF('Quant. mod. (oc)'!Y154&lt;0,0,'Quant. mod. (oc)'!Y154)</f>
        <v>0</v>
      </c>
      <c r="Z154" s="125">
        <f>IF('Quant. mod. (oc)'!Z154&lt;0,0,'Quant. mod. (oc)'!Z154)</f>
        <v>0</v>
      </c>
      <c r="AA154" s="125">
        <f>IF('Quant. mod. (oc)'!AA154&lt;0,0,'Quant. mod. (oc)'!AA154)</f>
        <v>222.6</v>
      </c>
      <c r="AB154" s="125">
        <f>IF('Quant. mod. (oc)'!AB154&lt;0,0,'Quant. mod. (oc)'!AB154)</f>
        <v>0</v>
      </c>
      <c r="AC154" s="125">
        <f>IF('Quant. mod. (oc)'!AC154&lt;0,0,'Quant. mod. (oc)'!AC154)</f>
        <v>0</v>
      </c>
      <c r="AD154" s="125">
        <f>IF('Quant. mod. (oc)'!AD154&lt;0,0,'Quant. mod. (oc)'!AD154)</f>
        <v>222.6</v>
      </c>
      <c r="AE154" s="125">
        <f>IF('Quant. mod. (oc)'!AE154&lt;0,0,'Quant. mod. (oc)'!AE154)</f>
        <v>0</v>
      </c>
      <c r="AF154" s="125">
        <f>IF('Quant. mod. (oc)'!AF154&lt;0,0,'Quant. mod. (oc)'!AF154)</f>
        <v>222.6</v>
      </c>
      <c r="AG154" s="126">
        <f>IF('Quant. mod. (oc)'!AG154&lt;0,0,'Quant. mod. (oc)'!AG154)</f>
        <v>0</v>
      </c>
      <c r="AH154" s="22"/>
    </row>
    <row r="155" spans="1:34" ht="38.25" x14ac:dyDescent="0.25">
      <c r="A155" s="112"/>
      <c r="B155" s="27" t="s">
        <v>297</v>
      </c>
      <c r="C155" s="125" t="s">
        <v>57</v>
      </c>
      <c r="D155" s="125">
        <f>IF('Quant. mod. (oc)'!D155&lt;0,0,'Quant. mod. (oc)'!D155)</f>
        <v>44.93</v>
      </c>
      <c r="E155" s="125">
        <f>IF('Quant. mod. (oc)'!E155&lt;0,0,'Quant. mod. (oc)'!E155)</f>
        <v>0</v>
      </c>
      <c r="F155" s="125">
        <f>IF('Quant. mod. (oc)'!F155&lt;0,0,'Quant. mod. (oc)'!F155)</f>
        <v>0</v>
      </c>
      <c r="G155" s="125">
        <f>IF('Quant. mod. (oc)'!G155&lt;0,0,'Quant. mod. (oc)'!G155)</f>
        <v>44.93</v>
      </c>
      <c r="H155" s="125">
        <f>IF('Quant. mod. (oc)'!H155&lt;0,0,'Quant. mod. (oc)'!H155)</f>
        <v>0</v>
      </c>
      <c r="I155" s="125">
        <f>IF('Quant. mod. (oc)'!I155&lt;0,0,'Quant. mod. (oc)'!I155)</f>
        <v>0</v>
      </c>
      <c r="J155" s="125">
        <f>IF('Quant. mod. (oc)'!J155&lt;0,0,'Quant. mod. (oc)'!J155)</f>
        <v>44.93</v>
      </c>
      <c r="K155" s="125">
        <f>IF('Quant. mod. (oc)'!K155&lt;0,0,'Quant. mod. (oc)'!K155)</f>
        <v>0</v>
      </c>
      <c r="L155" s="125">
        <f>IF('Quant. mod. (oc)'!L155&lt;0,0,'Quant. mod. (oc)'!L155)</f>
        <v>44.93</v>
      </c>
      <c r="M155" s="125">
        <f>IF('Quant. mod. (oc)'!M155&lt;0,0,'Quant. mod. (oc)'!M155)</f>
        <v>0</v>
      </c>
      <c r="N155" s="125">
        <f>IF('Quant. mod. (oc)'!N155&lt;0,0,'Quant. mod. (oc)'!N155)</f>
        <v>44.93</v>
      </c>
      <c r="O155" s="125">
        <f>IF('Quant. mod. (oc)'!O155&lt;0,0,'Quant. mod. (oc)'!O155)</f>
        <v>0</v>
      </c>
      <c r="P155" s="125">
        <f>IF('Quant. mod. (oc)'!P155&lt;0,0,'Quant. mod. (oc)'!P155)</f>
        <v>0</v>
      </c>
      <c r="Q155" s="125">
        <f>IF('Quant. mod. (oc)'!Q155&lt;0,0,'Quant. mod. (oc)'!Q155)</f>
        <v>44.93</v>
      </c>
      <c r="R155" s="125">
        <f>IF('Quant. mod. (oc)'!R155&lt;0,0,'Quant. mod. (oc)'!R155)</f>
        <v>0</v>
      </c>
      <c r="S155" s="125">
        <f>IF('Quant. mod. (oc)'!S155&lt;0,0,'Quant. mod. (oc)'!S155)</f>
        <v>0</v>
      </c>
      <c r="T155" s="125">
        <f>IF('Quant. mod. (oc)'!T155&lt;0,0,'Quant. mod. (oc)'!T155)</f>
        <v>44.93</v>
      </c>
      <c r="U155" s="125">
        <f>IF('Quant. mod. (oc)'!U155&lt;0,0,'Quant. mod. (oc)'!U155)</f>
        <v>0</v>
      </c>
      <c r="V155" s="125">
        <f>IF('Quant. mod. (oc)'!V155&lt;0,0,'Quant. mod. (oc)'!V155)</f>
        <v>44.93</v>
      </c>
      <c r="W155" s="125">
        <f>IF('Quant. mod. (oc)'!W155&lt;0,0,'Quant. mod. (oc)'!W155)</f>
        <v>0</v>
      </c>
      <c r="X155" s="125">
        <f>IF('Quant. mod. (oc)'!X155&lt;0,0,'Quant. mod. (oc)'!X155)</f>
        <v>44.93</v>
      </c>
      <c r="Y155" s="125">
        <f>IF('Quant. mod. (oc)'!Y155&lt;0,0,'Quant. mod. (oc)'!Y155)</f>
        <v>0</v>
      </c>
      <c r="Z155" s="125">
        <f>IF('Quant. mod. (oc)'!Z155&lt;0,0,'Quant. mod. (oc)'!Z155)</f>
        <v>0</v>
      </c>
      <c r="AA155" s="125">
        <f>IF('Quant. mod. (oc)'!AA155&lt;0,0,'Quant. mod. (oc)'!AA155)</f>
        <v>44.93</v>
      </c>
      <c r="AB155" s="125">
        <f>IF('Quant. mod. (oc)'!AB155&lt;0,0,'Quant. mod. (oc)'!AB155)</f>
        <v>0</v>
      </c>
      <c r="AC155" s="125">
        <f>IF('Quant. mod. (oc)'!AC155&lt;0,0,'Quant. mod. (oc)'!AC155)</f>
        <v>0</v>
      </c>
      <c r="AD155" s="125">
        <f>IF('Quant. mod. (oc)'!AD155&lt;0,0,'Quant. mod. (oc)'!AD155)</f>
        <v>44.93</v>
      </c>
      <c r="AE155" s="125">
        <f>IF('Quant. mod. (oc)'!AE155&lt;0,0,'Quant. mod. (oc)'!AE155)</f>
        <v>0</v>
      </c>
      <c r="AF155" s="125">
        <f>IF('Quant. mod. (oc)'!AF155&lt;0,0,'Quant. mod. (oc)'!AF155)</f>
        <v>44.93</v>
      </c>
      <c r="AG155" s="126">
        <f>IF('Quant. mod. (oc)'!AG155&lt;0,0,'Quant. mod. (oc)'!AG155)</f>
        <v>0</v>
      </c>
      <c r="AH155" s="22"/>
    </row>
    <row r="156" spans="1:34" ht="38.25" x14ac:dyDescent="0.25">
      <c r="A156" s="112"/>
      <c r="B156" s="27" t="s">
        <v>540</v>
      </c>
      <c r="C156" s="125" t="s">
        <v>57</v>
      </c>
      <c r="D156" s="125">
        <f>IF('Quant. mod. (oc)'!D156&lt;0,0,'Quant. mod. (oc)'!D156)</f>
        <v>35.75</v>
      </c>
      <c r="E156" s="125">
        <f>IF('Quant. mod. (oc)'!E156&lt;0,0,'Quant. mod. (oc)'!E156)</f>
        <v>0</v>
      </c>
      <c r="F156" s="125">
        <f>IF('Quant. mod. (oc)'!F156&lt;0,0,'Quant. mod. (oc)'!F156)</f>
        <v>0</v>
      </c>
      <c r="G156" s="125">
        <f>IF('Quant. mod. (oc)'!G156&lt;0,0,'Quant. mod. (oc)'!G156)</f>
        <v>35.75</v>
      </c>
      <c r="H156" s="125">
        <f>IF('Quant. mod. (oc)'!H156&lt;0,0,'Quant. mod. (oc)'!H156)</f>
        <v>0</v>
      </c>
      <c r="I156" s="125">
        <f>IF('Quant. mod. (oc)'!I156&lt;0,0,'Quant. mod. (oc)'!I156)</f>
        <v>0</v>
      </c>
      <c r="J156" s="125">
        <f>IF('Quant. mod. (oc)'!J156&lt;0,0,'Quant. mod. (oc)'!J156)</f>
        <v>35.75</v>
      </c>
      <c r="K156" s="125">
        <f>IF('Quant. mod. (oc)'!K156&lt;0,0,'Quant. mod. (oc)'!K156)</f>
        <v>0</v>
      </c>
      <c r="L156" s="125">
        <f>IF('Quant. mod. (oc)'!L156&lt;0,0,'Quant. mod. (oc)'!L156)</f>
        <v>35.75</v>
      </c>
      <c r="M156" s="125">
        <f>IF('Quant. mod. (oc)'!M156&lt;0,0,'Quant. mod. (oc)'!M156)</f>
        <v>0</v>
      </c>
      <c r="N156" s="125">
        <f>IF('Quant. mod. (oc)'!N156&lt;0,0,'Quant. mod. (oc)'!N156)</f>
        <v>35.75</v>
      </c>
      <c r="O156" s="125">
        <f>IF('Quant. mod. (oc)'!O156&lt;0,0,'Quant. mod. (oc)'!O156)</f>
        <v>0</v>
      </c>
      <c r="P156" s="125">
        <f>IF('Quant. mod. (oc)'!P156&lt;0,0,'Quant. mod. (oc)'!P156)</f>
        <v>0</v>
      </c>
      <c r="Q156" s="125">
        <f>IF('Quant. mod. (oc)'!Q156&lt;0,0,'Quant. mod. (oc)'!Q156)</f>
        <v>35.75</v>
      </c>
      <c r="R156" s="125">
        <f>IF('Quant. mod. (oc)'!R156&lt;0,0,'Quant. mod. (oc)'!R156)</f>
        <v>0</v>
      </c>
      <c r="S156" s="125">
        <f>IF('Quant. mod. (oc)'!S156&lt;0,0,'Quant. mod. (oc)'!S156)</f>
        <v>0</v>
      </c>
      <c r="T156" s="125">
        <f>IF('Quant. mod. (oc)'!T156&lt;0,0,'Quant. mod. (oc)'!T156)</f>
        <v>35.75</v>
      </c>
      <c r="U156" s="125">
        <f>IF('Quant. mod. (oc)'!U156&lt;0,0,'Quant. mod. (oc)'!U156)</f>
        <v>0</v>
      </c>
      <c r="V156" s="125">
        <f>IF('Quant. mod. (oc)'!V156&lt;0,0,'Quant. mod. (oc)'!V156)</f>
        <v>35.75</v>
      </c>
      <c r="W156" s="125">
        <f>IF('Quant. mod. (oc)'!W156&lt;0,0,'Quant. mod. (oc)'!W156)</f>
        <v>0</v>
      </c>
      <c r="X156" s="125">
        <f>IF('Quant. mod. (oc)'!X156&lt;0,0,'Quant. mod. (oc)'!X156)</f>
        <v>35.75</v>
      </c>
      <c r="Y156" s="125">
        <f>IF('Quant. mod. (oc)'!Y156&lt;0,0,'Quant. mod. (oc)'!Y156)</f>
        <v>0</v>
      </c>
      <c r="Z156" s="125">
        <f>IF('Quant. mod. (oc)'!Z156&lt;0,0,'Quant. mod. (oc)'!Z156)</f>
        <v>0</v>
      </c>
      <c r="AA156" s="125">
        <f>IF('Quant. mod. (oc)'!AA156&lt;0,0,'Quant. mod. (oc)'!AA156)</f>
        <v>35.75</v>
      </c>
      <c r="AB156" s="125">
        <f>IF('Quant. mod. (oc)'!AB156&lt;0,0,'Quant. mod. (oc)'!AB156)</f>
        <v>0</v>
      </c>
      <c r="AC156" s="125">
        <f>IF('Quant. mod. (oc)'!AC156&lt;0,0,'Quant. mod. (oc)'!AC156)</f>
        <v>0</v>
      </c>
      <c r="AD156" s="125">
        <f>IF('Quant. mod. (oc)'!AD156&lt;0,0,'Quant. mod. (oc)'!AD156)</f>
        <v>35.75</v>
      </c>
      <c r="AE156" s="125">
        <f>IF('Quant. mod. (oc)'!AE156&lt;0,0,'Quant. mod. (oc)'!AE156)</f>
        <v>0</v>
      </c>
      <c r="AF156" s="125">
        <f>IF('Quant. mod. (oc)'!AF156&lt;0,0,'Quant. mod. (oc)'!AF156)</f>
        <v>35.75</v>
      </c>
      <c r="AG156" s="126">
        <f>IF('Quant. mod. (oc)'!AG156&lt;0,0,'Quant. mod. (oc)'!AG156)</f>
        <v>0</v>
      </c>
      <c r="AH156" s="22"/>
    </row>
    <row r="157" spans="1:34" ht="25.5" x14ac:dyDescent="0.25">
      <c r="A157" s="112"/>
      <c r="B157" s="27" t="s">
        <v>541</v>
      </c>
      <c r="C157" s="125" t="s">
        <v>57</v>
      </c>
      <c r="D157" s="125">
        <f>IF('Quant. mod. (oc)'!D157&lt;0,0,'Quant. mod. (oc)'!D157)</f>
        <v>35.75</v>
      </c>
      <c r="E157" s="125">
        <f>IF('Quant. mod. (oc)'!E157&lt;0,0,'Quant. mod. (oc)'!E157)</f>
        <v>0</v>
      </c>
      <c r="F157" s="125">
        <f>IF('Quant. mod. (oc)'!F157&lt;0,0,'Quant. mod. (oc)'!F157)</f>
        <v>0</v>
      </c>
      <c r="G157" s="125">
        <f>IF('Quant. mod. (oc)'!G157&lt;0,0,'Quant. mod. (oc)'!G157)</f>
        <v>35.75</v>
      </c>
      <c r="H157" s="125">
        <f>IF('Quant. mod. (oc)'!H157&lt;0,0,'Quant. mod. (oc)'!H157)</f>
        <v>0</v>
      </c>
      <c r="I157" s="125">
        <f>IF('Quant. mod. (oc)'!I157&lt;0,0,'Quant. mod. (oc)'!I157)</f>
        <v>0</v>
      </c>
      <c r="J157" s="125">
        <f>IF('Quant. mod. (oc)'!J157&lt;0,0,'Quant. mod. (oc)'!J157)</f>
        <v>35.75</v>
      </c>
      <c r="K157" s="125">
        <f>IF('Quant. mod. (oc)'!K157&lt;0,0,'Quant. mod. (oc)'!K157)</f>
        <v>0</v>
      </c>
      <c r="L157" s="125">
        <f>IF('Quant. mod. (oc)'!L157&lt;0,0,'Quant. mod. (oc)'!L157)</f>
        <v>35.75</v>
      </c>
      <c r="M157" s="125">
        <f>IF('Quant. mod. (oc)'!M157&lt;0,0,'Quant. mod. (oc)'!M157)</f>
        <v>0</v>
      </c>
      <c r="N157" s="125">
        <f>IF('Quant. mod. (oc)'!N157&lt;0,0,'Quant. mod. (oc)'!N157)</f>
        <v>35.75</v>
      </c>
      <c r="O157" s="125">
        <f>IF('Quant. mod. (oc)'!O157&lt;0,0,'Quant. mod. (oc)'!O157)</f>
        <v>0</v>
      </c>
      <c r="P157" s="125">
        <f>IF('Quant. mod. (oc)'!P157&lt;0,0,'Quant. mod. (oc)'!P157)</f>
        <v>0</v>
      </c>
      <c r="Q157" s="125">
        <f>IF('Quant. mod. (oc)'!Q157&lt;0,0,'Quant. mod. (oc)'!Q157)</f>
        <v>35.75</v>
      </c>
      <c r="R157" s="125">
        <f>IF('Quant. mod. (oc)'!R157&lt;0,0,'Quant. mod. (oc)'!R157)</f>
        <v>0</v>
      </c>
      <c r="S157" s="125">
        <f>IF('Quant. mod. (oc)'!S157&lt;0,0,'Quant. mod. (oc)'!S157)</f>
        <v>0</v>
      </c>
      <c r="T157" s="125">
        <f>IF('Quant. mod. (oc)'!T157&lt;0,0,'Quant. mod. (oc)'!T157)</f>
        <v>35.75</v>
      </c>
      <c r="U157" s="125">
        <f>IF('Quant. mod. (oc)'!U157&lt;0,0,'Quant. mod. (oc)'!U157)</f>
        <v>0</v>
      </c>
      <c r="V157" s="125">
        <f>IF('Quant. mod. (oc)'!V157&lt;0,0,'Quant. mod. (oc)'!V157)</f>
        <v>35.75</v>
      </c>
      <c r="W157" s="125">
        <f>IF('Quant. mod. (oc)'!W157&lt;0,0,'Quant. mod. (oc)'!W157)</f>
        <v>0</v>
      </c>
      <c r="X157" s="125">
        <f>IF('Quant. mod. (oc)'!X157&lt;0,0,'Quant. mod. (oc)'!X157)</f>
        <v>35.75</v>
      </c>
      <c r="Y157" s="125">
        <f>IF('Quant. mod. (oc)'!Y157&lt;0,0,'Quant. mod. (oc)'!Y157)</f>
        <v>0</v>
      </c>
      <c r="Z157" s="125">
        <f>IF('Quant. mod. (oc)'!Z157&lt;0,0,'Quant. mod. (oc)'!Z157)</f>
        <v>0</v>
      </c>
      <c r="AA157" s="125">
        <f>IF('Quant. mod. (oc)'!AA157&lt;0,0,'Quant. mod. (oc)'!AA157)</f>
        <v>35.75</v>
      </c>
      <c r="AB157" s="125">
        <f>IF('Quant. mod. (oc)'!AB157&lt;0,0,'Quant. mod. (oc)'!AB157)</f>
        <v>0</v>
      </c>
      <c r="AC157" s="125">
        <f>IF('Quant. mod. (oc)'!AC157&lt;0,0,'Quant. mod. (oc)'!AC157)</f>
        <v>0</v>
      </c>
      <c r="AD157" s="125">
        <f>IF('Quant. mod. (oc)'!AD157&lt;0,0,'Quant. mod. (oc)'!AD157)</f>
        <v>35.75</v>
      </c>
      <c r="AE157" s="125">
        <f>IF('Quant. mod. (oc)'!AE157&lt;0,0,'Quant. mod. (oc)'!AE157)</f>
        <v>0</v>
      </c>
      <c r="AF157" s="125">
        <f>IF('Quant. mod. (oc)'!AF157&lt;0,0,'Quant. mod. (oc)'!AF157)</f>
        <v>35.75</v>
      </c>
      <c r="AG157" s="126">
        <f>IF('Quant. mod. (oc)'!AG157&lt;0,0,'Quant. mod. (oc)'!AG157)</f>
        <v>0</v>
      </c>
      <c r="AH157" s="22"/>
    </row>
    <row r="158" spans="1:34" x14ac:dyDescent="0.25">
      <c r="A158" s="112"/>
      <c r="B158" s="27" t="s">
        <v>68</v>
      </c>
      <c r="C158" s="125" t="s">
        <v>64</v>
      </c>
      <c r="D158" s="125">
        <f>IF('Quant. mod. (oc)'!D158&lt;0,0,'Quant. mod. (oc)'!D158)</f>
        <v>24.3</v>
      </c>
      <c r="E158" s="125">
        <f>IF('Quant. mod. (oc)'!E158&lt;0,0,'Quant. mod. (oc)'!E158)</f>
        <v>0</v>
      </c>
      <c r="F158" s="125">
        <f>IF('Quant. mod. (oc)'!F158&lt;0,0,'Quant. mod. (oc)'!F158)</f>
        <v>0</v>
      </c>
      <c r="G158" s="125">
        <f>IF('Quant. mod. (oc)'!G158&lt;0,0,'Quant. mod. (oc)'!G158)</f>
        <v>24.3</v>
      </c>
      <c r="H158" s="125">
        <f>IF('Quant. mod. (oc)'!H158&lt;0,0,'Quant. mod. (oc)'!H158)</f>
        <v>0</v>
      </c>
      <c r="I158" s="125">
        <f>IF('Quant. mod. (oc)'!I158&lt;0,0,'Quant. mod. (oc)'!I158)</f>
        <v>0</v>
      </c>
      <c r="J158" s="125">
        <f>IF('Quant. mod. (oc)'!J158&lt;0,0,'Quant. mod. (oc)'!J158)</f>
        <v>24.3</v>
      </c>
      <c r="K158" s="125">
        <f>IF('Quant. mod. (oc)'!K158&lt;0,0,'Quant. mod. (oc)'!K158)</f>
        <v>0</v>
      </c>
      <c r="L158" s="125">
        <f>IF('Quant. mod. (oc)'!L158&lt;0,0,'Quant. mod. (oc)'!L158)</f>
        <v>24.3</v>
      </c>
      <c r="M158" s="125">
        <f>IF('Quant. mod. (oc)'!M158&lt;0,0,'Quant. mod. (oc)'!M158)</f>
        <v>0</v>
      </c>
      <c r="N158" s="125">
        <f>IF('Quant. mod. (oc)'!N158&lt;0,0,'Quant. mod. (oc)'!N158)</f>
        <v>24.3</v>
      </c>
      <c r="O158" s="125">
        <f>IF('Quant. mod. (oc)'!O158&lt;0,0,'Quant. mod. (oc)'!O158)</f>
        <v>0</v>
      </c>
      <c r="P158" s="125">
        <f>IF('Quant. mod. (oc)'!P158&lt;0,0,'Quant. mod. (oc)'!P158)</f>
        <v>0</v>
      </c>
      <c r="Q158" s="125">
        <f>IF('Quant. mod. (oc)'!Q158&lt;0,0,'Quant. mod. (oc)'!Q158)</f>
        <v>24.3</v>
      </c>
      <c r="R158" s="125">
        <f>IF('Quant. mod. (oc)'!R158&lt;0,0,'Quant. mod. (oc)'!R158)</f>
        <v>0</v>
      </c>
      <c r="S158" s="125">
        <f>IF('Quant. mod. (oc)'!S158&lt;0,0,'Quant. mod. (oc)'!S158)</f>
        <v>0</v>
      </c>
      <c r="T158" s="125">
        <f>IF('Quant. mod. (oc)'!T158&lt;0,0,'Quant. mod. (oc)'!T158)</f>
        <v>24.3</v>
      </c>
      <c r="U158" s="125">
        <f>IF('Quant. mod. (oc)'!U158&lt;0,0,'Quant. mod. (oc)'!U158)</f>
        <v>0</v>
      </c>
      <c r="V158" s="125">
        <f>IF('Quant. mod. (oc)'!V158&lt;0,0,'Quant. mod. (oc)'!V158)</f>
        <v>24.3</v>
      </c>
      <c r="W158" s="125">
        <f>IF('Quant. mod. (oc)'!W158&lt;0,0,'Quant. mod. (oc)'!W158)</f>
        <v>0</v>
      </c>
      <c r="X158" s="125">
        <f>IF('Quant. mod. (oc)'!X158&lt;0,0,'Quant. mod. (oc)'!X158)</f>
        <v>24.3</v>
      </c>
      <c r="Y158" s="125">
        <f>IF('Quant. mod. (oc)'!Y158&lt;0,0,'Quant. mod. (oc)'!Y158)</f>
        <v>0</v>
      </c>
      <c r="Z158" s="125">
        <f>IF('Quant. mod. (oc)'!Z158&lt;0,0,'Quant. mod. (oc)'!Z158)</f>
        <v>0</v>
      </c>
      <c r="AA158" s="125">
        <f>IF('Quant. mod. (oc)'!AA158&lt;0,0,'Quant. mod. (oc)'!AA158)</f>
        <v>24.3</v>
      </c>
      <c r="AB158" s="125">
        <f>IF('Quant. mod. (oc)'!AB158&lt;0,0,'Quant. mod. (oc)'!AB158)</f>
        <v>0</v>
      </c>
      <c r="AC158" s="125">
        <f>IF('Quant. mod. (oc)'!AC158&lt;0,0,'Quant. mod. (oc)'!AC158)</f>
        <v>0</v>
      </c>
      <c r="AD158" s="125">
        <f>IF('Quant. mod. (oc)'!AD158&lt;0,0,'Quant. mod. (oc)'!AD158)</f>
        <v>24.3</v>
      </c>
      <c r="AE158" s="125">
        <f>IF('Quant. mod. (oc)'!AE158&lt;0,0,'Quant. mod. (oc)'!AE158)</f>
        <v>0</v>
      </c>
      <c r="AF158" s="125">
        <f>IF('Quant. mod. (oc)'!AF158&lt;0,0,'Quant. mod. (oc)'!AF158)</f>
        <v>24.3</v>
      </c>
      <c r="AG158" s="126">
        <f>IF('Quant. mod. (oc)'!AG158&lt;0,0,'Quant. mod. (oc)'!AG158)</f>
        <v>0</v>
      </c>
      <c r="AH158" s="22"/>
    </row>
    <row r="159" spans="1:34" ht="25.5" x14ac:dyDescent="0.25">
      <c r="A159" s="112"/>
      <c r="B159" s="69" t="s">
        <v>902</v>
      </c>
      <c r="C159" s="125" t="s">
        <v>57</v>
      </c>
      <c r="D159" s="125">
        <f>IF('Quant. mod. (oc)'!D159&lt;0,0,'Quant. mod. (oc)'!D159)</f>
        <v>1.92</v>
      </c>
      <c r="E159" s="125">
        <f>IF('Quant. mod. (oc)'!E159&lt;0,0,'Quant. mod. (oc)'!E159)</f>
        <v>0</v>
      </c>
      <c r="F159" s="125">
        <f>IF('Quant. mod. (oc)'!F159&lt;0,0,'Quant. mod. (oc)'!F159)</f>
        <v>0</v>
      </c>
      <c r="G159" s="125">
        <f>IF('Quant. mod. (oc)'!G159&lt;0,0,'Quant. mod. (oc)'!G159)</f>
        <v>1.92</v>
      </c>
      <c r="H159" s="125">
        <f>IF('Quant. mod. (oc)'!H159&lt;0,0,'Quant. mod. (oc)'!H159)</f>
        <v>0</v>
      </c>
      <c r="I159" s="125">
        <f>IF('Quant. mod. (oc)'!I159&lt;0,0,'Quant. mod. (oc)'!I159)</f>
        <v>0</v>
      </c>
      <c r="J159" s="125">
        <f>IF('Quant. mod. (oc)'!J159&lt;0,0,'Quant. mod. (oc)'!J159)</f>
        <v>1.92</v>
      </c>
      <c r="K159" s="125">
        <f>IF('Quant. mod. (oc)'!K159&lt;0,0,'Quant. mod. (oc)'!K159)</f>
        <v>0</v>
      </c>
      <c r="L159" s="125">
        <f>IF('Quant. mod. (oc)'!L159&lt;0,0,'Quant. mod. (oc)'!L159)</f>
        <v>1.92</v>
      </c>
      <c r="M159" s="125">
        <f>IF('Quant. mod. (oc)'!M159&lt;0,0,'Quant. mod. (oc)'!M159)</f>
        <v>0</v>
      </c>
      <c r="N159" s="125">
        <f>IF('Quant. mod. (oc)'!N159&lt;0,0,'Quant. mod. (oc)'!N159)</f>
        <v>1.92</v>
      </c>
      <c r="O159" s="125">
        <f>IF('Quant. mod. (oc)'!O159&lt;0,0,'Quant. mod. (oc)'!O159)</f>
        <v>0</v>
      </c>
      <c r="P159" s="125">
        <f>IF('Quant. mod. (oc)'!P159&lt;0,0,'Quant. mod. (oc)'!P159)</f>
        <v>0</v>
      </c>
      <c r="Q159" s="125">
        <f>IF('Quant. mod. (oc)'!Q159&lt;0,0,'Quant. mod. (oc)'!Q159)</f>
        <v>1.92</v>
      </c>
      <c r="R159" s="125">
        <f>IF('Quant. mod. (oc)'!R159&lt;0,0,'Quant. mod. (oc)'!R159)</f>
        <v>0</v>
      </c>
      <c r="S159" s="125">
        <f>IF('Quant. mod. (oc)'!S159&lt;0,0,'Quant. mod. (oc)'!S159)</f>
        <v>0</v>
      </c>
      <c r="T159" s="125">
        <f>IF('Quant. mod. (oc)'!T159&lt;0,0,'Quant. mod. (oc)'!T159)</f>
        <v>1.92</v>
      </c>
      <c r="U159" s="125">
        <f>IF('Quant. mod. (oc)'!U159&lt;0,0,'Quant. mod. (oc)'!U159)</f>
        <v>0</v>
      </c>
      <c r="V159" s="125">
        <f>IF('Quant. mod. (oc)'!V159&lt;0,0,'Quant. mod. (oc)'!V159)</f>
        <v>1.92</v>
      </c>
      <c r="W159" s="125">
        <f>IF('Quant. mod. (oc)'!W159&lt;0,0,'Quant. mod. (oc)'!W159)</f>
        <v>0</v>
      </c>
      <c r="X159" s="125">
        <f>IF('Quant. mod. (oc)'!X159&lt;0,0,'Quant. mod. (oc)'!X159)</f>
        <v>1.92</v>
      </c>
      <c r="Y159" s="125">
        <f>IF('Quant. mod. (oc)'!Y159&lt;0,0,'Quant. mod. (oc)'!Y159)</f>
        <v>0</v>
      </c>
      <c r="Z159" s="125">
        <f>IF('Quant. mod. (oc)'!Z159&lt;0,0,'Quant. mod. (oc)'!Z159)</f>
        <v>0</v>
      </c>
      <c r="AA159" s="125">
        <f>IF('Quant. mod. (oc)'!AA159&lt;0,0,'Quant. mod. (oc)'!AA159)</f>
        <v>1.92</v>
      </c>
      <c r="AB159" s="125">
        <f>IF('Quant. mod. (oc)'!AB159&lt;0,0,'Quant. mod. (oc)'!AB159)</f>
        <v>0</v>
      </c>
      <c r="AC159" s="125">
        <f>IF('Quant. mod. (oc)'!AC159&lt;0,0,'Quant. mod. (oc)'!AC159)</f>
        <v>0</v>
      </c>
      <c r="AD159" s="125">
        <f>IF('Quant. mod. (oc)'!AD159&lt;0,0,'Quant. mod. (oc)'!AD159)</f>
        <v>1.92</v>
      </c>
      <c r="AE159" s="125">
        <f>IF('Quant. mod. (oc)'!AE159&lt;0,0,'Quant. mod. (oc)'!AE159)</f>
        <v>0</v>
      </c>
      <c r="AF159" s="125">
        <f>IF('Quant. mod. (oc)'!AF159&lt;0,0,'Quant. mod. (oc)'!AF159)</f>
        <v>1.92</v>
      </c>
      <c r="AG159" s="126">
        <f>IF('Quant. mod. (oc)'!AG159&lt;0,0,'Quant. mod. (oc)'!AG159)</f>
        <v>0</v>
      </c>
      <c r="AH159" s="22"/>
    </row>
    <row r="160" spans="1:34" ht="25.5" x14ac:dyDescent="0.25">
      <c r="A160" s="112"/>
      <c r="B160" s="27" t="s">
        <v>77</v>
      </c>
      <c r="C160" s="125" t="s">
        <v>57</v>
      </c>
      <c r="D160" s="125">
        <f>IF('Quant. mod. (oc)'!D160&lt;0,0,'Quant. mod. (oc)'!D160)</f>
        <v>1.68</v>
      </c>
      <c r="E160" s="125">
        <f>IF('Quant. mod. (oc)'!E160&lt;0,0,'Quant. mod. (oc)'!E160)</f>
        <v>0</v>
      </c>
      <c r="F160" s="125">
        <f>IF('Quant. mod. (oc)'!F160&lt;0,0,'Quant. mod. (oc)'!F160)</f>
        <v>0</v>
      </c>
      <c r="G160" s="125">
        <f>IF('Quant. mod. (oc)'!G160&lt;0,0,'Quant. mod. (oc)'!G160)</f>
        <v>1.68</v>
      </c>
      <c r="H160" s="125">
        <f>IF('Quant. mod. (oc)'!H160&lt;0,0,'Quant. mod. (oc)'!H160)</f>
        <v>0</v>
      </c>
      <c r="I160" s="125">
        <f>IF('Quant. mod. (oc)'!I160&lt;0,0,'Quant. mod. (oc)'!I160)</f>
        <v>0</v>
      </c>
      <c r="J160" s="125">
        <f>IF('Quant. mod. (oc)'!J160&lt;0,0,'Quant. mod. (oc)'!J160)</f>
        <v>1.68</v>
      </c>
      <c r="K160" s="125">
        <f>IF('Quant. mod. (oc)'!K160&lt;0,0,'Quant. mod. (oc)'!K160)</f>
        <v>0</v>
      </c>
      <c r="L160" s="125">
        <f>IF('Quant. mod. (oc)'!L160&lt;0,0,'Quant. mod. (oc)'!L160)</f>
        <v>1.68</v>
      </c>
      <c r="M160" s="125">
        <f>IF('Quant. mod. (oc)'!M160&lt;0,0,'Quant. mod. (oc)'!M160)</f>
        <v>0</v>
      </c>
      <c r="N160" s="125">
        <f>IF('Quant. mod. (oc)'!N160&lt;0,0,'Quant. mod. (oc)'!N160)</f>
        <v>1.68</v>
      </c>
      <c r="O160" s="125">
        <f>IF('Quant. mod. (oc)'!O160&lt;0,0,'Quant. mod. (oc)'!O160)</f>
        <v>0</v>
      </c>
      <c r="P160" s="125">
        <f>IF('Quant. mod. (oc)'!P160&lt;0,0,'Quant. mod. (oc)'!P160)</f>
        <v>0</v>
      </c>
      <c r="Q160" s="125">
        <f>IF('Quant. mod. (oc)'!Q160&lt;0,0,'Quant. mod. (oc)'!Q160)</f>
        <v>1.68</v>
      </c>
      <c r="R160" s="125">
        <f>IF('Quant. mod. (oc)'!R160&lt;0,0,'Quant. mod. (oc)'!R160)</f>
        <v>0</v>
      </c>
      <c r="S160" s="125">
        <f>IF('Quant. mod. (oc)'!S160&lt;0,0,'Quant. mod. (oc)'!S160)</f>
        <v>0</v>
      </c>
      <c r="T160" s="125">
        <f>IF('Quant. mod. (oc)'!T160&lt;0,0,'Quant. mod. (oc)'!T160)</f>
        <v>1.68</v>
      </c>
      <c r="U160" s="125">
        <f>IF('Quant. mod. (oc)'!U160&lt;0,0,'Quant. mod. (oc)'!U160)</f>
        <v>0</v>
      </c>
      <c r="V160" s="125">
        <f>IF('Quant. mod. (oc)'!V160&lt;0,0,'Quant. mod. (oc)'!V160)</f>
        <v>1.68</v>
      </c>
      <c r="W160" s="125">
        <f>IF('Quant. mod. (oc)'!W160&lt;0,0,'Quant. mod. (oc)'!W160)</f>
        <v>0</v>
      </c>
      <c r="X160" s="125">
        <f>IF('Quant. mod. (oc)'!X160&lt;0,0,'Quant. mod. (oc)'!X160)</f>
        <v>1.68</v>
      </c>
      <c r="Y160" s="125">
        <f>IF('Quant. mod. (oc)'!Y160&lt;0,0,'Quant. mod. (oc)'!Y160)</f>
        <v>0</v>
      </c>
      <c r="Z160" s="125">
        <f>IF('Quant. mod. (oc)'!Z160&lt;0,0,'Quant. mod. (oc)'!Z160)</f>
        <v>0</v>
      </c>
      <c r="AA160" s="125">
        <f>IF('Quant. mod. (oc)'!AA160&lt;0,0,'Quant. mod. (oc)'!AA160)</f>
        <v>1.68</v>
      </c>
      <c r="AB160" s="125">
        <f>IF('Quant. mod. (oc)'!AB160&lt;0,0,'Quant. mod. (oc)'!AB160)</f>
        <v>0</v>
      </c>
      <c r="AC160" s="125">
        <f>IF('Quant. mod. (oc)'!AC160&lt;0,0,'Quant. mod. (oc)'!AC160)</f>
        <v>0</v>
      </c>
      <c r="AD160" s="125">
        <f>IF('Quant. mod. (oc)'!AD160&lt;0,0,'Quant. mod. (oc)'!AD160)</f>
        <v>1.68</v>
      </c>
      <c r="AE160" s="125">
        <f>IF('Quant. mod. (oc)'!AE160&lt;0,0,'Quant. mod. (oc)'!AE160)</f>
        <v>0</v>
      </c>
      <c r="AF160" s="125">
        <f>IF('Quant. mod. (oc)'!AF160&lt;0,0,'Quant. mod. (oc)'!AF160)</f>
        <v>1.68</v>
      </c>
      <c r="AG160" s="126">
        <f>IF('Quant. mod. (oc)'!AG160&lt;0,0,'Quant. mod. (oc)'!AG160)</f>
        <v>0</v>
      </c>
      <c r="AH160" s="22"/>
    </row>
    <row r="161" spans="1:34" ht="25.5" x14ac:dyDescent="0.25">
      <c r="A161" s="112"/>
      <c r="B161" s="131" t="s">
        <v>710</v>
      </c>
      <c r="C161" s="125" t="s">
        <v>57</v>
      </c>
      <c r="D161" s="125">
        <f>IF('Quant. mod. (oc)'!D161&lt;0,0,'Quant. mod. (oc)'!D161)</f>
        <v>6.3</v>
      </c>
      <c r="E161" s="125">
        <f>IF('Quant. mod. (oc)'!E161&lt;0,0,'Quant. mod. (oc)'!E161)</f>
        <v>0</v>
      </c>
      <c r="F161" s="125">
        <f>IF('Quant. mod. (oc)'!F161&lt;0,0,'Quant. mod. (oc)'!F161)</f>
        <v>0</v>
      </c>
      <c r="G161" s="125">
        <f>IF('Quant. mod. (oc)'!G161&lt;0,0,'Quant. mod. (oc)'!G161)</f>
        <v>6.3</v>
      </c>
      <c r="H161" s="125">
        <f>IF('Quant. mod. (oc)'!H161&lt;0,0,'Quant. mod. (oc)'!H161)</f>
        <v>0</v>
      </c>
      <c r="I161" s="125">
        <f>IF('Quant. mod. (oc)'!I161&lt;0,0,'Quant. mod. (oc)'!I161)</f>
        <v>0</v>
      </c>
      <c r="J161" s="125">
        <f>IF('Quant. mod. (oc)'!J161&lt;0,0,'Quant. mod. (oc)'!J161)</f>
        <v>6.3</v>
      </c>
      <c r="K161" s="125">
        <f>IF('Quant. mod. (oc)'!K161&lt;0,0,'Quant. mod. (oc)'!K161)</f>
        <v>0</v>
      </c>
      <c r="L161" s="125">
        <f>IF('Quant. mod. (oc)'!L161&lt;0,0,'Quant. mod. (oc)'!L161)</f>
        <v>6.3</v>
      </c>
      <c r="M161" s="125">
        <f>IF('Quant. mod. (oc)'!M161&lt;0,0,'Quant. mod. (oc)'!M161)</f>
        <v>0</v>
      </c>
      <c r="N161" s="125">
        <f>IF('Quant. mod. (oc)'!N161&lt;0,0,'Quant. mod. (oc)'!N161)</f>
        <v>6.3</v>
      </c>
      <c r="O161" s="125">
        <f>IF('Quant. mod. (oc)'!O161&lt;0,0,'Quant. mod. (oc)'!O161)</f>
        <v>0</v>
      </c>
      <c r="P161" s="125">
        <f>IF('Quant. mod. (oc)'!P161&lt;0,0,'Quant. mod. (oc)'!P161)</f>
        <v>0</v>
      </c>
      <c r="Q161" s="125">
        <f>IF('Quant. mod. (oc)'!Q161&lt;0,0,'Quant. mod. (oc)'!Q161)</f>
        <v>6.3</v>
      </c>
      <c r="R161" s="125">
        <f>IF('Quant. mod. (oc)'!R161&lt;0,0,'Quant. mod. (oc)'!R161)</f>
        <v>0</v>
      </c>
      <c r="S161" s="125">
        <f>IF('Quant. mod. (oc)'!S161&lt;0,0,'Quant. mod. (oc)'!S161)</f>
        <v>0</v>
      </c>
      <c r="T161" s="125">
        <f>IF('Quant. mod. (oc)'!T161&lt;0,0,'Quant. mod. (oc)'!T161)</f>
        <v>6.3</v>
      </c>
      <c r="U161" s="125">
        <f>IF('Quant. mod. (oc)'!U161&lt;0,0,'Quant. mod. (oc)'!U161)</f>
        <v>0</v>
      </c>
      <c r="V161" s="125">
        <f>IF('Quant. mod. (oc)'!V161&lt;0,0,'Quant. mod. (oc)'!V161)</f>
        <v>6.3</v>
      </c>
      <c r="W161" s="125">
        <f>IF('Quant. mod. (oc)'!W161&lt;0,0,'Quant. mod. (oc)'!W161)</f>
        <v>0</v>
      </c>
      <c r="X161" s="125">
        <f>IF('Quant. mod. (oc)'!X161&lt;0,0,'Quant. mod. (oc)'!X161)</f>
        <v>6.3</v>
      </c>
      <c r="Y161" s="125">
        <f>IF('Quant. mod. (oc)'!Y161&lt;0,0,'Quant. mod. (oc)'!Y161)</f>
        <v>0</v>
      </c>
      <c r="Z161" s="125">
        <f>IF('Quant. mod. (oc)'!Z161&lt;0,0,'Quant. mod. (oc)'!Z161)</f>
        <v>0</v>
      </c>
      <c r="AA161" s="125">
        <f>IF('Quant. mod. (oc)'!AA161&lt;0,0,'Quant. mod. (oc)'!AA161)</f>
        <v>6.3</v>
      </c>
      <c r="AB161" s="125">
        <f>IF('Quant. mod. (oc)'!AB161&lt;0,0,'Quant. mod. (oc)'!AB161)</f>
        <v>0</v>
      </c>
      <c r="AC161" s="125">
        <f>IF('Quant. mod. (oc)'!AC161&lt;0,0,'Quant. mod. (oc)'!AC161)</f>
        <v>0</v>
      </c>
      <c r="AD161" s="125">
        <f>IF('Quant. mod. (oc)'!AD161&lt;0,0,'Quant. mod. (oc)'!AD161)</f>
        <v>6.3</v>
      </c>
      <c r="AE161" s="125">
        <f>IF('Quant. mod. (oc)'!AE161&lt;0,0,'Quant. mod. (oc)'!AE161)</f>
        <v>0</v>
      </c>
      <c r="AF161" s="125">
        <f>IF('Quant. mod. (oc)'!AF161&lt;0,0,'Quant. mod. (oc)'!AF161)</f>
        <v>6.3</v>
      </c>
      <c r="AG161" s="126">
        <f>IF('Quant. mod. (oc)'!AG161&lt;0,0,'Quant. mod. (oc)'!AG161)</f>
        <v>0</v>
      </c>
      <c r="AH161" s="22"/>
    </row>
    <row r="162" spans="1:34" ht="38.25" x14ac:dyDescent="0.25">
      <c r="A162" s="112"/>
      <c r="B162" s="131" t="s">
        <v>302</v>
      </c>
      <c r="C162" s="125" t="s">
        <v>57</v>
      </c>
      <c r="D162" s="125">
        <f>IF('Quant. mod. (oc)'!D162&lt;0,0,'Quant. mod. (oc)'!D162)</f>
        <v>5.46</v>
      </c>
      <c r="E162" s="125">
        <f>IF('Quant. mod. (oc)'!E162&lt;0,0,'Quant. mod. (oc)'!E162)</f>
        <v>0</v>
      </c>
      <c r="F162" s="125">
        <f>IF('Quant. mod. (oc)'!F162&lt;0,0,'Quant. mod. (oc)'!F162)</f>
        <v>0</v>
      </c>
      <c r="G162" s="125">
        <f>IF('Quant. mod. (oc)'!G162&lt;0,0,'Quant. mod. (oc)'!G162)</f>
        <v>5.46</v>
      </c>
      <c r="H162" s="125">
        <f>IF('Quant. mod. (oc)'!H162&lt;0,0,'Quant. mod. (oc)'!H162)</f>
        <v>0</v>
      </c>
      <c r="I162" s="125">
        <f>IF('Quant. mod. (oc)'!I162&lt;0,0,'Quant. mod. (oc)'!I162)</f>
        <v>0</v>
      </c>
      <c r="J162" s="125">
        <f>IF('Quant. mod. (oc)'!J162&lt;0,0,'Quant. mod. (oc)'!J162)</f>
        <v>5.46</v>
      </c>
      <c r="K162" s="125">
        <f>IF('Quant. mod. (oc)'!K162&lt;0,0,'Quant. mod. (oc)'!K162)</f>
        <v>0</v>
      </c>
      <c r="L162" s="125">
        <f>IF('Quant. mod. (oc)'!L162&lt;0,0,'Quant. mod. (oc)'!L162)</f>
        <v>5.46</v>
      </c>
      <c r="M162" s="125">
        <f>IF('Quant. mod. (oc)'!M162&lt;0,0,'Quant. mod. (oc)'!M162)</f>
        <v>0</v>
      </c>
      <c r="N162" s="125">
        <f>IF('Quant. mod. (oc)'!N162&lt;0,0,'Quant. mod. (oc)'!N162)</f>
        <v>5.46</v>
      </c>
      <c r="O162" s="125">
        <f>IF('Quant. mod. (oc)'!O162&lt;0,0,'Quant. mod. (oc)'!O162)</f>
        <v>0</v>
      </c>
      <c r="P162" s="125">
        <f>IF('Quant. mod. (oc)'!P162&lt;0,0,'Quant. mod. (oc)'!P162)</f>
        <v>0</v>
      </c>
      <c r="Q162" s="125">
        <f>IF('Quant. mod. (oc)'!Q162&lt;0,0,'Quant. mod. (oc)'!Q162)</f>
        <v>5.46</v>
      </c>
      <c r="R162" s="125">
        <f>IF('Quant. mod. (oc)'!R162&lt;0,0,'Quant. mod. (oc)'!R162)</f>
        <v>0</v>
      </c>
      <c r="S162" s="125">
        <f>IF('Quant. mod. (oc)'!S162&lt;0,0,'Quant. mod. (oc)'!S162)</f>
        <v>0</v>
      </c>
      <c r="T162" s="125">
        <f>IF('Quant. mod. (oc)'!T162&lt;0,0,'Quant. mod. (oc)'!T162)</f>
        <v>5.46</v>
      </c>
      <c r="U162" s="125">
        <f>IF('Quant. mod. (oc)'!U162&lt;0,0,'Quant. mod. (oc)'!U162)</f>
        <v>0</v>
      </c>
      <c r="V162" s="125">
        <f>IF('Quant. mod. (oc)'!V162&lt;0,0,'Quant. mod. (oc)'!V162)</f>
        <v>5.46</v>
      </c>
      <c r="W162" s="125">
        <f>IF('Quant. mod. (oc)'!W162&lt;0,0,'Quant. mod. (oc)'!W162)</f>
        <v>0</v>
      </c>
      <c r="X162" s="125">
        <f>IF('Quant. mod. (oc)'!X162&lt;0,0,'Quant. mod. (oc)'!X162)</f>
        <v>5.46</v>
      </c>
      <c r="Y162" s="125">
        <f>IF('Quant. mod. (oc)'!Y162&lt;0,0,'Quant. mod. (oc)'!Y162)</f>
        <v>0</v>
      </c>
      <c r="Z162" s="125">
        <f>IF('Quant. mod. (oc)'!Z162&lt;0,0,'Quant. mod. (oc)'!Z162)</f>
        <v>0</v>
      </c>
      <c r="AA162" s="125">
        <f>IF('Quant. mod. (oc)'!AA162&lt;0,0,'Quant. mod. (oc)'!AA162)</f>
        <v>5.46</v>
      </c>
      <c r="AB162" s="125">
        <f>IF('Quant. mod. (oc)'!AB162&lt;0,0,'Quant. mod. (oc)'!AB162)</f>
        <v>0</v>
      </c>
      <c r="AC162" s="125">
        <f>IF('Quant. mod. (oc)'!AC162&lt;0,0,'Quant. mod. (oc)'!AC162)</f>
        <v>0</v>
      </c>
      <c r="AD162" s="125">
        <f>IF('Quant. mod. (oc)'!AD162&lt;0,0,'Quant. mod. (oc)'!AD162)</f>
        <v>5.46</v>
      </c>
      <c r="AE162" s="125">
        <f>IF('Quant. mod. (oc)'!AE162&lt;0,0,'Quant. mod. (oc)'!AE162)</f>
        <v>0</v>
      </c>
      <c r="AF162" s="125">
        <f>IF('Quant. mod. (oc)'!AF162&lt;0,0,'Quant. mod. (oc)'!AF162)</f>
        <v>5.46</v>
      </c>
      <c r="AG162" s="126">
        <f>IF('Quant. mod. (oc)'!AG162&lt;0,0,'Quant. mod. (oc)'!AG162)</f>
        <v>0</v>
      </c>
      <c r="AH162" s="22"/>
    </row>
    <row r="163" spans="1:34" ht="38.25" x14ac:dyDescent="0.25">
      <c r="A163" s="112"/>
      <c r="B163" s="131" t="s">
        <v>298</v>
      </c>
      <c r="C163" s="125" t="s">
        <v>57</v>
      </c>
      <c r="D163" s="125">
        <f>IF('Quant. mod. (oc)'!D163&lt;0,0,'Quant. mod. (oc)'!D163)</f>
        <v>25.46</v>
      </c>
      <c r="E163" s="125">
        <f>IF('Quant. mod. (oc)'!E163&lt;0,0,'Quant. mod. (oc)'!E163)</f>
        <v>0</v>
      </c>
      <c r="F163" s="125">
        <f>IF('Quant. mod. (oc)'!F163&lt;0,0,'Quant. mod. (oc)'!F163)</f>
        <v>0</v>
      </c>
      <c r="G163" s="125">
        <f>IF('Quant. mod. (oc)'!G163&lt;0,0,'Quant. mod. (oc)'!G163)</f>
        <v>25.46</v>
      </c>
      <c r="H163" s="125">
        <f>IF('Quant. mod. (oc)'!H163&lt;0,0,'Quant. mod. (oc)'!H163)</f>
        <v>0</v>
      </c>
      <c r="I163" s="125">
        <f>IF('Quant. mod. (oc)'!I163&lt;0,0,'Quant. mod. (oc)'!I163)</f>
        <v>0</v>
      </c>
      <c r="J163" s="125">
        <f>IF('Quant. mod. (oc)'!J163&lt;0,0,'Quant. mod. (oc)'!J163)</f>
        <v>25.46</v>
      </c>
      <c r="K163" s="125">
        <f>IF('Quant. mod. (oc)'!K163&lt;0,0,'Quant. mod. (oc)'!K163)</f>
        <v>0</v>
      </c>
      <c r="L163" s="125">
        <f>IF('Quant. mod. (oc)'!L163&lt;0,0,'Quant. mod. (oc)'!L163)</f>
        <v>25.46</v>
      </c>
      <c r="M163" s="125">
        <f>IF('Quant. mod. (oc)'!M163&lt;0,0,'Quant. mod. (oc)'!M163)</f>
        <v>0</v>
      </c>
      <c r="N163" s="125">
        <f>IF('Quant. mod. (oc)'!N163&lt;0,0,'Quant. mod. (oc)'!N163)</f>
        <v>25.46</v>
      </c>
      <c r="O163" s="125">
        <f>IF('Quant. mod. (oc)'!O163&lt;0,0,'Quant. mod. (oc)'!O163)</f>
        <v>0</v>
      </c>
      <c r="P163" s="125">
        <f>IF('Quant. mod. (oc)'!P163&lt;0,0,'Quant. mod. (oc)'!P163)</f>
        <v>0</v>
      </c>
      <c r="Q163" s="125">
        <f>IF('Quant. mod. (oc)'!Q163&lt;0,0,'Quant. mod. (oc)'!Q163)</f>
        <v>25.46</v>
      </c>
      <c r="R163" s="125">
        <f>IF('Quant. mod. (oc)'!R163&lt;0,0,'Quant. mod. (oc)'!R163)</f>
        <v>0</v>
      </c>
      <c r="S163" s="125">
        <f>IF('Quant. mod. (oc)'!S163&lt;0,0,'Quant. mod. (oc)'!S163)</f>
        <v>0</v>
      </c>
      <c r="T163" s="125">
        <f>IF('Quant. mod. (oc)'!T163&lt;0,0,'Quant. mod. (oc)'!T163)</f>
        <v>25.46</v>
      </c>
      <c r="U163" s="125">
        <f>IF('Quant. mod. (oc)'!U163&lt;0,0,'Quant. mod. (oc)'!U163)</f>
        <v>0</v>
      </c>
      <c r="V163" s="125">
        <f>IF('Quant. mod. (oc)'!V163&lt;0,0,'Quant. mod. (oc)'!V163)</f>
        <v>25.46</v>
      </c>
      <c r="W163" s="125">
        <f>IF('Quant. mod. (oc)'!W163&lt;0,0,'Quant. mod. (oc)'!W163)</f>
        <v>0</v>
      </c>
      <c r="X163" s="125">
        <f>IF('Quant. mod. (oc)'!X163&lt;0,0,'Quant. mod. (oc)'!X163)</f>
        <v>25.46</v>
      </c>
      <c r="Y163" s="125">
        <f>IF('Quant. mod. (oc)'!Y163&lt;0,0,'Quant. mod. (oc)'!Y163)</f>
        <v>0</v>
      </c>
      <c r="Z163" s="125">
        <f>IF('Quant. mod. (oc)'!Z163&lt;0,0,'Quant. mod. (oc)'!Z163)</f>
        <v>0</v>
      </c>
      <c r="AA163" s="125">
        <f>IF('Quant. mod. (oc)'!AA163&lt;0,0,'Quant. mod. (oc)'!AA163)</f>
        <v>25.46</v>
      </c>
      <c r="AB163" s="125">
        <f>IF('Quant. mod. (oc)'!AB163&lt;0,0,'Quant. mod. (oc)'!AB163)</f>
        <v>0</v>
      </c>
      <c r="AC163" s="125">
        <f>IF('Quant. mod. (oc)'!AC163&lt;0,0,'Quant. mod. (oc)'!AC163)</f>
        <v>0</v>
      </c>
      <c r="AD163" s="125">
        <f>IF('Quant. mod. (oc)'!AD163&lt;0,0,'Quant. mod. (oc)'!AD163)</f>
        <v>25.46</v>
      </c>
      <c r="AE163" s="125">
        <f>IF('Quant. mod. (oc)'!AE163&lt;0,0,'Quant. mod. (oc)'!AE163)</f>
        <v>0</v>
      </c>
      <c r="AF163" s="125">
        <f>IF('Quant. mod. (oc)'!AF163&lt;0,0,'Quant. mod. (oc)'!AF163)</f>
        <v>25.46</v>
      </c>
      <c r="AG163" s="126">
        <f>IF('Quant. mod. (oc)'!AG163&lt;0,0,'Quant. mod. (oc)'!AG163)</f>
        <v>0</v>
      </c>
      <c r="AH163" s="22"/>
    </row>
    <row r="164" spans="1:34" ht="38.25" x14ac:dyDescent="0.25">
      <c r="A164" s="112"/>
      <c r="B164" s="131" t="s">
        <v>299</v>
      </c>
      <c r="C164" s="125" t="s">
        <v>57</v>
      </c>
      <c r="D164" s="125">
        <f>IF('Quant. mod. (oc)'!D164&lt;0,0,'Quant. mod. (oc)'!D164)</f>
        <v>44.93</v>
      </c>
      <c r="E164" s="125">
        <f>IF('Quant. mod. (oc)'!E164&lt;0,0,'Quant. mod. (oc)'!E164)</f>
        <v>0</v>
      </c>
      <c r="F164" s="125">
        <f>IF('Quant. mod. (oc)'!F164&lt;0,0,'Quant. mod. (oc)'!F164)</f>
        <v>0</v>
      </c>
      <c r="G164" s="125">
        <f>IF('Quant. mod. (oc)'!G164&lt;0,0,'Quant. mod. (oc)'!G164)</f>
        <v>44.93</v>
      </c>
      <c r="H164" s="125">
        <f>IF('Quant. mod. (oc)'!H164&lt;0,0,'Quant. mod. (oc)'!H164)</f>
        <v>0</v>
      </c>
      <c r="I164" s="125">
        <f>IF('Quant. mod. (oc)'!I164&lt;0,0,'Quant. mod. (oc)'!I164)</f>
        <v>0</v>
      </c>
      <c r="J164" s="125">
        <f>IF('Quant. mod. (oc)'!J164&lt;0,0,'Quant. mod. (oc)'!J164)</f>
        <v>44.93</v>
      </c>
      <c r="K164" s="125">
        <f>IF('Quant. mod. (oc)'!K164&lt;0,0,'Quant. mod. (oc)'!K164)</f>
        <v>0</v>
      </c>
      <c r="L164" s="125">
        <f>IF('Quant. mod. (oc)'!L164&lt;0,0,'Quant. mod. (oc)'!L164)</f>
        <v>44.93</v>
      </c>
      <c r="M164" s="125">
        <f>IF('Quant. mod. (oc)'!M164&lt;0,0,'Quant. mod. (oc)'!M164)</f>
        <v>0</v>
      </c>
      <c r="N164" s="125">
        <f>IF('Quant. mod. (oc)'!N164&lt;0,0,'Quant. mod. (oc)'!N164)</f>
        <v>44.93</v>
      </c>
      <c r="O164" s="125">
        <f>IF('Quant. mod. (oc)'!O164&lt;0,0,'Quant. mod. (oc)'!O164)</f>
        <v>0</v>
      </c>
      <c r="P164" s="125">
        <f>IF('Quant. mod. (oc)'!P164&lt;0,0,'Quant. mod. (oc)'!P164)</f>
        <v>0</v>
      </c>
      <c r="Q164" s="125">
        <f>IF('Quant. mod. (oc)'!Q164&lt;0,0,'Quant. mod. (oc)'!Q164)</f>
        <v>44.93</v>
      </c>
      <c r="R164" s="125">
        <f>IF('Quant. mod. (oc)'!R164&lt;0,0,'Quant. mod. (oc)'!R164)</f>
        <v>0</v>
      </c>
      <c r="S164" s="125">
        <f>IF('Quant. mod. (oc)'!S164&lt;0,0,'Quant. mod. (oc)'!S164)</f>
        <v>0</v>
      </c>
      <c r="T164" s="125">
        <f>IF('Quant. mod. (oc)'!T164&lt;0,0,'Quant. mod. (oc)'!T164)</f>
        <v>44.93</v>
      </c>
      <c r="U164" s="125">
        <f>IF('Quant. mod. (oc)'!U164&lt;0,0,'Quant. mod. (oc)'!U164)</f>
        <v>0</v>
      </c>
      <c r="V164" s="125">
        <f>IF('Quant. mod. (oc)'!V164&lt;0,0,'Quant. mod. (oc)'!V164)</f>
        <v>44.93</v>
      </c>
      <c r="W164" s="125">
        <f>IF('Quant. mod. (oc)'!W164&lt;0,0,'Quant. mod. (oc)'!W164)</f>
        <v>0</v>
      </c>
      <c r="X164" s="125">
        <f>IF('Quant. mod. (oc)'!X164&lt;0,0,'Quant. mod. (oc)'!X164)</f>
        <v>44.93</v>
      </c>
      <c r="Y164" s="125">
        <f>IF('Quant. mod. (oc)'!Y164&lt;0,0,'Quant. mod. (oc)'!Y164)</f>
        <v>0</v>
      </c>
      <c r="Z164" s="125">
        <f>IF('Quant. mod. (oc)'!Z164&lt;0,0,'Quant. mod. (oc)'!Z164)</f>
        <v>0</v>
      </c>
      <c r="AA164" s="125">
        <f>IF('Quant. mod. (oc)'!AA164&lt;0,0,'Quant. mod. (oc)'!AA164)</f>
        <v>44.93</v>
      </c>
      <c r="AB164" s="125">
        <f>IF('Quant. mod. (oc)'!AB164&lt;0,0,'Quant. mod. (oc)'!AB164)</f>
        <v>0</v>
      </c>
      <c r="AC164" s="125">
        <f>IF('Quant. mod. (oc)'!AC164&lt;0,0,'Quant. mod. (oc)'!AC164)</f>
        <v>0</v>
      </c>
      <c r="AD164" s="125">
        <f>IF('Quant. mod. (oc)'!AD164&lt;0,0,'Quant. mod. (oc)'!AD164)</f>
        <v>44.93</v>
      </c>
      <c r="AE164" s="125">
        <f>IF('Quant. mod. (oc)'!AE164&lt;0,0,'Quant. mod. (oc)'!AE164)</f>
        <v>0</v>
      </c>
      <c r="AF164" s="125">
        <f>IF('Quant. mod. (oc)'!AF164&lt;0,0,'Quant. mod. (oc)'!AF164)</f>
        <v>44.93</v>
      </c>
      <c r="AG164" s="126">
        <f>IF('Quant. mod. (oc)'!AG164&lt;0,0,'Quant. mod. (oc)'!AG164)</f>
        <v>0</v>
      </c>
      <c r="AH164" s="22"/>
    </row>
    <row r="165" spans="1:34" ht="38.25" x14ac:dyDescent="0.25">
      <c r="A165" s="112"/>
      <c r="B165" s="131" t="s">
        <v>300</v>
      </c>
      <c r="C165" s="125" t="s">
        <v>57</v>
      </c>
      <c r="D165" s="125">
        <f>IF('Quant. mod. (oc)'!D165&lt;0,0,'Quant. mod. (oc)'!D165)</f>
        <v>44.93</v>
      </c>
      <c r="E165" s="125">
        <f>IF('Quant. mod. (oc)'!E165&lt;0,0,'Quant. mod. (oc)'!E165)</f>
        <v>0</v>
      </c>
      <c r="F165" s="125">
        <f>IF('Quant. mod. (oc)'!F165&lt;0,0,'Quant. mod. (oc)'!F165)</f>
        <v>0</v>
      </c>
      <c r="G165" s="125">
        <f>IF('Quant. mod. (oc)'!G165&lt;0,0,'Quant. mod. (oc)'!G165)</f>
        <v>44.93</v>
      </c>
      <c r="H165" s="125">
        <f>IF('Quant. mod. (oc)'!H165&lt;0,0,'Quant. mod. (oc)'!H165)</f>
        <v>0</v>
      </c>
      <c r="I165" s="125">
        <f>IF('Quant. mod. (oc)'!I165&lt;0,0,'Quant. mod. (oc)'!I165)</f>
        <v>0</v>
      </c>
      <c r="J165" s="125">
        <f>IF('Quant. mod. (oc)'!J165&lt;0,0,'Quant. mod. (oc)'!J165)</f>
        <v>44.93</v>
      </c>
      <c r="K165" s="125">
        <f>IF('Quant. mod. (oc)'!K165&lt;0,0,'Quant. mod. (oc)'!K165)</f>
        <v>0</v>
      </c>
      <c r="L165" s="125">
        <f>IF('Quant. mod. (oc)'!L165&lt;0,0,'Quant. mod. (oc)'!L165)</f>
        <v>44.93</v>
      </c>
      <c r="M165" s="125">
        <f>IF('Quant. mod. (oc)'!M165&lt;0,0,'Quant. mod. (oc)'!M165)</f>
        <v>0</v>
      </c>
      <c r="N165" s="125">
        <f>IF('Quant. mod. (oc)'!N165&lt;0,0,'Quant. mod. (oc)'!N165)</f>
        <v>44.93</v>
      </c>
      <c r="O165" s="125">
        <f>IF('Quant. mod. (oc)'!O165&lt;0,0,'Quant. mod. (oc)'!O165)</f>
        <v>0</v>
      </c>
      <c r="P165" s="125">
        <f>IF('Quant. mod. (oc)'!P165&lt;0,0,'Quant. mod. (oc)'!P165)</f>
        <v>0</v>
      </c>
      <c r="Q165" s="125">
        <f>IF('Quant. mod. (oc)'!Q165&lt;0,0,'Quant. mod. (oc)'!Q165)</f>
        <v>44.93</v>
      </c>
      <c r="R165" s="125">
        <f>IF('Quant. mod. (oc)'!R165&lt;0,0,'Quant. mod. (oc)'!R165)</f>
        <v>0</v>
      </c>
      <c r="S165" s="125">
        <f>IF('Quant. mod. (oc)'!S165&lt;0,0,'Quant. mod. (oc)'!S165)</f>
        <v>0</v>
      </c>
      <c r="T165" s="125">
        <f>IF('Quant. mod. (oc)'!T165&lt;0,0,'Quant. mod. (oc)'!T165)</f>
        <v>44.93</v>
      </c>
      <c r="U165" s="125">
        <f>IF('Quant. mod. (oc)'!U165&lt;0,0,'Quant. mod. (oc)'!U165)</f>
        <v>0</v>
      </c>
      <c r="V165" s="125">
        <f>IF('Quant. mod. (oc)'!V165&lt;0,0,'Quant. mod. (oc)'!V165)</f>
        <v>44.93</v>
      </c>
      <c r="W165" s="125">
        <f>IF('Quant. mod. (oc)'!W165&lt;0,0,'Quant. mod. (oc)'!W165)</f>
        <v>0</v>
      </c>
      <c r="X165" s="125">
        <f>IF('Quant. mod. (oc)'!X165&lt;0,0,'Quant. mod. (oc)'!X165)</f>
        <v>44.93</v>
      </c>
      <c r="Y165" s="125">
        <f>IF('Quant. mod. (oc)'!Y165&lt;0,0,'Quant. mod. (oc)'!Y165)</f>
        <v>0</v>
      </c>
      <c r="Z165" s="125">
        <f>IF('Quant. mod. (oc)'!Z165&lt;0,0,'Quant. mod. (oc)'!Z165)</f>
        <v>0</v>
      </c>
      <c r="AA165" s="125">
        <f>IF('Quant. mod. (oc)'!AA165&lt;0,0,'Quant. mod. (oc)'!AA165)</f>
        <v>44.93</v>
      </c>
      <c r="AB165" s="125">
        <f>IF('Quant. mod. (oc)'!AB165&lt;0,0,'Quant. mod. (oc)'!AB165)</f>
        <v>0</v>
      </c>
      <c r="AC165" s="125">
        <f>IF('Quant. mod. (oc)'!AC165&lt;0,0,'Quant. mod. (oc)'!AC165)</f>
        <v>0</v>
      </c>
      <c r="AD165" s="125">
        <f>IF('Quant. mod. (oc)'!AD165&lt;0,0,'Quant. mod. (oc)'!AD165)</f>
        <v>44.93</v>
      </c>
      <c r="AE165" s="125">
        <f>IF('Quant. mod. (oc)'!AE165&lt;0,0,'Quant. mod. (oc)'!AE165)</f>
        <v>0</v>
      </c>
      <c r="AF165" s="125">
        <f>IF('Quant. mod. (oc)'!AF165&lt;0,0,'Quant. mod. (oc)'!AF165)</f>
        <v>44.93</v>
      </c>
      <c r="AG165" s="126">
        <f>IF('Quant. mod. (oc)'!AG165&lt;0,0,'Quant. mod. (oc)'!AG165)</f>
        <v>0</v>
      </c>
      <c r="AH165" s="22"/>
    </row>
    <row r="166" spans="1:34" ht="25.5" x14ac:dyDescent="0.25">
      <c r="A166" s="112"/>
      <c r="B166" s="27" t="s">
        <v>303</v>
      </c>
      <c r="C166" s="125" t="s">
        <v>57</v>
      </c>
      <c r="D166" s="125">
        <f>IF('Quant. mod. (oc)'!D166&lt;0,0,'Quant. mod. (oc)'!D166)</f>
        <v>5.46</v>
      </c>
      <c r="E166" s="125">
        <f>IF('Quant. mod. (oc)'!E166&lt;0,0,'Quant. mod. (oc)'!E166)</f>
        <v>0</v>
      </c>
      <c r="F166" s="125">
        <f>IF('Quant. mod. (oc)'!F166&lt;0,0,'Quant. mod. (oc)'!F166)</f>
        <v>0</v>
      </c>
      <c r="G166" s="125">
        <f>IF('Quant. mod. (oc)'!G166&lt;0,0,'Quant. mod. (oc)'!G166)</f>
        <v>5.46</v>
      </c>
      <c r="H166" s="125">
        <f>IF('Quant. mod. (oc)'!H166&lt;0,0,'Quant. mod. (oc)'!H166)</f>
        <v>0</v>
      </c>
      <c r="I166" s="125">
        <f>IF('Quant. mod. (oc)'!I166&lt;0,0,'Quant. mod. (oc)'!I166)</f>
        <v>0</v>
      </c>
      <c r="J166" s="125">
        <f>IF('Quant. mod. (oc)'!J166&lt;0,0,'Quant. mod. (oc)'!J166)</f>
        <v>5.46</v>
      </c>
      <c r="K166" s="125">
        <f>IF('Quant. mod. (oc)'!K166&lt;0,0,'Quant. mod. (oc)'!K166)</f>
        <v>0</v>
      </c>
      <c r="L166" s="125">
        <f>IF('Quant. mod. (oc)'!L166&lt;0,0,'Quant. mod. (oc)'!L166)</f>
        <v>5.46</v>
      </c>
      <c r="M166" s="125">
        <f>IF('Quant. mod. (oc)'!M166&lt;0,0,'Quant. mod. (oc)'!M166)</f>
        <v>0</v>
      </c>
      <c r="N166" s="125">
        <f>IF('Quant. mod. (oc)'!N166&lt;0,0,'Quant. mod. (oc)'!N166)</f>
        <v>5.46</v>
      </c>
      <c r="O166" s="125">
        <f>IF('Quant. mod. (oc)'!O166&lt;0,0,'Quant. mod. (oc)'!O166)</f>
        <v>0</v>
      </c>
      <c r="P166" s="125">
        <f>IF('Quant. mod. (oc)'!P166&lt;0,0,'Quant. mod. (oc)'!P166)</f>
        <v>0</v>
      </c>
      <c r="Q166" s="125">
        <f>IF('Quant. mod. (oc)'!Q166&lt;0,0,'Quant. mod. (oc)'!Q166)</f>
        <v>5.46</v>
      </c>
      <c r="R166" s="125">
        <f>IF('Quant. mod. (oc)'!R166&lt;0,0,'Quant. mod. (oc)'!R166)</f>
        <v>0</v>
      </c>
      <c r="S166" s="125">
        <f>IF('Quant. mod. (oc)'!S166&lt;0,0,'Quant. mod. (oc)'!S166)</f>
        <v>0</v>
      </c>
      <c r="T166" s="125">
        <f>IF('Quant. mod. (oc)'!T166&lt;0,0,'Quant. mod. (oc)'!T166)</f>
        <v>5.46</v>
      </c>
      <c r="U166" s="125">
        <f>IF('Quant. mod. (oc)'!U166&lt;0,0,'Quant. mod. (oc)'!U166)</f>
        <v>0</v>
      </c>
      <c r="V166" s="125">
        <f>IF('Quant. mod. (oc)'!V166&lt;0,0,'Quant. mod. (oc)'!V166)</f>
        <v>5.46</v>
      </c>
      <c r="W166" s="125">
        <f>IF('Quant. mod. (oc)'!W166&lt;0,0,'Quant. mod. (oc)'!W166)</f>
        <v>0</v>
      </c>
      <c r="X166" s="125">
        <f>IF('Quant. mod. (oc)'!X166&lt;0,0,'Quant. mod. (oc)'!X166)</f>
        <v>5.46</v>
      </c>
      <c r="Y166" s="125">
        <f>IF('Quant. mod. (oc)'!Y166&lt;0,0,'Quant. mod. (oc)'!Y166)</f>
        <v>0</v>
      </c>
      <c r="Z166" s="125">
        <f>IF('Quant. mod. (oc)'!Z166&lt;0,0,'Quant. mod. (oc)'!Z166)</f>
        <v>0</v>
      </c>
      <c r="AA166" s="125">
        <f>IF('Quant. mod. (oc)'!AA166&lt;0,0,'Quant. mod. (oc)'!AA166)</f>
        <v>5.46</v>
      </c>
      <c r="AB166" s="125">
        <f>IF('Quant. mod. (oc)'!AB166&lt;0,0,'Quant. mod. (oc)'!AB166)</f>
        <v>0</v>
      </c>
      <c r="AC166" s="125">
        <f>IF('Quant. mod. (oc)'!AC166&lt;0,0,'Quant. mod. (oc)'!AC166)</f>
        <v>0</v>
      </c>
      <c r="AD166" s="125">
        <f>IF('Quant. mod. (oc)'!AD166&lt;0,0,'Quant. mod. (oc)'!AD166)</f>
        <v>5.46</v>
      </c>
      <c r="AE166" s="125">
        <f>IF('Quant. mod. (oc)'!AE166&lt;0,0,'Quant. mod. (oc)'!AE166)</f>
        <v>0</v>
      </c>
      <c r="AF166" s="125">
        <f>IF('Quant. mod. (oc)'!AF166&lt;0,0,'Quant. mod. (oc)'!AF166)</f>
        <v>5.46</v>
      </c>
      <c r="AG166" s="126">
        <f>IF('Quant. mod. (oc)'!AG166&lt;0,0,'Quant. mod. (oc)'!AG166)</f>
        <v>0</v>
      </c>
      <c r="AH166" s="22"/>
    </row>
    <row r="167" spans="1:34" x14ac:dyDescent="0.25">
      <c r="A167" s="112"/>
      <c r="B167" s="27" t="s">
        <v>309</v>
      </c>
      <c r="C167" s="125" t="s">
        <v>57</v>
      </c>
      <c r="D167" s="125">
        <f>IF('Quant. mod. (oc)'!D167&lt;0,0,'Quant. mod. (oc)'!D167)</f>
        <v>25.46</v>
      </c>
      <c r="E167" s="125">
        <f>IF('Quant. mod. (oc)'!E167&lt;0,0,'Quant. mod. (oc)'!E167)</f>
        <v>0</v>
      </c>
      <c r="F167" s="125">
        <f>IF('Quant. mod. (oc)'!F167&lt;0,0,'Quant. mod. (oc)'!F167)</f>
        <v>0</v>
      </c>
      <c r="G167" s="125">
        <f>IF('Quant. mod. (oc)'!G167&lt;0,0,'Quant. mod. (oc)'!G167)</f>
        <v>25.46</v>
      </c>
      <c r="H167" s="125">
        <f>IF('Quant. mod. (oc)'!H167&lt;0,0,'Quant. mod. (oc)'!H167)</f>
        <v>0</v>
      </c>
      <c r="I167" s="125">
        <f>IF('Quant. mod. (oc)'!I167&lt;0,0,'Quant. mod. (oc)'!I167)</f>
        <v>0</v>
      </c>
      <c r="J167" s="125">
        <f>IF('Quant. mod. (oc)'!J167&lt;0,0,'Quant. mod. (oc)'!J167)</f>
        <v>25.46</v>
      </c>
      <c r="K167" s="125">
        <f>IF('Quant. mod. (oc)'!K167&lt;0,0,'Quant. mod. (oc)'!K167)</f>
        <v>0</v>
      </c>
      <c r="L167" s="125">
        <f>IF('Quant. mod. (oc)'!L167&lt;0,0,'Quant. mod. (oc)'!L167)</f>
        <v>25.46</v>
      </c>
      <c r="M167" s="125">
        <f>IF('Quant. mod. (oc)'!M167&lt;0,0,'Quant. mod. (oc)'!M167)</f>
        <v>0</v>
      </c>
      <c r="N167" s="125">
        <f>IF('Quant. mod. (oc)'!N167&lt;0,0,'Quant. mod. (oc)'!N167)</f>
        <v>25.46</v>
      </c>
      <c r="O167" s="125">
        <f>IF('Quant. mod. (oc)'!O167&lt;0,0,'Quant. mod. (oc)'!O167)</f>
        <v>0</v>
      </c>
      <c r="P167" s="125">
        <f>IF('Quant. mod. (oc)'!P167&lt;0,0,'Quant. mod. (oc)'!P167)</f>
        <v>0</v>
      </c>
      <c r="Q167" s="125">
        <f>IF('Quant. mod. (oc)'!Q167&lt;0,0,'Quant. mod. (oc)'!Q167)</f>
        <v>25.46</v>
      </c>
      <c r="R167" s="125">
        <f>IF('Quant. mod. (oc)'!R167&lt;0,0,'Quant. mod. (oc)'!R167)</f>
        <v>0</v>
      </c>
      <c r="S167" s="125">
        <f>IF('Quant. mod. (oc)'!S167&lt;0,0,'Quant. mod. (oc)'!S167)</f>
        <v>0</v>
      </c>
      <c r="T167" s="125">
        <f>IF('Quant. mod. (oc)'!T167&lt;0,0,'Quant. mod. (oc)'!T167)</f>
        <v>25.46</v>
      </c>
      <c r="U167" s="125">
        <f>IF('Quant. mod. (oc)'!U167&lt;0,0,'Quant. mod. (oc)'!U167)</f>
        <v>0</v>
      </c>
      <c r="V167" s="125">
        <f>IF('Quant. mod. (oc)'!V167&lt;0,0,'Quant. mod. (oc)'!V167)</f>
        <v>25.46</v>
      </c>
      <c r="W167" s="125">
        <f>IF('Quant. mod. (oc)'!W167&lt;0,0,'Quant. mod. (oc)'!W167)</f>
        <v>0</v>
      </c>
      <c r="X167" s="125">
        <f>IF('Quant. mod. (oc)'!X167&lt;0,0,'Quant. mod. (oc)'!X167)</f>
        <v>25.46</v>
      </c>
      <c r="Y167" s="125">
        <f>IF('Quant. mod. (oc)'!Y167&lt;0,0,'Quant. mod. (oc)'!Y167)</f>
        <v>0</v>
      </c>
      <c r="Z167" s="125">
        <f>IF('Quant. mod. (oc)'!Z167&lt;0,0,'Quant. mod. (oc)'!Z167)</f>
        <v>0</v>
      </c>
      <c r="AA167" s="125">
        <f>IF('Quant. mod. (oc)'!AA167&lt;0,0,'Quant. mod. (oc)'!AA167)</f>
        <v>25.46</v>
      </c>
      <c r="AB167" s="125">
        <f>IF('Quant. mod. (oc)'!AB167&lt;0,0,'Quant. mod. (oc)'!AB167)</f>
        <v>0</v>
      </c>
      <c r="AC167" s="125">
        <f>IF('Quant. mod. (oc)'!AC167&lt;0,0,'Quant. mod. (oc)'!AC167)</f>
        <v>0</v>
      </c>
      <c r="AD167" s="125">
        <f>IF('Quant. mod. (oc)'!AD167&lt;0,0,'Quant. mod. (oc)'!AD167)</f>
        <v>25.46</v>
      </c>
      <c r="AE167" s="125">
        <f>IF('Quant. mod. (oc)'!AE167&lt;0,0,'Quant. mod. (oc)'!AE167)</f>
        <v>0</v>
      </c>
      <c r="AF167" s="125">
        <f>IF('Quant. mod. (oc)'!AF167&lt;0,0,'Quant. mod. (oc)'!AF167)</f>
        <v>25.46</v>
      </c>
      <c r="AG167" s="126">
        <f>IF('Quant. mod. (oc)'!AG167&lt;0,0,'Quant. mod. (oc)'!AG167)</f>
        <v>0</v>
      </c>
      <c r="AH167" s="22"/>
    </row>
    <row r="168" spans="1:34" ht="25.5" x14ac:dyDescent="0.25">
      <c r="A168" s="112"/>
      <c r="B168" s="27" t="s">
        <v>71</v>
      </c>
      <c r="C168" s="125" t="s">
        <v>57</v>
      </c>
      <c r="D168" s="125">
        <f>IF('Quant. mod. (oc)'!D168&lt;0,0,'Quant. mod. (oc)'!D168)</f>
        <v>44.93</v>
      </c>
      <c r="E168" s="125">
        <f>IF('Quant. mod. (oc)'!E168&lt;0,0,'Quant. mod. (oc)'!E168)</f>
        <v>0</v>
      </c>
      <c r="F168" s="125">
        <f>IF('Quant. mod. (oc)'!F168&lt;0,0,'Quant. mod. (oc)'!F168)</f>
        <v>0</v>
      </c>
      <c r="G168" s="125">
        <f>IF('Quant. mod. (oc)'!G168&lt;0,0,'Quant. mod. (oc)'!G168)</f>
        <v>44.93</v>
      </c>
      <c r="H168" s="125">
        <f>IF('Quant. mod. (oc)'!H168&lt;0,0,'Quant. mod. (oc)'!H168)</f>
        <v>0</v>
      </c>
      <c r="I168" s="125">
        <f>IF('Quant. mod. (oc)'!I168&lt;0,0,'Quant. mod. (oc)'!I168)</f>
        <v>0</v>
      </c>
      <c r="J168" s="125">
        <f>IF('Quant. mod. (oc)'!J168&lt;0,0,'Quant. mod. (oc)'!J168)</f>
        <v>44.93</v>
      </c>
      <c r="K168" s="125">
        <f>IF('Quant. mod. (oc)'!K168&lt;0,0,'Quant. mod. (oc)'!K168)</f>
        <v>0</v>
      </c>
      <c r="L168" s="125">
        <f>IF('Quant. mod. (oc)'!L168&lt;0,0,'Quant. mod. (oc)'!L168)</f>
        <v>44.93</v>
      </c>
      <c r="M168" s="125">
        <f>IF('Quant. mod. (oc)'!M168&lt;0,0,'Quant. mod. (oc)'!M168)</f>
        <v>0</v>
      </c>
      <c r="N168" s="125">
        <f>IF('Quant. mod. (oc)'!N168&lt;0,0,'Quant. mod. (oc)'!N168)</f>
        <v>44.93</v>
      </c>
      <c r="O168" s="125">
        <f>IF('Quant. mod. (oc)'!O168&lt;0,0,'Quant. mod. (oc)'!O168)</f>
        <v>0</v>
      </c>
      <c r="P168" s="125">
        <f>IF('Quant. mod. (oc)'!P168&lt;0,0,'Quant. mod. (oc)'!P168)</f>
        <v>0</v>
      </c>
      <c r="Q168" s="125">
        <f>IF('Quant. mod. (oc)'!Q168&lt;0,0,'Quant. mod. (oc)'!Q168)</f>
        <v>44.93</v>
      </c>
      <c r="R168" s="125">
        <f>IF('Quant. mod. (oc)'!R168&lt;0,0,'Quant. mod. (oc)'!R168)</f>
        <v>0</v>
      </c>
      <c r="S168" s="125">
        <f>IF('Quant. mod. (oc)'!S168&lt;0,0,'Quant. mod. (oc)'!S168)</f>
        <v>0</v>
      </c>
      <c r="T168" s="125">
        <f>IF('Quant. mod. (oc)'!T168&lt;0,0,'Quant. mod. (oc)'!T168)</f>
        <v>44.93</v>
      </c>
      <c r="U168" s="125">
        <f>IF('Quant. mod. (oc)'!U168&lt;0,0,'Quant. mod. (oc)'!U168)</f>
        <v>0</v>
      </c>
      <c r="V168" s="125">
        <f>IF('Quant. mod. (oc)'!V168&lt;0,0,'Quant. mod. (oc)'!V168)</f>
        <v>44.93</v>
      </c>
      <c r="W168" s="125">
        <f>IF('Quant. mod. (oc)'!W168&lt;0,0,'Quant. mod. (oc)'!W168)</f>
        <v>0</v>
      </c>
      <c r="X168" s="125">
        <f>IF('Quant. mod. (oc)'!X168&lt;0,0,'Quant. mod. (oc)'!X168)</f>
        <v>44.93</v>
      </c>
      <c r="Y168" s="125">
        <f>IF('Quant. mod. (oc)'!Y168&lt;0,0,'Quant. mod. (oc)'!Y168)</f>
        <v>0</v>
      </c>
      <c r="Z168" s="125">
        <f>IF('Quant. mod. (oc)'!Z168&lt;0,0,'Quant. mod. (oc)'!Z168)</f>
        <v>0</v>
      </c>
      <c r="AA168" s="125">
        <f>IF('Quant. mod. (oc)'!AA168&lt;0,0,'Quant. mod. (oc)'!AA168)</f>
        <v>44.93</v>
      </c>
      <c r="AB168" s="125">
        <f>IF('Quant. mod. (oc)'!AB168&lt;0,0,'Quant. mod. (oc)'!AB168)</f>
        <v>0</v>
      </c>
      <c r="AC168" s="125">
        <f>IF('Quant. mod. (oc)'!AC168&lt;0,0,'Quant. mod. (oc)'!AC168)</f>
        <v>0</v>
      </c>
      <c r="AD168" s="125">
        <f>IF('Quant. mod. (oc)'!AD168&lt;0,0,'Quant. mod. (oc)'!AD168)</f>
        <v>44.93</v>
      </c>
      <c r="AE168" s="125">
        <f>IF('Quant. mod. (oc)'!AE168&lt;0,0,'Quant. mod. (oc)'!AE168)</f>
        <v>0</v>
      </c>
      <c r="AF168" s="125">
        <f>IF('Quant. mod. (oc)'!AF168&lt;0,0,'Quant. mod. (oc)'!AF168)</f>
        <v>44.93</v>
      </c>
      <c r="AG168" s="126">
        <f>IF('Quant. mod. (oc)'!AG168&lt;0,0,'Quant. mod. (oc)'!AG168)</f>
        <v>0</v>
      </c>
      <c r="AH168" s="22"/>
    </row>
    <row r="169" spans="1:34" ht="25.5" x14ac:dyDescent="0.25">
      <c r="A169" s="112"/>
      <c r="B169" s="27" t="s">
        <v>70</v>
      </c>
      <c r="C169" s="125" t="s">
        <v>57</v>
      </c>
      <c r="D169" s="125">
        <f>IF('Quant. mod. (oc)'!D169&lt;0,0,'Quant. mod. (oc)'!D169)</f>
        <v>44.93</v>
      </c>
      <c r="E169" s="125">
        <f>IF('Quant. mod. (oc)'!E169&lt;0,0,'Quant. mod. (oc)'!E169)</f>
        <v>0</v>
      </c>
      <c r="F169" s="125">
        <f>IF('Quant. mod. (oc)'!F169&lt;0,0,'Quant. mod. (oc)'!F169)</f>
        <v>0</v>
      </c>
      <c r="G169" s="125">
        <f>IF('Quant. mod. (oc)'!G169&lt;0,0,'Quant. mod. (oc)'!G169)</f>
        <v>44.93</v>
      </c>
      <c r="H169" s="125">
        <f>IF('Quant. mod. (oc)'!H169&lt;0,0,'Quant. mod. (oc)'!H169)</f>
        <v>0</v>
      </c>
      <c r="I169" s="125">
        <f>IF('Quant. mod. (oc)'!I169&lt;0,0,'Quant. mod. (oc)'!I169)</f>
        <v>0</v>
      </c>
      <c r="J169" s="125">
        <f>IF('Quant. mod. (oc)'!J169&lt;0,0,'Quant. mod. (oc)'!J169)</f>
        <v>44.93</v>
      </c>
      <c r="K169" s="125">
        <f>IF('Quant. mod. (oc)'!K169&lt;0,0,'Quant. mod. (oc)'!K169)</f>
        <v>0</v>
      </c>
      <c r="L169" s="125">
        <f>IF('Quant. mod. (oc)'!L169&lt;0,0,'Quant. mod. (oc)'!L169)</f>
        <v>44.93</v>
      </c>
      <c r="M169" s="125">
        <f>IF('Quant. mod. (oc)'!M169&lt;0,0,'Quant. mod. (oc)'!M169)</f>
        <v>0</v>
      </c>
      <c r="N169" s="125">
        <f>IF('Quant. mod. (oc)'!N169&lt;0,0,'Quant. mod. (oc)'!N169)</f>
        <v>44.93</v>
      </c>
      <c r="O169" s="125">
        <f>IF('Quant. mod. (oc)'!O169&lt;0,0,'Quant. mod. (oc)'!O169)</f>
        <v>0</v>
      </c>
      <c r="P169" s="125">
        <f>IF('Quant. mod. (oc)'!P169&lt;0,0,'Quant. mod. (oc)'!P169)</f>
        <v>0</v>
      </c>
      <c r="Q169" s="125">
        <f>IF('Quant. mod. (oc)'!Q169&lt;0,0,'Quant. mod. (oc)'!Q169)</f>
        <v>44.93</v>
      </c>
      <c r="R169" s="125">
        <f>IF('Quant. mod. (oc)'!R169&lt;0,0,'Quant. mod. (oc)'!R169)</f>
        <v>0</v>
      </c>
      <c r="S169" s="125">
        <f>IF('Quant. mod. (oc)'!S169&lt;0,0,'Quant. mod. (oc)'!S169)</f>
        <v>0</v>
      </c>
      <c r="T169" s="125">
        <f>IF('Quant. mod. (oc)'!T169&lt;0,0,'Quant. mod. (oc)'!T169)</f>
        <v>44.93</v>
      </c>
      <c r="U169" s="125">
        <f>IF('Quant. mod. (oc)'!U169&lt;0,0,'Quant. mod. (oc)'!U169)</f>
        <v>0</v>
      </c>
      <c r="V169" s="125">
        <f>IF('Quant. mod. (oc)'!V169&lt;0,0,'Quant. mod. (oc)'!V169)</f>
        <v>44.93</v>
      </c>
      <c r="W169" s="125">
        <f>IF('Quant. mod. (oc)'!W169&lt;0,0,'Quant. mod. (oc)'!W169)</f>
        <v>0</v>
      </c>
      <c r="X169" s="125">
        <f>IF('Quant. mod. (oc)'!X169&lt;0,0,'Quant. mod. (oc)'!X169)</f>
        <v>44.93</v>
      </c>
      <c r="Y169" s="125">
        <f>IF('Quant. mod. (oc)'!Y169&lt;0,0,'Quant. mod. (oc)'!Y169)</f>
        <v>0</v>
      </c>
      <c r="Z169" s="125">
        <f>IF('Quant. mod. (oc)'!Z169&lt;0,0,'Quant. mod. (oc)'!Z169)</f>
        <v>0</v>
      </c>
      <c r="AA169" s="125">
        <f>IF('Quant. mod. (oc)'!AA169&lt;0,0,'Quant. mod. (oc)'!AA169)</f>
        <v>44.93</v>
      </c>
      <c r="AB169" s="125">
        <f>IF('Quant. mod. (oc)'!AB169&lt;0,0,'Quant. mod. (oc)'!AB169)</f>
        <v>0</v>
      </c>
      <c r="AC169" s="125">
        <f>IF('Quant. mod. (oc)'!AC169&lt;0,0,'Quant. mod. (oc)'!AC169)</f>
        <v>0</v>
      </c>
      <c r="AD169" s="125">
        <f>IF('Quant. mod. (oc)'!AD169&lt;0,0,'Quant. mod. (oc)'!AD169)</f>
        <v>44.93</v>
      </c>
      <c r="AE169" s="125">
        <f>IF('Quant. mod. (oc)'!AE169&lt;0,0,'Quant. mod. (oc)'!AE169)</f>
        <v>0</v>
      </c>
      <c r="AF169" s="125">
        <f>IF('Quant. mod. (oc)'!AF169&lt;0,0,'Quant. mod. (oc)'!AF169)</f>
        <v>44.93</v>
      </c>
      <c r="AG169" s="126">
        <f>IF('Quant. mod. (oc)'!AG169&lt;0,0,'Quant. mod. (oc)'!AG169)</f>
        <v>0</v>
      </c>
      <c r="AH169" s="22"/>
    </row>
    <row r="170" spans="1:34" x14ac:dyDescent="0.25">
      <c r="A170" s="112"/>
      <c r="B170" s="131" t="s">
        <v>75</v>
      </c>
      <c r="C170" s="125" t="s">
        <v>59</v>
      </c>
      <c r="D170" s="125">
        <f>IF('Quant. mod. (oc)'!D170&lt;0,0,ROUND('Quant. mod. (oc)'!D170,0))</f>
        <v>1</v>
      </c>
      <c r="E170" s="125">
        <f>IF('Quant. mod. (oc)'!E170&lt;0,0,ROUND('Quant. mod. (oc)'!E170,0))</f>
        <v>0</v>
      </c>
      <c r="F170" s="125">
        <f>IF('Quant. mod. (oc)'!F170&lt;0,0,ROUND('Quant. mod. (oc)'!F170,0))</f>
        <v>0</v>
      </c>
      <c r="G170" s="125">
        <f>IF('Quant. mod. (oc)'!G170&lt;0,0,ROUND('Quant. mod. (oc)'!G170,0))</f>
        <v>1</v>
      </c>
      <c r="H170" s="125">
        <f>IF('Quant. mod. (oc)'!H170&lt;0,0,ROUND('Quant. mod. (oc)'!H170,0))</f>
        <v>0</v>
      </c>
      <c r="I170" s="125">
        <f>IF('Quant. mod. (oc)'!I170&lt;0,0,ROUND('Quant. mod. (oc)'!I170,0))</f>
        <v>0</v>
      </c>
      <c r="J170" s="125">
        <f>IF('Quant. mod. (oc)'!J170&lt;0,0,ROUND('Quant. mod. (oc)'!J170,0))</f>
        <v>1</v>
      </c>
      <c r="K170" s="125">
        <f>IF('Quant. mod. (oc)'!K170&lt;0,0,ROUND('Quant. mod. (oc)'!K170,0))</f>
        <v>0</v>
      </c>
      <c r="L170" s="125">
        <f>IF('Quant. mod. (oc)'!L170&lt;0,0,ROUND('Quant. mod. (oc)'!L170,0))</f>
        <v>1</v>
      </c>
      <c r="M170" s="125">
        <f>IF('Quant. mod. (oc)'!M170&lt;0,0,ROUND('Quant. mod. (oc)'!M170,0))</f>
        <v>0</v>
      </c>
      <c r="N170" s="125">
        <f>IF('Quant. mod. (oc)'!N170&lt;0,0,ROUND('Quant. mod. (oc)'!N170,0))</f>
        <v>1</v>
      </c>
      <c r="O170" s="125">
        <f>IF('Quant. mod. (oc)'!O170&lt;0,0,ROUND('Quant. mod. (oc)'!O170,0))</f>
        <v>0</v>
      </c>
      <c r="P170" s="125">
        <f>IF('Quant. mod. (oc)'!P170&lt;0,0,ROUND('Quant. mod. (oc)'!P170,0))</f>
        <v>0</v>
      </c>
      <c r="Q170" s="125">
        <f>IF('Quant. mod. (oc)'!Q170&lt;0,0,ROUND('Quant. mod. (oc)'!Q170,0))</f>
        <v>1</v>
      </c>
      <c r="R170" s="125">
        <f>IF('Quant. mod. (oc)'!R170&lt;0,0,ROUND('Quant. mod. (oc)'!R170,0))</f>
        <v>0</v>
      </c>
      <c r="S170" s="125">
        <f>IF('Quant. mod. (oc)'!S170&lt;0,0,ROUND('Quant. mod. (oc)'!S170,0))</f>
        <v>0</v>
      </c>
      <c r="T170" s="125">
        <f>IF('Quant. mod. (oc)'!T170&lt;0,0,ROUND('Quant. mod. (oc)'!T170,0))</f>
        <v>1</v>
      </c>
      <c r="U170" s="125">
        <f>IF('Quant. mod. (oc)'!U170&lt;0,0,ROUND('Quant. mod. (oc)'!U170,0))</f>
        <v>0</v>
      </c>
      <c r="V170" s="125">
        <f>IF('Quant. mod. (oc)'!V170&lt;0,0,ROUND('Quant. mod. (oc)'!V170,0))</f>
        <v>1</v>
      </c>
      <c r="W170" s="125">
        <f>IF('Quant. mod. (oc)'!W170&lt;0,0,ROUND('Quant. mod. (oc)'!W170,0))</f>
        <v>0</v>
      </c>
      <c r="X170" s="125">
        <f>IF('Quant. mod. (oc)'!X170&lt;0,0,ROUND('Quant. mod. (oc)'!X170,0))</f>
        <v>1</v>
      </c>
      <c r="Y170" s="125">
        <f>IF('Quant. mod. (oc)'!Y170&lt;0,0,ROUND('Quant. mod. (oc)'!Y170,0))</f>
        <v>0</v>
      </c>
      <c r="Z170" s="125">
        <f>IF('Quant. mod. (oc)'!Z170&lt;0,0,ROUND('Quant. mod. (oc)'!Z170,0))</f>
        <v>0</v>
      </c>
      <c r="AA170" s="125">
        <f>IF('Quant. mod. (oc)'!AA170&lt;0,0,ROUND('Quant. mod. (oc)'!AA170,0))</f>
        <v>1</v>
      </c>
      <c r="AB170" s="125">
        <f>IF('Quant. mod. (oc)'!AB170&lt;0,0,ROUND('Quant. mod. (oc)'!AB170,0))</f>
        <v>0</v>
      </c>
      <c r="AC170" s="125">
        <f>IF('Quant. mod. (oc)'!AC170&lt;0,0,ROUND('Quant. mod. (oc)'!AC170,0))</f>
        <v>0</v>
      </c>
      <c r="AD170" s="125">
        <f>IF('Quant. mod. (oc)'!AD170&lt;0,0,ROUND('Quant. mod. (oc)'!AD170,0))</f>
        <v>1</v>
      </c>
      <c r="AE170" s="125">
        <f>IF('Quant. mod. (oc)'!AE170&lt;0,0,ROUND('Quant. mod. (oc)'!AE170,0))</f>
        <v>0</v>
      </c>
      <c r="AF170" s="125">
        <f>IF('Quant. mod. (oc)'!AF170&lt;0,0,ROUND('Quant. mod. (oc)'!AF170,0))</f>
        <v>1</v>
      </c>
      <c r="AG170" s="126">
        <f>IF('Quant. mod. (oc)'!AG170&lt;0,0,ROUND('Quant. mod. (oc)'!AG170,0))</f>
        <v>0</v>
      </c>
      <c r="AH170" s="22"/>
    </row>
    <row r="171" spans="1:34" x14ac:dyDescent="0.25">
      <c r="A171" s="112"/>
      <c r="B171" s="27" t="s">
        <v>535</v>
      </c>
      <c r="C171" s="125" t="s">
        <v>57</v>
      </c>
      <c r="D171" s="125">
        <f>IF('Quant. mod. (oc)'!D171&lt;0,0,'Quant. mod. (oc)'!D171)</f>
        <v>5.23</v>
      </c>
      <c r="E171" s="125">
        <f>IF('Quant. mod. (oc)'!E171&lt;0,0,'Quant. mod. (oc)'!E171)</f>
        <v>0</v>
      </c>
      <c r="F171" s="125">
        <f>IF('Quant. mod. (oc)'!F171&lt;0,0,'Quant. mod. (oc)'!F171)</f>
        <v>0</v>
      </c>
      <c r="G171" s="125">
        <f>IF('Quant. mod. (oc)'!G171&lt;0,0,'Quant. mod. (oc)'!G171)</f>
        <v>5.23</v>
      </c>
      <c r="H171" s="125">
        <f>IF('Quant. mod. (oc)'!H171&lt;0,0,'Quant. mod. (oc)'!H171)</f>
        <v>0</v>
      </c>
      <c r="I171" s="125">
        <f>IF('Quant. mod. (oc)'!I171&lt;0,0,'Quant. mod. (oc)'!I171)</f>
        <v>0</v>
      </c>
      <c r="J171" s="125">
        <f>IF('Quant. mod. (oc)'!J171&lt;0,0,'Quant. mod. (oc)'!J171)</f>
        <v>5.23</v>
      </c>
      <c r="K171" s="125">
        <f>IF('Quant. mod. (oc)'!K171&lt;0,0,'Quant. mod. (oc)'!K171)</f>
        <v>0</v>
      </c>
      <c r="L171" s="125">
        <f>IF('Quant. mod. (oc)'!L171&lt;0,0,'Quant. mod. (oc)'!L171)</f>
        <v>5.23</v>
      </c>
      <c r="M171" s="125">
        <f>IF('Quant. mod. (oc)'!M171&lt;0,0,'Quant. mod. (oc)'!M171)</f>
        <v>0</v>
      </c>
      <c r="N171" s="125">
        <f>IF('Quant. mod. (oc)'!N171&lt;0,0,'Quant. mod. (oc)'!N171)</f>
        <v>5.23</v>
      </c>
      <c r="O171" s="125">
        <f>IF('Quant. mod. (oc)'!O171&lt;0,0,'Quant. mod. (oc)'!O171)</f>
        <v>0</v>
      </c>
      <c r="P171" s="125">
        <f>IF('Quant. mod. (oc)'!P171&lt;0,0,'Quant. mod. (oc)'!P171)</f>
        <v>0</v>
      </c>
      <c r="Q171" s="125">
        <f>IF('Quant. mod. (oc)'!Q171&lt;0,0,'Quant. mod. (oc)'!Q171)</f>
        <v>5.23</v>
      </c>
      <c r="R171" s="125">
        <f>IF('Quant. mod. (oc)'!R171&lt;0,0,'Quant. mod. (oc)'!R171)</f>
        <v>0</v>
      </c>
      <c r="S171" s="125">
        <f>IF('Quant. mod. (oc)'!S171&lt;0,0,'Quant. mod. (oc)'!S171)</f>
        <v>0</v>
      </c>
      <c r="T171" s="125">
        <f>IF('Quant. mod. (oc)'!T171&lt;0,0,'Quant. mod. (oc)'!T171)</f>
        <v>5.23</v>
      </c>
      <c r="U171" s="125">
        <f>IF('Quant. mod. (oc)'!U171&lt;0,0,'Quant. mod. (oc)'!U171)</f>
        <v>0</v>
      </c>
      <c r="V171" s="125">
        <f>IF('Quant. mod. (oc)'!V171&lt;0,0,'Quant. mod. (oc)'!V171)</f>
        <v>5.23</v>
      </c>
      <c r="W171" s="125">
        <f>IF('Quant. mod. (oc)'!W171&lt;0,0,'Quant. mod. (oc)'!W171)</f>
        <v>0</v>
      </c>
      <c r="X171" s="125">
        <f>IF('Quant. mod. (oc)'!X171&lt;0,0,'Quant. mod. (oc)'!X171)</f>
        <v>5.23</v>
      </c>
      <c r="Y171" s="125">
        <f>IF('Quant. mod. (oc)'!Y171&lt;0,0,'Quant. mod. (oc)'!Y171)</f>
        <v>0</v>
      </c>
      <c r="Z171" s="125">
        <f>IF('Quant. mod. (oc)'!Z171&lt;0,0,'Quant. mod. (oc)'!Z171)</f>
        <v>0</v>
      </c>
      <c r="AA171" s="125">
        <f>IF('Quant. mod. (oc)'!AA171&lt;0,0,'Quant. mod. (oc)'!AA171)</f>
        <v>5.23</v>
      </c>
      <c r="AB171" s="125">
        <f>IF('Quant. mod. (oc)'!AB171&lt;0,0,'Quant. mod. (oc)'!AB171)</f>
        <v>0</v>
      </c>
      <c r="AC171" s="125">
        <f>IF('Quant. mod. (oc)'!AC171&lt;0,0,'Quant. mod. (oc)'!AC171)</f>
        <v>0</v>
      </c>
      <c r="AD171" s="125">
        <f>IF('Quant. mod. (oc)'!AD171&lt;0,0,'Quant. mod. (oc)'!AD171)</f>
        <v>5.23</v>
      </c>
      <c r="AE171" s="125">
        <f>IF('Quant. mod. (oc)'!AE171&lt;0,0,'Quant. mod. (oc)'!AE171)</f>
        <v>0</v>
      </c>
      <c r="AF171" s="125">
        <f>IF('Quant. mod. (oc)'!AF171&lt;0,0,'Quant. mod. (oc)'!AF171)</f>
        <v>5.23</v>
      </c>
      <c r="AG171" s="126">
        <f>IF('Quant. mod. (oc)'!AG171&lt;0,0,'Quant. mod. (oc)'!AG171)</f>
        <v>0</v>
      </c>
      <c r="AH171" s="22"/>
    </row>
    <row r="172" spans="1:34" x14ac:dyDescent="0.25">
      <c r="A172" s="132"/>
      <c r="B172" s="120" t="s">
        <v>549</v>
      </c>
      <c r="C172" s="121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8"/>
      <c r="AH172" s="22"/>
    </row>
    <row r="173" spans="1:34" ht="25.5" x14ac:dyDescent="0.25">
      <c r="A173" s="112"/>
      <c r="B173" s="270" t="s">
        <v>294</v>
      </c>
      <c r="C173" s="133" t="s">
        <v>65</v>
      </c>
      <c r="D173" s="125">
        <f>IF('Quant. mod. (oc)'!D173&lt;0,0,'Quant. mod. (oc)'!D173)</f>
        <v>12.389699999999998</v>
      </c>
      <c r="E173" s="125">
        <f>IF('Quant. mod. (oc)'!E173&lt;0,0,'Quant. mod. (oc)'!E173)</f>
        <v>0</v>
      </c>
      <c r="F173" s="125">
        <f>IF('Quant. mod. (oc)'!F173&lt;0,0,'Quant. mod. (oc)'!F173)</f>
        <v>0</v>
      </c>
      <c r="G173" s="125">
        <f>IF('Quant. mod. (oc)'!G173&lt;0,0,'Quant. mod. (oc)'!G173)</f>
        <v>12.389699999999998</v>
      </c>
      <c r="H173" s="125">
        <f>IF('Quant. mod. (oc)'!H173&lt;0,0,'Quant. mod. (oc)'!H173)</f>
        <v>0</v>
      </c>
      <c r="I173" s="125">
        <f>IF('Quant. mod. (oc)'!I173&lt;0,0,'Quant. mod. (oc)'!I173)</f>
        <v>0</v>
      </c>
      <c r="J173" s="125">
        <f>IF('Quant. mod. (oc)'!J173&lt;0,0,'Quant. mod. (oc)'!J173)</f>
        <v>6.7821999999999996</v>
      </c>
      <c r="K173" s="125">
        <f>IF('Quant. mod. (oc)'!K173&lt;0,0,'Quant. mod. (oc)'!K173)</f>
        <v>0</v>
      </c>
      <c r="L173" s="125">
        <f>IF('Quant. mod. (oc)'!L173&lt;0,0,'Quant. mod. (oc)'!L173)</f>
        <v>6.7821999999999996</v>
      </c>
      <c r="M173" s="125">
        <f>IF('Quant. mod. (oc)'!M173&lt;0,0,'Quant. mod. (oc)'!M173)</f>
        <v>0</v>
      </c>
      <c r="N173" s="125">
        <f>IF('Quant. mod. (oc)'!N173&lt;0,0,'Quant. mod. (oc)'!N173)</f>
        <v>7.3214999999999995</v>
      </c>
      <c r="O173" s="125">
        <f>IF('Quant. mod. (oc)'!O173&lt;0,0,'Quant. mod. (oc)'!O173)</f>
        <v>0</v>
      </c>
      <c r="P173" s="125">
        <f>IF('Quant. mod. (oc)'!P173&lt;0,0,'Quant. mod. (oc)'!P173)</f>
        <v>0</v>
      </c>
      <c r="Q173" s="125">
        <f>IF('Quant. mod. (oc)'!Q173&lt;0,0,'Quant. mod. (oc)'!Q173)</f>
        <v>7.3214999999999995</v>
      </c>
      <c r="R173" s="125">
        <f>IF('Quant. mod. (oc)'!R173&lt;0,0,'Quant. mod. (oc)'!R173)</f>
        <v>0</v>
      </c>
      <c r="S173" s="125">
        <f>IF('Quant. mod. (oc)'!S173&lt;0,0,'Quant. mod. (oc)'!S173)</f>
        <v>0</v>
      </c>
      <c r="T173" s="125">
        <f>IF('Quant. mod. (oc)'!T173&lt;0,0,'Quant. mod. (oc)'!T173)</f>
        <v>3.7370000000000001</v>
      </c>
      <c r="U173" s="125">
        <f>IF('Quant. mod. (oc)'!U173&lt;0,0,'Quant. mod. (oc)'!U173)</f>
        <v>0</v>
      </c>
      <c r="V173" s="125">
        <f>IF('Quant. mod. (oc)'!V173&lt;0,0,'Quant. mod. (oc)'!V173)</f>
        <v>3.7370000000000001</v>
      </c>
      <c r="W173" s="125">
        <f>IF('Quant. mod. (oc)'!W173&lt;0,0,'Quant. mod. (oc)'!W173)</f>
        <v>0</v>
      </c>
      <c r="X173" s="125">
        <f>IF('Quant. mod. (oc)'!X173&lt;0,0,'Quant. mod. (oc)'!X173)</f>
        <v>7.3267000000000007</v>
      </c>
      <c r="Y173" s="125">
        <f>IF('Quant. mod. (oc)'!Y173&lt;0,0,'Quant. mod. (oc)'!Y173)</f>
        <v>0</v>
      </c>
      <c r="Z173" s="125">
        <f>IF('Quant. mod. (oc)'!Z173&lt;0,0,'Quant. mod. (oc)'!Z173)</f>
        <v>0</v>
      </c>
      <c r="AA173" s="125">
        <f>IF('Quant. mod. (oc)'!AA173&lt;0,0,'Quant. mod. (oc)'!AA173)</f>
        <v>7.3267000000000007</v>
      </c>
      <c r="AB173" s="125">
        <f>IF('Quant. mod. (oc)'!AB173&lt;0,0,'Quant. mod. (oc)'!AB173)</f>
        <v>0</v>
      </c>
      <c r="AC173" s="125">
        <f>IF('Quant. mod. (oc)'!AC173&lt;0,0,'Quant. mod. (oc)'!AC173)</f>
        <v>0</v>
      </c>
      <c r="AD173" s="125">
        <f>IF('Quant. mod. (oc)'!AD173&lt;0,0,'Quant. mod. (oc)'!AD173)</f>
        <v>3.7513999999999994</v>
      </c>
      <c r="AE173" s="125">
        <f>IF('Quant. mod. (oc)'!AE173&lt;0,0,'Quant. mod. (oc)'!AE173)</f>
        <v>0</v>
      </c>
      <c r="AF173" s="125">
        <f>IF('Quant. mod. (oc)'!AF173&lt;0,0,'Quant. mod. (oc)'!AF173)</f>
        <v>3.7513999999999994</v>
      </c>
      <c r="AG173" s="126">
        <f>IF('Quant. mod. (oc)'!AG173&lt;0,0,'Quant. mod. (oc)'!AG173)</f>
        <v>0</v>
      </c>
      <c r="AH173" s="22"/>
    </row>
    <row r="174" spans="1:34" x14ac:dyDescent="0.25">
      <c r="A174" s="112"/>
      <c r="B174" s="270" t="s">
        <v>290</v>
      </c>
      <c r="C174" s="133" t="s">
        <v>63</v>
      </c>
      <c r="D174" s="125">
        <f>IF('Quant. mod. (oc)'!D174&lt;0,0,'Quant. mod. (oc)'!D174)</f>
        <v>4.9516999999999998</v>
      </c>
      <c r="E174" s="125">
        <f>IF('Quant. mod. (oc)'!E174&lt;0,0,'Quant. mod. (oc)'!E174)</f>
        <v>0</v>
      </c>
      <c r="F174" s="125">
        <f>IF('Quant. mod. (oc)'!F174&lt;0,0,'Quant. mod. (oc)'!F174)</f>
        <v>0</v>
      </c>
      <c r="G174" s="125">
        <f>IF('Quant. mod. (oc)'!G174&lt;0,0,'Quant. mod. (oc)'!G174)</f>
        <v>4.9516999999999998</v>
      </c>
      <c r="H174" s="125">
        <f>IF('Quant. mod. (oc)'!H174&lt;0,0,'Quant. mod. (oc)'!H174)</f>
        <v>0</v>
      </c>
      <c r="I174" s="125">
        <f>IF('Quant. mod. (oc)'!I174&lt;0,0,'Quant. mod. (oc)'!I174)</f>
        <v>0</v>
      </c>
      <c r="J174" s="125">
        <f>IF('Quant. mod. (oc)'!J174&lt;0,0,'Quant. mod. (oc)'!J174)</f>
        <v>2.7167000000000003</v>
      </c>
      <c r="K174" s="125">
        <f>IF('Quant. mod. (oc)'!K174&lt;0,0,'Quant. mod. (oc)'!K174)</f>
        <v>0</v>
      </c>
      <c r="L174" s="125">
        <f>IF('Quant. mod. (oc)'!L174&lt;0,0,'Quant. mod. (oc)'!L174)</f>
        <v>2.7167000000000003</v>
      </c>
      <c r="M174" s="125">
        <f>IF('Quant. mod. (oc)'!M174&lt;0,0,'Quant. mod. (oc)'!M174)</f>
        <v>0</v>
      </c>
      <c r="N174" s="125">
        <f>IF('Quant. mod. (oc)'!N174&lt;0,0,'Quant. mod. (oc)'!N174)</f>
        <v>2.9308000000000001</v>
      </c>
      <c r="O174" s="125">
        <f>IF('Quant. mod. (oc)'!O174&lt;0,0,'Quant. mod. (oc)'!O174)</f>
        <v>0</v>
      </c>
      <c r="P174" s="125">
        <f>IF('Quant. mod. (oc)'!P174&lt;0,0,'Quant. mod. (oc)'!P174)</f>
        <v>0</v>
      </c>
      <c r="Q174" s="125">
        <f>IF('Quant. mod. (oc)'!Q174&lt;0,0,'Quant. mod. (oc)'!Q174)</f>
        <v>2.9308000000000001</v>
      </c>
      <c r="R174" s="125">
        <f>IF('Quant. mod. (oc)'!R174&lt;0,0,'Quant. mod. (oc)'!R174)</f>
        <v>0</v>
      </c>
      <c r="S174" s="125">
        <f>IF('Quant. mod. (oc)'!S174&lt;0,0,'Quant. mod. (oc)'!S174)</f>
        <v>0</v>
      </c>
      <c r="T174" s="125">
        <f>IF('Quant. mod. (oc)'!T174&lt;0,0,'Quant. mod. (oc)'!T174)</f>
        <v>1.4927999999999999</v>
      </c>
      <c r="U174" s="125">
        <f>IF('Quant. mod. (oc)'!U174&lt;0,0,'Quant. mod. (oc)'!U174)</f>
        <v>0</v>
      </c>
      <c r="V174" s="125">
        <f>IF('Quant. mod. (oc)'!V174&lt;0,0,'Quant. mod. (oc)'!V174)</f>
        <v>1.4927999999999999</v>
      </c>
      <c r="W174" s="125">
        <f>IF('Quant. mod. (oc)'!W174&lt;0,0,'Quant. mod. (oc)'!W174)</f>
        <v>0</v>
      </c>
      <c r="X174" s="125">
        <f>IF('Quant. mod. (oc)'!X174&lt;0,0,'Quant. mod. (oc)'!X174)</f>
        <v>2.9325000000000001</v>
      </c>
      <c r="Y174" s="125">
        <f>IF('Quant. mod. (oc)'!Y174&lt;0,0,'Quant. mod. (oc)'!Y174)</f>
        <v>0</v>
      </c>
      <c r="Z174" s="125">
        <f>IF('Quant. mod. (oc)'!Z174&lt;0,0,'Quant. mod. (oc)'!Z174)</f>
        <v>0</v>
      </c>
      <c r="AA174" s="125">
        <f>IF('Quant. mod. (oc)'!AA174&lt;0,0,'Quant. mod. (oc)'!AA174)</f>
        <v>2.9325000000000001</v>
      </c>
      <c r="AB174" s="125">
        <f>IF('Quant. mod. (oc)'!AB174&lt;0,0,'Quant. mod. (oc)'!AB174)</f>
        <v>0</v>
      </c>
      <c r="AC174" s="125">
        <f>IF('Quant. mod. (oc)'!AC174&lt;0,0,'Quant. mod. (oc)'!AC174)</f>
        <v>0</v>
      </c>
      <c r="AD174" s="125">
        <f>IF('Quant. mod. (oc)'!AD174&lt;0,0,'Quant. mod. (oc)'!AD174)</f>
        <v>1.4952000000000001</v>
      </c>
      <c r="AE174" s="125">
        <f>IF('Quant. mod. (oc)'!AE174&lt;0,0,'Quant. mod. (oc)'!AE174)</f>
        <v>0</v>
      </c>
      <c r="AF174" s="125">
        <f>IF('Quant. mod. (oc)'!AF174&lt;0,0,'Quant. mod. (oc)'!AF174)</f>
        <v>1.4952000000000001</v>
      </c>
      <c r="AG174" s="126">
        <f>IF('Quant. mod. (oc)'!AG174&lt;0,0,'Quant. mod. (oc)'!AG174)</f>
        <v>0</v>
      </c>
      <c r="AH174" s="22"/>
    </row>
    <row r="175" spans="1:34" ht="25.5" x14ac:dyDescent="0.25">
      <c r="A175" s="112"/>
      <c r="B175" s="270" t="s">
        <v>295</v>
      </c>
      <c r="C175" s="133" t="s">
        <v>57</v>
      </c>
      <c r="D175" s="125">
        <f>IF('Quant. mod. (oc)'!D175&lt;0,0,'Quant. mod. (oc)'!D175)</f>
        <v>278.91000000000003</v>
      </c>
      <c r="E175" s="125">
        <f>IF('Quant. mod. (oc)'!E175&lt;0,0,'Quant. mod. (oc)'!E175)</f>
        <v>0</v>
      </c>
      <c r="F175" s="125">
        <f>IF('Quant. mod. (oc)'!F175&lt;0,0,'Quant. mod. (oc)'!F175)</f>
        <v>0</v>
      </c>
      <c r="G175" s="125">
        <f>IF('Quant. mod. (oc)'!G175&lt;0,0,'Quant. mod. (oc)'!G175)</f>
        <v>278.91000000000003</v>
      </c>
      <c r="H175" s="125">
        <f>IF('Quant. mod. (oc)'!H175&lt;0,0,'Quant. mod. (oc)'!H175)</f>
        <v>0</v>
      </c>
      <c r="I175" s="125">
        <f>IF('Quant. mod. (oc)'!I175&lt;0,0,'Quant. mod. (oc)'!I175)</f>
        <v>0</v>
      </c>
      <c r="J175" s="125">
        <f>IF('Quant. mod. (oc)'!J175&lt;0,0,'Quant. mod. (oc)'!J175)</f>
        <v>87.110000000000014</v>
      </c>
      <c r="K175" s="125">
        <f>IF('Quant. mod. (oc)'!K175&lt;0,0,'Quant. mod. (oc)'!K175)</f>
        <v>0</v>
      </c>
      <c r="L175" s="125">
        <f>IF('Quant. mod. (oc)'!L175&lt;0,0,'Quant. mod. (oc)'!L175)</f>
        <v>87.110000000000014</v>
      </c>
      <c r="M175" s="125">
        <f>IF('Quant. mod. (oc)'!M175&lt;0,0,'Quant. mod. (oc)'!M175)</f>
        <v>0</v>
      </c>
      <c r="N175" s="125">
        <f>IF('Quant. mod. (oc)'!N175&lt;0,0,'Quant. mod. (oc)'!N175)</f>
        <v>174.94200000000001</v>
      </c>
      <c r="O175" s="125">
        <f>IF('Quant. mod. (oc)'!O175&lt;0,0,'Quant. mod. (oc)'!O175)</f>
        <v>0</v>
      </c>
      <c r="P175" s="125">
        <f>IF('Quant. mod. (oc)'!P175&lt;0,0,'Quant. mod. (oc)'!P175)</f>
        <v>0</v>
      </c>
      <c r="Q175" s="125">
        <f>IF('Quant. mod. (oc)'!Q175&lt;0,0,'Quant. mod. (oc)'!Q175)</f>
        <v>174.94200000000001</v>
      </c>
      <c r="R175" s="125">
        <f>IF('Quant. mod. (oc)'!R175&lt;0,0,'Quant. mod. (oc)'!R175)</f>
        <v>0</v>
      </c>
      <c r="S175" s="125">
        <f>IF('Quant. mod. (oc)'!S175&lt;0,0,'Quant. mod. (oc)'!S175)</f>
        <v>0</v>
      </c>
      <c r="T175" s="125">
        <f>IF('Quant. mod. (oc)'!T175&lt;0,0,'Quant. mod. (oc)'!T175)</f>
        <v>57.724000000000004</v>
      </c>
      <c r="U175" s="125">
        <f>IF('Quant. mod. (oc)'!U175&lt;0,0,'Quant. mod. (oc)'!U175)</f>
        <v>0</v>
      </c>
      <c r="V175" s="125">
        <f>IF('Quant. mod. (oc)'!V175&lt;0,0,'Quant. mod. (oc)'!V175)</f>
        <v>57.724000000000004</v>
      </c>
      <c r="W175" s="125">
        <f>IF('Quant. mod. (oc)'!W175&lt;0,0,'Quant. mod. (oc)'!W175)</f>
        <v>0</v>
      </c>
      <c r="X175" s="125">
        <f>IF('Quant. mod. (oc)'!X175&lt;0,0,'Quant. mod. (oc)'!X175)</f>
        <v>175.00800000000001</v>
      </c>
      <c r="Y175" s="125">
        <f>IF('Quant. mod. (oc)'!Y175&lt;0,0,'Quant. mod. (oc)'!Y175)</f>
        <v>0</v>
      </c>
      <c r="Z175" s="125">
        <f>IF('Quant. mod. (oc)'!Z175&lt;0,0,'Quant. mod. (oc)'!Z175)</f>
        <v>0</v>
      </c>
      <c r="AA175" s="125">
        <f>IF('Quant. mod. (oc)'!AA175&lt;0,0,'Quant. mod. (oc)'!AA175)</f>
        <v>175.00800000000001</v>
      </c>
      <c r="AB175" s="125">
        <f>IF('Quant. mod. (oc)'!AB175&lt;0,0,'Quant. mod. (oc)'!AB175)</f>
        <v>0</v>
      </c>
      <c r="AC175" s="125">
        <f>IF('Quant. mod. (oc)'!AC175&lt;0,0,'Quant. mod. (oc)'!AC175)</f>
        <v>0</v>
      </c>
      <c r="AD175" s="125">
        <f>IF('Quant. mod. (oc)'!AD175&lt;0,0,'Quant. mod. (oc)'!AD175)</f>
        <v>57.798000000000002</v>
      </c>
      <c r="AE175" s="125">
        <f>IF('Quant. mod. (oc)'!AE175&lt;0,0,'Quant. mod. (oc)'!AE175)</f>
        <v>0</v>
      </c>
      <c r="AF175" s="125">
        <f>IF('Quant. mod. (oc)'!AF175&lt;0,0,'Quant. mod. (oc)'!AF175)</f>
        <v>57.798000000000002</v>
      </c>
      <c r="AG175" s="126">
        <f>IF('Quant. mod. (oc)'!AG175&lt;0,0,'Quant. mod. (oc)'!AG175)</f>
        <v>0</v>
      </c>
      <c r="AH175" s="22"/>
    </row>
    <row r="176" spans="1:34" ht="51" x14ac:dyDescent="0.25">
      <c r="A176" s="112"/>
      <c r="B176" s="69" t="s">
        <v>462</v>
      </c>
      <c r="C176" s="133" t="s">
        <v>57</v>
      </c>
      <c r="D176" s="125">
        <f>IF('Quant. mod. (oc)'!D176&lt;0,0,'Quant. mod. (oc)'!D176)</f>
        <v>0</v>
      </c>
      <c r="E176" s="125">
        <f>IF('Quant. mod. (oc)'!E176&lt;0,0,'Quant. mod. (oc)'!E176)</f>
        <v>0</v>
      </c>
      <c r="F176" s="125">
        <f>IF('Quant. mod. (oc)'!F176&lt;0,0,'Quant. mod. (oc)'!F176)</f>
        <v>0</v>
      </c>
      <c r="G176" s="125">
        <f>IF('Quant. mod. (oc)'!G176&lt;0,0,'Quant. mod. (oc)'!G176)</f>
        <v>0</v>
      </c>
      <c r="H176" s="125">
        <f>IF('Quant. mod. (oc)'!H176&lt;0,0,'Quant. mod. (oc)'!H176)</f>
        <v>0</v>
      </c>
      <c r="I176" s="125">
        <f>IF('Quant. mod. (oc)'!I176&lt;0,0,'Quant. mod. (oc)'!I176)</f>
        <v>0</v>
      </c>
      <c r="J176" s="125">
        <f>IF('Quant. mod. (oc)'!J176&lt;0,0,'Quant. mod. (oc)'!J176)</f>
        <v>37.35</v>
      </c>
      <c r="K176" s="125">
        <f>IF('Quant. mod. (oc)'!K176&lt;0,0,'Quant. mod. (oc)'!K176)</f>
        <v>0</v>
      </c>
      <c r="L176" s="125">
        <f>IF('Quant. mod. (oc)'!L176&lt;0,0,'Quant. mod. (oc)'!L176)</f>
        <v>37.35</v>
      </c>
      <c r="M176" s="125">
        <f>IF('Quant. mod. (oc)'!M176&lt;0,0,'Quant. mod. (oc)'!M176)</f>
        <v>0</v>
      </c>
      <c r="N176" s="125">
        <f>IF('Quant. mod. (oc)'!N176&lt;0,0,'Quant. mod. (oc)'!N176)</f>
        <v>0</v>
      </c>
      <c r="O176" s="125">
        <f>IF('Quant. mod. (oc)'!O176&lt;0,0,'Quant. mod. (oc)'!O176)</f>
        <v>0</v>
      </c>
      <c r="P176" s="125">
        <f>IF('Quant. mod. (oc)'!P176&lt;0,0,'Quant. mod. (oc)'!P176)</f>
        <v>0</v>
      </c>
      <c r="Q176" s="125">
        <f>IF('Quant. mod. (oc)'!Q176&lt;0,0,'Quant. mod. (oc)'!Q176)</f>
        <v>0</v>
      </c>
      <c r="R176" s="125">
        <f>IF('Quant. mod. (oc)'!R176&lt;0,0,'Quant. mod. (oc)'!R176)</f>
        <v>0</v>
      </c>
      <c r="S176" s="125">
        <f>IF('Quant. mod. (oc)'!S176&lt;0,0,'Quant. mod. (oc)'!S176)</f>
        <v>0</v>
      </c>
      <c r="T176" s="125">
        <f>IF('Quant. mod. (oc)'!T176&lt;0,0,'Quant. mod. (oc)'!T176)</f>
        <v>23.85</v>
      </c>
      <c r="U176" s="125">
        <f>IF('Quant. mod. (oc)'!U176&lt;0,0,'Quant. mod. (oc)'!U176)</f>
        <v>0</v>
      </c>
      <c r="V176" s="125">
        <f>IF('Quant. mod. (oc)'!V176&lt;0,0,'Quant. mod. (oc)'!V176)</f>
        <v>23.85</v>
      </c>
      <c r="W176" s="125">
        <f>IF('Quant. mod. (oc)'!W176&lt;0,0,'Quant. mod. (oc)'!W176)</f>
        <v>0</v>
      </c>
      <c r="X176" s="125">
        <f>IF('Quant. mod. (oc)'!X176&lt;0,0,'Quant. mod. (oc)'!X176)</f>
        <v>0</v>
      </c>
      <c r="Y176" s="125">
        <f>IF('Quant. mod. (oc)'!Y176&lt;0,0,'Quant. mod. (oc)'!Y176)</f>
        <v>0</v>
      </c>
      <c r="Z176" s="125">
        <f>IF('Quant. mod. (oc)'!Z176&lt;0,0,'Quant. mod. (oc)'!Z176)</f>
        <v>0</v>
      </c>
      <c r="AA176" s="125">
        <f>IF('Quant. mod. (oc)'!AA176&lt;0,0,'Quant. mod. (oc)'!AA176)</f>
        <v>0</v>
      </c>
      <c r="AB176" s="125">
        <f>IF('Quant. mod. (oc)'!AB176&lt;0,0,'Quant. mod. (oc)'!AB176)</f>
        <v>0</v>
      </c>
      <c r="AC176" s="125">
        <f>IF('Quant. mod. (oc)'!AC176&lt;0,0,'Quant. mod. (oc)'!AC176)</f>
        <v>0</v>
      </c>
      <c r="AD176" s="125">
        <f>IF('Quant. mod. (oc)'!AD176&lt;0,0,'Quant. mod. (oc)'!AD176)</f>
        <v>23.85</v>
      </c>
      <c r="AE176" s="125">
        <f>IF('Quant. mod. (oc)'!AE176&lt;0,0,'Quant. mod. (oc)'!AE176)</f>
        <v>0</v>
      </c>
      <c r="AF176" s="125">
        <f>IF('Quant. mod. (oc)'!AF176&lt;0,0,'Quant. mod. (oc)'!AF176)</f>
        <v>23.85</v>
      </c>
      <c r="AG176" s="126">
        <f>IF('Quant. mod. (oc)'!AG176&lt;0,0,'Quant. mod. (oc)'!AG176)</f>
        <v>0</v>
      </c>
      <c r="AH176" s="22"/>
    </row>
    <row r="177" spans="1:34" ht="25.5" x14ac:dyDescent="0.25">
      <c r="A177" s="112"/>
      <c r="B177" s="69" t="s">
        <v>459</v>
      </c>
      <c r="C177" s="133" t="s">
        <v>57</v>
      </c>
      <c r="D177" s="125">
        <f>IF('Quant. mod. (oc)'!D177&lt;0,0,'Quant. mod. (oc)'!D177)</f>
        <v>0</v>
      </c>
      <c r="E177" s="125">
        <f>IF('Quant. mod. (oc)'!E177&lt;0,0,'Quant. mod. (oc)'!E177)</f>
        <v>0</v>
      </c>
      <c r="F177" s="125">
        <f>IF('Quant. mod. (oc)'!F177&lt;0,0,'Quant. mod. (oc)'!F177)</f>
        <v>0</v>
      </c>
      <c r="G177" s="125">
        <f>IF('Quant. mod. (oc)'!G177&lt;0,0,'Quant. mod. (oc)'!G177)</f>
        <v>0</v>
      </c>
      <c r="H177" s="125">
        <f>IF('Quant. mod. (oc)'!H177&lt;0,0,'Quant. mod. (oc)'!H177)</f>
        <v>0</v>
      </c>
      <c r="I177" s="125">
        <f>IF('Quant. mod. (oc)'!I177&lt;0,0,'Quant. mod. (oc)'!I177)</f>
        <v>0</v>
      </c>
      <c r="J177" s="125">
        <f>IF('Quant. mod. (oc)'!J177&lt;0,0,'Quant. mod. (oc)'!J177)</f>
        <v>73.84</v>
      </c>
      <c r="K177" s="125">
        <f>IF('Quant. mod. (oc)'!K177&lt;0,0,'Quant. mod. (oc)'!K177)</f>
        <v>0</v>
      </c>
      <c r="L177" s="125">
        <f>IF('Quant. mod. (oc)'!L177&lt;0,0,'Quant. mod. (oc)'!L177)</f>
        <v>73.84</v>
      </c>
      <c r="M177" s="125">
        <f>IF('Quant. mod. (oc)'!M177&lt;0,0,'Quant. mod. (oc)'!M177)</f>
        <v>0</v>
      </c>
      <c r="N177" s="125">
        <f>IF('Quant. mod. (oc)'!N177&lt;0,0,'Quant. mod. (oc)'!N177)</f>
        <v>0</v>
      </c>
      <c r="O177" s="125">
        <f>IF('Quant. mod. (oc)'!O177&lt;0,0,'Quant. mod. (oc)'!O177)</f>
        <v>0</v>
      </c>
      <c r="P177" s="125">
        <f>IF('Quant. mod. (oc)'!P177&lt;0,0,'Quant. mod. (oc)'!P177)</f>
        <v>0</v>
      </c>
      <c r="Q177" s="125">
        <f>IF('Quant. mod. (oc)'!Q177&lt;0,0,'Quant. mod. (oc)'!Q177)</f>
        <v>0</v>
      </c>
      <c r="R177" s="125">
        <f>IF('Quant. mod. (oc)'!R177&lt;0,0,'Quant. mod. (oc)'!R177)</f>
        <v>0</v>
      </c>
      <c r="S177" s="125">
        <f>IF('Quant. mod. (oc)'!S177&lt;0,0,'Quant. mod. (oc)'!S177)</f>
        <v>0</v>
      </c>
      <c r="T177" s="125">
        <f>IF('Quant. mod. (oc)'!T177&lt;0,0,'Quant. mod. (oc)'!T177)</f>
        <v>39.04</v>
      </c>
      <c r="U177" s="125">
        <f>IF('Quant. mod. (oc)'!U177&lt;0,0,'Quant. mod. (oc)'!U177)</f>
        <v>0</v>
      </c>
      <c r="V177" s="125">
        <f>IF('Quant. mod. (oc)'!V177&lt;0,0,'Quant. mod. (oc)'!V177)</f>
        <v>39.04</v>
      </c>
      <c r="W177" s="125">
        <f>IF('Quant. mod. (oc)'!W177&lt;0,0,'Quant. mod. (oc)'!W177)</f>
        <v>0</v>
      </c>
      <c r="X177" s="125">
        <f>IF('Quant. mod. (oc)'!X177&lt;0,0,'Quant. mod. (oc)'!X177)</f>
        <v>0</v>
      </c>
      <c r="Y177" s="125">
        <f>IF('Quant. mod. (oc)'!Y177&lt;0,0,'Quant. mod. (oc)'!Y177)</f>
        <v>0</v>
      </c>
      <c r="Z177" s="125">
        <f>IF('Quant. mod. (oc)'!Z177&lt;0,0,'Quant. mod. (oc)'!Z177)</f>
        <v>0</v>
      </c>
      <c r="AA177" s="125">
        <f>IF('Quant. mod. (oc)'!AA177&lt;0,0,'Quant. mod. (oc)'!AA177)</f>
        <v>0</v>
      </c>
      <c r="AB177" s="125">
        <f>IF('Quant. mod. (oc)'!AB177&lt;0,0,'Quant. mod. (oc)'!AB177)</f>
        <v>0</v>
      </c>
      <c r="AC177" s="125">
        <f>IF('Quant. mod. (oc)'!AC177&lt;0,0,'Quant. mod. (oc)'!AC177)</f>
        <v>0</v>
      </c>
      <c r="AD177" s="125">
        <f>IF('Quant. mod. (oc)'!AD177&lt;0,0,'Quant. mod. (oc)'!AD177)</f>
        <v>39.04</v>
      </c>
      <c r="AE177" s="125">
        <f>IF('Quant. mod. (oc)'!AE177&lt;0,0,'Quant. mod. (oc)'!AE177)</f>
        <v>0</v>
      </c>
      <c r="AF177" s="125">
        <f>IF('Quant. mod. (oc)'!AF177&lt;0,0,'Quant. mod. (oc)'!AF177)</f>
        <v>39.04</v>
      </c>
      <c r="AG177" s="126">
        <f>IF('Quant. mod. (oc)'!AG177&lt;0,0,'Quant. mod. (oc)'!AG177)</f>
        <v>0</v>
      </c>
      <c r="AH177" s="22"/>
    </row>
    <row r="178" spans="1:34" ht="38.25" x14ac:dyDescent="0.25">
      <c r="A178" s="112"/>
      <c r="B178" s="69" t="s">
        <v>544</v>
      </c>
      <c r="C178" s="133" t="s">
        <v>57</v>
      </c>
      <c r="D178" s="125">
        <f>IF('Quant. mod. (oc)'!D178&lt;0,0,'Quant. mod. (oc)'!D178)</f>
        <v>0</v>
      </c>
      <c r="E178" s="125">
        <f>IF('Quant. mod. (oc)'!E178&lt;0,0,'Quant. mod. (oc)'!E178)</f>
        <v>0</v>
      </c>
      <c r="F178" s="125">
        <f>IF('Quant. mod. (oc)'!F178&lt;0,0,'Quant. mod. (oc)'!F178)</f>
        <v>0</v>
      </c>
      <c r="G178" s="125">
        <f>IF('Quant. mod. (oc)'!G178&lt;0,0,'Quant. mod. (oc)'!G178)</f>
        <v>0</v>
      </c>
      <c r="H178" s="125">
        <f>IF('Quant. mod. (oc)'!H178&lt;0,0,'Quant. mod. (oc)'!H178)</f>
        <v>0</v>
      </c>
      <c r="I178" s="125">
        <f>IF('Quant. mod. (oc)'!I178&lt;0,0,'Quant. mod. (oc)'!I178)</f>
        <v>0</v>
      </c>
      <c r="J178" s="125">
        <f>IF('Quant. mod. (oc)'!J178&lt;0,0,'Quant. mod. (oc)'!J178)</f>
        <v>34.020000000000003</v>
      </c>
      <c r="K178" s="125">
        <f>IF('Quant. mod. (oc)'!K178&lt;0,0,'Quant. mod. (oc)'!K178)</f>
        <v>0</v>
      </c>
      <c r="L178" s="125">
        <f>IF('Quant. mod. (oc)'!L178&lt;0,0,'Quant. mod. (oc)'!L178)</f>
        <v>34.020000000000003</v>
      </c>
      <c r="M178" s="125">
        <f>IF('Quant. mod. (oc)'!M178&lt;0,0,'Quant. mod. (oc)'!M178)</f>
        <v>0</v>
      </c>
      <c r="N178" s="125">
        <f>IF('Quant. mod. (oc)'!N178&lt;0,0,'Quant. mod. (oc)'!N178)</f>
        <v>0</v>
      </c>
      <c r="O178" s="125">
        <f>IF('Quant. mod. (oc)'!O178&lt;0,0,'Quant. mod. (oc)'!O178)</f>
        <v>0</v>
      </c>
      <c r="P178" s="125">
        <f>IF('Quant. mod. (oc)'!P178&lt;0,0,'Quant. mod. (oc)'!P178)</f>
        <v>0</v>
      </c>
      <c r="Q178" s="125">
        <f>IF('Quant. mod. (oc)'!Q178&lt;0,0,'Quant. mod. (oc)'!Q178)</f>
        <v>0</v>
      </c>
      <c r="R178" s="125">
        <f>IF('Quant. mod. (oc)'!R178&lt;0,0,'Quant. mod. (oc)'!R178)</f>
        <v>0</v>
      </c>
      <c r="S178" s="125">
        <f>IF('Quant. mod. (oc)'!S178&lt;0,0,'Quant. mod. (oc)'!S178)</f>
        <v>0</v>
      </c>
      <c r="T178" s="125">
        <f>IF('Quant. mod. (oc)'!T178&lt;0,0,'Quant. mod. (oc)'!T178)</f>
        <v>22.32</v>
      </c>
      <c r="U178" s="125">
        <f>IF('Quant. mod. (oc)'!U178&lt;0,0,'Quant. mod. (oc)'!U178)</f>
        <v>0</v>
      </c>
      <c r="V178" s="125">
        <f>IF('Quant. mod. (oc)'!V178&lt;0,0,'Quant. mod. (oc)'!V178)</f>
        <v>22.32</v>
      </c>
      <c r="W178" s="125">
        <f>IF('Quant. mod. (oc)'!W178&lt;0,0,'Quant. mod. (oc)'!W178)</f>
        <v>0</v>
      </c>
      <c r="X178" s="125">
        <f>IF('Quant. mod. (oc)'!X178&lt;0,0,'Quant. mod. (oc)'!X178)</f>
        <v>0</v>
      </c>
      <c r="Y178" s="125">
        <f>IF('Quant. mod. (oc)'!Y178&lt;0,0,'Quant. mod. (oc)'!Y178)</f>
        <v>0</v>
      </c>
      <c r="Z178" s="125">
        <f>IF('Quant. mod. (oc)'!Z178&lt;0,0,'Quant. mod. (oc)'!Z178)</f>
        <v>0</v>
      </c>
      <c r="AA178" s="125">
        <f>IF('Quant. mod. (oc)'!AA178&lt;0,0,'Quant. mod. (oc)'!AA178)</f>
        <v>0</v>
      </c>
      <c r="AB178" s="125">
        <f>IF('Quant. mod. (oc)'!AB178&lt;0,0,'Quant. mod. (oc)'!AB178)</f>
        <v>0</v>
      </c>
      <c r="AC178" s="125">
        <f>IF('Quant. mod. (oc)'!AC178&lt;0,0,'Quant. mod. (oc)'!AC178)</f>
        <v>0</v>
      </c>
      <c r="AD178" s="125">
        <f>IF('Quant. mod. (oc)'!AD178&lt;0,0,'Quant. mod. (oc)'!AD178)</f>
        <v>22.32</v>
      </c>
      <c r="AE178" s="125">
        <f>IF('Quant. mod. (oc)'!AE178&lt;0,0,'Quant. mod. (oc)'!AE178)</f>
        <v>0</v>
      </c>
      <c r="AF178" s="125">
        <f>IF('Quant. mod. (oc)'!AF178&lt;0,0,'Quant. mod. (oc)'!AF178)</f>
        <v>22.32</v>
      </c>
      <c r="AG178" s="126">
        <f>IF('Quant. mod. (oc)'!AG178&lt;0,0,'Quant. mod. (oc)'!AG178)</f>
        <v>0</v>
      </c>
      <c r="AH178" s="22"/>
    </row>
    <row r="179" spans="1:34" ht="25.5" x14ac:dyDescent="0.25">
      <c r="A179" s="112"/>
      <c r="B179" s="69" t="s">
        <v>71</v>
      </c>
      <c r="C179" s="133" t="s">
        <v>57</v>
      </c>
      <c r="D179" s="125">
        <f>IF('Quant. mod. (oc)'!D179&lt;0,0,'Quant. mod. (oc)'!D179)</f>
        <v>0</v>
      </c>
      <c r="E179" s="125">
        <f>IF('Quant. mod. (oc)'!E179&lt;0,0,'Quant. mod. (oc)'!E179)</f>
        <v>0</v>
      </c>
      <c r="F179" s="125">
        <f>IF('Quant. mod. (oc)'!F179&lt;0,0,'Quant. mod. (oc)'!F179)</f>
        <v>0</v>
      </c>
      <c r="G179" s="125">
        <f>IF('Quant. mod. (oc)'!G179&lt;0,0,'Quant. mod. (oc)'!G179)</f>
        <v>0</v>
      </c>
      <c r="H179" s="125">
        <f>IF('Quant. mod. (oc)'!H179&lt;0,0,'Quant. mod. (oc)'!H179)</f>
        <v>0</v>
      </c>
      <c r="I179" s="125">
        <f>IF('Quant. mod. (oc)'!I179&lt;0,0,'Quant. mod. (oc)'!I179)</f>
        <v>0</v>
      </c>
      <c r="J179" s="125">
        <f>IF('Quant. mod. (oc)'!J179&lt;0,0,'Quant. mod. (oc)'!J179)</f>
        <v>34.020000000000003</v>
      </c>
      <c r="K179" s="125">
        <f>IF('Quant. mod. (oc)'!K179&lt;0,0,'Quant. mod. (oc)'!K179)</f>
        <v>0</v>
      </c>
      <c r="L179" s="125">
        <f>IF('Quant. mod. (oc)'!L179&lt;0,0,'Quant. mod. (oc)'!L179)</f>
        <v>34.020000000000003</v>
      </c>
      <c r="M179" s="125">
        <f>IF('Quant. mod. (oc)'!M179&lt;0,0,'Quant. mod. (oc)'!M179)</f>
        <v>0</v>
      </c>
      <c r="N179" s="125">
        <f>IF('Quant. mod. (oc)'!N179&lt;0,0,'Quant. mod. (oc)'!N179)</f>
        <v>0</v>
      </c>
      <c r="O179" s="125">
        <f>IF('Quant. mod. (oc)'!O179&lt;0,0,'Quant. mod. (oc)'!O179)</f>
        <v>0</v>
      </c>
      <c r="P179" s="125">
        <f>IF('Quant. mod. (oc)'!P179&lt;0,0,'Quant. mod. (oc)'!P179)</f>
        <v>0</v>
      </c>
      <c r="Q179" s="125">
        <f>IF('Quant. mod. (oc)'!Q179&lt;0,0,'Quant. mod. (oc)'!Q179)</f>
        <v>0</v>
      </c>
      <c r="R179" s="125">
        <f>IF('Quant. mod. (oc)'!R179&lt;0,0,'Quant. mod. (oc)'!R179)</f>
        <v>0</v>
      </c>
      <c r="S179" s="125">
        <f>IF('Quant. mod. (oc)'!S179&lt;0,0,'Quant. mod. (oc)'!S179)</f>
        <v>0</v>
      </c>
      <c r="T179" s="125">
        <f>IF('Quant. mod. (oc)'!T179&lt;0,0,'Quant. mod. (oc)'!T179)</f>
        <v>22.32</v>
      </c>
      <c r="U179" s="125">
        <f>IF('Quant. mod. (oc)'!U179&lt;0,0,'Quant. mod. (oc)'!U179)</f>
        <v>0</v>
      </c>
      <c r="V179" s="125">
        <f>IF('Quant. mod. (oc)'!V179&lt;0,0,'Quant. mod. (oc)'!V179)</f>
        <v>22.32</v>
      </c>
      <c r="W179" s="125">
        <f>IF('Quant. mod. (oc)'!W179&lt;0,0,'Quant. mod. (oc)'!W179)</f>
        <v>0</v>
      </c>
      <c r="X179" s="125">
        <f>IF('Quant. mod. (oc)'!X179&lt;0,0,'Quant. mod. (oc)'!X179)</f>
        <v>0</v>
      </c>
      <c r="Y179" s="125">
        <f>IF('Quant. mod. (oc)'!Y179&lt;0,0,'Quant. mod. (oc)'!Y179)</f>
        <v>0</v>
      </c>
      <c r="Z179" s="125">
        <f>IF('Quant. mod. (oc)'!Z179&lt;0,0,'Quant. mod. (oc)'!Z179)</f>
        <v>0</v>
      </c>
      <c r="AA179" s="125">
        <f>IF('Quant. mod. (oc)'!AA179&lt;0,0,'Quant. mod. (oc)'!AA179)</f>
        <v>0</v>
      </c>
      <c r="AB179" s="125">
        <f>IF('Quant. mod. (oc)'!AB179&lt;0,0,'Quant. mod. (oc)'!AB179)</f>
        <v>0</v>
      </c>
      <c r="AC179" s="125">
        <f>IF('Quant. mod. (oc)'!AC179&lt;0,0,'Quant. mod. (oc)'!AC179)</f>
        <v>0</v>
      </c>
      <c r="AD179" s="125">
        <f>IF('Quant. mod. (oc)'!AD179&lt;0,0,'Quant. mod. (oc)'!AD179)</f>
        <v>22.32</v>
      </c>
      <c r="AE179" s="125">
        <f>IF('Quant. mod. (oc)'!AE179&lt;0,0,'Quant. mod. (oc)'!AE179)</f>
        <v>0</v>
      </c>
      <c r="AF179" s="125">
        <f>IF('Quant. mod. (oc)'!AF179&lt;0,0,'Quant. mod. (oc)'!AF179)</f>
        <v>22.32</v>
      </c>
      <c r="AG179" s="126">
        <f>IF('Quant. mod. (oc)'!AG179&lt;0,0,'Quant. mod. (oc)'!AG179)</f>
        <v>0</v>
      </c>
      <c r="AH179" s="22"/>
    </row>
    <row r="180" spans="1:34" ht="25.5" x14ac:dyDescent="0.25">
      <c r="A180" s="112"/>
      <c r="B180" s="134" t="s">
        <v>73</v>
      </c>
      <c r="C180" s="133" t="s">
        <v>57</v>
      </c>
      <c r="D180" s="125">
        <f>IF('Quant. mod. (oc)'!D180&lt;0,0,'Quant. mod. (oc)'!D180)</f>
        <v>131.04</v>
      </c>
      <c r="E180" s="125">
        <f>IF('Quant. mod. (oc)'!E180&lt;0,0,'Quant. mod. (oc)'!E180)</f>
        <v>0</v>
      </c>
      <c r="F180" s="125">
        <f>IF('Quant. mod. (oc)'!F180&lt;0,0,'Quant. mod. (oc)'!F180)</f>
        <v>0</v>
      </c>
      <c r="G180" s="125">
        <f>IF('Quant. mod. (oc)'!G180&lt;0,0,'Quant. mod. (oc)'!G180)</f>
        <v>131.04</v>
      </c>
      <c r="H180" s="125">
        <f>IF('Quant. mod. (oc)'!H180&lt;0,0,'Quant. mod. (oc)'!H180)</f>
        <v>0</v>
      </c>
      <c r="I180" s="125">
        <f>IF('Quant. mod. (oc)'!I180&lt;0,0,'Quant. mod. (oc)'!I180)</f>
        <v>0</v>
      </c>
      <c r="J180" s="125">
        <f>IF('Quant. mod. (oc)'!J180&lt;0,0,'Quant. mod. (oc)'!J180)</f>
        <v>131.04</v>
      </c>
      <c r="K180" s="125">
        <f>IF('Quant. mod. (oc)'!K180&lt;0,0,'Quant. mod. (oc)'!K180)</f>
        <v>0</v>
      </c>
      <c r="L180" s="125">
        <f>IF('Quant. mod. (oc)'!L180&lt;0,0,'Quant. mod. (oc)'!L180)</f>
        <v>131.04</v>
      </c>
      <c r="M180" s="125">
        <f>IF('Quant. mod. (oc)'!M180&lt;0,0,'Quant. mod. (oc)'!M180)</f>
        <v>0</v>
      </c>
      <c r="N180" s="125">
        <f>IF('Quant. mod. (oc)'!N180&lt;0,0,'Quant. mod. (oc)'!N180)</f>
        <v>75.84</v>
      </c>
      <c r="O180" s="125">
        <f>IF('Quant. mod. (oc)'!O180&lt;0,0,'Quant. mod. (oc)'!O180)</f>
        <v>0</v>
      </c>
      <c r="P180" s="125">
        <f>IF('Quant. mod. (oc)'!P180&lt;0,0,'Quant. mod. (oc)'!P180)</f>
        <v>0</v>
      </c>
      <c r="Q180" s="125">
        <f>IF('Quant. mod. (oc)'!Q180&lt;0,0,'Quant. mod. (oc)'!Q180)</f>
        <v>75.84</v>
      </c>
      <c r="R180" s="125">
        <f>IF('Quant. mod. (oc)'!R180&lt;0,0,'Quant. mod. (oc)'!R180)</f>
        <v>0</v>
      </c>
      <c r="S180" s="125">
        <f>IF('Quant. mod. (oc)'!S180&lt;0,0,'Quant. mod. (oc)'!S180)</f>
        <v>0</v>
      </c>
      <c r="T180" s="125">
        <f>IF('Quant. mod. (oc)'!T180&lt;0,0,'Quant. mod. (oc)'!T180)</f>
        <v>75.84</v>
      </c>
      <c r="U180" s="125">
        <f>IF('Quant. mod. (oc)'!U180&lt;0,0,'Quant. mod. (oc)'!U180)</f>
        <v>0</v>
      </c>
      <c r="V180" s="125">
        <f>IF('Quant. mod. (oc)'!V180&lt;0,0,'Quant. mod. (oc)'!V180)</f>
        <v>75.84</v>
      </c>
      <c r="W180" s="125">
        <f>IF('Quant. mod. (oc)'!W180&lt;0,0,'Quant. mod. (oc)'!W180)</f>
        <v>0</v>
      </c>
      <c r="X180" s="125">
        <f>IF('Quant. mod. (oc)'!X180&lt;0,0,'Quant. mod. (oc)'!X180)</f>
        <v>75.84</v>
      </c>
      <c r="Y180" s="125">
        <f>IF('Quant. mod. (oc)'!Y180&lt;0,0,'Quant. mod. (oc)'!Y180)</f>
        <v>0</v>
      </c>
      <c r="Z180" s="125">
        <f>IF('Quant. mod. (oc)'!Z180&lt;0,0,'Quant. mod. (oc)'!Z180)</f>
        <v>0</v>
      </c>
      <c r="AA180" s="125">
        <f>IF('Quant. mod. (oc)'!AA180&lt;0,0,'Quant. mod. (oc)'!AA180)</f>
        <v>75.84</v>
      </c>
      <c r="AB180" s="125">
        <f>IF('Quant. mod. (oc)'!AB180&lt;0,0,'Quant. mod. (oc)'!AB180)</f>
        <v>0</v>
      </c>
      <c r="AC180" s="125">
        <f>IF('Quant. mod. (oc)'!AC180&lt;0,0,'Quant. mod. (oc)'!AC180)</f>
        <v>0</v>
      </c>
      <c r="AD180" s="125">
        <f>IF('Quant. mod. (oc)'!AD180&lt;0,0,'Quant. mod. (oc)'!AD180)</f>
        <v>75.84</v>
      </c>
      <c r="AE180" s="125">
        <f>IF('Quant. mod. (oc)'!AE180&lt;0,0,'Quant. mod. (oc)'!AE180)</f>
        <v>0</v>
      </c>
      <c r="AF180" s="125">
        <f>IF('Quant. mod. (oc)'!AF180&lt;0,0,'Quant. mod. (oc)'!AF180)</f>
        <v>75.84</v>
      </c>
      <c r="AG180" s="126">
        <f>IF('Quant. mod. (oc)'!AG180&lt;0,0,'Quant. mod. (oc)'!AG180)</f>
        <v>0</v>
      </c>
      <c r="AH180" s="22"/>
    </row>
    <row r="181" spans="1:34" x14ac:dyDescent="0.25">
      <c r="A181" s="112"/>
      <c r="B181" s="69" t="s">
        <v>545</v>
      </c>
      <c r="C181" s="133" t="s">
        <v>64</v>
      </c>
      <c r="D181" s="125">
        <f>IF('Quant. mod. (oc)'!D181&lt;0,0,'Quant. mod. (oc)'!D181)</f>
        <v>127.483</v>
      </c>
      <c r="E181" s="125">
        <f>IF('Quant. mod. (oc)'!E181&lt;0,0,'Quant. mod. (oc)'!E181)</f>
        <v>0</v>
      </c>
      <c r="F181" s="125">
        <f>IF('Quant. mod. (oc)'!F181&lt;0,0,'Quant. mod. (oc)'!F181)</f>
        <v>0</v>
      </c>
      <c r="G181" s="125">
        <f>IF('Quant. mod. (oc)'!G181&lt;0,0,'Quant. mod. (oc)'!G181)</f>
        <v>127.483</v>
      </c>
      <c r="H181" s="125">
        <f>IF('Quant. mod. (oc)'!H181&lt;0,0,'Quant. mod. (oc)'!H181)</f>
        <v>0</v>
      </c>
      <c r="I181" s="125">
        <f>IF('Quant. mod. (oc)'!I181&lt;0,0,'Quant. mod. (oc)'!I181)</f>
        <v>0</v>
      </c>
      <c r="J181" s="125">
        <f>IF('Quant. mod. (oc)'!J181&lt;0,0,'Quant. mod. (oc)'!J181)</f>
        <v>127.483</v>
      </c>
      <c r="K181" s="125">
        <f>IF('Quant. mod. (oc)'!K181&lt;0,0,'Quant. mod. (oc)'!K181)</f>
        <v>0</v>
      </c>
      <c r="L181" s="125">
        <f>IF('Quant. mod. (oc)'!L181&lt;0,0,'Quant. mod. (oc)'!L181)</f>
        <v>127.483</v>
      </c>
      <c r="M181" s="125">
        <f>IF('Quant. mod. (oc)'!M181&lt;0,0,'Quant. mod. (oc)'!M181)</f>
        <v>0</v>
      </c>
      <c r="N181" s="125">
        <f>IF('Quant. mod. (oc)'!N181&lt;0,0,'Quant. mod. (oc)'!N181)</f>
        <v>95.237000000000009</v>
      </c>
      <c r="O181" s="125">
        <f>IF('Quant. mod. (oc)'!O181&lt;0,0,'Quant. mod. (oc)'!O181)</f>
        <v>0</v>
      </c>
      <c r="P181" s="125">
        <f>IF('Quant. mod. (oc)'!P181&lt;0,0,'Quant. mod. (oc)'!P181)</f>
        <v>0</v>
      </c>
      <c r="Q181" s="125">
        <f>IF('Quant. mod. (oc)'!Q181&lt;0,0,'Quant. mod. (oc)'!Q181)</f>
        <v>95.237000000000009</v>
      </c>
      <c r="R181" s="125">
        <f>IF('Quant. mod. (oc)'!R181&lt;0,0,'Quant. mod. (oc)'!R181)</f>
        <v>0</v>
      </c>
      <c r="S181" s="125">
        <f>IF('Quant. mod. (oc)'!S181&lt;0,0,'Quant. mod. (oc)'!S181)</f>
        <v>0</v>
      </c>
      <c r="T181" s="125">
        <f>IF('Quant. mod. (oc)'!T181&lt;0,0,'Quant. mod. (oc)'!T181)</f>
        <v>95.237000000000009</v>
      </c>
      <c r="U181" s="125">
        <f>IF('Quant. mod. (oc)'!U181&lt;0,0,'Quant. mod. (oc)'!U181)</f>
        <v>0</v>
      </c>
      <c r="V181" s="125">
        <f>IF('Quant. mod. (oc)'!V181&lt;0,0,'Quant. mod. (oc)'!V181)</f>
        <v>95.237000000000009</v>
      </c>
      <c r="W181" s="125">
        <f>IF('Quant. mod. (oc)'!W181&lt;0,0,'Quant. mod. (oc)'!W181)</f>
        <v>0</v>
      </c>
      <c r="X181" s="125">
        <f>IF('Quant. mod. (oc)'!X181&lt;0,0,'Quant. mod. (oc)'!X181)</f>
        <v>95.237000000000009</v>
      </c>
      <c r="Y181" s="125">
        <f>IF('Quant. mod. (oc)'!Y181&lt;0,0,'Quant. mod. (oc)'!Y181)</f>
        <v>0</v>
      </c>
      <c r="Z181" s="125">
        <f>IF('Quant. mod. (oc)'!Z181&lt;0,0,'Quant. mod. (oc)'!Z181)</f>
        <v>0</v>
      </c>
      <c r="AA181" s="125">
        <f>IF('Quant. mod. (oc)'!AA181&lt;0,0,'Quant. mod. (oc)'!AA181)</f>
        <v>95.237000000000009</v>
      </c>
      <c r="AB181" s="125">
        <f>IF('Quant. mod. (oc)'!AB181&lt;0,0,'Quant. mod. (oc)'!AB181)</f>
        <v>0</v>
      </c>
      <c r="AC181" s="125">
        <f>IF('Quant. mod. (oc)'!AC181&lt;0,0,'Quant. mod. (oc)'!AC181)</f>
        <v>0</v>
      </c>
      <c r="AD181" s="125">
        <f>IF('Quant. mod. (oc)'!AD181&lt;0,0,'Quant. mod. (oc)'!AD181)</f>
        <v>95.237000000000009</v>
      </c>
      <c r="AE181" s="125">
        <f>IF('Quant. mod. (oc)'!AE181&lt;0,0,'Quant. mod. (oc)'!AE181)</f>
        <v>0</v>
      </c>
      <c r="AF181" s="125">
        <f>IF('Quant. mod. (oc)'!AF181&lt;0,0,'Quant. mod. (oc)'!AF181)</f>
        <v>95.237000000000009</v>
      </c>
      <c r="AG181" s="126">
        <f>IF('Quant. mod. (oc)'!AG181&lt;0,0,'Quant. mod. (oc)'!AG181)</f>
        <v>0</v>
      </c>
      <c r="AH181" s="22"/>
    </row>
    <row r="182" spans="1:34" x14ac:dyDescent="0.25">
      <c r="A182" s="112"/>
      <c r="B182" s="69" t="s">
        <v>463</v>
      </c>
      <c r="C182" s="133" t="s">
        <v>60</v>
      </c>
      <c r="D182" s="125">
        <f>IF('Quant. mod. (oc)'!D182&lt;0,0,ROUND('Quant. mod. (oc)'!D182,0))</f>
        <v>7</v>
      </c>
      <c r="E182" s="125">
        <f>IF('Quant. mod. (oc)'!E182&lt;0,0,ROUND('Quant. mod. (oc)'!E182,0))</f>
        <v>0</v>
      </c>
      <c r="F182" s="125">
        <f>IF('Quant. mod. (oc)'!F182&lt;0,0,ROUND('Quant. mod. (oc)'!F182,0))</f>
        <v>0</v>
      </c>
      <c r="G182" s="125">
        <f>IF('Quant. mod. (oc)'!G182&lt;0,0,ROUND('Quant. mod. (oc)'!G182,0))</f>
        <v>7</v>
      </c>
      <c r="H182" s="125">
        <f>IF('Quant. mod. (oc)'!H182&lt;0,0,ROUND('Quant. mod. (oc)'!H182,0))</f>
        <v>0</v>
      </c>
      <c r="I182" s="125">
        <f>IF('Quant. mod. (oc)'!I182&lt;0,0,ROUND('Quant. mod. (oc)'!I182,0))</f>
        <v>0</v>
      </c>
      <c r="J182" s="125">
        <f>IF('Quant. mod. (oc)'!J182&lt;0,0,ROUND('Quant. mod. (oc)'!J182,0))</f>
        <v>7</v>
      </c>
      <c r="K182" s="125">
        <f>IF('Quant. mod. (oc)'!K182&lt;0,0,ROUND('Quant. mod. (oc)'!K182,0))</f>
        <v>0</v>
      </c>
      <c r="L182" s="125">
        <f>IF('Quant. mod. (oc)'!L182&lt;0,0,ROUND('Quant. mod. (oc)'!L182,0))</f>
        <v>7</v>
      </c>
      <c r="M182" s="125">
        <f>IF('Quant. mod. (oc)'!M182&lt;0,0,ROUND('Quant. mod. (oc)'!M182,0))</f>
        <v>0</v>
      </c>
      <c r="N182" s="125">
        <f>IF('Quant. mod. (oc)'!N182&lt;0,0,ROUND('Quant. mod. (oc)'!N182,0))</f>
        <v>4</v>
      </c>
      <c r="O182" s="125">
        <f>IF('Quant. mod. (oc)'!O182&lt;0,0,ROUND('Quant. mod. (oc)'!O182,0))</f>
        <v>0</v>
      </c>
      <c r="P182" s="125">
        <f>IF('Quant. mod. (oc)'!P182&lt;0,0,ROUND('Quant. mod. (oc)'!P182,0))</f>
        <v>0</v>
      </c>
      <c r="Q182" s="125">
        <f>IF('Quant. mod. (oc)'!Q182&lt;0,0,ROUND('Quant. mod. (oc)'!Q182,0))</f>
        <v>4</v>
      </c>
      <c r="R182" s="125">
        <f>IF('Quant. mod. (oc)'!R182&lt;0,0,ROUND('Quant. mod. (oc)'!R182,0))</f>
        <v>0</v>
      </c>
      <c r="S182" s="125">
        <f>IF('Quant. mod. (oc)'!S182&lt;0,0,ROUND('Quant. mod. (oc)'!S182,0))</f>
        <v>0</v>
      </c>
      <c r="T182" s="125">
        <f>IF('Quant. mod. (oc)'!T182&lt;0,0,ROUND('Quant. mod. (oc)'!T182,0))</f>
        <v>4</v>
      </c>
      <c r="U182" s="125">
        <f>IF('Quant. mod. (oc)'!U182&lt;0,0,ROUND('Quant. mod. (oc)'!U182,0))</f>
        <v>0</v>
      </c>
      <c r="V182" s="125">
        <f>IF('Quant. mod. (oc)'!V182&lt;0,0,ROUND('Quant. mod. (oc)'!V182,0))</f>
        <v>4</v>
      </c>
      <c r="W182" s="125">
        <f>IF('Quant. mod. (oc)'!W182&lt;0,0,ROUND('Quant. mod. (oc)'!W182,0))</f>
        <v>0</v>
      </c>
      <c r="X182" s="125">
        <f>IF('Quant. mod. (oc)'!X182&lt;0,0,ROUND('Quant. mod. (oc)'!X182,0))</f>
        <v>4</v>
      </c>
      <c r="Y182" s="125">
        <f>IF('Quant. mod. (oc)'!Y182&lt;0,0,ROUND('Quant. mod. (oc)'!Y182,0))</f>
        <v>0</v>
      </c>
      <c r="Z182" s="125">
        <f>IF('Quant. mod. (oc)'!Z182&lt;0,0,ROUND('Quant. mod. (oc)'!Z182,0))</f>
        <v>0</v>
      </c>
      <c r="AA182" s="125">
        <f>IF('Quant. mod. (oc)'!AA182&lt;0,0,ROUND('Quant. mod. (oc)'!AA182,0))</f>
        <v>4</v>
      </c>
      <c r="AB182" s="125">
        <f>IF('Quant. mod. (oc)'!AB182&lt;0,0,ROUND('Quant. mod. (oc)'!AB182,0))</f>
        <v>0</v>
      </c>
      <c r="AC182" s="125">
        <f>IF('Quant. mod. (oc)'!AC182&lt;0,0,ROUND('Quant. mod. (oc)'!AC182,0))</f>
        <v>0</v>
      </c>
      <c r="AD182" s="125">
        <f>IF('Quant. mod. (oc)'!AD182&lt;0,0,ROUND('Quant. mod. (oc)'!AD182,0))</f>
        <v>4</v>
      </c>
      <c r="AE182" s="125">
        <f>IF('Quant. mod. (oc)'!AE182&lt;0,0,ROUND('Quant. mod. (oc)'!AE182,0))</f>
        <v>0</v>
      </c>
      <c r="AF182" s="125">
        <f>IF('Quant. mod. (oc)'!AF182&lt;0,0,ROUND('Quant. mod. (oc)'!AF182,0))</f>
        <v>4</v>
      </c>
      <c r="AG182" s="126">
        <f>IF('Quant. mod. (oc)'!AG182&lt;0,0,ROUND('Quant. mod. (oc)'!AG182,0))</f>
        <v>0</v>
      </c>
      <c r="AH182" s="22"/>
    </row>
    <row r="183" spans="1:34" x14ac:dyDescent="0.25">
      <c r="A183" s="112"/>
      <c r="B183" s="69" t="s">
        <v>546</v>
      </c>
      <c r="C183" s="133" t="s">
        <v>63</v>
      </c>
      <c r="D183" s="125">
        <f>IF('Quant. mod. (oc)'!D183&lt;0,0,'Quant. mod. (oc)'!D183)</f>
        <v>40.32</v>
      </c>
      <c r="E183" s="125">
        <f>IF('Quant. mod. (oc)'!E183&lt;0,0,'Quant. mod. (oc)'!E183)</f>
        <v>0</v>
      </c>
      <c r="F183" s="125">
        <f>IF('Quant. mod. (oc)'!F183&lt;0,0,'Quant. mod. (oc)'!F183)</f>
        <v>0</v>
      </c>
      <c r="G183" s="125">
        <f>IF('Quant. mod. (oc)'!G183&lt;0,0,'Quant. mod. (oc)'!G183)</f>
        <v>40.32</v>
      </c>
      <c r="H183" s="125">
        <f>IF('Quant. mod. (oc)'!H183&lt;0,0,'Quant. mod. (oc)'!H183)</f>
        <v>0</v>
      </c>
      <c r="I183" s="125">
        <f>IF('Quant. mod. (oc)'!I183&lt;0,0,'Quant. mod. (oc)'!I183)</f>
        <v>0</v>
      </c>
      <c r="J183" s="125">
        <f>IF('Quant. mod. (oc)'!J183&lt;0,0,'Quant. mod. (oc)'!J183)</f>
        <v>40.32</v>
      </c>
      <c r="K183" s="125">
        <f>IF('Quant. mod. (oc)'!K183&lt;0,0,'Quant. mod. (oc)'!K183)</f>
        <v>0</v>
      </c>
      <c r="L183" s="125">
        <f>IF('Quant. mod. (oc)'!L183&lt;0,0,'Quant. mod. (oc)'!L183)</f>
        <v>40.32</v>
      </c>
      <c r="M183" s="125">
        <f>IF('Quant. mod. (oc)'!M183&lt;0,0,'Quant. mod. (oc)'!M183)</f>
        <v>0</v>
      </c>
      <c r="N183" s="125">
        <f>IF('Quant. mod. (oc)'!N183&lt;0,0,'Quant. mod. (oc)'!N183)</f>
        <v>25.92</v>
      </c>
      <c r="O183" s="125">
        <f>IF('Quant. mod. (oc)'!O183&lt;0,0,'Quant. mod. (oc)'!O183)</f>
        <v>0</v>
      </c>
      <c r="P183" s="125">
        <f>IF('Quant. mod. (oc)'!P183&lt;0,0,'Quant. mod. (oc)'!P183)</f>
        <v>0</v>
      </c>
      <c r="Q183" s="125">
        <f>IF('Quant. mod. (oc)'!Q183&lt;0,0,'Quant. mod. (oc)'!Q183)</f>
        <v>25.92</v>
      </c>
      <c r="R183" s="125">
        <f>IF('Quant. mod. (oc)'!R183&lt;0,0,'Quant. mod. (oc)'!R183)</f>
        <v>0</v>
      </c>
      <c r="S183" s="125">
        <f>IF('Quant. mod. (oc)'!S183&lt;0,0,'Quant. mod. (oc)'!S183)</f>
        <v>0</v>
      </c>
      <c r="T183" s="125">
        <f>IF('Quant. mod. (oc)'!T183&lt;0,0,'Quant. mod. (oc)'!T183)</f>
        <v>25.92</v>
      </c>
      <c r="U183" s="125">
        <f>IF('Quant. mod. (oc)'!U183&lt;0,0,'Quant. mod. (oc)'!U183)</f>
        <v>0</v>
      </c>
      <c r="V183" s="125">
        <f>IF('Quant. mod. (oc)'!V183&lt;0,0,'Quant. mod. (oc)'!V183)</f>
        <v>25.92</v>
      </c>
      <c r="W183" s="125">
        <f>IF('Quant. mod. (oc)'!W183&lt;0,0,'Quant. mod. (oc)'!W183)</f>
        <v>0</v>
      </c>
      <c r="X183" s="125">
        <f>IF('Quant. mod. (oc)'!X183&lt;0,0,'Quant. mod. (oc)'!X183)</f>
        <v>25.92</v>
      </c>
      <c r="Y183" s="125">
        <f>IF('Quant. mod. (oc)'!Y183&lt;0,0,'Quant. mod. (oc)'!Y183)</f>
        <v>0</v>
      </c>
      <c r="Z183" s="125">
        <f>IF('Quant. mod. (oc)'!Z183&lt;0,0,'Quant. mod. (oc)'!Z183)</f>
        <v>0</v>
      </c>
      <c r="AA183" s="125">
        <f>IF('Quant. mod. (oc)'!AA183&lt;0,0,'Quant. mod. (oc)'!AA183)</f>
        <v>25.92</v>
      </c>
      <c r="AB183" s="125">
        <f>IF('Quant. mod. (oc)'!AB183&lt;0,0,'Quant. mod. (oc)'!AB183)</f>
        <v>0</v>
      </c>
      <c r="AC183" s="125">
        <f>IF('Quant. mod. (oc)'!AC183&lt;0,0,'Quant. mod. (oc)'!AC183)</f>
        <v>0</v>
      </c>
      <c r="AD183" s="125">
        <f>IF('Quant. mod. (oc)'!AD183&lt;0,0,'Quant. mod. (oc)'!AD183)</f>
        <v>25.92</v>
      </c>
      <c r="AE183" s="125">
        <f>IF('Quant. mod. (oc)'!AE183&lt;0,0,'Quant. mod. (oc)'!AE183)</f>
        <v>0</v>
      </c>
      <c r="AF183" s="125">
        <f>IF('Quant. mod. (oc)'!AF183&lt;0,0,'Quant. mod. (oc)'!AF183)</f>
        <v>25.92</v>
      </c>
      <c r="AG183" s="126">
        <f>IF('Quant. mod. (oc)'!AG183&lt;0,0,'Quant. mod. (oc)'!AG183)</f>
        <v>0</v>
      </c>
      <c r="AH183" s="22"/>
    </row>
    <row r="184" spans="1:34" x14ac:dyDescent="0.25">
      <c r="A184" s="112"/>
      <c r="B184" s="69" t="s">
        <v>547</v>
      </c>
      <c r="C184" s="133" t="s">
        <v>65</v>
      </c>
      <c r="D184" s="125">
        <f>IF('Quant. mod. (oc)'!D184&lt;0,0,'Quant. mod. (oc)'!D184)</f>
        <v>1.9117999999999999</v>
      </c>
      <c r="E184" s="125">
        <f>IF('Quant. mod. (oc)'!E184&lt;0,0,'Quant. mod. (oc)'!E184)</f>
        <v>0</v>
      </c>
      <c r="F184" s="125">
        <f>IF('Quant. mod. (oc)'!F184&lt;0,0,'Quant. mod. (oc)'!F184)</f>
        <v>0</v>
      </c>
      <c r="G184" s="125">
        <f>IF('Quant. mod. (oc)'!G184&lt;0,0,'Quant. mod. (oc)'!G184)</f>
        <v>1.9117999999999999</v>
      </c>
      <c r="H184" s="125">
        <f>IF('Quant. mod. (oc)'!H184&lt;0,0,'Quant. mod. (oc)'!H184)</f>
        <v>0</v>
      </c>
      <c r="I184" s="125">
        <f>IF('Quant. mod. (oc)'!I184&lt;0,0,'Quant. mod. (oc)'!I184)</f>
        <v>0</v>
      </c>
      <c r="J184" s="125">
        <f>IF('Quant. mod. (oc)'!J184&lt;0,0,'Quant. mod. (oc)'!J184)</f>
        <v>1.9117999999999999</v>
      </c>
      <c r="K184" s="125">
        <f>IF('Quant. mod. (oc)'!K184&lt;0,0,'Quant. mod. (oc)'!K184)</f>
        <v>0</v>
      </c>
      <c r="L184" s="125">
        <f>IF('Quant. mod. (oc)'!L184&lt;0,0,'Quant. mod. (oc)'!L184)</f>
        <v>1.9117999999999999</v>
      </c>
      <c r="M184" s="125">
        <f>IF('Quant. mod. (oc)'!M184&lt;0,0,'Quant. mod. (oc)'!M184)</f>
        <v>0</v>
      </c>
      <c r="N184" s="125">
        <f>IF('Quant. mod. (oc)'!N184&lt;0,0,'Quant. mod. (oc)'!N184)</f>
        <v>0.85660000000000003</v>
      </c>
      <c r="O184" s="125">
        <f>IF('Quant. mod. (oc)'!O184&lt;0,0,'Quant. mod. (oc)'!O184)</f>
        <v>0</v>
      </c>
      <c r="P184" s="125">
        <f>IF('Quant. mod. (oc)'!P184&lt;0,0,'Quant. mod. (oc)'!P184)</f>
        <v>0</v>
      </c>
      <c r="Q184" s="125">
        <f>IF('Quant. mod. (oc)'!Q184&lt;0,0,'Quant. mod. (oc)'!Q184)</f>
        <v>0.85660000000000003</v>
      </c>
      <c r="R184" s="125">
        <f>IF('Quant. mod. (oc)'!R184&lt;0,0,'Quant. mod. (oc)'!R184)</f>
        <v>0</v>
      </c>
      <c r="S184" s="125">
        <f>IF('Quant. mod. (oc)'!S184&lt;0,0,'Quant. mod. (oc)'!S184)</f>
        <v>0</v>
      </c>
      <c r="T184" s="125">
        <f>IF('Quant. mod. (oc)'!T184&lt;0,0,'Quant. mod. (oc)'!T184)</f>
        <v>0.85660000000000003</v>
      </c>
      <c r="U184" s="125">
        <f>IF('Quant. mod. (oc)'!U184&lt;0,0,'Quant. mod. (oc)'!U184)</f>
        <v>0</v>
      </c>
      <c r="V184" s="125">
        <f>IF('Quant. mod. (oc)'!V184&lt;0,0,'Quant. mod. (oc)'!V184)</f>
        <v>0.85660000000000003</v>
      </c>
      <c r="W184" s="125">
        <f>IF('Quant. mod. (oc)'!W184&lt;0,0,'Quant. mod. (oc)'!W184)</f>
        <v>0</v>
      </c>
      <c r="X184" s="125">
        <f>IF('Quant. mod. (oc)'!X184&lt;0,0,'Quant. mod. (oc)'!X184)</f>
        <v>0.85660000000000003</v>
      </c>
      <c r="Y184" s="125">
        <f>IF('Quant. mod. (oc)'!Y184&lt;0,0,'Quant. mod. (oc)'!Y184)</f>
        <v>0</v>
      </c>
      <c r="Z184" s="125">
        <f>IF('Quant. mod. (oc)'!Z184&lt;0,0,'Quant. mod. (oc)'!Z184)</f>
        <v>0</v>
      </c>
      <c r="AA184" s="125">
        <f>IF('Quant. mod. (oc)'!AA184&lt;0,0,'Quant. mod. (oc)'!AA184)</f>
        <v>0.85660000000000003</v>
      </c>
      <c r="AB184" s="125">
        <f>IF('Quant. mod. (oc)'!AB184&lt;0,0,'Quant. mod. (oc)'!AB184)</f>
        <v>0</v>
      </c>
      <c r="AC184" s="125">
        <f>IF('Quant. mod. (oc)'!AC184&lt;0,0,'Quant. mod. (oc)'!AC184)</f>
        <v>0</v>
      </c>
      <c r="AD184" s="125">
        <f>IF('Quant. mod. (oc)'!AD184&lt;0,0,'Quant. mod. (oc)'!AD184)</f>
        <v>0.85660000000000003</v>
      </c>
      <c r="AE184" s="125">
        <f>IF('Quant. mod. (oc)'!AE184&lt;0,0,'Quant. mod. (oc)'!AE184)</f>
        <v>0</v>
      </c>
      <c r="AF184" s="125">
        <f>IF('Quant. mod. (oc)'!AF184&lt;0,0,'Quant. mod. (oc)'!AF184)</f>
        <v>0.85660000000000003</v>
      </c>
      <c r="AG184" s="126">
        <f>IF('Quant. mod. (oc)'!AG184&lt;0,0,'Quant. mod. (oc)'!AG184)</f>
        <v>0</v>
      </c>
      <c r="AH184" s="22"/>
    </row>
    <row r="185" spans="1:34" x14ac:dyDescent="0.25">
      <c r="A185" s="112"/>
      <c r="B185" s="69" t="s">
        <v>548</v>
      </c>
      <c r="C185" s="133" t="s">
        <v>60</v>
      </c>
      <c r="D185" s="125">
        <f>IF('Quant. mod. (oc)'!D185&lt;0,0,ROUND('Quant. mod. (oc)'!D185,0))</f>
        <v>42</v>
      </c>
      <c r="E185" s="125">
        <f>IF('Quant. mod. (oc)'!E185&lt;0,0,ROUND('Quant. mod. (oc)'!E185,0))</f>
        <v>0</v>
      </c>
      <c r="F185" s="125">
        <f>IF('Quant. mod. (oc)'!F185&lt;0,0,ROUND('Quant. mod. (oc)'!F185,0))</f>
        <v>0</v>
      </c>
      <c r="G185" s="125">
        <f>IF('Quant. mod. (oc)'!G185&lt;0,0,ROUND('Quant. mod. (oc)'!G185,0))</f>
        <v>42</v>
      </c>
      <c r="H185" s="125">
        <f>IF('Quant. mod. (oc)'!H185&lt;0,0,ROUND('Quant. mod. (oc)'!H185,0))</f>
        <v>0</v>
      </c>
      <c r="I185" s="125">
        <f>IF('Quant. mod. (oc)'!I185&lt;0,0,ROUND('Quant. mod. (oc)'!I185,0))</f>
        <v>0</v>
      </c>
      <c r="J185" s="125">
        <f>IF('Quant. mod. (oc)'!J185&lt;0,0,ROUND('Quant. mod. (oc)'!J185,0))</f>
        <v>42</v>
      </c>
      <c r="K185" s="125">
        <f>IF('Quant. mod. (oc)'!K185&lt;0,0,ROUND('Quant. mod. (oc)'!K185,0))</f>
        <v>0</v>
      </c>
      <c r="L185" s="125">
        <f>IF('Quant. mod. (oc)'!L185&lt;0,0,ROUND('Quant. mod. (oc)'!L185,0))</f>
        <v>42</v>
      </c>
      <c r="M185" s="125">
        <f>IF('Quant. mod. (oc)'!M185&lt;0,0,ROUND('Quant. mod. (oc)'!M185,0))</f>
        <v>0</v>
      </c>
      <c r="N185" s="125">
        <f>IF('Quant. mod. (oc)'!N185&lt;0,0,ROUND('Quant. mod. (oc)'!N185,0))</f>
        <v>26</v>
      </c>
      <c r="O185" s="125">
        <f>IF('Quant. mod. (oc)'!O185&lt;0,0,ROUND('Quant. mod. (oc)'!O185,0))</f>
        <v>0</v>
      </c>
      <c r="P185" s="125">
        <f>IF('Quant. mod. (oc)'!P185&lt;0,0,ROUND('Quant. mod. (oc)'!P185,0))</f>
        <v>0</v>
      </c>
      <c r="Q185" s="125">
        <f>IF('Quant. mod. (oc)'!Q185&lt;0,0,ROUND('Quant. mod. (oc)'!Q185,0))</f>
        <v>26</v>
      </c>
      <c r="R185" s="125">
        <f>IF('Quant. mod. (oc)'!R185&lt;0,0,ROUND('Quant. mod. (oc)'!R185,0))</f>
        <v>0</v>
      </c>
      <c r="S185" s="125">
        <f>IF('Quant. mod. (oc)'!S185&lt;0,0,ROUND('Quant. mod. (oc)'!S185,0))</f>
        <v>0</v>
      </c>
      <c r="T185" s="125">
        <f>IF('Quant. mod. (oc)'!T185&lt;0,0,ROUND('Quant. mod. (oc)'!T185,0))</f>
        <v>26</v>
      </c>
      <c r="U185" s="125">
        <f>IF('Quant. mod. (oc)'!U185&lt;0,0,ROUND('Quant. mod. (oc)'!U185,0))</f>
        <v>0</v>
      </c>
      <c r="V185" s="125">
        <f>IF('Quant. mod. (oc)'!V185&lt;0,0,ROUND('Quant. mod. (oc)'!V185,0))</f>
        <v>26</v>
      </c>
      <c r="W185" s="125">
        <f>IF('Quant. mod. (oc)'!W185&lt;0,0,ROUND('Quant. mod. (oc)'!W185,0))</f>
        <v>0</v>
      </c>
      <c r="X185" s="125">
        <f>IF('Quant. mod. (oc)'!X185&lt;0,0,ROUND('Quant. mod. (oc)'!X185,0))</f>
        <v>26</v>
      </c>
      <c r="Y185" s="125">
        <f>IF('Quant. mod. (oc)'!Y185&lt;0,0,ROUND('Quant. mod. (oc)'!Y185,0))</f>
        <v>0</v>
      </c>
      <c r="Z185" s="125">
        <f>IF('Quant. mod. (oc)'!Z185&lt;0,0,ROUND('Quant. mod. (oc)'!Z185,0))</f>
        <v>0</v>
      </c>
      <c r="AA185" s="125">
        <f>IF('Quant. mod. (oc)'!AA185&lt;0,0,ROUND('Quant. mod. (oc)'!AA185,0))</f>
        <v>26</v>
      </c>
      <c r="AB185" s="125">
        <f>IF('Quant. mod. (oc)'!AB185&lt;0,0,ROUND('Quant. mod. (oc)'!AB185,0))</f>
        <v>0</v>
      </c>
      <c r="AC185" s="125">
        <f>IF('Quant. mod. (oc)'!AC185&lt;0,0,ROUND('Quant. mod. (oc)'!AC185,0))</f>
        <v>0</v>
      </c>
      <c r="AD185" s="125">
        <f>IF('Quant. mod. (oc)'!AD185&lt;0,0,ROUND('Quant. mod. (oc)'!AD185,0))</f>
        <v>26</v>
      </c>
      <c r="AE185" s="125">
        <f>IF('Quant. mod. (oc)'!AE185&lt;0,0,ROUND('Quant. mod. (oc)'!AE185,0))</f>
        <v>0</v>
      </c>
      <c r="AF185" s="125">
        <f>IF('Quant. mod. (oc)'!AF185&lt;0,0,ROUND('Quant. mod. (oc)'!AF185,0))</f>
        <v>26</v>
      </c>
      <c r="AG185" s="126">
        <f>IF('Quant. mod. (oc)'!AG185&lt;0,0,ROUND('Quant. mod. (oc)'!AG185,0))</f>
        <v>0</v>
      </c>
      <c r="AH185" s="22"/>
    </row>
    <row r="186" spans="1:34" x14ac:dyDescent="0.25">
      <c r="A186" s="112"/>
      <c r="B186" s="120" t="s">
        <v>550</v>
      </c>
      <c r="C186" s="121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8"/>
      <c r="AH186" s="22"/>
    </row>
    <row r="187" spans="1:34" ht="51" x14ac:dyDescent="0.25">
      <c r="A187" s="112"/>
      <c r="B187" s="135" t="s">
        <v>441</v>
      </c>
      <c r="C187" s="133" t="s">
        <v>65</v>
      </c>
      <c r="D187" s="125">
        <f>IF('Quant. mod. (oc)'!D187&lt;0,0,'Quant. mod. (oc)'!D187)</f>
        <v>0</v>
      </c>
      <c r="E187" s="125">
        <f>IF('Quant. mod. (oc)'!E187&lt;0,0,'Quant. mod. (oc)'!E187)</f>
        <v>792.9</v>
      </c>
      <c r="F187" s="125">
        <f>IF('Quant. mod. (oc)'!F187&lt;0,0,'Quant. mod. (oc)'!F187)</f>
        <v>0</v>
      </c>
      <c r="G187" s="125">
        <f>IF('Quant. mod. (oc)'!G187&lt;0,0,'Quant. mod. (oc)'!G187)</f>
        <v>0</v>
      </c>
      <c r="H187" s="125">
        <f>IF('Quant. mod. (oc)'!H187&lt;0,0,'Quant. mod. (oc)'!H187)</f>
        <v>792.9</v>
      </c>
      <c r="I187" s="125">
        <f>IF('Quant. mod. (oc)'!I187&lt;0,0,'Quant. mod. (oc)'!I187)</f>
        <v>0</v>
      </c>
      <c r="J187" s="125">
        <f>IF('Quant. mod. (oc)'!J187&lt;0,0,'Quant. mod. (oc)'!J187)</f>
        <v>0</v>
      </c>
      <c r="K187" s="125">
        <f>IF('Quant. mod. (oc)'!K187&lt;0,0,'Quant. mod. (oc)'!K187)</f>
        <v>0</v>
      </c>
      <c r="L187" s="125">
        <f>IF('Quant. mod. (oc)'!L187&lt;0,0,'Quant. mod. (oc)'!L187)</f>
        <v>0</v>
      </c>
      <c r="M187" s="125">
        <f>IF('Quant. mod. (oc)'!M187&lt;0,0,'Quant. mod. (oc)'!M187)</f>
        <v>0</v>
      </c>
      <c r="N187" s="125">
        <f>IF('Quant. mod. (oc)'!N187&lt;0,0,'Quant. mod. (oc)'!N187)</f>
        <v>0</v>
      </c>
      <c r="O187" s="125">
        <f>IF('Quant. mod. (oc)'!O187&lt;0,0,'Quant. mod. (oc)'!O187)</f>
        <v>406.15</v>
      </c>
      <c r="P187" s="125">
        <f>IF('Quant. mod. (oc)'!P187&lt;0,0,'Quant. mod. (oc)'!P187)</f>
        <v>0</v>
      </c>
      <c r="Q187" s="125">
        <f>IF('Quant. mod. (oc)'!Q187&lt;0,0,'Quant. mod. (oc)'!Q187)</f>
        <v>0</v>
      </c>
      <c r="R187" s="125">
        <f>IF('Quant. mod. (oc)'!R187&lt;0,0,'Quant. mod. (oc)'!R187)</f>
        <v>406.15</v>
      </c>
      <c r="S187" s="125">
        <f>IF('Quant. mod. (oc)'!S187&lt;0,0,'Quant. mod. (oc)'!S187)</f>
        <v>0</v>
      </c>
      <c r="T187" s="125">
        <f>IF('Quant. mod. (oc)'!T187&lt;0,0,'Quant. mod. (oc)'!T187)</f>
        <v>0</v>
      </c>
      <c r="U187" s="125">
        <f>IF('Quant. mod. (oc)'!U187&lt;0,0,'Quant. mod. (oc)'!U187)</f>
        <v>0</v>
      </c>
      <c r="V187" s="125">
        <f>IF('Quant. mod. (oc)'!V187&lt;0,0,'Quant. mod. (oc)'!V187)</f>
        <v>0</v>
      </c>
      <c r="W187" s="125">
        <f>IF('Quant. mod. (oc)'!W187&lt;0,0,'Quant. mod. (oc)'!W187)</f>
        <v>0</v>
      </c>
      <c r="X187" s="125">
        <f>IF('Quant. mod. (oc)'!X187&lt;0,0,'Quant. mod. (oc)'!X187)</f>
        <v>0</v>
      </c>
      <c r="Y187" s="125">
        <f>IF('Quant. mod. (oc)'!Y187&lt;0,0,'Quant. mod. (oc)'!Y187)</f>
        <v>406.15</v>
      </c>
      <c r="Z187" s="125">
        <f>IF('Quant. mod. (oc)'!Z187&lt;0,0,'Quant. mod. (oc)'!Z187)</f>
        <v>0</v>
      </c>
      <c r="AA187" s="125">
        <f>IF('Quant. mod. (oc)'!AA187&lt;0,0,'Quant. mod. (oc)'!AA187)</f>
        <v>0</v>
      </c>
      <c r="AB187" s="125">
        <f>IF('Quant. mod. (oc)'!AB187&lt;0,0,'Quant. mod. (oc)'!AB187)</f>
        <v>406.15</v>
      </c>
      <c r="AC187" s="125">
        <f>IF('Quant. mod. (oc)'!AC187&lt;0,0,'Quant. mod. (oc)'!AC187)</f>
        <v>0</v>
      </c>
      <c r="AD187" s="125">
        <f>IF('Quant. mod. (oc)'!AD187&lt;0,0,'Quant. mod. (oc)'!AD187)</f>
        <v>0</v>
      </c>
      <c r="AE187" s="125">
        <f>IF('Quant. mod. (oc)'!AE187&lt;0,0,'Quant. mod. (oc)'!AE187)</f>
        <v>0</v>
      </c>
      <c r="AF187" s="125">
        <f>IF('Quant. mod. (oc)'!AF187&lt;0,0,'Quant. mod. (oc)'!AF187)</f>
        <v>0</v>
      </c>
      <c r="AG187" s="126">
        <f>IF('Quant. mod. (oc)'!AG187&lt;0,0,'Quant. mod. (oc)'!AG187)</f>
        <v>0</v>
      </c>
      <c r="AH187" s="22"/>
    </row>
    <row r="188" spans="1:34" ht="25.5" x14ac:dyDescent="0.25">
      <c r="A188" s="112"/>
      <c r="B188" s="270" t="s">
        <v>294</v>
      </c>
      <c r="C188" s="133" t="s">
        <v>65</v>
      </c>
      <c r="D188" s="125">
        <f>IF('Quant. mod. (oc)'!D188&lt;0,0,'Quant. mod. (oc)'!D188)</f>
        <v>0</v>
      </c>
      <c r="E188" s="125">
        <f>IF('Quant. mod. (oc)'!E188&lt;0,0,'Quant. mod. (oc)'!E188)</f>
        <v>23.67</v>
      </c>
      <c r="F188" s="125">
        <f>IF('Quant. mod. (oc)'!F188&lt;0,0,'Quant. mod. (oc)'!F188)</f>
        <v>0</v>
      </c>
      <c r="G188" s="125">
        <f>IF('Quant. mod. (oc)'!G188&lt;0,0,'Quant. mod. (oc)'!G188)</f>
        <v>0</v>
      </c>
      <c r="H188" s="125">
        <f>IF('Quant. mod. (oc)'!H188&lt;0,0,'Quant. mod. (oc)'!H188)</f>
        <v>23.67</v>
      </c>
      <c r="I188" s="125">
        <f>IF('Quant. mod. (oc)'!I188&lt;0,0,'Quant. mod. (oc)'!I188)</f>
        <v>0</v>
      </c>
      <c r="J188" s="125">
        <f>IF('Quant. mod. (oc)'!J188&lt;0,0,'Quant. mod. (oc)'!J188)</f>
        <v>0</v>
      </c>
      <c r="K188" s="125">
        <f>IF('Quant. mod. (oc)'!K188&lt;0,0,'Quant. mod. (oc)'!K188)</f>
        <v>0</v>
      </c>
      <c r="L188" s="125">
        <f>IF('Quant. mod. (oc)'!L188&lt;0,0,'Quant. mod. (oc)'!L188)</f>
        <v>0</v>
      </c>
      <c r="M188" s="125">
        <f>IF('Quant. mod. (oc)'!M188&lt;0,0,'Quant. mod. (oc)'!M188)</f>
        <v>0</v>
      </c>
      <c r="N188" s="125">
        <f>IF('Quant. mod. (oc)'!N188&lt;0,0,'Quant. mod. (oc)'!N188)</f>
        <v>0</v>
      </c>
      <c r="O188" s="125">
        <f>IF('Quant. mod. (oc)'!O188&lt;0,0,'Quant. mod. (oc)'!O188)</f>
        <v>19.643000000000001</v>
      </c>
      <c r="P188" s="125">
        <f>IF('Quant. mod. (oc)'!P188&lt;0,0,'Quant. mod. (oc)'!P188)</f>
        <v>0</v>
      </c>
      <c r="Q188" s="125">
        <f>IF('Quant. mod. (oc)'!Q188&lt;0,0,'Quant. mod. (oc)'!Q188)</f>
        <v>0</v>
      </c>
      <c r="R188" s="125">
        <f>IF('Quant. mod. (oc)'!R188&lt;0,0,'Quant. mod. (oc)'!R188)</f>
        <v>19.643000000000001</v>
      </c>
      <c r="S188" s="125">
        <f>IF('Quant. mod. (oc)'!S188&lt;0,0,'Quant. mod. (oc)'!S188)</f>
        <v>0</v>
      </c>
      <c r="T188" s="125">
        <f>IF('Quant. mod. (oc)'!T188&lt;0,0,'Quant. mod. (oc)'!T188)</f>
        <v>0</v>
      </c>
      <c r="U188" s="125">
        <f>IF('Quant. mod. (oc)'!U188&lt;0,0,'Quant. mod. (oc)'!U188)</f>
        <v>0</v>
      </c>
      <c r="V188" s="125">
        <f>IF('Quant. mod. (oc)'!V188&lt;0,0,'Quant. mod. (oc)'!V188)</f>
        <v>0</v>
      </c>
      <c r="W188" s="125">
        <f>IF('Quant. mod. (oc)'!W188&lt;0,0,'Quant. mod. (oc)'!W188)</f>
        <v>0</v>
      </c>
      <c r="X188" s="125">
        <f>IF('Quant. mod. (oc)'!X188&lt;0,0,'Quant. mod. (oc)'!X188)</f>
        <v>0</v>
      </c>
      <c r="Y188" s="125">
        <f>IF('Quant. mod. (oc)'!Y188&lt;0,0,'Quant. mod. (oc)'!Y188)</f>
        <v>19.645</v>
      </c>
      <c r="Z188" s="125">
        <f>IF('Quant. mod. (oc)'!Z188&lt;0,0,'Quant. mod. (oc)'!Z188)</f>
        <v>0</v>
      </c>
      <c r="AA188" s="125">
        <f>IF('Quant. mod. (oc)'!AA188&lt;0,0,'Quant. mod. (oc)'!AA188)</f>
        <v>0</v>
      </c>
      <c r="AB188" s="125">
        <f>IF('Quant. mod. (oc)'!AB188&lt;0,0,'Quant. mod. (oc)'!AB188)</f>
        <v>19.645</v>
      </c>
      <c r="AC188" s="125">
        <f>IF('Quant. mod. (oc)'!AC188&lt;0,0,'Quant. mod. (oc)'!AC188)</f>
        <v>0</v>
      </c>
      <c r="AD188" s="125">
        <f>IF('Quant. mod. (oc)'!AD188&lt;0,0,'Quant. mod. (oc)'!AD188)</f>
        <v>0</v>
      </c>
      <c r="AE188" s="125">
        <f>IF('Quant. mod. (oc)'!AE188&lt;0,0,'Quant. mod. (oc)'!AE188)</f>
        <v>0</v>
      </c>
      <c r="AF188" s="125">
        <f>IF('Quant. mod. (oc)'!AF188&lt;0,0,'Quant. mod. (oc)'!AF188)</f>
        <v>0</v>
      </c>
      <c r="AG188" s="126">
        <f>IF('Quant. mod. (oc)'!AG188&lt;0,0,'Quant. mod. (oc)'!AG188)</f>
        <v>0</v>
      </c>
      <c r="AH188" s="22"/>
    </row>
    <row r="189" spans="1:34" x14ac:dyDescent="0.25">
      <c r="A189" s="112"/>
      <c r="B189" s="270" t="s">
        <v>290</v>
      </c>
      <c r="C189" s="133" t="s">
        <v>63</v>
      </c>
      <c r="D189" s="125">
        <f>IF('Quant. mod. (oc)'!D189&lt;0,0,'Quant. mod. (oc)'!D189)</f>
        <v>0</v>
      </c>
      <c r="E189" s="125">
        <f>IF('Quant. mod. (oc)'!E189&lt;0,0,'Quant. mod. (oc)'!E189)</f>
        <v>9.4660000000000011</v>
      </c>
      <c r="F189" s="125">
        <f>IF('Quant. mod. (oc)'!F189&lt;0,0,'Quant. mod. (oc)'!F189)</f>
        <v>0</v>
      </c>
      <c r="G189" s="125">
        <f>IF('Quant. mod. (oc)'!G189&lt;0,0,'Quant. mod. (oc)'!G189)</f>
        <v>0</v>
      </c>
      <c r="H189" s="125">
        <f>IF('Quant. mod. (oc)'!H189&lt;0,0,'Quant. mod. (oc)'!H189)</f>
        <v>9.4660000000000011</v>
      </c>
      <c r="I189" s="125">
        <f>IF('Quant. mod. (oc)'!I189&lt;0,0,'Quant. mod. (oc)'!I189)</f>
        <v>0</v>
      </c>
      <c r="J189" s="125">
        <f>IF('Quant. mod. (oc)'!J189&lt;0,0,'Quant. mod. (oc)'!J189)</f>
        <v>0</v>
      </c>
      <c r="K189" s="125">
        <f>IF('Quant. mod. (oc)'!K189&lt;0,0,'Quant. mod. (oc)'!K189)</f>
        <v>0</v>
      </c>
      <c r="L189" s="125">
        <f>IF('Quant. mod. (oc)'!L189&lt;0,0,'Quant. mod. (oc)'!L189)</f>
        <v>0</v>
      </c>
      <c r="M189" s="125">
        <f>IF('Quant. mod. (oc)'!M189&lt;0,0,'Quant. mod. (oc)'!M189)</f>
        <v>0</v>
      </c>
      <c r="N189" s="125">
        <f>IF('Quant. mod. (oc)'!N189&lt;0,0,'Quant. mod. (oc)'!N189)</f>
        <v>0</v>
      </c>
      <c r="O189" s="125">
        <f>IF('Quant. mod. (oc)'!O189&lt;0,0,'Quant. mod. (oc)'!O189)</f>
        <v>7.8577000000000004</v>
      </c>
      <c r="P189" s="125">
        <f>IF('Quant. mod. (oc)'!P189&lt;0,0,'Quant. mod. (oc)'!P189)</f>
        <v>0</v>
      </c>
      <c r="Q189" s="125">
        <f>IF('Quant. mod. (oc)'!Q189&lt;0,0,'Quant. mod. (oc)'!Q189)</f>
        <v>0</v>
      </c>
      <c r="R189" s="125">
        <f>IF('Quant. mod. (oc)'!R189&lt;0,0,'Quant. mod. (oc)'!R189)</f>
        <v>7.8577000000000004</v>
      </c>
      <c r="S189" s="125">
        <f>IF('Quant. mod. (oc)'!S189&lt;0,0,'Quant. mod. (oc)'!S189)</f>
        <v>0</v>
      </c>
      <c r="T189" s="125">
        <f>IF('Quant. mod. (oc)'!T189&lt;0,0,'Quant. mod. (oc)'!T189)</f>
        <v>0</v>
      </c>
      <c r="U189" s="125">
        <f>IF('Quant. mod. (oc)'!U189&lt;0,0,'Quant. mod. (oc)'!U189)</f>
        <v>0</v>
      </c>
      <c r="V189" s="125">
        <f>IF('Quant. mod. (oc)'!V189&lt;0,0,'Quant. mod. (oc)'!V189)</f>
        <v>0</v>
      </c>
      <c r="W189" s="125">
        <f>IF('Quant. mod. (oc)'!W189&lt;0,0,'Quant. mod. (oc)'!W189)</f>
        <v>0</v>
      </c>
      <c r="X189" s="125">
        <f>IF('Quant. mod. (oc)'!X189&lt;0,0,'Quant. mod. (oc)'!X189)</f>
        <v>0</v>
      </c>
      <c r="Y189" s="125">
        <f>IF('Quant. mod. (oc)'!Y189&lt;0,0,'Quant. mod. (oc)'!Y189)</f>
        <v>7.8580000000000005</v>
      </c>
      <c r="Z189" s="125">
        <f>IF('Quant. mod. (oc)'!Z189&lt;0,0,'Quant. mod. (oc)'!Z189)</f>
        <v>0</v>
      </c>
      <c r="AA189" s="125">
        <f>IF('Quant. mod. (oc)'!AA189&lt;0,0,'Quant. mod. (oc)'!AA189)</f>
        <v>0</v>
      </c>
      <c r="AB189" s="125">
        <f>IF('Quant. mod. (oc)'!AB189&lt;0,0,'Quant. mod. (oc)'!AB189)</f>
        <v>7.8580000000000005</v>
      </c>
      <c r="AC189" s="125">
        <f>IF('Quant. mod. (oc)'!AC189&lt;0,0,'Quant. mod. (oc)'!AC189)</f>
        <v>0</v>
      </c>
      <c r="AD189" s="125">
        <f>IF('Quant. mod. (oc)'!AD189&lt;0,0,'Quant. mod. (oc)'!AD189)</f>
        <v>0</v>
      </c>
      <c r="AE189" s="125">
        <f>IF('Quant. mod. (oc)'!AE189&lt;0,0,'Quant. mod. (oc)'!AE189)</f>
        <v>0</v>
      </c>
      <c r="AF189" s="125">
        <f>IF('Quant. mod. (oc)'!AF189&lt;0,0,'Quant. mod. (oc)'!AF189)</f>
        <v>0</v>
      </c>
      <c r="AG189" s="126">
        <f>IF('Quant. mod. (oc)'!AG189&lt;0,0,'Quant. mod. (oc)'!AG189)</f>
        <v>0</v>
      </c>
      <c r="AH189" s="22"/>
    </row>
    <row r="190" spans="1:34" ht="25.5" x14ac:dyDescent="0.25">
      <c r="A190" s="112"/>
      <c r="B190" s="270" t="s">
        <v>295</v>
      </c>
      <c r="C190" s="133" t="s">
        <v>57</v>
      </c>
      <c r="D190" s="125">
        <f>IF('Quant. mod. (oc)'!D190&lt;0,0,'Quant. mod. (oc)'!D190)</f>
        <v>0</v>
      </c>
      <c r="E190" s="125">
        <f>IF('Quant. mod. (oc)'!E190&lt;0,0,'Quant. mod. (oc)'!E190)</f>
        <v>167.23099999999999</v>
      </c>
      <c r="F190" s="125">
        <f>IF('Quant. mod. (oc)'!F190&lt;0,0,'Quant. mod. (oc)'!F190)</f>
        <v>0</v>
      </c>
      <c r="G190" s="125">
        <f>IF('Quant. mod. (oc)'!G190&lt;0,0,'Quant. mod. (oc)'!G190)</f>
        <v>0</v>
      </c>
      <c r="H190" s="125">
        <f>IF('Quant. mod. (oc)'!H190&lt;0,0,'Quant. mod. (oc)'!H190)</f>
        <v>167.23099999999999</v>
      </c>
      <c r="I190" s="125">
        <f>IF('Quant. mod. (oc)'!I190&lt;0,0,'Quant. mod. (oc)'!I190)</f>
        <v>0</v>
      </c>
      <c r="J190" s="125">
        <f>IF('Quant. mod. (oc)'!J190&lt;0,0,'Quant. mod. (oc)'!J190)</f>
        <v>0</v>
      </c>
      <c r="K190" s="125">
        <f>IF('Quant. mod. (oc)'!K190&lt;0,0,'Quant. mod. (oc)'!K190)</f>
        <v>0</v>
      </c>
      <c r="L190" s="125">
        <f>IF('Quant. mod. (oc)'!L190&lt;0,0,'Quant. mod. (oc)'!L190)</f>
        <v>0</v>
      </c>
      <c r="M190" s="125">
        <f>IF('Quant. mod. (oc)'!M190&lt;0,0,'Quant. mod. (oc)'!M190)</f>
        <v>0</v>
      </c>
      <c r="N190" s="125">
        <f>IF('Quant. mod. (oc)'!N190&lt;0,0,'Quant. mod. (oc)'!N190)</f>
        <v>0</v>
      </c>
      <c r="O190" s="125">
        <f>IF('Quant. mod. (oc)'!O190&lt;0,0,'Quant. mod. (oc)'!O190)</f>
        <v>138.994</v>
      </c>
      <c r="P190" s="125">
        <f>IF('Quant. mod. (oc)'!P190&lt;0,0,'Quant. mod. (oc)'!P190)</f>
        <v>0</v>
      </c>
      <c r="Q190" s="125">
        <f>IF('Quant. mod. (oc)'!Q190&lt;0,0,'Quant. mod. (oc)'!Q190)</f>
        <v>0</v>
      </c>
      <c r="R190" s="125">
        <f>IF('Quant. mod. (oc)'!R190&lt;0,0,'Quant. mod. (oc)'!R190)</f>
        <v>138.994</v>
      </c>
      <c r="S190" s="125">
        <f>IF('Quant. mod. (oc)'!S190&lt;0,0,'Quant. mod. (oc)'!S190)</f>
        <v>0</v>
      </c>
      <c r="T190" s="125">
        <f>IF('Quant. mod. (oc)'!T190&lt;0,0,'Quant. mod. (oc)'!T190)</f>
        <v>0</v>
      </c>
      <c r="U190" s="125">
        <f>IF('Quant. mod. (oc)'!U190&lt;0,0,'Quant. mod. (oc)'!U190)</f>
        <v>0</v>
      </c>
      <c r="V190" s="125">
        <f>IF('Quant. mod. (oc)'!V190&lt;0,0,'Quant. mod. (oc)'!V190)</f>
        <v>0</v>
      </c>
      <c r="W190" s="125">
        <f>IF('Quant. mod. (oc)'!W190&lt;0,0,'Quant. mod. (oc)'!W190)</f>
        <v>0</v>
      </c>
      <c r="X190" s="125">
        <f>IF('Quant. mod. (oc)'!X190&lt;0,0,'Quant. mod. (oc)'!X190)</f>
        <v>0</v>
      </c>
      <c r="Y190" s="125">
        <f>IF('Quant. mod. (oc)'!Y190&lt;0,0,'Quant. mod. (oc)'!Y190)</f>
        <v>139.02799999999999</v>
      </c>
      <c r="Z190" s="125">
        <f>IF('Quant. mod. (oc)'!Z190&lt;0,0,'Quant. mod. (oc)'!Z190)</f>
        <v>0</v>
      </c>
      <c r="AA190" s="125">
        <f>IF('Quant. mod. (oc)'!AA190&lt;0,0,'Quant. mod. (oc)'!AA190)</f>
        <v>0</v>
      </c>
      <c r="AB190" s="125">
        <f>IF('Quant. mod. (oc)'!AB190&lt;0,0,'Quant. mod. (oc)'!AB190)</f>
        <v>139.02799999999999</v>
      </c>
      <c r="AC190" s="125">
        <f>IF('Quant. mod. (oc)'!AC190&lt;0,0,'Quant. mod. (oc)'!AC190)</f>
        <v>0</v>
      </c>
      <c r="AD190" s="125">
        <f>IF('Quant. mod. (oc)'!AD190&lt;0,0,'Quant. mod. (oc)'!AD190)</f>
        <v>0</v>
      </c>
      <c r="AE190" s="125">
        <f>IF('Quant. mod. (oc)'!AE190&lt;0,0,'Quant. mod. (oc)'!AE190)</f>
        <v>0</v>
      </c>
      <c r="AF190" s="125">
        <f>IF('Quant. mod. (oc)'!AF190&lt;0,0,'Quant. mod. (oc)'!AF190)</f>
        <v>0</v>
      </c>
      <c r="AG190" s="126">
        <f>IF('Quant. mod. (oc)'!AG190&lt;0,0,'Quant. mod. (oc)'!AG190)</f>
        <v>0</v>
      </c>
      <c r="AH190" s="22"/>
    </row>
    <row r="191" spans="1:34" x14ac:dyDescent="0.25">
      <c r="A191" s="112"/>
      <c r="B191" s="27" t="s">
        <v>535</v>
      </c>
      <c r="C191" s="133" t="s">
        <v>57</v>
      </c>
      <c r="D191" s="125">
        <f>IF('Quant. mod. (oc)'!D191&lt;0,0,'Quant. mod. (oc)'!D191)</f>
        <v>0</v>
      </c>
      <c r="E191" s="125">
        <f>IF('Quant. mod. (oc)'!E191&lt;0,0,'Quant. mod. (oc)'!E191)</f>
        <v>29.402999999999999</v>
      </c>
      <c r="F191" s="125">
        <f>IF('Quant. mod. (oc)'!F191&lt;0,0,'Quant. mod. (oc)'!F191)</f>
        <v>0</v>
      </c>
      <c r="G191" s="125">
        <f>IF('Quant. mod. (oc)'!G191&lt;0,0,'Quant. mod. (oc)'!G191)</f>
        <v>0</v>
      </c>
      <c r="H191" s="125">
        <f>IF('Quant. mod. (oc)'!H191&lt;0,0,'Quant. mod. (oc)'!H191)</f>
        <v>29.402999999999999</v>
      </c>
      <c r="I191" s="125">
        <f>IF('Quant. mod. (oc)'!I191&lt;0,0,'Quant. mod. (oc)'!I191)</f>
        <v>0</v>
      </c>
      <c r="J191" s="125">
        <f>IF('Quant. mod. (oc)'!J191&lt;0,0,'Quant. mod. (oc)'!J191)</f>
        <v>0</v>
      </c>
      <c r="K191" s="125">
        <f>IF('Quant. mod. (oc)'!K191&lt;0,0,'Quant. mod. (oc)'!K191)</f>
        <v>0</v>
      </c>
      <c r="L191" s="125">
        <f>IF('Quant. mod. (oc)'!L191&lt;0,0,'Quant. mod. (oc)'!L191)</f>
        <v>0</v>
      </c>
      <c r="M191" s="125">
        <f>IF('Quant. mod. (oc)'!M191&lt;0,0,'Quant. mod. (oc)'!M191)</f>
        <v>0</v>
      </c>
      <c r="N191" s="125">
        <f>IF('Quant. mod. (oc)'!N191&lt;0,0,'Quant. mod. (oc)'!N191)</f>
        <v>0</v>
      </c>
      <c r="O191" s="125">
        <f>IF('Quant. mod. (oc)'!O191&lt;0,0,'Quant. mod. (oc)'!O191)</f>
        <v>25.48</v>
      </c>
      <c r="P191" s="125">
        <f>IF('Quant. mod. (oc)'!P191&lt;0,0,'Quant. mod. (oc)'!P191)</f>
        <v>0</v>
      </c>
      <c r="Q191" s="125">
        <f>IF('Quant. mod. (oc)'!Q191&lt;0,0,'Quant. mod. (oc)'!Q191)</f>
        <v>0</v>
      </c>
      <c r="R191" s="125">
        <f>IF('Quant. mod. (oc)'!R191&lt;0,0,'Quant. mod. (oc)'!R191)</f>
        <v>25.48</v>
      </c>
      <c r="S191" s="125">
        <f>IF('Quant. mod. (oc)'!S191&lt;0,0,'Quant. mod. (oc)'!S191)</f>
        <v>0</v>
      </c>
      <c r="T191" s="125">
        <f>IF('Quant. mod. (oc)'!T191&lt;0,0,'Quant. mod. (oc)'!T191)</f>
        <v>0</v>
      </c>
      <c r="U191" s="125">
        <f>IF('Quant. mod. (oc)'!U191&lt;0,0,'Quant. mod. (oc)'!U191)</f>
        <v>0</v>
      </c>
      <c r="V191" s="125">
        <f>IF('Quant. mod. (oc)'!V191&lt;0,0,'Quant. mod. (oc)'!V191)</f>
        <v>0</v>
      </c>
      <c r="W191" s="125">
        <f>IF('Quant. mod. (oc)'!W191&lt;0,0,'Quant. mod. (oc)'!W191)</f>
        <v>0</v>
      </c>
      <c r="X191" s="125">
        <f>IF('Quant. mod. (oc)'!X191&lt;0,0,'Quant. mod. (oc)'!X191)</f>
        <v>0</v>
      </c>
      <c r="Y191" s="125">
        <f>IF('Quant. mod. (oc)'!Y191&lt;0,0,'Quant. mod. (oc)'!Y191)</f>
        <v>25.48</v>
      </c>
      <c r="Z191" s="125">
        <f>IF('Quant. mod. (oc)'!Z191&lt;0,0,'Quant. mod. (oc)'!Z191)</f>
        <v>0</v>
      </c>
      <c r="AA191" s="125">
        <f>IF('Quant. mod. (oc)'!AA191&lt;0,0,'Quant. mod. (oc)'!AA191)</f>
        <v>0</v>
      </c>
      <c r="AB191" s="125">
        <f>IF('Quant. mod. (oc)'!AB191&lt;0,0,'Quant. mod. (oc)'!AB191)</f>
        <v>25.48</v>
      </c>
      <c r="AC191" s="125">
        <f>IF('Quant. mod. (oc)'!AC191&lt;0,0,'Quant. mod. (oc)'!AC191)</f>
        <v>0</v>
      </c>
      <c r="AD191" s="125">
        <f>IF('Quant. mod. (oc)'!AD191&lt;0,0,'Quant. mod. (oc)'!AD191)</f>
        <v>0</v>
      </c>
      <c r="AE191" s="125">
        <f>IF('Quant. mod. (oc)'!AE191&lt;0,0,'Quant. mod. (oc)'!AE191)</f>
        <v>0</v>
      </c>
      <c r="AF191" s="125">
        <f>IF('Quant. mod. (oc)'!AF191&lt;0,0,'Quant. mod. (oc)'!AF191)</f>
        <v>0</v>
      </c>
      <c r="AG191" s="126">
        <f>IF('Quant. mod. (oc)'!AG191&lt;0,0,'Quant. mod. (oc)'!AG191)</f>
        <v>0</v>
      </c>
      <c r="AH191" s="22"/>
    </row>
    <row r="192" spans="1:34" ht="25.5" x14ac:dyDescent="0.25">
      <c r="A192" s="112"/>
      <c r="B192" s="135" t="s">
        <v>461</v>
      </c>
      <c r="C192" s="133" t="s">
        <v>64</v>
      </c>
      <c r="D192" s="125">
        <f>IF('Quant. mod. (oc)'!D192&lt;0,0,'Quant. mod. (oc)'!D192)</f>
        <v>0</v>
      </c>
      <c r="E192" s="125">
        <f>IF('Quant. mod. (oc)'!E192&lt;0,0,'Quant. mod. (oc)'!E192)</f>
        <v>19.203000000000003</v>
      </c>
      <c r="F192" s="125">
        <f>IF('Quant. mod. (oc)'!F192&lt;0,0,'Quant. mod. (oc)'!F192)</f>
        <v>0</v>
      </c>
      <c r="G192" s="125">
        <f>IF('Quant. mod. (oc)'!G192&lt;0,0,'Quant. mod. (oc)'!G192)</f>
        <v>0</v>
      </c>
      <c r="H192" s="125">
        <f>IF('Quant. mod. (oc)'!H192&lt;0,0,'Quant. mod. (oc)'!H192)</f>
        <v>19.203000000000003</v>
      </c>
      <c r="I192" s="125">
        <f>IF('Quant. mod. (oc)'!I192&lt;0,0,'Quant. mod. (oc)'!I192)</f>
        <v>0</v>
      </c>
      <c r="J192" s="125">
        <f>IF('Quant. mod. (oc)'!J192&lt;0,0,'Quant. mod. (oc)'!J192)</f>
        <v>0</v>
      </c>
      <c r="K192" s="125">
        <f>IF('Quant. mod. (oc)'!K192&lt;0,0,'Quant. mod. (oc)'!K192)</f>
        <v>0</v>
      </c>
      <c r="L192" s="125">
        <f>IF('Quant. mod. (oc)'!L192&lt;0,0,'Quant. mod. (oc)'!L192)</f>
        <v>0</v>
      </c>
      <c r="M192" s="125">
        <f>IF('Quant. mod. (oc)'!M192&lt;0,0,'Quant. mod. (oc)'!M192)</f>
        <v>0</v>
      </c>
      <c r="N192" s="125">
        <f>IF('Quant. mod. (oc)'!N192&lt;0,0,'Quant. mod. (oc)'!N192)</f>
        <v>0</v>
      </c>
      <c r="O192" s="125">
        <f>IF('Quant. mod. (oc)'!O192&lt;0,0,'Quant. mod. (oc)'!O192)</f>
        <v>14.403</v>
      </c>
      <c r="P192" s="125">
        <f>IF('Quant. mod. (oc)'!P192&lt;0,0,'Quant. mod. (oc)'!P192)</f>
        <v>0</v>
      </c>
      <c r="Q192" s="125">
        <f>IF('Quant. mod. (oc)'!Q192&lt;0,0,'Quant. mod. (oc)'!Q192)</f>
        <v>0</v>
      </c>
      <c r="R192" s="125">
        <f>IF('Quant. mod. (oc)'!R192&lt;0,0,'Quant. mod. (oc)'!R192)</f>
        <v>14.403</v>
      </c>
      <c r="S192" s="125">
        <f>IF('Quant. mod. (oc)'!S192&lt;0,0,'Quant. mod. (oc)'!S192)</f>
        <v>0</v>
      </c>
      <c r="T192" s="125">
        <f>IF('Quant. mod. (oc)'!T192&lt;0,0,'Quant. mod. (oc)'!T192)</f>
        <v>0</v>
      </c>
      <c r="U192" s="125">
        <f>IF('Quant. mod. (oc)'!U192&lt;0,0,'Quant. mod. (oc)'!U192)</f>
        <v>0</v>
      </c>
      <c r="V192" s="125">
        <f>IF('Quant. mod. (oc)'!V192&lt;0,0,'Quant. mod. (oc)'!V192)</f>
        <v>0</v>
      </c>
      <c r="W192" s="125">
        <f>IF('Quant. mod. (oc)'!W192&lt;0,0,'Quant. mod. (oc)'!W192)</f>
        <v>0</v>
      </c>
      <c r="X192" s="125">
        <f>IF('Quant. mod. (oc)'!X192&lt;0,0,'Quant. mod. (oc)'!X192)</f>
        <v>0</v>
      </c>
      <c r="Y192" s="125">
        <f>IF('Quant. mod. (oc)'!Y192&lt;0,0,'Quant. mod. (oc)'!Y192)</f>
        <v>14.403</v>
      </c>
      <c r="Z192" s="125">
        <f>IF('Quant. mod. (oc)'!Z192&lt;0,0,'Quant. mod. (oc)'!Z192)</f>
        <v>0</v>
      </c>
      <c r="AA192" s="125">
        <f>IF('Quant. mod. (oc)'!AA192&lt;0,0,'Quant. mod. (oc)'!AA192)</f>
        <v>0</v>
      </c>
      <c r="AB192" s="125">
        <f>IF('Quant. mod. (oc)'!AB192&lt;0,0,'Quant. mod. (oc)'!AB192)</f>
        <v>14.403</v>
      </c>
      <c r="AC192" s="125">
        <f>IF('Quant. mod. (oc)'!AC192&lt;0,0,'Quant. mod. (oc)'!AC192)</f>
        <v>0</v>
      </c>
      <c r="AD192" s="125">
        <f>IF('Quant. mod. (oc)'!AD192&lt;0,0,'Quant. mod. (oc)'!AD192)</f>
        <v>0</v>
      </c>
      <c r="AE192" s="125">
        <f>IF('Quant. mod. (oc)'!AE192&lt;0,0,'Quant. mod. (oc)'!AE192)</f>
        <v>0</v>
      </c>
      <c r="AF192" s="125">
        <f>IF('Quant. mod. (oc)'!AF192&lt;0,0,'Quant. mod. (oc)'!AF192)</f>
        <v>0</v>
      </c>
      <c r="AG192" s="126">
        <f>IF('Quant. mod. (oc)'!AG192&lt;0,0,'Quant. mod. (oc)'!AG192)</f>
        <v>0</v>
      </c>
      <c r="AH192" s="22"/>
    </row>
    <row r="193" spans="1:34" ht="25.5" x14ac:dyDescent="0.25">
      <c r="A193" s="112"/>
      <c r="B193" s="134" t="s">
        <v>73</v>
      </c>
      <c r="C193" s="133" t="s">
        <v>57</v>
      </c>
      <c r="D193" s="125">
        <f>IF('Quant. mod. (oc)'!D193&lt;0,0,'Quant. mod. (oc)'!D193)</f>
        <v>0</v>
      </c>
      <c r="E193" s="125">
        <f>IF('Quant. mod. (oc)'!E193&lt;0,0,'Quant. mod. (oc)'!E193)</f>
        <v>664.39</v>
      </c>
      <c r="F193" s="125">
        <f>IF('Quant. mod. (oc)'!F193&lt;0,0,'Quant. mod. (oc)'!F193)</f>
        <v>0</v>
      </c>
      <c r="G193" s="125">
        <f>IF('Quant. mod. (oc)'!G193&lt;0,0,'Quant. mod. (oc)'!G193)</f>
        <v>0</v>
      </c>
      <c r="H193" s="125">
        <f>IF('Quant. mod. (oc)'!H193&lt;0,0,'Quant. mod. (oc)'!H193)</f>
        <v>664.39</v>
      </c>
      <c r="I193" s="125">
        <f>IF('Quant. mod. (oc)'!I193&lt;0,0,'Quant. mod. (oc)'!I193)</f>
        <v>0</v>
      </c>
      <c r="J193" s="125">
        <f>IF('Quant. mod. (oc)'!J193&lt;0,0,'Quant. mod. (oc)'!J193)</f>
        <v>0</v>
      </c>
      <c r="K193" s="125">
        <f>IF('Quant. mod. (oc)'!K193&lt;0,0,'Quant. mod. (oc)'!K193)</f>
        <v>0</v>
      </c>
      <c r="L193" s="125">
        <f>IF('Quant. mod. (oc)'!L193&lt;0,0,'Quant. mod. (oc)'!L193)</f>
        <v>0</v>
      </c>
      <c r="M193" s="125">
        <f>IF('Quant. mod. (oc)'!M193&lt;0,0,'Quant. mod. (oc)'!M193)</f>
        <v>0</v>
      </c>
      <c r="N193" s="125">
        <f>IF('Quant. mod. (oc)'!N193&lt;0,0,'Quant. mod. (oc)'!N193)</f>
        <v>0</v>
      </c>
      <c r="O193" s="125">
        <f>IF('Quant. mod. (oc)'!O193&lt;0,0,'Quant. mod. (oc)'!O193)</f>
        <v>427.19000000000005</v>
      </c>
      <c r="P193" s="125">
        <f>IF('Quant. mod. (oc)'!P193&lt;0,0,'Quant. mod. (oc)'!P193)</f>
        <v>0</v>
      </c>
      <c r="Q193" s="125">
        <f>IF('Quant. mod. (oc)'!Q193&lt;0,0,'Quant. mod. (oc)'!Q193)</f>
        <v>0</v>
      </c>
      <c r="R193" s="125">
        <f>IF('Quant. mod. (oc)'!R193&lt;0,0,'Quant. mod. (oc)'!R193)</f>
        <v>427.19000000000005</v>
      </c>
      <c r="S193" s="125">
        <f>IF('Quant. mod. (oc)'!S193&lt;0,0,'Quant. mod. (oc)'!S193)</f>
        <v>0</v>
      </c>
      <c r="T193" s="125">
        <f>IF('Quant. mod. (oc)'!T193&lt;0,0,'Quant. mod. (oc)'!T193)</f>
        <v>0</v>
      </c>
      <c r="U193" s="125">
        <f>IF('Quant. mod. (oc)'!U193&lt;0,0,'Quant. mod. (oc)'!U193)</f>
        <v>0</v>
      </c>
      <c r="V193" s="125">
        <f>IF('Quant. mod. (oc)'!V193&lt;0,0,'Quant. mod. (oc)'!V193)</f>
        <v>0</v>
      </c>
      <c r="W193" s="125">
        <f>IF('Quant. mod. (oc)'!W193&lt;0,0,'Quant. mod. (oc)'!W193)</f>
        <v>0</v>
      </c>
      <c r="X193" s="125">
        <f>IF('Quant. mod. (oc)'!X193&lt;0,0,'Quant. mod. (oc)'!X193)</f>
        <v>0</v>
      </c>
      <c r="Y193" s="125">
        <f>IF('Quant. mod. (oc)'!Y193&lt;0,0,'Quant. mod. (oc)'!Y193)</f>
        <v>427.19000000000005</v>
      </c>
      <c r="Z193" s="125">
        <f>IF('Quant. mod. (oc)'!Z193&lt;0,0,'Quant. mod. (oc)'!Z193)</f>
        <v>0</v>
      </c>
      <c r="AA193" s="125">
        <f>IF('Quant. mod. (oc)'!AA193&lt;0,0,'Quant. mod. (oc)'!AA193)</f>
        <v>0</v>
      </c>
      <c r="AB193" s="125">
        <f>IF('Quant. mod. (oc)'!AB193&lt;0,0,'Quant. mod. (oc)'!AB193)</f>
        <v>427.19000000000005</v>
      </c>
      <c r="AC193" s="125">
        <f>IF('Quant. mod. (oc)'!AC193&lt;0,0,'Quant. mod. (oc)'!AC193)</f>
        <v>0</v>
      </c>
      <c r="AD193" s="125">
        <f>IF('Quant. mod. (oc)'!AD193&lt;0,0,'Quant. mod. (oc)'!AD193)</f>
        <v>0</v>
      </c>
      <c r="AE193" s="125">
        <f>IF('Quant. mod. (oc)'!AE193&lt;0,0,'Quant. mod. (oc)'!AE193)</f>
        <v>0</v>
      </c>
      <c r="AF193" s="125">
        <f>IF('Quant. mod. (oc)'!AF193&lt;0,0,'Quant. mod. (oc)'!AF193)</f>
        <v>0</v>
      </c>
      <c r="AG193" s="126">
        <f>IF('Quant. mod. (oc)'!AG193&lt;0,0,'Quant. mod. (oc)'!AG193)</f>
        <v>0</v>
      </c>
      <c r="AH193" s="22"/>
    </row>
    <row r="194" spans="1:34" x14ac:dyDescent="0.25">
      <c r="A194" s="112"/>
      <c r="B194" s="120" t="s">
        <v>551</v>
      </c>
      <c r="C194" s="121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8"/>
      <c r="AH194" s="22"/>
    </row>
    <row r="195" spans="1:34" ht="51" x14ac:dyDescent="0.25">
      <c r="A195" s="112"/>
      <c r="B195" s="27" t="s">
        <v>442</v>
      </c>
      <c r="C195" s="133" t="s">
        <v>65</v>
      </c>
      <c r="D195" s="125">
        <f>IF('Quant. mod. (oc)'!D195&lt;0,0,'Quant. mod. (oc)'!D195)</f>
        <v>0</v>
      </c>
      <c r="E195" s="125">
        <f>IF('Quant. mod. (oc)'!E195&lt;0,0,'Quant. mod. (oc)'!E195)</f>
        <v>0</v>
      </c>
      <c r="F195" s="125">
        <f>IF('Quant. mod. (oc)'!F195&lt;0,0,'Quant. mod. (oc)'!F195)</f>
        <v>87.024999999999991</v>
      </c>
      <c r="G195" s="125">
        <f>IF('Quant. mod. (oc)'!G195&lt;0,0,'Quant. mod. (oc)'!G195)</f>
        <v>0</v>
      </c>
      <c r="H195" s="125">
        <f>IF('Quant. mod. (oc)'!H195&lt;0,0,'Quant. mod. (oc)'!H195)</f>
        <v>0</v>
      </c>
      <c r="I195" s="125">
        <f>IF('Quant. mod. (oc)'!I195&lt;0,0,'Quant. mod. (oc)'!I195)</f>
        <v>87.024999999999991</v>
      </c>
      <c r="J195" s="125">
        <f>IF('Quant. mod. (oc)'!J195&lt;0,0,'Quant. mod. (oc)'!J195)</f>
        <v>0</v>
      </c>
      <c r="K195" s="125">
        <f>IF('Quant. mod. (oc)'!K195&lt;0,0,'Quant. mod. (oc)'!K195)</f>
        <v>111.68100000000001</v>
      </c>
      <c r="L195" s="125">
        <f>IF('Quant. mod. (oc)'!L195&lt;0,0,'Quant. mod. (oc)'!L195)</f>
        <v>0</v>
      </c>
      <c r="M195" s="125">
        <f>IF('Quant. mod. (oc)'!M195&lt;0,0,'Quant. mod. (oc)'!M195)</f>
        <v>111.68100000000001</v>
      </c>
      <c r="N195" s="125">
        <f>IF('Quant. mod. (oc)'!N195&lt;0,0,'Quant. mod. (oc)'!N195)</f>
        <v>0</v>
      </c>
      <c r="O195" s="125">
        <f>IF('Quant. mod. (oc)'!O195&lt;0,0,'Quant. mod. (oc)'!O195)</f>
        <v>0</v>
      </c>
      <c r="P195" s="125">
        <f>IF('Quant. mod. (oc)'!P195&lt;0,0,'Quant. mod. (oc)'!P195)</f>
        <v>80.927999999999997</v>
      </c>
      <c r="Q195" s="125">
        <f>IF('Quant. mod. (oc)'!Q195&lt;0,0,'Quant. mod. (oc)'!Q195)</f>
        <v>0</v>
      </c>
      <c r="R195" s="125">
        <f>IF('Quant. mod. (oc)'!R195&lt;0,0,'Quant. mod. (oc)'!R195)</f>
        <v>0</v>
      </c>
      <c r="S195" s="125">
        <f>IF('Quant. mod. (oc)'!S195&lt;0,0,'Quant. mod. (oc)'!S195)</f>
        <v>80.927999999999997</v>
      </c>
      <c r="T195" s="125">
        <f>IF('Quant. mod. (oc)'!T195&lt;0,0,'Quant. mod. (oc)'!T195)</f>
        <v>0</v>
      </c>
      <c r="U195" s="125">
        <f>IF('Quant. mod. (oc)'!U195&lt;0,0,'Quant. mod. (oc)'!U195)</f>
        <v>104.31100000000001</v>
      </c>
      <c r="V195" s="125">
        <f>IF('Quant. mod. (oc)'!V195&lt;0,0,'Quant. mod. (oc)'!V195)</f>
        <v>0</v>
      </c>
      <c r="W195" s="125">
        <f>IF('Quant. mod. (oc)'!W195&lt;0,0,'Quant. mod. (oc)'!W195)</f>
        <v>104.31100000000001</v>
      </c>
      <c r="X195" s="125">
        <f>IF('Quant. mod. (oc)'!X195&lt;0,0,'Quant. mod. (oc)'!X195)</f>
        <v>0</v>
      </c>
      <c r="Y195" s="125">
        <f>IF('Quant. mod. (oc)'!Y195&lt;0,0,'Quant. mod. (oc)'!Y195)</f>
        <v>0</v>
      </c>
      <c r="Z195" s="125">
        <f>IF('Quant. mod. (oc)'!Z195&lt;0,0,'Quant. mod. (oc)'!Z195)</f>
        <v>66.9512</v>
      </c>
      <c r="AA195" s="125">
        <f>IF('Quant. mod. (oc)'!AA195&lt;0,0,'Quant. mod. (oc)'!AA195)</f>
        <v>0</v>
      </c>
      <c r="AB195" s="125">
        <f>IF('Quant. mod. (oc)'!AB195&lt;0,0,'Quant. mod. (oc)'!AB195)</f>
        <v>0</v>
      </c>
      <c r="AC195" s="125">
        <f>IF('Quant. mod. (oc)'!AC195&lt;0,0,'Quant. mod. (oc)'!AC195)</f>
        <v>66.9512</v>
      </c>
      <c r="AD195" s="125">
        <f>IF('Quant. mod. (oc)'!AD195&lt;0,0,'Quant. mod. (oc)'!AD195)</f>
        <v>0</v>
      </c>
      <c r="AE195" s="125">
        <f>IF('Quant. mod. (oc)'!AE195&lt;0,0,'Quant. mod. (oc)'!AE195)</f>
        <v>87.728999999999999</v>
      </c>
      <c r="AF195" s="125">
        <f>IF('Quant. mod. (oc)'!AF195&lt;0,0,'Quant. mod. (oc)'!AF195)</f>
        <v>0</v>
      </c>
      <c r="AG195" s="126">
        <f>IF('Quant. mod. (oc)'!AG195&lt;0,0,'Quant. mod. (oc)'!AG195)</f>
        <v>87.728999999999999</v>
      </c>
      <c r="AH195" s="22"/>
    </row>
    <row r="196" spans="1:34" ht="25.5" x14ac:dyDescent="0.25">
      <c r="A196" s="112"/>
      <c r="B196" s="27" t="s">
        <v>294</v>
      </c>
      <c r="C196" s="133" t="s">
        <v>65</v>
      </c>
      <c r="D196" s="125">
        <f>IF('Quant. mod. (oc)'!D196&lt;0,0,'Quant. mod. (oc)'!D196)</f>
        <v>0</v>
      </c>
      <c r="E196" s="125">
        <f>IF('Quant. mod. (oc)'!E196&lt;0,0,'Quant. mod. (oc)'!E196)</f>
        <v>0</v>
      </c>
      <c r="F196" s="125">
        <f>IF('Quant. mod. (oc)'!F196&lt;0,0,'Quant. mod. (oc)'!F196)</f>
        <v>3.0492999999999997</v>
      </c>
      <c r="G196" s="125">
        <f>IF('Quant. mod. (oc)'!G196&lt;0,0,'Quant. mod. (oc)'!G196)</f>
        <v>0</v>
      </c>
      <c r="H196" s="125">
        <f>IF('Quant. mod. (oc)'!H196&lt;0,0,'Quant. mod. (oc)'!H196)</f>
        <v>0</v>
      </c>
      <c r="I196" s="125">
        <f>IF('Quant. mod. (oc)'!I196&lt;0,0,'Quant. mod. (oc)'!I196)</f>
        <v>3.0492999999999997</v>
      </c>
      <c r="J196" s="125">
        <f>IF('Quant. mod. (oc)'!J196&lt;0,0,'Quant. mod. (oc)'!J196)</f>
        <v>0</v>
      </c>
      <c r="K196" s="125">
        <f>IF('Quant. mod. (oc)'!K196&lt;0,0,'Quant. mod. (oc)'!K196)</f>
        <v>25.698</v>
      </c>
      <c r="L196" s="125">
        <f>IF('Quant. mod. (oc)'!L196&lt;0,0,'Quant. mod. (oc)'!L196)</f>
        <v>0</v>
      </c>
      <c r="M196" s="125">
        <f>IF('Quant. mod. (oc)'!M196&lt;0,0,'Quant. mod. (oc)'!M196)</f>
        <v>25.698</v>
      </c>
      <c r="N196" s="125">
        <f>IF('Quant. mod. (oc)'!N196&lt;0,0,'Quant. mod. (oc)'!N196)</f>
        <v>0</v>
      </c>
      <c r="O196" s="125">
        <f>IF('Quant. mod. (oc)'!O196&lt;0,0,'Quant. mod. (oc)'!O196)</f>
        <v>0</v>
      </c>
      <c r="P196" s="125">
        <f>IF('Quant. mod. (oc)'!P196&lt;0,0,'Quant. mod. (oc)'!P196)</f>
        <v>3.0539000000000001</v>
      </c>
      <c r="Q196" s="125">
        <f>IF('Quant. mod. (oc)'!Q196&lt;0,0,'Quant. mod. (oc)'!Q196)</f>
        <v>0</v>
      </c>
      <c r="R196" s="125">
        <f>IF('Quant. mod. (oc)'!R196&lt;0,0,'Quant. mod. (oc)'!R196)</f>
        <v>0</v>
      </c>
      <c r="S196" s="125">
        <f>IF('Quant. mod. (oc)'!S196&lt;0,0,'Quant. mod. (oc)'!S196)</f>
        <v>3.0539000000000001</v>
      </c>
      <c r="T196" s="125">
        <f>IF('Quant. mod. (oc)'!T196&lt;0,0,'Quant. mod. (oc)'!T196)</f>
        <v>0</v>
      </c>
      <c r="U196" s="125">
        <f>IF('Quant. mod. (oc)'!U196&lt;0,0,'Quant. mod. (oc)'!U196)</f>
        <v>24.440999999999999</v>
      </c>
      <c r="V196" s="125">
        <f>IF('Quant. mod. (oc)'!V196&lt;0,0,'Quant. mod. (oc)'!V196)</f>
        <v>0</v>
      </c>
      <c r="W196" s="125">
        <f>IF('Quant. mod. (oc)'!W196&lt;0,0,'Quant. mod. (oc)'!W196)</f>
        <v>24.440999999999999</v>
      </c>
      <c r="X196" s="125">
        <f>IF('Quant. mod. (oc)'!X196&lt;0,0,'Quant. mod. (oc)'!X196)</f>
        <v>0</v>
      </c>
      <c r="Y196" s="125">
        <f>IF('Quant. mod. (oc)'!Y196&lt;0,0,'Quant. mod. (oc)'!Y196)</f>
        <v>0</v>
      </c>
      <c r="Z196" s="125">
        <f>IF('Quant. mod. (oc)'!Z196&lt;0,0,'Quant. mod. (oc)'!Z196)</f>
        <v>2.6948999999999996</v>
      </c>
      <c r="AA196" s="125">
        <f>IF('Quant. mod. (oc)'!AA196&lt;0,0,'Quant. mod. (oc)'!AA196)</f>
        <v>0</v>
      </c>
      <c r="AB196" s="125">
        <f>IF('Quant. mod. (oc)'!AB196&lt;0,0,'Quant. mod. (oc)'!AB196)</f>
        <v>0</v>
      </c>
      <c r="AC196" s="125">
        <f>IF('Quant. mod. (oc)'!AC196&lt;0,0,'Quant. mod. (oc)'!AC196)</f>
        <v>2.6948999999999996</v>
      </c>
      <c r="AD196" s="125">
        <f>IF('Quant. mod. (oc)'!AD196&lt;0,0,'Quant. mod. (oc)'!AD196)</f>
        <v>0</v>
      </c>
      <c r="AE196" s="125">
        <f>IF('Quant. mod. (oc)'!AE196&lt;0,0,'Quant. mod. (oc)'!AE196)</f>
        <v>21.765999999999998</v>
      </c>
      <c r="AF196" s="125">
        <f>IF('Quant. mod. (oc)'!AF196&lt;0,0,'Quant. mod. (oc)'!AF196)</f>
        <v>0</v>
      </c>
      <c r="AG196" s="126">
        <f>IF('Quant. mod. (oc)'!AG196&lt;0,0,'Quant. mod. (oc)'!AG196)</f>
        <v>21.765999999999998</v>
      </c>
      <c r="AH196" s="22"/>
    </row>
    <row r="197" spans="1:34" x14ac:dyDescent="0.25">
      <c r="A197" s="112"/>
      <c r="B197" s="27" t="s">
        <v>290</v>
      </c>
      <c r="C197" s="133" t="s">
        <v>63</v>
      </c>
      <c r="D197" s="125">
        <f>IF('Quant. mod. (oc)'!D197&lt;0,0,'Quant. mod. (oc)'!D197)</f>
        <v>0</v>
      </c>
      <c r="E197" s="125">
        <f>IF('Quant. mod. (oc)'!E197&lt;0,0,'Quant. mod. (oc)'!E197)</f>
        <v>0</v>
      </c>
      <c r="F197" s="125">
        <f>IF('Quant. mod. (oc)'!F197&lt;0,0,'Quant. mod. (oc)'!F197)</f>
        <v>1.2257</v>
      </c>
      <c r="G197" s="125">
        <f>IF('Quant. mod. (oc)'!G197&lt;0,0,'Quant. mod. (oc)'!G197)</f>
        <v>0</v>
      </c>
      <c r="H197" s="125">
        <f>IF('Quant. mod. (oc)'!H197&lt;0,0,'Quant. mod. (oc)'!H197)</f>
        <v>0</v>
      </c>
      <c r="I197" s="125">
        <f>IF('Quant. mod. (oc)'!I197&lt;0,0,'Quant. mod. (oc)'!I197)</f>
        <v>1.2257</v>
      </c>
      <c r="J197" s="125">
        <f>IF('Quant. mod. (oc)'!J197&lt;0,0,'Quant. mod. (oc)'!J197)</f>
        <v>0</v>
      </c>
      <c r="K197" s="125">
        <f>IF('Quant. mod. (oc)'!K197&lt;0,0,'Quant. mod. (oc)'!K197)</f>
        <v>10.2775</v>
      </c>
      <c r="L197" s="125">
        <f>IF('Quant. mod. (oc)'!L197&lt;0,0,'Quant. mod. (oc)'!L197)</f>
        <v>0</v>
      </c>
      <c r="M197" s="125">
        <f>IF('Quant. mod. (oc)'!M197&lt;0,0,'Quant. mod. (oc)'!M197)</f>
        <v>10.2775</v>
      </c>
      <c r="N197" s="125">
        <f>IF('Quant. mod. (oc)'!N197&lt;0,0,'Quant. mod. (oc)'!N197)</f>
        <v>0</v>
      </c>
      <c r="O197" s="125">
        <f>IF('Quant. mod. (oc)'!O197&lt;0,0,'Quant. mod. (oc)'!O197)</f>
        <v>0</v>
      </c>
      <c r="P197" s="125">
        <f>IF('Quant. mod. (oc)'!P197&lt;0,0,'Quant. mod. (oc)'!P197)</f>
        <v>1.2212000000000001</v>
      </c>
      <c r="Q197" s="125">
        <f>IF('Quant. mod. (oc)'!Q197&lt;0,0,'Quant. mod. (oc)'!Q197)</f>
        <v>0</v>
      </c>
      <c r="R197" s="125">
        <f>IF('Quant. mod. (oc)'!R197&lt;0,0,'Quant. mod. (oc)'!R197)</f>
        <v>0</v>
      </c>
      <c r="S197" s="125">
        <f>IF('Quant. mod. (oc)'!S197&lt;0,0,'Quant. mod. (oc)'!S197)</f>
        <v>1.2212000000000001</v>
      </c>
      <c r="T197" s="125">
        <f>IF('Quant. mod. (oc)'!T197&lt;0,0,'Quant. mod. (oc)'!T197)</f>
        <v>0</v>
      </c>
      <c r="U197" s="125">
        <f>IF('Quant. mod. (oc)'!U197&lt;0,0,'Quant. mod. (oc)'!U197)</f>
        <v>9.7779999999999987</v>
      </c>
      <c r="V197" s="125">
        <f>IF('Quant. mod. (oc)'!V197&lt;0,0,'Quant. mod. (oc)'!V197)</f>
        <v>0</v>
      </c>
      <c r="W197" s="125">
        <f>IF('Quant. mod. (oc)'!W197&lt;0,0,'Quant. mod. (oc)'!W197)</f>
        <v>9.7779999999999987</v>
      </c>
      <c r="X197" s="125">
        <f>IF('Quant. mod. (oc)'!X197&lt;0,0,'Quant. mod. (oc)'!X197)</f>
        <v>0</v>
      </c>
      <c r="Y197" s="125">
        <f>IF('Quant. mod. (oc)'!Y197&lt;0,0,'Quant. mod. (oc)'!Y197)</f>
        <v>0</v>
      </c>
      <c r="Z197" s="125">
        <f>IF('Quant. mod. (oc)'!Z197&lt;0,0,'Quant. mod. (oc)'!Z197)</f>
        <v>1.0713999999999999</v>
      </c>
      <c r="AA197" s="125">
        <f>IF('Quant. mod. (oc)'!AA197&lt;0,0,'Quant. mod. (oc)'!AA197)</f>
        <v>0</v>
      </c>
      <c r="AB197" s="125">
        <f>IF('Quant. mod. (oc)'!AB197&lt;0,0,'Quant. mod. (oc)'!AB197)</f>
        <v>0</v>
      </c>
      <c r="AC197" s="125">
        <f>IF('Quant. mod. (oc)'!AC197&lt;0,0,'Quant. mod. (oc)'!AC197)</f>
        <v>1.0713999999999999</v>
      </c>
      <c r="AD197" s="125">
        <f>IF('Quant. mod. (oc)'!AD197&lt;0,0,'Quant. mod. (oc)'!AD197)</f>
        <v>0</v>
      </c>
      <c r="AE197" s="125">
        <f>IF('Quant. mod. (oc)'!AE197&lt;0,0,'Quant. mod. (oc)'!AE197)</f>
        <v>8.7042999999999999</v>
      </c>
      <c r="AF197" s="125">
        <f>IF('Quant. mod. (oc)'!AF197&lt;0,0,'Quant. mod. (oc)'!AF197)</f>
        <v>0</v>
      </c>
      <c r="AG197" s="126">
        <f>IF('Quant. mod. (oc)'!AG197&lt;0,0,'Quant. mod. (oc)'!AG197)</f>
        <v>8.7042999999999999</v>
      </c>
      <c r="AH197" s="22"/>
    </row>
    <row r="198" spans="1:34" ht="25.5" x14ac:dyDescent="0.25">
      <c r="A198" s="112"/>
      <c r="B198" s="27" t="s">
        <v>295</v>
      </c>
      <c r="C198" s="133" t="s">
        <v>57</v>
      </c>
      <c r="D198" s="125">
        <f>IF('Quant. mod. (oc)'!D198&lt;0,0,'Quant. mod. (oc)'!D198)</f>
        <v>0</v>
      </c>
      <c r="E198" s="125">
        <f>IF('Quant. mod. (oc)'!E198&lt;0,0,'Quant. mod. (oc)'!E198)</f>
        <v>0</v>
      </c>
      <c r="F198" s="125">
        <f>IF('Quant. mod. (oc)'!F198&lt;0,0,'Quant. mod. (oc)'!F198)</f>
        <v>0</v>
      </c>
      <c r="G198" s="125">
        <f>IF('Quant. mod. (oc)'!G198&lt;0,0,'Quant. mod. (oc)'!G198)</f>
        <v>0</v>
      </c>
      <c r="H198" s="125">
        <f>IF('Quant. mod. (oc)'!H198&lt;0,0,'Quant. mod. (oc)'!H198)</f>
        <v>0</v>
      </c>
      <c r="I198" s="125">
        <f>IF('Quant. mod. (oc)'!I198&lt;0,0,'Quant. mod. (oc)'!I198)</f>
        <v>0</v>
      </c>
      <c r="J198" s="125">
        <f>IF('Quant. mod. (oc)'!J198&lt;0,0,'Quant. mod. (oc)'!J198)</f>
        <v>0</v>
      </c>
      <c r="K198" s="125">
        <f>IF('Quant. mod. (oc)'!K198&lt;0,0,'Quant. mod. (oc)'!K198)</f>
        <v>181.21999999999997</v>
      </c>
      <c r="L198" s="125">
        <f>IF('Quant. mod. (oc)'!L198&lt;0,0,'Quant. mod. (oc)'!L198)</f>
        <v>0</v>
      </c>
      <c r="M198" s="125">
        <f>IF('Quant. mod. (oc)'!M198&lt;0,0,'Quant. mod. (oc)'!M198)</f>
        <v>181.21999999999997</v>
      </c>
      <c r="N198" s="125">
        <f>IF('Quant. mod. (oc)'!N198&lt;0,0,'Quant. mod. (oc)'!N198)</f>
        <v>0</v>
      </c>
      <c r="O198" s="125">
        <f>IF('Quant. mod. (oc)'!O198&lt;0,0,'Quant. mod. (oc)'!O198)</f>
        <v>0</v>
      </c>
      <c r="P198" s="125">
        <f>IF('Quant. mod. (oc)'!P198&lt;0,0,'Quant. mod. (oc)'!P198)</f>
        <v>0</v>
      </c>
      <c r="Q198" s="125">
        <f>IF('Quant. mod. (oc)'!Q198&lt;0,0,'Quant. mod. (oc)'!Q198)</f>
        <v>0</v>
      </c>
      <c r="R198" s="125">
        <f>IF('Quant. mod. (oc)'!R198&lt;0,0,'Quant. mod. (oc)'!R198)</f>
        <v>0</v>
      </c>
      <c r="S198" s="125">
        <f>IF('Quant. mod. (oc)'!S198&lt;0,0,'Quant. mod. (oc)'!S198)</f>
        <v>0</v>
      </c>
      <c r="T198" s="125">
        <f>IF('Quant. mod. (oc)'!T198&lt;0,0,'Quant. mod. (oc)'!T198)</f>
        <v>0</v>
      </c>
      <c r="U198" s="125">
        <f>IF('Quant. mod. (oc)'!U198&lt;0,0,'Quant. mod. (oc)'!U198)</f>
        <v>171.148</v>
      </c>
      <c r="V198" s="125">
        <f>IF('Quant. mod. (oc)'!V198&lt;0,0,'Quant. mod. (oc)'!V198)</f>
        <v>0</v>
      </c>
      <c r="W198" s="125">
        <f>IF('Quant. mod. (oc)'!W198&lt;0,0,'Quant. mod. (oc)'!W198)</f>
        <v>171.148</v>
      </c>
      <c r="X198" s="125">
        <f>IF('Quant. mod. (oc)'!X198&lt;0,0,'Quant. mod. (oc)'!X198)</f>
        <v>0</v>
      </c>
      <c r="Y198" s="125">
        <f>IF('Quant. mod. (oc)'!Y198&lt;0,0,'Quant. mod. (oc)'!Y198)</f>
        <v>0</v>
      </c>
      <c r="Z198" s="125">
        <f>IF('Quant. mod. (oc)'!Z198&lt;0,0,'Quant. mod. (oc)'!Z198)</f>
        <v>0</v>
      </c>
      <c r="AA198" s="125">
        <f>IF('Quant. mod. (oc)'!AA198&lt;0,0,'Quant. mod. (oc)'!AA198)</f>
        <v>0</v>
      </c>
      <c r="AB198" s="125">
        <f>IF('Quant. mod. (oc)'!AB198&lt;0,0,'Quant. mod. (oc)'!AB198)</f>
        <v>0</v>
      </c>
      <c r="AC198" s="125">
        <f>IF('Quant. mod. (oc)'!AC198&lt;0,0,'Quant. mod. (oc)'!AC198)</f>
        <v>0</v>
      </c>
      <c r="AD198" s="125">
        <f>IF('Quant. mod. (oc)'!AD198&lt;0,0,'Quant. mod. (oc)'!AD198)</f>
        <v>0</v>
      </c>
      <c r="AE198" s="125">
        <f>IF('Quant. mod. (oc)'!AE198&lt;0,0,'Quant. mod. (oc)'!AE198)</f>
        <v>152.42700000000002</v>
      </c>
      <c r="AF198" s="125">
        <f>IF('Quant. mod. (oc)'!AF198&lt;0,0,'Quant. mod. (oc)'!AF198)</f>
        <v>0</v>
      </c>
      <c r="AG198" s="126">
        <f>IF('Quant. mod. (oc)'!AG198&lt;0,0,'Quant. mod. (oc)'!AG198)</f>
        <v>152.42700000000002</v>
      </c>
      <c r="AH198" s="22"/>
    </row>
    <row r="199" spans="1:34" x14ac:dyDescent="0.25">
      <c r="A199" s="112"/>
      <c r="B199" s="27" t="s">
        <v>305</v>
      </c>
      <c r="C199" s="133" t="s">
        <v>63</v>
      </c>
      <c r="D199" s="125">
        <f>IF('Quant. mod. (oc)'!D199&lt;0,0,'Quant. mod. (oc)'!D199)</f>
        <v>0</v>
      </c>
      <c r="E199" s="125">
        <f>IF('Quant. mod. (oc)'!E199&lt;0,0,'Quant. mod. (oc)'!E199)</f>
        <v>0</v>
      </c>
      <c r="F199" s="125">
        <f>IF('Quant. mod. (oc)'!F199&lt;0,0,'Quant. mod. (oc)'!F199)</f>
        <v>20.347700000000003</v>
      </c>
      <c r="G199" s="125">
        <f>IF('Quant. mod. (oc)'!G199&lt;0,0,'Quant. mod. (oc)'!G199)</f>
        <v>0</v>
      </c>
      <c r="H199" s="125">
        <f>IF('Quant. mod. (oc)'!H199&lt;0,0,'Quant. mod. (oc)'!H199)</f>
        <v>0</v>
      </c>
      <c r="I199" s="125">
        <f>IF('Quant. mod. (oc)'!I199&lt;0,0,'Quant. mod. (oc)'!I199)</f>
        <v>20.347700000000003</v>
      </c>
      <c r="J199" s="125">
        <f>IF('Quant. mod. (oc)'!J199&lt;0,0,'Quant. mod. (oc)'!J199)</f>
        <v>0</v>
      </c>
      <c r="K199" s="125">
        <f>IF('Quant. mod. (oc)'!K199&lt;0,0,'Quant. mod. (oc)'!K199)</f>
        <v>0</v>
      </c>
      <c r="L199" s="125">
        <f>IF('Quant. mod. (oc)'!L199&lt;0,0,'Quant. mod. (oc)'!L199)</f>
        <v>0</v>
      </c>
      <c r="M199" s="125">
        <f>IF('Quant. mod. (oc)'!M199&lt;0,0,'Quant. mod. (oc)'!M199)</f>
        <v>0</v>
      </c>
      <c r="N199" s="125">
        <f>IF('Quant. mod. (oc)'!N199&lt;0,0,'Quant. mod. (oc)'!N199)</f>
        <v>0</v>
      </c>
      <c r="O199" s="125">
        <f>IF('Quant. mod. (oc)'!O199&lt;0,0,'Quant. mod. (oc)'!O199)</f>
        <v>0</v>
      </c>
      <c r="P199" s="125">
        <f>IF('Quant. mod. (oc)'!P199&lt;0,0,'Quant. mod. (oc)'!P199)</f>
        <v>20.347000000000001</v>
      </c>
      <c r="Q199" s="125">
        <f>IF('Quant. mod. (oc)'!Q199&lt;0,0,'Quant. mod. (oc)'!Q199)</f>
        <v>0</v>
      </c>
      <c r="R199" s="125">
        <f>IF('Quant. mod. (oc)'!R199&lt;0,0,'Quant. mod. (oc)'!R199)</f>
        <v>0</v>
      </c>
      <c r="S199" s="125">
        <f>IF('Quant. mod. (oc)'!S199&lt;0,0,'Quant. mod. (oc)'!S199)</f>
        <v>20.347000000000001</v>
      </c>
      <c r="T199" s="125">
        <f>IF('Quant. mod. (oc)'!T199&lt;0,0,'Quant. mod. (oc)'!T199)</f>
        <v>0</v>
      </c>
      <c r="U199" s="125">
        <f>IF('Quant. mod. (oc)'!U199&lt;0,0,'Quant. mod. (oc)'!U199)</f>
        <v>0</v>
      </c>
      <c r="V199" s="125">
        <f>IF('Quant. mod. (oc)'!V199&lt;0,0,'Quant. mod. (oc)'!V199)</f>
        <v>0</v>
      </c>
      <c r="W199" s="125">
        <f>IF('Quant. mod. (oc)'!W199&lt;0,0,'Quant. mod. (oc)'!W199)</f>
        <v>0</v>
      </c>
      <c r="X199" s="125">
        <f>IF('Quant. mod. (oc)'!X199&lt;0,0,'Quant. mod. (oc)'!X199)</f>
        <v>0</v>
      </c>
      <c r="Y199" s="125">
        <f>IF('Quant. mod. (oc)'!Y199&lt;0,0,'Quant. mod. (oc)'!Y199)</f>
        <v>0</v>
      </c>
      <c r="Z199" s="125">
        <f>IF('Quant. mod. (oc)'!Z199&lt;0,0,'Quant. mod. (oc)'!Z199)</f>
        <v>17.9466</v>
      </c>
      <c r="AA199" s="125">
        <f>IF('Quant. mod. (oc)'!AA199&lt;0,0,'Quant. mod. (oc)'!AA199)</f>
        <v>0</v>
      </c>
      <c r="AB199" s="125">
        <f>IF('Quant. mod. (oc)'!AB199&lt;0,0,'Quant. mod. (oc)'!AB199)</f>
        <v>0</v>
      </c>
      <c r="AC199" s="125">
        <f>IF('Quant. mod. (oc)'!AC199&lt;0,0,'Quant. mod. (oc)'!AC199)</f>
        <v>17.9466</v>
      </c>
      <c r="AD199" s="125">
        <f>IF('Quant. mod. (oc)'!AD199&lt;0,0,'Quant. mod. (oc)'!AD199)</f>
        <v>0</v>
      </c>
      <c r="AE199" s="125">
        <f>IF('Quant. mod. (oc)'!AE199&lt;0,0,'Quant. mod. (oc)'!AE199)</f>
        <v>0</v>
      </c>
      <c r="AF199" s="125">
        <f>IF('Quant. mod. (oc)'!AF199&lt;0,0,'Quant. mod. (oc)'!AF199)</f>
        <v>0</v>
      </c>
      <c r="AG199" s="126">
        <f>IF('Quant. mod. (oc)'!AG199&lt;0,0,'Quant. mod. (oc)'!AG199)</f>
        <v>0</v>
      </c>
      <c r="AH199" s="22"/>
    </row>
    <row r="200" spans="1:34" x14ac:dyDescent="0.25">
      <c r="A200" s="112"/>
      <c r="B200" s="27" t="s">
        <v>465</v>
      </c>
      <c r="C200" s="133" t="s">
        <v>63</v>
      </c>
      <c r="D200" s="125">
        <f>IF('Quant. mod. (oc)'!D200&lt;0,0,'Quant. mod. (oc)'!D200)</f>
        <v>0</v>
      </c>
      <c r="E200" s="125">
        <f>IF('Quant. mod. (oc)'!E200&lt;0,0,'Quant. mod. (oc)'!E200)</f>
        <v>0</v>
      </c>
      <c r="F200" s="125">
        <f>IF('Quant. mod. (oc)'!F200&lt;0,0,'Quant. mod. (oc)'!F200)</f>
        <v>74.155000000000001</v>
      </c>
      <c r="G200" s="125">
        <f>IF('Quant. mod. (oc)'!G200&lt;0,0,'Quant. mod. (oc)'!G200)</f>
        <v>0</v>
      </c>
      <c r="H200" s="125">
        <f>IF('Quant. mod. (oc)'!H200&lt;0,0,'Quant. mod. (oc)'!H200)</f>
        <v>0</v>
      </c>
      <c r="I200" s="125">
        <f>IF('Quant. mod. (oc)'!I200&lt;0,0,'Quant. mod. (oc)'!I200)</f>
        <v>74.155000000000001</v>
      </c>
      <c r="J200" s="125">
        <f>IF('Quant. mod. (oc)'!J200&lt;0,0,'Quant. mod. (oc)'!J200)</f>
        <v>0</v>
      </c>
      <c r="K200" s="125">
        <f>IF('Quant. mod. (oc)'!K200&lt;0,0,'Quant. mod. (oc)'!K200)</f>
        <v>0</v>
      </c>
      <c r="L200" s="125">
        <f>IF('Quant. mod. (oc)'!L200&lt;0,0,'Quant. mod. (oc)'!L200)</f>
        <v>0</v>
      </c>
      <c r="M200" s="125">
        <f>IF('Quant. mod. (oc)'!M200&lt;0,0,'Quant. mod. (oc)'!M200)</f>
        <v>0</v>
      </c>
      <c r="N200" s="125">
        <f>IF('Quant. mod. (oc)'!N200&lt;0,0,'Quant. mod. (oc)'!N200)</f>
        <v>0</v>
      </c>
      <c r="O200" s="125">
        <f>IF('Quant. mod. (oc)'!O200&lt;0,0,'Quant. mod. (oc)'!O200)</f>
        <v>0</v>
      </c>
      <c r="P200" s="125">
        <f>IF('Quant. mod. (oc)'!P200&lt;0,0,'Quant. mod. (oc)'!P200)</f>
        <v>69.356999999999999</v>
      </c>
      <c r="Q200" s="125">
        <f>IF('Quant. mod. (oc)'!Q200&lt;0,0,'Quant. mod. (oc)'!Q200)</f>
        <v>0</v>
      </c>
      <c r="R200" s="125">
        <f>IF('Quant. mod. (oc)'!R200&lt;0,0,'Quant. mod. (oc)'!R200)</f>
        <v>0</v>
      </c>
      <c r="S200" s="125">
        <f>IF('Quant. mod. (oc)'!S200&lt;0,0,'Quant. mod. (oc)'!S200)</f>
        <v>69.356999999999999</v>
      </c>
      <c r="T200" s="125">
        <f>IF('Quant. mod. (oc)'!T200&lt;0,0,'Quant. mod. (oc)'!T200)</f>
        <v>0</v>
      </c>
      <c r="U200" s="125">
        <f>IF('Quant. mod. (oc)'!U200&lt;0,0,'Quant. mod. (oc)'!U200)</f>
        <v>0</v>
      </c>
      <c r="V200" s="125">
        <f>IF('Quant. mod. (oc)'!V200&lt;0,0,'Quant. mod. (oc)'!V200)</f>
        <v>0</v>
      </c>
      <c r="W200" s="125">
        <f>IF('Quant. mod. (oc)'!W200&lt;0,0,'Quant. mod. (oc)'!W200)</f>
        <v>0</v>
      </c>
      <c r="X200" s="125">
        <f>IF('Quant. mod. (oc)'!X200&lt;0,0,'Quant. mod. (oc)'!X200)</f>
        <v>0</v>
      </c>
      <c r="Y200" s="125">
        <f>IF('Quant. mod. (oc)'!Y200&lt;0,0,'Quant. mod. (oc)'!Y200)</f>
        <v>0</v>
      </c>
      <c r="Z200" s="125">
        <f>IF('Quant. mod. (oc)'!Z200&lt;0,0,'Quant. mod. (oc)'!Z200)</f>
        <v>61.51700000000001</v>
      </c>
      <c r="AA200" s="125">
        <f>IF('Quant. mod. (oc)'!AA200&lt;0,0,'Quant. mod. (oc)'!AA200)</f>
        <v>0</v>
      </c>
      <c r="AB200" s="125">
        <f>IF('Quant. mod. (oc)'!AB200&lt;0,0,'Quant. mod. (oc)'!AB200)</f>
        <v>0</v>
      </c>
      <c r="AC200" s="125">
        <f>IF('Quant. mod. (oc)'!AC200&lt;0,0,'Quant. mod. (oc)'!AC200)</f>
        <v>61.51700000000001</v>
      </c>
      <c r="AD200" s="125">
        <f>IF('Quant. mod. (oc)'!AD200&lt;0,0,'Quant. mod. (oc)'!AD200)</f>
        <v>0</v>
      </c>
      <c r="AE200" s="125">
        <f>IF('Quant. mod. (oc)'!AE200&lt;0,0,'Quant. mod. (oc)'!AE200)</f>
        <v>0</v>
      </c>
      <c r="AF200" s="125">
        <f>IF('Quant. mod. (oc)'!AF200&lt;0,0,'Quant. mod. (oc)'!AF200)</f>
        <v>0</v>
      </c>
      <c r="AG200" s="126">
        <f>IF('Quant. mod. (oc)'!AG200&lt;0,0,'Quant. mod. (oc)'!AG200)</f>
        <v>0</v>
      </c>
      <c r="AH200" s="22"/>
    </row>
    <row r="201" spans="1:34" x14ac:dyDescent="0.25">
      <c r="A201" s="112"/>
      <c r="B201" s="27" t="s">
        <v>522</v>
      </c>
      <c r="C201" s="133" t="s">
        <v>63</v>
      </c>
      <c r="D201" s="125">
        <f>IF('Quant. mod. (oc)'!D201&lt;0,0,'Quant. mod. (oc)'!D201)</f>
        <v>0</v>
      </c>
      <c r="E201" s="125">
        <f>IF('Quant. mod. (oc)'!E201&lt;0,0,'Quant. mod. (oc)'!E201)</f>
        <v>0</v>
      </c>
      <c r="F201" s="125">
        <f>IF('Quant. mod. (oc)'!F201&lt;0,0,'Quant. mod. (oc)'!F201)</f>
        <v>37.802999999999997</v>
      </c>
      <c r="G201" s="125">
        <f>IF('Quant. mod. (oc)'!G201&lt;0,0,'Quant. mod. (oc)'!G201)</f>
        <v>0</v>
      </c>
      <c r="H201" s="125">
        <f>IF('Quant. mod. (oc)'!H201&lt;0,0,'Quant. mod. (oc)'!H201)</f>
        <v>0</v>
      </c>
      <c r="I201" s="125">
        <f>IF('Quant. mod. (oc)'!I201&lt;0,0,'Quant. mod. (oc)'!I201)</f>
        <v>37.802999999999997</v>
      </c>
      <c r="J201" s="125">
        <f>IF('Quant. mod. (oc)'!J201&lt;0,0,'Quant. mod. (oc)'!J201)</f>
        <v>0</v>
      </c>
      <c r="K201" s="125">
        <f>IF('Quant. mod. (oc)'!K201&lt;0,0,'Quant. mod. (oc)'!K201)</f>
        <v>0</v>
      </c>
      <c r="L201" s="125">
        <f>IF('Quant. mod. (oc)'!L201&lt;0,0,'Quant. mod. (oc)'!L201)</f>
        <v>0</v>
      </c>
      <c r="M201" s="125">
        <f>IF('Quant. mod. (oc)'!M201&lt;0,0,'Quant. mod. (oc)'!M201)</f>
        <v>0</v>
      </c>
      <c r="N201" s="125">
        <f>IF('Quant. mod. (oc)'!N201&lt;0,0,'Quant. mod. (oc)'!N201)</f>
        <v>0</v>
      </c>
      <c r="O201" s="125">
        <f>IF('Quant. mod. (oc)'!O201&lt;0,0,'Quant. mod. (oc)'!O201)</f>
        <v>0</v>
      </c>
      <c r="P201" s="125">
        <f>IF('Quant. mod. (oc)'!P201&lt;0,0,'Quant. mod. (oc)'!P201)</f>
        <v>35.884999999999998</v>
      </c>
      <c r="Q201" s="125">
        <f>IF('Quant. mod. (oc)'!Q201&lt;0,0,'Quant. mod. (oc)'!Q201)</f>
        <v>0</v>
      </c>
      <c r="R201" s="125">
        <f>IF('Quant. mod. (oc)'!R201&lt;0,0,'Quant. mod. (oc)'!R201)</f>
        <v>0</v>
      </c>
      <c r="S201" s="125">
        <f>IF('Quant. mod. (oc)'!S201&lt;0,0,'Quant. mod. (oc)'!S201)</f>
        <v>35.884999999999998</v>
      </c>
      <c r="T201" s="125">
        <f>IF('Quant. mod. (oc)'!T201&lt;0,0,'Quant. mod. (oc)'!T201)</f>
        <v>0</v>
      </c>
      <c r="U201" s="125">
        <f>IF('Quant. mod. (oc)'!U201&lt;0,0,'Quant. mod. (oc)'!U201)</f>
        <v>0</v>
      </c>
      <c r="V201" s="125">
        <f>IF('Quant. mod. (oc)'!V201&lt;0,0,'Quant. mod. (oc)'!V201)</f>
        <v>0</v>
      </c>
      <c r="W201" s="125">
        <f>IF('Quant. mod. (oc)'!W201&lt;0,0,'Quant. mod. (oc)'!W201)</f>
        <v>0</v>
      </c>
      <c r="X201" s="125">
        <f>IF('Quant. mod. (oc)'!X201&lt;0,0,'Quant. mod. (oc)'!X201)</f>
        <v>0</v>
      </c>
      <c r="Y201" s="125">
        <f>IF('Quant. mod. (oc)'!Y201&lt;0,0,'Quant. mod. (oc)'!Y201)</f>
        <v>0</v>
      </c>
      <c r="Z201" s="125">
        <f>IF('Quant. mod. (oc)'!Z201&lt;0,0,'Quant. mod. (oc)'!Z201)</f>
        <v>31.780999999999999</v>
      </c>
      <c r="AA201" s="125">
        <f>IF('Quant. mod. (oc)'!AA201&lt;0,0,'Quant. mod. (oc)'!AA201)</f>
        <v>0</v>
      </c>
      <c r="AB201" s="125">
        <f>IF('Quant. mod. (oc)'!AB201&lt;0,0,'Quant. mod. (oc)'!AB201)</f>
        <v>0</v>
      </c>
      <c r="AC201" s="125">
        <f>IF('Quant. mod. (oc)'!AC201&lt;0,0,'Quant. mod. (oc)'!AC201)</f>
        <v>31.780999999999999</v>
      </c>
      <c r="AD201" s="125">
        <f>IF('Quant. mod. (oc)'!AD201&lt;0,0,'Quant. mod. (oc)'!AD201)</f>
        <v>0</v>
      </c>
      <c r="AE201" s="125">
        <f>IF('Quant. mod. (oc)'!AE201&lt;0,0,'Quant. mod. (oc)'!AE201)</f>
        <v>0</v>
      </c>
      <c r="AF201" s="125">
        <f>IF('Quant. mod. (oc)'!AF201&lt;0,0,'Quant. mod. (oc)'!AF201)</f>
        <v>0</v>
      </c>
      <c r="AG201" s="126">
        <f>IF('Quant. mod. (oc)'!AG201&lt;0,0,'Quant. mod. (oc)'!AG201)</f>
        <v>0</v>
      </c>
      <c r="AH201" s="22"/>
    </row>
    <row r="202" spans="1:34" ht="25.5" x14ac:dyDescent="0.25">
      <c r="A202" s="112"/>
      <c r="B202" s="135" t="s">
        <v>542</v>
      </c>
      <c r="C202" s="133" t="s">
        <v>57</v>
      </c>
      <c r="D202" s="125">
        <f>IF('Quant. mod. (oc)'!D202&lt;0,0,'Quant. mod. (oc)'!D202)</f>
        <v>0</v>
      </c>
      <c r="E202" s="125">
        <f>IF('Quant. mod. (oc)'!E202&lt;0,0,'Quant. mod. (oc)'!E202)</f>
        <v>0</v>
      </c>
      <c r="F202" s="125">
        <f>IF('Quant. mod. (oc)'!F202&lt;0,0,'Quant. mod. (oc)'!F202)</f>
        <v>189.01499999999999</v>
      </c>
      <c r="G202" s="125">
        <f>IF('Quant. mod. (oc)'!G202&lt;0,0,'Quant. mod. (oc)'!G202)</f>
        <v>0</v>
      </c>
      <c r="H202" s="125">
        <f>IF('Quant. mod. (oc)'!H202&lt;0,0,'Quant. mod. (oc)'!H202)</f>
        <v>0</v>
      </c>
      <c r="I202" s="125">
        <f>IF('Quant. mod. (oc)'!I202&lt;0,0,'Quant. mod. (oc)'!I202)</f>
        <v>189.01499999999999</v>
      </c>
      <c r="J202" s="125">
        <f>IF('Quant. mod. (oc)'!J202&lt;0,0,'Quant. mod. (oc)'!J202)</f>
        <v>0</v>
      </c>
      <c r="K202" s="125">
        <f>IF('Quant. mod. (oc)'!K202&lt;0,0,'Quant. mod. (oc)'!K202)</f>
        <v>0</v>
      </c>
      <c r="L202" s="125">
        <f>IF('Quant. mod. (oc)'!L202&lt;0,0,'Quant. mod. (oc)'!L202)</f>
        <v>0</v>
      </c>
      <c r="M202" s="125">
        <f>IF('Quant. mod. (oc)'!M202&lt;0,0,'Quant. mod. (oc)'!M202)</f>
        <v>0</v>
      </c>
      <c r="N202" s="125">
        <f>IF('Quant. mod. (oc)'!N202&lt;0,0,'Quant. mod. (oc)'!N202)</f>
        <v>0</v>
      </c>
      <c r="O202" s="125">
        <f>IF('Quant. mod. (oc)'!O202&lt;0,0,'Quant. mod. (oc)'!O202)</f>
        <v>0</v>
      </c>
      <c r="P202" s="125">
        <f>IF('Quant. mod. (oc)'!P202&lt;0,0,'Quant. mod. (oc)'!P202)</f>
        <v>179.42100000000002</v>
      </c>
      <c r="Q202" s="125">
        <f>IF('Quant. mod. (oc)'!Q202&lt;0,0,'Quant. mod. (oc)'!Q202)</f>
        <v>0</v>
      </c>
      <c r="R202" s="125">
        <f>IF('Quant. mod. (oc)'!R202&lt;0,0,'Quant. mod. (oc)'!R202)</f>
        <v>0</v>
      </c>
      <c r="S202" s="125">
        <f>IF('Quant. mod. (oc)'!S202&lt;0,0,'Quant. mod. (oc)'!S202)</f>
        <v>179.42100000000002</v>
      </c>
      <c r="T202" s="125">
        <f>IF('Quant. mod. (oc)'!T202&lt;0,0,'Quant. mod. (oc)'!T202)</f>
        <v>0</v>
      </c>
      <c r="U202" s="125">
        <f>IF('Quant. mod. (oc)'!U202&lt;0,0,'Quant. mod. (oc)'!U202)</f>
        <v>0</v>
      </c>
      <c r="V202" s="125">
        <f>IF('Quant. mod. (oc)'!V202&lt;0,0,'Quant. mod. (oc)'!V202)</f>
        <v>0</v>
      </c>
      <c r="W202" s="125">
        <f>IF('Quant. mod. (oc)'!W202&lt;0,0,'Quant. mod. (oc)'!W202)</f>
        <v>0</v>
      </c>
      <c r="X202" s="125">
        <f>IF('Quant. mod. (oc)'!X202&lt;0,0,'Quant. mod. (oc)'!X202)</f>
        <v>0</v>
      </c>
      <c r="Y202" s="125">
        <f>IF('Quant. mod. (oc)'!Y202&lt;0,0,'Quant. mod. (oc)'!Y202)</f>
        <v>0</v>
      </c>
      <c r="Z202" s="125">
        <f>IF('Quant. mod. (oc)'!Z202&lt;0,0,'Quant. mod. (oc)'!Z202)</f>
        <v>158.91699999999997</v>
      </c>
      <c r="AA202" s="125">
        <f>IF('Quant. mod. (oc)'!AA202&lt;0,0,'Quant. mod. (oc)'!AA202)</f>
        <v>0</v>
      </c>
      <c r="AB202" s="125">
        <f>IF('Quant. mod. (oc)'!AB202&lt;0,0,'Quant. mod. (oc)'!AB202)</f>
        <v>0</v>
      </c>
      <c r="AC202" s="125">
        <f>IF('Quant. mod. (oc)'!AC202&lt;0,0,'Quant. mod. (oc)'!AC202)</f>
        <v>158.91699999999997</v>
      </c>
      <c r="AD202" s="125">
        <f>IF('Quant. mod. (oc)'!AD202&lt;0,0,'Quant. mod. (oc)'!AD202)</f>
        <v>0</v>
      </c>
      <c r="AE202" s="125">
        <f>IF('Quant. mod. (oc)'!AE202&lt;0,0,'Quant. mod. (oc)'!AE202)</f>
        <v>0</v>
      </c>
      <c r="AF202" s="125">
        <f>IF('Quant. mod. (oc)'!AF202&lt;0,0,'Quant. mod. (oc)'!AF202)</f>
        <v>0</v>
      </c>
      <c r="AG202" s="126">
        <f>IF('Quant. mod. (oc)'!AG202&lt;0,0,'Quant. mod. (oc)'!AG202)</f>
        <v>0</v>
      </c>
      <c r="AH202" s="22"/>
    </row>
    <row r="203" spans="1:34" ht="25.5" x14ac:dyDescent="0.25">
      <c r="A203" s="112"/>
      <c r="B203" s="135" t="s">
        <v>543</v>
      </c>
      <c r="C203" s="133" t="s">
        <v>57</v>
      </c>
      <c r="D203" s="125">
        <f>IF('Quant. mod. (oc)'!D203&lt;0,0,'Quant. mod. (oc)'!D203)</f>
        <v>0</v>
      </c>
      <c r="E203" s="125">
        <f>IF('Quant. mod. (oc)'!E203&lt;0,0,'Quant. mod. (oc)'!E203)</f>
        <v>0</v>
      </c>
      <c r="F203" s="125">
        <f>IF('Quant. mod. (oc)'!F203&lt;0,0,'Quant. mod. (oc)'!F203)</f>
        <v>189.01499999999999</v>
      </c>
      <c r="G203" s="125">
        <f>IF('Quant. mod. (oc)'!G203&lt;0,0,'Quant. mod. (oc)'!G203)</f>
        <v>0</v>
      </c>
      <c r="H203" s="125">
        <f>IF('Quant. mod. (oc)'!H203&lt;0,0,'Quant. mod. (oc)'!H203)</f>
        <v>0</v>
      </c>
      <c r="I203" s="125">
        <f>IF('Quant. mod. (oc)'!I203&lt;0,0,'Quant. mod. (oc)'!I203)</f>
        <v>189.01499999999999</v>
      </c>
      <c r="J203" s="125">
        <f>IF('Quant. mod. (oc)'!J203&lt;0,0,'Quant. mod. (oc)'!J203)</f>
        <v>0</v>
      </c>
      <c r="K203" s="125">
        <f>IF('Quant. mod. (oc)'!K203&lt;0,0,'Quant. mod. (oc)'!K203)</f>
        <v>0</v>
      </c>
      <c r="L203" s="125">
        <f>IF('Quant. mod. (oc)'!L203&lt;0,0,'Quant. mod. (oc)'!L203)</f>
        <v>0</v>
      </c>
      <c r="M203" s="125">
        <f>IF('Quant. mod. (oc)'!M203&lt;0,0,'Quant. mod. (oc)'!M203)</f>
        <v>0</v>
      </c>
      <c r="N203" s="125">
        <f>IF('Quant. mod. (oc)'!N203&lt;0,0,'Quant. mod. (oc)'!N203)</f>
        <v>0</v>
      </c>
      <c r="O203" s="125">
        <f>IF('Quant. mod. (oc)'!O203&lt;0,0,'Quant. mod. (oc)'!O203)</f>
        <v>0</v>
      </c>
      <c r="P203" s="125">
        <f>IF('Quant. mod. (oc)'!P203&lt;0,0,'Quant. mod. (oc)'!P203)</f>
        <v>179.42100000000002</v>
      </c>
      <c r="Q203" s="125">
        <f>IF('Quant. mod. (oc)'!Q203&lt;0,0,'Quant. mod. (oc)'!Q203)</f>
        <v>0</v>
      </c>
      <c r="R203" s="125">
        <f>IF('Quant. mod. (oc)'!R203&lt;0,0,'Quant. mod. (oc)'!R203)</f>
        <v>0</v>
      </c>
      <c r="S203" s="125">
        <f>IF('Quant. mod. (oc)'!S203&lt;0,0,'Quant. mod. (oc)'!S203)</f>
        <v>179.42100000000002</v>
      </c>
      <c r="T203" s="125">
        <f>IF('Quant. mod. (oc)'!T203&lt;0,0,'Quant. mod. (oc)'!T203)</f>
        <v>0</v>
      </c>
      <c r="U203" s="125">
        <f>IF('Quant. mod. (oc)'!U203&lt;0,0,'Quant. mod. (oc)'!U203)</f>
        <v>0</v>
      </c>
      <c r="V203" s="125">
        <f>IF('Quant. mod. (oc)'!V203&lt;0,0,'Quant. mod. (oc)'!V203)</f>
        <v>0</v>
      </c>
      <c r="W203" s="125">
        <f>IF('Quant. mod. (oc)'!W203&lt;0,0,'Quant. mod. (oc)'!W203)</f>
        <v>0</v>
      </c>
      <c r="X203" s="125">
        <f>IF('Quant. mod. (oc)'!X203&lt;0,0,'Quant. mod. (oc)'!X203)</f>
        <v>0</v>
      </c>
      <c r="Y203" s="125">
        <f>IF('Quant. mod. (oc)'!Y203&lt;0,0,'Quant. mod. (oc)'!Y203)</f>
        <v>0</v>
      </c>
      <c r="Z203" s="125">
        <f>IF('Quant. mod. (oc)'!Z203&lt;0,0,'Quant. mod. (oc)'!Z203)</f>
        <v>158.91699999999997</v>
      </c>
      <c r="AA203" s="125">
        <f>IF('Quant. mod. (oc)'!AA203&lt;0,0,'Quant. mod. (oc)'!AA203)</f>
        <v>0</v>
      </c>
      <c r="AB203" s="125">
        <f>IF('Quant. mod. (oc)'!AB203&lt;0,0,'Quant. mod. (oc)'!AB203)</f>
        <v>0</v>
      </c>
      <c r="AC203" s="125">
        <f>IF('Quant. mod. (oc)'!AC203&lt;0,0,'Quant. mod. (oc)'!AC203)</f>
        <v>158.91699999999997</v>
      </c>
      <c r="AD203" s="125">
        <f>IF('Quant. mod. (oc)'!AD203&lt;0,0,'Quant. mod. (oc)'!AD203)</f>
        <v>0</v>
      </c>
      <c r="AE203" s="125">
        <f>IF('Quant. mod. (oc)'!AE203&lt;0,0,'Quant. mod. (oc)'!AE203)</f>
        <v>0</v>
      </c>
      <c r="AF203" s="125">
        <f>IF('Quant. mod. (oc)'!AF203&lt;0,0,'Quant. mod. (oc)'!AF203)</f>
        <v>0</v>
      </c>
      <c r="AG203" s="126">
        <f>IF('Quant. mod. (oc)'!AG203&lt;0,0,'Quant. mod. (oc)'!AG203)</f>
        <v>0</v>
      </c>
      <c r="AH203" s="22"/>
    </row>
    <row r="204" spans="1:34" x14ac:dyDescent="0.25">
      <c r="A204" s="112"/>
      <c r="B204" s="27" t="s">
        <v>535</v>
      </c>
      <c r="C204" s="133" t="s">
        <v>57</v>
      </c>
      <c r="D204" s="125">
        <f>IF('Quant. mod. (oc)'!D204&lt;0,0,'Quant. mod. (oc)'!D204)</f>
        <v>0</v>
      </c>
      <c r="E204" s="125">
        <f>IF('Quant. mod. (oc)'!E204&lt;0,0,'Quant. mod. (oc)'!E204)</f>
        <v>0</v>
      </c>
      <c r="F204" s="125">
        <f>IF('Quant. mod. (oc)'!F204&lt;0,0,'Quant. mod. (oc)'!F204)</f>
        <v>16.62</v>
      </c>
      <c r="G204" s="125">
        <f>IF('Quant. mod. (oc)'!G204&lt;0,0,'Quant. mod. (oc)'!G204)</f>
        <v>0</v>
      </c>
      <c r="H204" s="125">
        <f>IF('Quant. mod. (oc)'!H204&lt;0,0,'Quant. mod. (oc)'!H204)</f>
        <v>0</v>
      </c>
      <c r="I204" s="125">
        <f>IF('Quant. mod. (oc)'!I204&lt;0,0,'Quant. mod. (oc)'!I204)</f>
        <v>16.62</v>
      </c>
      <c r="J204" s="125">
        <f>IF('Quant. mod. (oc)'!J204&lt;0,0,'Quant. mod. (oc)'!J204)</f>
        <v>0</v>
      </c>
      <c r="K204" s="125">
        <f>IF('Quant. mod. (oc)'!K204&lt;0,0,'Quant. mod. (oc)'!K204)</f>
        <v>18.190999999999999</v>
      </c>
      <c r="L204" s="125">
        <f>IF('Quant. mod. (oc)'!L204&lt;0,0,'Quant. mod. (oc)'!L204)</f>
        <v>0</v>
      </c>
      <c r="M204" s="125">
        <f>IF('Quant. mod. (oc)'!M204&lt;0,0,'Quant. mod. (oc)'!M204)</f>
        <v>18.190999999999999</v>
      </c>
      <c r="N204" s="125">
        <f>IF('Quant. mod. (oc)'!N204&lt;0,0,'Quant. mod. (oc)'!N204)</f>
        <v>0</v>
      </c>
      <c r="O204" s="125">
        <f>IF('Quant. mod. (oc)'!O204&lt;0,0,'Quant. mod. (oc)'!O204)</f>
        <v>0</v>
      </c>
      <c r="P204" s="125">
        <f>IF('Quant. mod. (oc)'!P204&lt;0,0,'Quant. mod. (oc)'!P204)</f>
        <v>16.650999999999989</v>
      </c>
      <c r="Q204" s="125">
        <f>IF('Quant. mod. (oc)'!Q204&lt;0,0,'Quant. mod. (oc)'!Q204)</f>
        <v>0</v>
      </c>
      <c r="R204" s="125">
        <f>IF('Quant. mod. (oc)'!R204&lt;0,0,'Quant. mod. (oc)'!R204)</f>
        <v>0</v>
      </c>
      <c r="S204" s="125">
        <f>IF('Quant. mod. (oc)'!S204&lt;0,0,'Quant. mod. (oc)'!S204)</f>
        <v>16.650999999999989</v>
      </c>
      <c r="T204" s="125">
        <f>IF('Quant. mod. (oc)'!T204&lt;0,0,'Quant. mod. (oc)'!T204)</f>
        <v>0</v>
      </c>
      <c r="U204" s="125">
        <f>IF('Quant. mod. (oc)'!U204&lt;0,0,'Quant. mod. (oc)'!U204)</f>
        <v>18.221999999999998</v>
      </c>
      <c r="V204" s="125">
        <f>IF('Quant. mod. (oc)'!V204&lt;0,0,'Quant. mod. (oc)'!V204)</f>
        <v>0</v>
      </c>
      <c r="W204" s="125">
        <f>IF('Quant. mod. (oc)'!W204&lt;0,0,'Quant. mod. (oc)'!W204)</f>
        <v>18.221999999999998</v>
      </c>
      <c r="X204" s="125">
        <f>IF('Quant. mod. (oc)'!X204&lt;0,0,'Quant. mod. (oc)'!X204)</f>
        <v>0</v>
      </c>
      <c r="Y204" s="125">
        <f>IF('Quant. mod. (oc)'!Y204&lt;0,0,'Quant. mod. (oc)'!Y204)</f>
        <v>0</v>
      </c>
      <c r="Z204" s="125">
        <f>IF('Quant. mod. (oc)'!Z204&lt;0,0,'Quant. mod. (oc)'!Z204)</f>
        <v>15.706000000000001</v>
      </c>
      <c r="AA204" s="125">
        <f>IF('Quant. mod. (oc)'!AA204&lt;0,0,'Quant. mod. (oc)'!AA204)</f>
        <v>0</v>
      </c>
      <c r="AB204" s="125">
        <f>IF('Quant. mod. (oc)'!AB204&lt;0,0,'Quant. mod. (oc)'!AB204)</f>
        <v>0</v>
      </c>
      <c r="AC204" s="125">
        <f>IF('Quant. mod. (oc)'!AC204&lt;0,0,'Quant. mod. (oc)'!AC204)</f>
        <v>15.706000000000001</v>
      </c>
      <c r="AD204" s="125">
        <f>IF('Quant. mod. (oc)'!AD204&lt;0,0,'Quant. mod. (oc)'!AD204)</f>
        <v>0</v>
      </c>
      <c r="AE204" s="125">
        <f>IF('Quant. mod. (oc)'!AE204&lt;0,0,'Quant. mod. (oc)'!AE204)</f>
        <v>17.277000000000001</v>
      </c>
      <c r="AF204" s="125">
        <f>IF('Quant. mod. (oc)'!AF204&lt;0,0,'Quant. mod. (oc)'!AF204)</f>
        <v>0</v>
      </c>
      <c r="AG204" s="126">
        <f>IF('Quant. mod. (oc)'!AG204&lt;0,0,'Quant. mod. (oc)'!AG204)</f>
        <v>17.277000000000001</v>
      </c>
      <c r="AH204" s="22"/>
    </row>
    <row r="205" spans="1:34" x14ac:dyDescent="0.25">
      <c r="A205" s="112"/>
      <c r="B205" s="131" t="s">
        <v>445</v>
      </c>
      <c r="C205" s="133" t="s">
        <v>59</v>
      </c>
      <c r="D205" s="125">
        <f>IF('Quant. mod. (oc)'!D205&lt;0,0,ROUND('Quant. mod. (oc)'!D205,0))</f>
        <v>0</v>
      </c>
      <c r="E205" s="125">
        <f>IF('Quant. mod. (oc)'!E205&lt;0,0,ROUND('Quant. mod. (oc)'!E205,0))</f>
        <v>0</v>
      </c>
      <c r="F205" s="125">
        <f>IF('Quant. mod. (oc)'!F205&lt;0,0,ROUND('Quant. mod. (oc)'!F205,0))</f>
        <v>1</v>
      </c>
      <c r="G205" s="125">
        <f>IF('Quant. mod. (oc)'!G205&lt;0,0,ROUND('Quant. mod. (oc)'!G205,0))</f>
        <v>0</v>
      </c>
      <c r="H205" s="125">
        <f>IF('Quant. mod. (oc)'!H205&lt;0,0,ROUND('Quant. mod. (oc)'!H205,0))</f>
        <v>0</v>
      </c>
      <c r="I205" s="125">
        <f>IF('Quant. mod. (oc)'!I205&lt;0,0,ROUND('Quant. mod. (oc)'!I205,0))</f>
        <v>1</v>
      </c>
      <c r="J205" s="125">
        <f>IF('Quant. mod. (oc)'!J205&lt;0,0,ROUND('Quant. mod. (oc)'!J205,0))</f>
        <v>0</v>
      </c>
      <c r="K205" s="125">
        <f>IF('Quant. mod. (oc)'!K205&lt;0,0,ROUND('Quant. mod. (oc)'!K205,0))</f>
        <v>1</v>
      </c>
      <c r="L205" s="125">
        <f>IF('Quant. mod. (oc)'!L205&lt;0,0,ROUND('Quant. mod. (oc)'!L205,0))</f>
        <v>0</v>
      </c>
      <c r="M205" s="125">
        <f>IF('Quant. mod. (oc)'!M205&lt;0,0,ROUND('Quant. mod. (oc)'!M205,0))</f>
        <v>1</v>
      </c>
      <c r="N205" s="125">
        <f>IF('Quant. mod. (oc)'!N205&lt;0,0,ROUND('Quant. mod. (oc)'!N205,0))</f>
        <v>0</v>
      </c>
      <c r="O205" s="125">
        <f>IF('Quant. mod. (oc)'!O205&lt;0,0,ROUND('Quant. mod. (oc)'!O205,0))</f>
        <v>0</v>
      </c>
      <c r="P205" s="125">
        <f>IF('Quant. mod. (oc)'!P205&lt;0,0,ROUND('Quant. mod. (oc)'!P205,0))</f>
        <v>1</v>
      </c>
      <c r="Q205" s="125">
        <f>IF('Quant. mod. (oc)'!Q205&lt;0,0,ROUND('Quant. mod. (oc)'!Q205,0))</f>
        <v>0</v>
      </c>
      <c r="R205" s="125">
        <f>IF('Quant. mod. (oc)'!R205&lt;0,0,ROUND('Quant. mod. (oc)'!R205,0))</f>
        <v>0</v>
      </c>
      <c r="S205" s="125">
        <f>IF('Quant. mod. (oc)'!S205&lt;0,0,ROUND('Quant. mod. (oc)'!S205,0))</f>
        <v>1</v>
      </c>
      <c r="T205" s="125">
        <f>IF('Quant. mod. (oc)'!T205&lt;0,0,ROUND('Quant. mod. (oc)'!T205,0))</f>
        <v>0</v>
      </c>
      <c r="U205" s="125">
        <f>IF('Quant. mod. (oc)'!U205&lt;0,0,ROUND('Quant. mod. (oc)'!U205,0))</f>
        <v>1</v>
      </c>
      <c r="V205" s="125">
        <f>IF('Quant. mod. (oc)'!V205&lt;0,0,ROUND('Quant. mod. (oc)'!V205,0))</f>
        <v>0</v>
      </c>
      <c r="W205" s="125">
        <f>IF('Quant. mod. (oc)'!W205&lt;0,0,ROUND('Quant. mod. (oc)'!W205,0))</f>
        <v>1</v>
      </c>
      <c r="X205" s="125">
        <f>IF('Quant. mod. (oc)'!X205&lt;0,0,ROUND('Quant. mod. (oc)'!X205,0))</f>
        <v>0</v>
      </c>
      <c r="Y205" s="125">
        <f>IF('Quant. mod. (oc)'!Y205&lt;0,0,ROUND('Quant. mod. (oc)'!Y205,0))</f>
        <v>0</v>
      </c>
      <c r="Z205" s="125">
        <f>IF('Quant. mod. (oc)'!Z205&lt;0,0,ROUND('Quant. mod. (oc)'!Z205,0))</f>
        <v>1</v>
      </c>
      <c r="AA205" s="125">
        <f>IF('Quant. mod. (oc)'!AA205&lt;0,0,ROUND('Quant. mod. (oc)'!AA205,0))</f>
        <v>0</v>
      </c>
      <c r="AB205" s="125">
        <f>IF('Quant. mod. (oc)'!AB205&lt;0,0,ROUND('Quant. mod. (oc)'!AB205,0))</f>
        <v>0</v>
      </c>
      <c r="AC205" s="125">
        <f>IF('Quant. mod. (oc)'!AC205&lt;0,0,ROUND('Quant. mod. (oc)'!AC205,0))</f>
        <v>1</v>
      </c>
      <c r="AD205" s="125">
        <f>IF('Quant. mod. (oc)'!AD205&lt;0,0,ROUND('Quant. mod. (oc)'!AD205,0))</f>
        <v>0</v>
      </c>
      <c r="AE205" s="125">
        <f>IF('Quant. mod. (oc)'!AE205&lt;0,0,ROUND('Quant. mod. (oc)'!AE205,0))</f>
        <v>1</v>
      </c>
      <c r="AF205" s="125">
        <f>IF('Quant. mod. (oc)'!AF205&lt;0,0,ROUND('Quant. mod. (oc)'!AF205,0))</f>
        <v>0</v>
      </c>
      <c r="AG205" s="126">
        <f>IF('Quant. mod. (oc)'!AG205&lt;0,0,ROUND('Quant. mod. (oc)'!AG205,0))</f>
        <v>1</v>
      </c>
      <c r="AH205" s="22"/>
    </row>
    <row r="206" spans="1:34" x14ac:dyDescent="0.25">
      <c r="A206" s="112"/>
      <c r="B206" s="120" t="s">
        <v>554</v>
      </c>
      <c r="C206" s="121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8"/>
      <c r="AH206" s="22"/>
    </row>
    <row r="207" spans="1:34" x14ac:dyDescent="0.25">
      <c r="A207" s="112"/>
      <c r="B207" s="120" t="s">
        <v>552</v>
      </c>
      <c r="C207" s="121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8"/>
      <c r="AH207" s="22"/>
    </row>
    <row r="208" spans="1:34" ht="38.25" x14ac:dyDescent="0.25">
      <c r="A208" s="112"/>
      <c r="B208" s="134" t="s">
        <v>310</v>
      </c>
      <c r="C208" s="133" t="s">
        <v>64</v>
      </c>
      <c r="D208" s="125">
        <f>IF('Quant. mod. (oc)'!D208&lt;0,0,CEILING('Quant. mod. (oc)'!D208,6))</f>
        <v>12</v>
      </c>
      <c r="E208" s="125">
        <f>IF('Quant. mod. (oc)'!E208&lt;0,0,CEILING('Quant. mod. (oc)'!E208,6))</f>
        <v>12</v>
      </c>
      <c r="F208" s="125">
        <f>IF('Quant. mod. (oc)'!F208&lt;0,0,CEILING('Quant. mod. (oc)'!F208,6))</f>
        <v>12</v>
      </c>
      <c r="G208" s="125">
        <f>IF('Quant. mod. (oc)'!G208&lt;0,0,CEILING('Quant. mod. (oc)'!G208,6))</f>
        <v>12</v>
      </c>
      <c r="H208" s="125">
        <f>IF('Quant. mod. (oc)'!H208&lt;0,0,CEILING('Quant. mod. (oc)'!H208,6))</f>
        <v>12</v>
      </c>
      <c r="I208" s="125">
        <f>IF('Quant. mod. (oc)'!I208&lt;0,0,CEILING('Quant. mod. (oc)'!I208,6))</f>
        <v>12</v>
      </c>
      <c r="J208" s="125">
        <f>IF('Quant. mod. (oc)'!J208&lt;0,0,CEILING('Quant. mod. (oc)'!J208,6))</f>
        <v>12</v>
      </c>
      <c r="K208" s="125">
        <f>IF('Quant. mod. (oc)'!K208&lt;0,0,CEILING('Quant. mod. (oc)'!K208,6))</f>
        <v>12</v>
      </c>
      <c r="L208" s="125">
        <f>IF('Quant. mod. (oc)'!L208&lt;0,0,CEILING('Quant. mod. (oc)'!L208,6))</f>
        <v>12</v>
      </c>
      <c r="M208" s="125">
        <f>IF('Quant. mod. (oc)'!M208&lt;0,0,CEILING('Quant. mod. (oc)'!M208,6))</f>
        <v>12</v>
      </c>
      <c r="N208" s="125">
        <f>IF('Quant. mod. (oc)'!N208&lt;0,0,CEILING('Quant. mod. (oc)'!N208,6))</f>
        <v>12</v>
      </c>
      <c r="O208" s="125">
        <f>IF('Quant. mod. (oc)'!O208&lt;0,0,CEILING('Quant. mod. (oc)'!O208,6))</f>
        <v>12</v>
      </c>
      <c r="P208" s="125">
        <f>IF('Quant. mod. (oc)'!P208&lt;0,0,CEILING('Quant. mod. (oc)'!P208,6))</f>
        <v>12</v>
      </c>
      <c r="Q208" s="125">
        <f>IF('Quant. mod. (oc)'!Q208&lt;0,0,CEILING('Quant. mod. (oc)'!Q208,6))</f>
        <v>12</v>
      </c>
      <c r="R208" s="125">
        <f>IF('Quant. mod. (oc)'!R208&lt;0,0,CEILING('Quant. mod. (oc)'!R208,6))</f>
        <v>12</v>
      </c>
      <c r="S208" s="125">
        <f>IF('Quant. mod. (oc)'!S208&lt;0,0,CEILING('Quant. mod. (oc)'!S208,6))</f>
        <v>12</v>
      </c>
      <c r="T208" s="125">
        <f>IF('Quant. mod. (oc)'!T208&lt;0,0,CEILING('Quant. mod. (oc)'!T208,6))</f>
        <v>12</v>
      </c>
      <c r="U208" s="125">
        <f>IF('Quant. mod. (oc)'!U208&lt;0,0,CEILING('Quant. mod. (oc)'!U208,6))</f>
        <v>12</v>
      </c>
      <c r="V208" s="125">
        <f>IF('Quant. mod. (oc)'!V208&lt;0,0,CEILING('Quant. mod. (oc)'!V208,6))</f>
        <v>12</v>
      </c>
      <c r="W208" s="125">
        <f>IF('Quant. mod. (oc)'!W208&lt;0,0,CEILING('Quant. mod. (oc)'!W208,6))</f>
        <v>12</v>
      </c>
      <c r="X208" s="125">
        <f>IF('Quant. mod. (oc)'!X208&lt;0,0,CEILING('Quant. mod. (oc)'!X208,6))</f>
        <v>18</v>
      </c>
      <c r="Y208" s="125">
        <f>IF('Quant. mod. (oc)'!Y208&lt;0,0,CEILING('Quant. mod. (oc)'!Y208,6))</f>
        <v>18</v>
      </c>
      <c r="Z208" s="125">
        <f>IF('Quant. mod. (oc)'!Z208&lt;0,0,CEILING('Quant. mod. (oc)'!Z208,6))</f>
        <v>18</v>
      </c>
      <c r="AA208" s="125">
        <f>IF('Quant. mod. (oc)'!AA208&lt;0,0,CEILING('Quant. mod. (oc)'!AA208,6))</f>
        <v>18</v>
      </c>
      <c r="AB208" s="125">
        <f>IF('Quant. mod. (oc)'!AB208&lt;0,0,CEILING('Quant. mod. (oc)'!AB208,6))</f>
        <v>18</v>
      </c>
      <c r="AC208" s="125">
        <f>IF('Quant. mod. (oc)'!AC208&lt;0,0,CEILING('Quant. mod. (oc)'!AC208,6))</f>
        <v>18</v>
      </c>
      <c r="AD208" s="125">
        <f>IF('Quant. mod. (oc)'!AD208&lt;0,0,CEILING('Quant. mod. (oc)'!AD208,6))</f>
        <v>18</v>
      </c>
      <c r="AE208" s="125">
        <f>IF('Quant. mod. (oc)'!AE208&lt;0,0,CEILING('Quant. mod. (oc)'!AE208,6))</f>
        <v>18</v>
      </c>
      <c r="AF208" s="125">
        <f>IF('Quant. mod. (oc)'!AF208&lt;0,0,CEILING('Quant. mod. (oc)'!AF208,6))</f>
        <v>18</v>
      </c>
      <c r="AG208" s="126">
        <f>IF('Quant. mod. (oc)'!AG208&lt;0,0,CEILING('Quant. mod. (oc)'!AG208,6))</f>
        <v>18</v>
      </c>
      <c r="AH208" s="22"/>
    </row>
    <row r="209" spans="1:34" ht="38.25" x14ac:dyDescent="0.25">
      <c r="A209" s="112"/>
      <c r="B209" s="134" t="s">
        <v>311</v>
      </c>
      <c r="C209" s="133" t="s">
        <v>64</v>
      </c>
      <c r="D209" s="125">
        <f>IF('Quant. mod. (oc)'!D209&lt;0,0,CEILING('Quant. mod. (oc)'!D209,6))</f>
        <v>48</v>
      </c>
      <c r="E209" s="125">
        <f>IF('Quant. mod. (oc)'!E209&lt;0,0,CEILING('Quant. mod. (oc)'!E209,6))</f>
        <v>54</v>
      </c>
      <c r="F209" s="125">
        <f>IF('Quant. mod. (oc)'!F209&lt;0,0,CEILING('Quant. mod. (oc)'!F209,6))</f>
        <v>48</v>
      </c>
      <c r="G209" s="125">
        <f>IF('Quant. mod. (oc)'!G209&lt;0,0,CEILING('Quant. mod. (oc)'!G209,6))</f>
        <v>48</v>
      </c>
      <c r="H209" s="125">
        <f>IF('Quant. mod. (oc)'!H209&lt;0,0,CEILING('Quant. mod. (oc)'!H209,6))</f>
        <v>54</v>
      </c>
      <c r="I209" s="125">
        <f>IF('Quant. mod. (oc)'!I209&lt;0,0,CEILING('Quant. mod. (oc)'!I209,6))</f>
        <v>48</v>
      </c>
      <c r="J209" s="125">
        <f>IF('Quant. mod. (oc)'!J209&lt;0,0,CEILING('Quant. mod. (oc)'!J209,6))</f>
        <v>48</v>
      </c>
      <c r="K209" s="125">
        <f>IF('Quant. mod. (oc)'!K209&lt;0,0,CEILING('Quant. mod. (oc)'!K209,6))</f>
        <v>48</v>
      </c>
      <c r="L209" s="125">
        <f>IF('Quant. mod. (oc)'!L209&lt;0,0,CEILING('Quant. mod. (oc)'!L209,6))</f>
        <v>48</v>
      </c>
      <c r="M209" s="125">
        <f>IF('Quant. mod. (oc)'!M209&lt;0,0,CEILING('Quant. mod. (oc)'!M209,6))</f>
        <v>48</v>
      </c>
      <c r="N209" s="125">
        <f>IF('Quant. mod. (oc)'!N209&lt;0,0,CEILING('Quant. mod. (oc)'!N209,6))</f>
        <v>48</v>
      </c>
      <c r="O209" s="125">
        <f>IF('Quant. mod. (oc)'!O209&lt;0,0,CEILING('Quant. mod. (oc)'!O209,6))</f>
        <v>48</v>
      </c>
      <c r="P209" s="125">
        <f>IF('Quant. mod. (oc)'!P209&lt;0,0,CEILING('Quant. mod. (oc)'!P209,6))</f>
        <v>48</v>
      </c>
      <c r="Q209" s="125">
        <f>IF('Quant. mod. (oc)'!Q209&lt;0,0,CEILING('Quant. mod. (oc)'!Q209,6))</f>
        <v>48</v>
      </c>
      <c r="R209" s="125">
        <f>IF('Quant. mod. (oc)'!R209&lt;0,0,CEILING('Quant. mod. (oc)'!R209,6))</f>
        <v>48</v>
      </c>
      <c r="S209" s="125">
        <f>IF('Quant. mod. (oc)'!S209&lt;0,0,CEILING('Quant. mod. (oc)'!S209,6))</f>
        <v>48</v>
      </c>
      <c r="T209" s="125">
        <f>IF('Quant. mod. (oc)'!T209&lt;0,0,CEILING('Quant. mod. (oc)'!T209,6))</f>
        <v>48</v>
      </c>
      <c r="U209" s="125">
        <f>IF('Quant. mod. (oc)'!U209&lt;0,0,CEILING('Quant. mod. (oc)'!U209,6))</f>
        <v>48</v>
      </c>
      <c r="V209" s="125">
        <f>IF('Quant. mod. (oc)'!V209&lt;0,0,CEILING('Quant. mod. (oc)'!V209,6))</f>
        <v>48</v>
      </c>
      <c r="W209" s="125">
        <f>IF('Quant. mod. (oc)'!W209&lt;0,0,CEILING('Quant. mod. (oc)'!W209,6))</f>
        <v>48</v>
      </c>
      <c r="X209" s="125">
        <f>IF('Quant. mod. (oc)'!X209&lt;0,0,CEILING('Quant. mod. (oc)'!X209,6))</f>
        <v>30</v>
      </c>
      <c r="Y209" s="125">
        <f>IF('Quant. mod. (oc)'!Y209&lt;0,0,CEILING('Quant. mod. (oc)'!Y209,6))</f>
        <v>36</v>
      </c>
      <c r="Z209" s="125">
        <f>IF('Quant. mod. (oc)'!Z209&lt;0,0,CEILING('Quant. mod. (oc)'!Z209,6))</f>
        <v>30</v>
      </c>
      <c r="AA209" s="125">
        <f>IF('Quant. mod. (oc)'!AA209&lt;0,0,CEILING('Quant. mod. (oc)'!AA209,6))</f>
        <v>30</v>
      </c>
      <c r="AB209" s="125">
        <f>IF('Quant. mod. (oc)'!AB209&lt;0,0,CEILING('Quant. mod. (oc)'!AB209,6))</f>
        <v>36</v>
      </c>
      <c r="AC209" s="125">
        <f>IF('Quant. mod. (oc)'!AC209&lt;0,0,CEILING('Quant. mod. (oc)'!AC209,6))</f>
        <v>30</v>
      </c>
      <c r="AD209" s="125">
        <f>IF('Quant. mod. (oc)'!AD209&lt;0,0,CEILING('Quant. mod. (oc)'!AD209,6))</f>
        <v>30</v>
      </c>
      <c r="AE209" s="125">
        <f>IF('Quant. mod. (oc)'!AE209&lt;0,0,CEILING('Quant. mod. (oc)'!AE209,6))</f>
        <v>30</v>
      </c>
      <c r="AF209" s="125">
        <f>IF('Quant. mod. (oc)'!AF209&lt;0,0,CEILING('Quant. mod. (oc)'!AF209,6))</f>
        <v>30</v>
      </c>
      <c r="AG209" s="126">
        <f>IF('Quant. mod. (oc)'!AG209&lt;0,0,CEILING('Quant. mod. (oc)'!AG209,6))</f>
        <v>30</v>
      </c>
      <c r="AH209" s="22"/>
    </row>
    <row r="210" spans="1:34" ht="38.25" x14ac:dyDescent="0.25">
      <c r="A210" s="112"/>
      <c r="B210" s="134" t="s">
        <v>312</v>
      </c>
      <c r="C210" s="133" t="s">
        <v>64</v>
      </c>
      <c r="D210" s="125">
        <f>IF('Quant. mod. (oc)'!D210&lt;0,0,CEILING('Quant. mod. (oc)'!D210,6))</f>
        <v>18</v>
      </c>
      <c r="E210" s="125">
        <f>IF('Quant. mod. (oc)'!E210&lt;0,0,CEILING('Quant. mod. (oc)'!E210,6))</f>
        <v>18</v>
      </c>
      <c r="F210" s="125">
        <f>IF('Quant. mod. (oc)'!F210&lt;0,0,CEILING('Quant. mod. (oc)'!F210,6))</f>
        <v>18</v>
      </c>
      <c r="G210" s="125">
        <f>IF('Quant. mod. (oc)'!G210&lt;0,0,CEILING('Quant. mod. (oc)'!G210,6))</f>
        <v>18</v>
      </c>
      <c r="H210" s="125">
        <f>IF('Quant. mod. (oc)'!H210&lt;0,0,CEILING('Quant. mod. (oc)'!H210,6))</f>
        <v>18</v>
      </c>
      <c r="I210" s="125">
        <f>IF('Quant. mod. (oc)'!I210&lt;0,0,CEILING('Quant. mod. (oc)'!I210,6))</f>
        <v>18</v>
      </c>
      <c r="J210" s="125">
        <f>IF('Quant. mod. (oc)'!J210&lt;0,0,CEILING('Quant. mod. (oc)'!J210,6))</f>
        <v>18</v>
      </c>
      <c r="K210" s="125">
        <f>IF('Quant. mod. (oc)'!K210&lt;0,0,CEILING('Quant. mod. (oc)'!K210,6))</f>
        <v>18</v>
      </c>
      <c r="L210" s="125">
        <f>IF('Quant. mod. (oc)'!L210&lt;0,0,CEILING('Quant. mod. (oc)'!L210,6))</f>
        <v>18</v>
      </c>
      <c r="M210" s="125">
        <f>IF('Quant. mod. (oc)'!M210&lt;0,0,CEILING('Quant. mod. (oc)'!M210,6))</f>
        <v>18</v>
      </c>
      <c r="N210" s="125">
        <f>IF('Quant. mod. (oc)'!N210&lt;0,0,CEILING('Quant. mod. (oc)'!N210,6))</f>
        <v>18</v>
      </c>
      <c r="O210" s="125">
        <f>IF('Quant. mod. (oc)'!O210&lt;0,0,CEILING('Quant. mod. (oc)'!O210,6))</f>
        <v>18</v>
      </c>
      <c r="P210" s="125">
        <f>IF('Quant. mod. (oc)'!P210&lt;0,0,CEILING('Quant. mod. (oc)'!P210,6))</f>
        <v>18</v>
      </c>
      <c r="Q210" s="125">
        <f>IF('Quant. mod. (oc)'!Q210&lt;0,0,CEILING('Quant. mod. (oc)'!Q210,6))</f>
        <v>18</v>
      </c>
      <c r="R210" s="125">
        <f>IF('Quant. mod. (oc)'!R210&lt;0,0,CEILING('Quant. mod. (oc)'!R210,6))</f>
        <v>18</v>
      </c>
      <c r="S210" s="125">
        <f>IF('Quant. mod. (oc)'!S210&lt;0,0,CEILING('Quant. mod. (oc)'!S210,6))</f>
        <v>18</v>
      </c>
      <c r="T210" s="125">
        <f>IF('Quant. mod. (oc)'!T210&lt;0,0,CEILING('Quant. mod. (oc)'!T210,6))</f>
        <v>18</v>
      </c>
      <c r="U210" s="125">
        <f>IF('Quant. mod. (oc)'!U210&lt;0,0,CEILING('Quant. mod. (oc)'!U210,6))</f>
        <v>18</v>
      </c>
      <c r="V210" s="125">
        <f>IF('Quant. mod. (oc)'!V210&lt;0,0,CEILING('Quant. mod. (oc)'!V210,6))</f>
        <v>18</v>
      </c>
      <c r="W210" s="125">
        <f>IF('Quant. mod. (oc)'!W210&lt;0,0,CEILING('Quant. mod. (oc)'!W210,6))</f>
        <v>18</v>
      </c>
      <c r="X210" s="125">
        <f>IF('Quant. mod. (oc)'!X210&lt;0,0,CEILING('Quant. mod. (oc)'!X210,6))</f>
        <v>18</v>
      </c>
      <c r="Y210" s="125">
        <f>IF('Quant. mod. (oc)'!Y210&lt;0,0,CEILING('Quant. mod. (oc)'!Y210,6))</f>
        <v>18</v>
      </c>
      <c r="Z210" s="125">
        <f>IF('Quant. mod. (oc)'!Z210&lt;0,0,CEILING('Quant. mod. (oc)'!Z210,6))</f>
        <v>18</v>
      </c>
      <c r="AA210" s="125">
        <f>IF('Quant. mod. (oc)'!AA210&lt;0,0,CEILING('Quant. mod. (oc)'!AA210,6))</f>
        <v>18</v>
      </c>
      <c r="AB210" s="125">
        <f>IF('Quant. mod. (oc)'!AB210&lt;0,0,CEILING('Quant. mod. (oc)'!AB210,6))</f>
        <v>18</v>
      </c>
      <c r="AC210" s="125">
        <f>IF('Quant. mod. (oc)'!AC210&lt;0,0,CEILING('Quant. mod. (oc)'!AC210,6))</f>
        <v>18</v>
      </c>
      <c r="AD210" s="125">
        <f>IF('Quant. mod. (oc)'!AD210&lt;0,0,CEILING('Quant. mod. (oc)'!AD210,6))</f>
        <v>18</v>
      </c>
      <c r="AE210" s="125">
        <f>IF('Quant. mod. (oc)'!AE210&lt;0,0,CEILING('Quant. mod. (oc)'!AE210,6))</f>
        <v>18</v>
      </c>
      <c r="AF210" s="125">
        <f>IF('Quant. mod. (oc)'!AF210&lt;0,0,CEILING('Quant. mod. (oc)'!AF210,6))</f>
        <v>18</v>
      </c>
      <c r="AG210" s="126">
        <f>IF('Quant. mod. (oc)'!AG210&lt;0,0,CEILING('Quant. mod. (oc)'!AG210,6))</f>
        <v>18</v>
      </c>
      <c r="AH210" s="22"/>
    </row>
    <row r="211" spans="1:34" ht="38.25" x14ac:dyDescent="0.25">
      <c r="A211" s="112"/>
      <c r="B211" s="134" t="s">
        <v>313</v>
      </c>
      <c r="C211" s="133" t="s">
        <v>64</v>
      </c>
      <c r="D211" s="125">
        <f>IF('Quant. mod. (oc)'!D211&lt;0,0,CEILING('Quant. mod. (oc)'!D211,6))</f>
        <v>0</v>
      </c>
      <c r="E211" s="125">
        <f>IF('Quant. mod. (oc)'!E211&lt;0,0,CEILING('Quant. mod. (oc)'!E211,6))</f>
        <v>0</v>
      </c>
      <c r="F211" s="125">
        <f>IF('Quant. mod. (oc)'!F211&lt;0,0,CEILING('Quant. mod. (oc)'!F211,6))</f>
        <v>0</v>
      </c>
      <c r="G211" s="125">
        <f>IF('Quant. mod. (oc)'!G211&lt;0,0,CEILING('Quant. mod. (oc)'!G211,6))</f>
        <v>0</v>
      </c>
      <c r="H211" s="125">
        <f>IF('Quant. mod. (oc)'!H211&lt;0,0,CEILING('Quant. mod. (oc)'!H211,6))</f>
        <v>0</v>
      </c>
      <c r="I211" s="125">
        <f>IF('Quant. mod. (oc)'!I211&lt;0,0,CEILING('Quant. mod. (oc)'!I211,6))</f>
        <v>0</v>
      </c>
      <c r="J211" s="125">
        <f>IF('Quant. mod. (oc)'!J211&lt;0,0,CEILING('Quant. mod. (oc)'!J211,6))</f>
        <v>0</v>
      </c>
      <c r="K211" s="125">
        <f>IF('Quant. mod. (oc)'!K211&lt;0,0,CEILING('Quant. mod. (oc)'!K211,6))</f>
        <v>0</v>
      </c>
      <c r="L211" s="125">
        <f>IF('Quant. mod. (oc)'!L211&lt;0,0,CEILING('Quant. mod. (oc)'!L211,6))</f>
        <v>0</v>
      </c>
      <c r="M211" s="125">
        <f>IF('Quant. mod. (oc)'!M211&lt;0,0,CEILING('Quant. mod. (oc)'!M211,6))</f>
        <v>0</v>
      </c>
      <c r="N211" s="125">
        <f>IF('Quant. mod. (oc)'!N211&lt;0,0,CEILING('Quant. mod. (oc)'!N211,6))</f>
        <v>6</v>
      </c>
      <c r="O211" s="125">
        <f>IF('Quant. mod. (oc)'!O211&lt;0,0,CEILING('Quant. mod. (oc)'!O211,6))</f>
        <v>6</v>
      </c>
      <c r="P211" s="125">
        <f>IF('Quant. mod. (oc)'!P211&lt;0,0,CEILING('Quant. mod. (oc)'!P211,6))</f>
        <v>6</v>
      </c>
      <c r="Q211" s="125">
        <f>IF('Quant. mod. (oc)'!Q211&lt;0,0,CEILING('Quant. mod. (oc)'!Q211,6))</f>
        <v>6</v>
      </c>
      <c r="R211" s="125">
        <f>IF('Quant. mod. (oc)'!R211&lt;0,0,CEILING('Quant. mod. (oc)'!R211,6))</f>
        <v>6</v>
      </c>
      <c r="S211" s="125">
        <f>IF('Quant. mod. (oc)'!S211&lt;0,0,CEILING('Quant. mod. (oc)'!S211,6))</f>
        <v>6</v>
      </c>
      <c r="T211" s="125">
        <f>IF('Quant. mod. (oc)'!T211&lt;0,0,CEILING('Quant. mod. (oc)'!T211,6))</f>
        <v>6</v>
      </c>
      <c r="U211" s="125">
        <f>IF('Quant. mod. (oc)'!U211&lt;0,0,CEILING('Quant. mod. (oc)'!U211,6))</f>
        <v>6</v>
      </c>
      <c r="V211" s="125">
        <f>IF('Quant. mod. (oc)'!V211&lt;0,0,CEILING('Quant. mod. (oc)'!V211,6))</f>
        <v>6</v>
      </c>
      <c r="W211" s="125">
        <f>IF('Quant. mod. (oc)'!W211&lt;0,0,CEILING('Quant. mod. (oc)'!W211,6))</f>
        <v>6</v>
      </c>
      <c r="X211" s="125">
        <f>IF('Quant. mod. (oc)'!X211&lt;0,0,CEILING('Quant. mod. (oc)'!X211,6))</f>
        <v>0</v>
      </c>
      <c r="Y211" s="125">
        <f>IF('Quant. mod. (oc)'!Y211&lt;0,0,CEILING('Quant. mod. (oc)'!Y211,6))</f>
        <v>0</v>
      </c>
      <c r="Z211" s="125">
        <f>IF('Quant. mod. (oc)'!Z211&lt;0,0,CEILING('Quant. mod. (oc)'!Z211,6))</f>
        <v>0</v>
      </c>
      <c r="AA211" s="125">
        <f>IF('Quant. mod. (oc)'!AA211&lt;0,0,CEILING('Quant. mod. (oc)'!AA211,6))</f>
        <v>0</v>
      </c>
      <c r="AB211" s="125">
        <f>IF('Quant. mod. (oc)'!AB211&lt;0,0,CEILING('Quant. mod. (oc)'!AB211,6))</f>
        <v>0</v>
      </c>
      <c r="AC211" s="125">
        <f>IF('Quant. mod. (oc)'!AC211&lt;0,0,CEILING('Quant. mod. (oc)'!AC211,6))</f>
        <v>0</v>
      </c>
      <c r="AD211" s="125">
        <f>IF('Quant. mod. (oc)'!AD211&lt;0,0,CEILING('Quant. mod. (oc)'!AD211,6))</f>
        <v>0</v>
      </c>
      <c r="AE211" s="125">
        <f>IF('Quant. mod. (oc)'!AE211&lt;0,0,CEILING('Quant. mod. (oc)'!AE211,6))</f>
        <v>0</v>
      </c>
      <c r="AF211" s="125">
        <f>IF('Quant. mod. (oc)'!AF211&lt;0,0,CEILING('Quant. mod. (oc)'!AF211,6))</f>
        <v>0</v>
      </c>
      <c r="AG211" s="126">
        <f>IF('Quant. mod. (oc)'!AG211&lt;0,0,CEILING('Quant. mod. (oc)'!AG211,6))</f>
        <v>0</v>
      </c>
      <c r="AH211" s="22"/>
    </row>
    <row r="212" spans="1:34" ht="38.25" x14ac:dyDescent="0.25">
      <c r="A212" s="112"/>
      <c r="B212" s="134" t="s">
        <v>314</v>
      </c>
      <c r="C212" s="133" t="s">
        <v>64</v>
      </c>
      <c r="D212" s="125">
        <f>IF('Quant. mod. (oc)'!D212&lt;0,0,CEILING('Quant. mod. (oc)'!D212,6))</f>
        <v>0</v>
      </c>
      <c r="E212" s="125">
        <f>IF('Quant. mod. (oc)'!E212&lt;0,0,CEILING('Quant. mod. (oc)'!E212,6))</f>
        <v>0</v>
      </c>
      <c r="F212" s="125">
        <f>IF('Quant. mod. (oc)'!F212&lt;0,0,CEILING('Quant. mod. (oc)'!F212,6))</f>
        <v>0</v>
      </c>
      <c r="G212" s="125">
        <f>IF('Quant. mod. (oc)'!G212&lt;0,0,CEILING('Quant. mod. (oc)'!G212,6))</f>
        <v>0</v>
      </c>
      <c r="H212" s="125">
        <f>IF('Quant. mod. (oc)'!H212&lt;0,0,CEILING('Quant. mod. (oc)'!H212,6))</f>
        <v>0</v>
      </c>
      <c r="I212" s="125">
        <f>IF('Quant. mod. (oc)'!I212&lt;0,0,CEILING('Quant. mod. (oc)'!I212,6))</f>
        <v>0</v>
      </c>
      <c r="J212" s="125">
        <f>IF('Quant. mod. (oc)'!J212&lt;0,0,CEILING('Quant. mod. (oc)'!J212,6))</f>
        <v>0</v>
      </c>
      <c r="K212" s="125">
        <f>IF('Quant. mod. (oc)'!K212&lt;0,0,CEILING('Quant. mod. (oc)'!K212,6))</f>
        <v>0</v>
      </c>
      <c r="L212" s="125">
        <f>IF('Quant. mod. (oc)'!L212&lt;0,0,CEILING('Quant. mod. (oc)'!L212,6))</f>
        <v>0</v>
      </c>
      <c r="M212" s="125">
        <f>IF('Quant. mod. (oc)'!M212&lt;0,0,CEILING('Quant. mod. (oc)'!M212,6))</f>
        <v>0</v>
      </c>
      <c r="N212" s="125">
        <f>IF('Quant. mod. (oc)'!N212&lt;0,0,CEILING('Quant. mod. (oc)'!N212,6))</f>
        <v>6</v>
      </c>
      <c r="O212" s="125">
        <f>IF('Quant. mod. (oc)'!O212&lt;0,0,CEILING('Quant. mod. (oc)'!O212,6))</f>
        <v>6</v>
      </c>
      <c r="P212" s="125">
        <f>IF('Quant. mod. (oc)'!P212&lt;0,0,CEILING('Quant. mod. (oc)'!P212,6))</f>
        <v>6</v>
      </c>
      <c r="Q212" s="125">
        <f>IF('Quant. mod. (oc)'!Q212&lt;0,0,CEILING('Quant. mod. (oc)'!Q212,6))</f>
        <v>6</v>
      </c>
      <c r="R212" s="125">
        <f>IF('Quant. mod. (oc)'!R212&lt;0,0,CEILING('Quant. mod. (oc)'!R212,6))</f>
        <v>6</v>
      </c>
      <c r="S212" s="125">
        <f>IF('Quant. mod. (oc)'!S212&lt;0,0,CEILING('Quant. mod. (oc)'!S212,6))</f>
        <v>6</v>
      </c>
      <c r="T212" s="125">
        <f>IF('Quant. mod. (oc)'!T212&lt;0,0,CEILING('Quant. mod. (oc)'!T212,6))</f>
        <v>6</v>
      </c>
      <c r="U212" s="125">
        <f>IF('Quant. mod. (oc)'!U212&lt;0,0,CEILING('Quant. mod. (oc)'!U212,6))</f>
        <v>6</v>
      </c>
      <c r="V212" s="125">
        <f>IF('Quant. mod. (oc)'!V212&lt;0,0,CEILING('Quant. mod. (oc)'!V212,6))</f>
        <v>6</v>
      </c>
      <c r="W212" s="125">
        <f>IF('Quant. mod. (oc)'!W212&lt;0,0,CEILING('Quant. mod. (oc)'!W212,6))</f>
        <v>6</v>
      </c>
      <c r="X212" s="125">
        <f>IF('Quant. mod. (oc)'!X212&lt;0,0,CEILING('Quant. mod. (oc)'!X212,6))</f>
        <v>0</v>
      </c>
      <c r="Y212" s="125">
        <f>IF('Quant. mod. (oc)'!Y212&lt;0,0,CEILING('Quant. mod. (oc)'!Y212,6))</f>
        <v>0</v>
      </c>
      <c r="Z212" s="125">
        <f>IF('Quant. mod. (oc)'!Z212&lt;0,0,CEILING('Quant. mod. (oc)'!Z212,6))</f>
        <v>0</v>
      </c>
      <c r="AA212" s="125">
        <f>IF('Quant. mod. (oc)'!AA212&lt;0,0,CEILING('Quant. mod. (oc)'!AA212,6))</f>
        <v>0</v>
      </c>
      <c r="AB212" s="125">
        <f>IF('Quant. mod. (oc)'!AB212&lt;0,0,CEILING('Quant. mod. (oc)'!AB212,6))</f>
        <v>0</v>
      </c>
      <c r="AC212" s="125">
        <f>IF('Quant. mod. (oc)'!AC212&lt;0,0,CEILING('Quant. mod. (oc)'!AC212,6))</f>
        <v>0</v>
      </c>
      <c r="AD212" s="125">
        <f>IF('Quant. mod. (oc)'!AD212&lt;0,0,CEILING('Quant. mod. (oc)'!AD212,6))</f>
        <v>0</v>
      </c>
      <c r="AE212" s="125">
        <f>IF('Quant. mod. (oc)'!AE212&lt;0,0,CEILING('Quant. mod. (oc)'!AE212,6))</f>
        <v>0</v>
      </c>
      <c r="AF212" s="125">
        <f>IF('Quant. mod. (oc)'!AF212&lt;0,0,CEILING('Quant. mod. (oc)'!AF212,6))</f>
        <v>0</v>
      </c>
      <c r="AG212" s="126">
        <f>IF('Quant. mod. (oc)'!AG212&lt;0,0,CEILING('Quant. mod. (oc)'!AG212,6))</f>
        <v>0</v>
      </c>
      <c r="AH212" s="22"/>
    </row>
    <row r="213" spans="1:34" ht="38.25" x14ac:dyDescent="0.25">
      <c r="A213" s="112"/>
      <c r="B213" s="134" t="s">
        <v>316</v>
      </c>
      <c r="C213" s="133" t="s">
        <v>64</v>
      </c>
      <c r="D213" s="125">
        <f>IF('Quant. mod. (oc)'!D213&lt;0,0,CEILING('Quant. mod. (oc)'!D213,6))</f>
        <v>0</v>
      </c>
      <c r="E213" s="125">
        <f>IF('Quant. mod. (oc)'!E213&lt;0,0,CEILING('Quant. mod. (oc)'!E213,6))</f>
        <v>0</v>
      </c>
      <c r="F213" s="125">
        <f>IF('Quant. mod. (oc)'!F213&lt;0,0,CEILING('Quant. mod. (oc)'!F213,6))</f>
        <v>0</v>
      </c>
      <c r="G213" s="125">
        <f>IF('Quant. mod. (oc)'!G213&lt;0,0,CEILING('Quant. mod. (oc)'!G213,6))</f>
        <v>0</v>
      </c>
      <c r="H213" s="125">
        <f>IF('Quant. mod. (oc)'!H213&lt;0,0,CEILING('Quant. mod. (oc)'!H213,6))</f>
        <v>0</v>
      </c>
      <c r="I213" s="125">
        <f>IF('Quant. mod. (oc)'!I213&lt;0,0,CEILING('Quant. mod. (oc)'!I213,6))</f>
        <v>0</v>
      </c>
      <c r="J213" s="125">
        <f>IF('Quant. mod. (oc)'!J213&lt;0,0,CEILING('Quant. mod. (oc)'!J213,6))</f>
        <v>0</v>
      </c>
      <c r="K213" s="125">
        <f>IF('Quant. mod. (oc)'!K213&lt;0,0,CEILING('Quant. mod. (oc)'!K213,6))</f>
        <v>0</v>
      </c>
      <c r="L213" s="125">
        <f>IF('Quant. mod. (oc)'!L213&lt;0,0,CEILING('Quant. mod. (oc)'!L213,6))</f>
        <v>0</v>
      </c>
      <c r="M213" s="125">
        <f>IF('Quant. mod. (oc)'!M213&lt;0,0,CEILING('Quant. mod. (oc)'!M213,6))</f>
        <v>0</v>
      </c>
      <c r="N213" s="125">
        <f>IF('Quant. mod. (oc)'!N213&lt;0,0,CEILING('Quant. mod. (oc)'!N213,6))</f>
        <v>0</v>
      </c>
      <c r="O213" s="125">
        <f>IF('Quant. mod. (oc)'!O213&lt;0,0,CEILING('Quant. mod. (oc)'!O213,6))</f>
        <v>0</v>
      </c>
      <c r="P213" s="125">
        <f>IF('Quant. mod. (oc)'!P213&lt;0,0,CEILING('Quant. mod. (oc)'!P213,6))</f>
        <v>0</v>
      </c>
      <c r="Q213" s="125">
        <f>IF('Quant. mod. (oc)'!Q213&lt;0,0,CEILING('Quant. mod. (oc)'!Q213,6))</f>
        <v>0</v>
      </c>
      <c r="R213" s="125">
        <f>IF('Quant. mod. (oc)'!R213&lt;0,0,CEILING('Quant. mod. (oc)'!R213,6))</f>
        <v>0</v>
      </c>
      <c r="S213" s="125">
        <f>IF('Quant. mod. (oc)'!S213&lt;0,0,CEILING('Quant. mod. (oc)'!S213,6))</f>
        <v>0</v>
      </c>
      <c r="T213" s="125">
        <f>IF('Quant. mod. (oc)'!T213&lt;0,0,CEILING('Quant. mod. (oc)'!T213,6))</f>
        <v>0</v>
      </c>
      <c r="U213" s="125">
        <f>IF('Quant. mod. (oc)'!U213&lt;0,0,CEILING('Quant. mod. (oc)'!U213,6))</f>
        <v>0</v>
      </c>
      <c r="V213" s="125">
        <f>IF('Quant. mod. (oc)'!V213&lt;0,0,CEILING('Quant. mod. (oc)'!V213,6))</f>
        <v>0</v>
      </c>
      <c r="W213" s="125">
        <f>IF('Quant. mod. (oc)'!W213&lt;0,0,CEILING('Quant. mod. (oc)'!W213,6))</f>
        <v>0</v>
      </c>
      <c r="X213" s="125">
        <f>IF('Quant. mod. (oc)'!X213&lt;0,0,CEILING('Quant. mod. (oc)'!X213,6))</f>
        <v>0</v>
      </c>
      <c r="Y213" s="125">
        <f>IF('Quant. mod. (oc)'!Y213&lt;0,0,CEILING('Quant. mod. (oc)'!Y213,6))</f>
        <v>0</v>
      </c>
      <c r="Z213" s="125">
        <f>IF('Quant. mod. (oc)'!Z213&lt;0,0,CEILING('Quant. mod. (oc)'!Z213,6))</f>
        <v>0</v>
      </c>
      <c r="AA213" s="125">
        <f>IF('Quant. mod. (oc)'!AA213&lt;0,0,CEILING('Quant. mod. (oc)'!AA213,6))</f>
        <v>0</v>
      </c>
      <c r="AB213" s="125">
        <f>IF('Quant. mod. (oc)'!AB213&lt;0,0,CEILING('Quant. mod. (oc)'!AB213,6))</f>
        <v>0</v>
      </c>
      <c r="AC213" s="125">
        <f>IF('Quant. mod. (oc)'!AC213&lt;0,0,CEILING('Quant. mod. (oc)'!AC213,6))</f>
        <v>0</v>
      </c>
      <c r="AD213" s="125">
        <f>IF('Quant. mod. (oc)'!AD213&lt;0,0,CEILING('Quant. mod. (oc)'!AD213,6))</f>
        <v>0</v>
      </c>
      <c r="AE213" s="125">
        <f>IF('Quant. mod. (oc)'!AE213&lt;0,0,CEILING('Quant. mod. (oc)'!AE213,6))</f>
        <v>0</v>
      </c>
      <c r="AF213" s="125">
        <f>IF('Quant. mod. (oc)'!AF213&lt;0,0,CEILING('Quant. mod. (oc)'!AF213,6))</f>
        <v>0</v>
      </c>
      <c r="AG213" s="126">
        <f>IF('Quant. mod. (oc)'!AG213&lt;0,0,CEILING('Quant. mod. (oc)'!AG213,6))</f>
        <v>0</v>
      </c>
      <c r="AH213" s="22"/>
    </row>
    <row r="214" spans="1:34" x14ac:dyDescent="0.25">
      <c r="A214" s="112"/>
      <c r="B214" s="134" t="s">
        <v>234</v>
      </c>
      <c r="C214" s="133" t="s">
        <v>64</v>
      </c>
      <c r="D214" s="125">
        <f>IF('Quant. mod. (oc)'!D214&lt;0,0,CEILING('Quant. mod. (oc)'!D214,6))</f>
        <v>12</v>
      </c>
      <c r="E214" s="125">
        <f>IF('Quant. mod. (oc)'!E214&lt;0,0,CEILING('Quant. mod. (oc)'!E214,6))</f>
        <v>12</v>
      </c>
      <c r="F214" s="125">
        <f>IF('Quant. mod. (oc)'!F214&lt;0,0,CEILING('Quant. mod. (oc)'!F214,6))</f>
        <v>12</v>
      </c>
      <c r="G214" s="125">
        <f>IF('Quant. mod. (oc)'!G214&lt;0,0,CEILING('Quant. mod. (oc)'!G214,6))</f>
        <v>12</v>
      </c>
      <c r="H214" s="125">
        <f>IF('Quant. mod. (oc)'!H214&lt;0,0,CEILING('Quant. mod. (oc)'!H214,6))</f>
        <v>12</v>
      </c>
      <c r="I214" s="125">
        <f>IF('Quant. mod. (oc)'!I214&lt;0,0,CEILING('Quant. mod. (oc)'!I214,6))</f>
        <v>12</v>
      </c>
      <c r="J214" s="125">
        <f>IF('Quant. mod. (oc)'!J214&lt;0,0,CEILING('Quant. mod. (oc)'!J214,6))</f>
        <v>12</v>
      </c>
      <c r="K214" s="125">
        <f>IF('Quant. mod. (oc)'!K214&lt;0,0,CEILING('Quant. mod. (oc)'!K214,6))</f>
        <v>12</v>
      </c>
      <c r="L214" s="125">
        <f>IF('Quant. mod. (oc)'!L214&lt;0,0,CEILING('Quant. mod. (oc)'!L214,6))</f>
        <v>12</v>
      </c>
      <c r="M214" s="125">
        <f>IF('Quant. mod. (oc)'!M214&lt;0,0,CEILING('Quant. mod. (oc)'!M214,6))</f>
        <v>12</v>
      </c>
      <c r="N214" s="125">
        <f>IF('Quant. mod. (oc)'!N214&lt;0,0,CEILING('Quant. mod. (oc)'!N214,6))</f>
        <v>12</v>
      </c>
      <c r="O214" s="125">
        <f>IF('Quant. mod. (oc)'!O214&lt;0,0,CEILING('Quant. mod. (oc)'!O214,6))</f>
        <v>12</v>
      </c>
      <c r="P214" s="125">
        <f>IF('Quant. mod. (oc)'!P214&lt;0,0,CEILING('Quant. mod. (oc)'!P214,6))</f>
        <v>12</v>
      </c>
      <c r="Q214" s="125">
        <f>IF('Quant. mod. (oc)'!Q214&lt;0,0,CEILING('Quant. mod. (oc)'!Q214,6))</f>
        <v>12</v>
      </c>
      <c r="R214" s="125">
        <f>IF('Quant. mod. (oc)'!R214&lt;0,0,CEILING('Quant. mod. (oc)'!R214,6))</f>
        <v>12</v>
      </c>
      <c r="S214" s="125">
        <f>IF('Quant. mod. (oc)'!S214&lt;0,0,CEILING('Quant. mod. (oc)'!S214,6))</f>
        <v>12</v>
      </c>
      <c r="T214" s="125">
        <f>IF('Quant. mod. (oc)'!T214&lt;0,0,CEILING('Quant. mod. (oc)'!T214,6))</f>
        <v>12</v>
      </c>
      <c r="U214" s="125">
        <f>IF('Quant. mod. (oc)'!U214&lt;0,0,CEILING('Quant. mod. (oc)'!U214,6))</f>
        <v>12</v>
      </c>
      <c r="V214" s="125">
        <f>IF('Quant. mod. (oc)'!V214&lt;0,0,CEILING('Quant. mod. (oc)'!V214,6))</f>
        <v>12</v>
      </c>
      <c r="W214" s="125">
        <f>IF('Quant. mod. (oc)'!W214&lt;0,0,CEILING('Quant. mod. (oc)'!W214,6))</f>
        <v>12</v>
      </c>
      <c r="X214" s="125">
        <f>IF('Quant. mod. (oc)'!X214&lt;0,0,CEILING('Quant. mod. (oc)'!X214,6))</f>
        <v>18</v>
      </c>
      <c r="Y214" s="125">
        <f>IF('Quant. mod. (oc)'!Y214&lt;0,0,CEILING('Quant. mod. (oc)'!Y214,6))</f>
        <v>18</v>
      </c>
      <c r="Z214" s="125">
        <f>IF('Quant. mod. (oc)'!Z214&lt;0,0,CEILING('Quant. mod. (oc)'!Z214,6))</f>
        <v>18</v>
      </c>
      <c r="AA214" s="125">
        <f>IF('Quant. mod. (oc)'!AA214&lt;0,0,CEILING('Quant. mod. (oc)'!AA214,6))</f>
        <v>18</v>
      </c>
      <c r="AB214" s="125">
        <f>IF('Quant. mod. (oc)'!AB214&lt;0,0,CEILING('Quant. mod. (oc)'!AB214,6))</f>
        <v>18</v>
      </c>
      <c r="AC214" s="125">
        <f>IF('Quant. mod. (oc)'!AC214&lt;0,0,CEILING('Quant. mod. (oc)'!AC214,6))</f>
        <v>18</v>
      </c>
      <c r="AD214" s="125">
        <f>IF('Quant. mod. (oc)'!AD214&lt;0,0,CEILING('Quant. mod. (oc)'!AD214,6))</f>
        <v>18</v>
      </c>
      <c r="AE214" s="125">
        <f>IF('Quant. mod. (oc)'!AE214&lt;0,0,CEILING('Quant. mod. (oc)'!AE214,6))</f>
        <v>18</v>
      </c>
      <c r="AF214" s="125">
        <f>IF('Quant. mod. (oc)'!AF214&lt;0,0,CEILING('Quant. mod. (oc)'!AF214,6))</f>
        <v>18</v>
      </c>
      <c r="AG214" s="126">
        <f>IF('Quant. mod. (oc)'!AG214&lt;0,0,CEILING('Quant. mod. (oc)'!AG214,6))</f>
        <v>18</v>
      </c>
      <c r="AH214" s="22"/>
    </row>
    <row r="215" spans="1:34" x14ac:dyDescent="0.25">
      <c r="A215" s="112"/>
      <c r="B215" s="134" t="s">
        <v>235</v>
      </c>
      <c r="C215" s="133" t="s">
        <v>64</v>
      </c>
      <c r="D215" s="125">
        <f>IF('Quant. mod. (oc)'!D215&lt;0,0,CEILING('Quant. mod. (oc)'!D215,6))</f>
        <v>48</v>
      </c>
      <c r="E215" s="125">
        <f>IF('Quant. mod. (oc)'!E215&lt;0,0,CEILING('Quant. mod. (oc)'!E215,6))</f>
        <v>54</v>
      </c>
      <c r="F215" s="125">
        <f>IF('Quant. mod. (oc)'!F215&lt;0,0,CEILING('Quant. mod. (oc)'!F215,6))</f>
        <v>48</v>
      </c>
      <c r="G215" s="125">
        <f>IF('Quant. mod. (oc)'!G215&lt;0,0,CEILING('Quant. mod. (oc)'!G215,6))</f>
        <v>48</v>
      </c>
      <c r="H215" s="125">
        <f>IF('Quant. mod. (oc)'!H215&lt;0,0,CEILING('Quant. mod. (oc)'!H215,6))</f>
        <v>54</v>
      </c>
      <c r="I215" s="125">
        <f>IF('Quant. mod. (oc)'!I215&lt;0,0,CEILING('Quant. mod. (oc)'!I215,6))</f>
        <v>48</v>
      </c>
      <c r="J215" s="125">
        <f>IF('Quant. mod. (oc)'!J215&lt;0,0,CEILING('Quant. mod. (oc)'!J215,6))</f>
        <v>48</v>
      </c>
      <c r="K215" s="125">
        <f>IF('Quant. mod. (oc)'!K215&lt;0,0,CEILING('Quant. mod. (oc)'!K215,6))</f>
        <v>48</v>
      </c>
      <c r="L215" s="125">
        <f>IF('Quant. mod. (oc)'!L215&lt;0,0,CEILING('Quant. mod. (oc)'!L215,6))</f>
        <v>48</v>
      </c>
      <c r="M215" s="125">
        <f>IF('Quant. mod. (oc)'!M215&lt;0,0,CEILING('Quant. mod. (oc)'!M215,6))</f>
        <v>48</v>
      </c>
      <c r="N215" s="125">
        <f>IF('Quant. mod. (oc)'!N215&lt;0,0,CEILING('Quant. mod. (oc)'!N215,6))</f>
        <v>48</v>
      </c>
      <c r="O215" s="125">
        <f>IF('Quant. mod. (oc)'!O215&lt;0,0,CEILING('Quant. mod. (oc)'!O215,6))</f>
        <v>48</v>
      </c>
      <c r="P215" s="125">
        <f>IF('Quant. mod. (oc)'!P215&lt;0,0,CEILING('Quant. mod. (oc)'!P215,6))</f>
        <v>48</v>
      </c>
      <c r="Q215" s="125">
        <f>IF('Quant. mod. (oc)'!Q215&lt;0,0,CEILING('Quant. mod. (oc)'!Q215,6))</f>
        <v>48</v>
      </c>
      <c r="R215" s="125">
        <f>IF('Quant. mod. (oc)'!R215&lt;0,0,CEILING('Quant. mod. (oc)'!R215,6))</f>
        <v>48</v>
      </c>
      <c r="S215" s="125">
        <f>IF('Quant. mod. (oc)'!S215&lt;0,0,CEILING('Quant. mod. (oc)'!S215,6))</f>
        <v>48</v>
      </c>
      <c r="T215" s="125">
        <f>IF('Quant. mod. (oc)'!T215&lt;0,0,CEILING('Quant. mod. (oc)'!T215,6))</f>
        <v>48</v>
      </c>
      <c r="U215" s="125">
        <f>IF('Quant. mod. (oc)'!U215&lt;0,0,CEILING('Quant. mod. (oc)'!U215,6))</f>
        <v>48</v>
      </c>
      <c r="V215" s="125">
        <f>IF('Quant. mod. (oc)'!V215&lt;0,0,CEILING('Quant. mod. (oc)'!V215,6))</f>
        <v>48</v>
      </c>
      <c r="W215" s="125">
        <f>IF('Quant. mod. (oc)'!W215&lt;0,0,CEILING('Quant. mod. (oc)'!W215,6))</f>
        <v>48</v>
      </c>
      <c r="X215" s="125">
        <f>IF('Quant. mod. (oc)'!X215&lt;0,0,CEILING('Quant. mod. (oc)'!X215,6))</f>
        <v>30</v>
      </c>
      <c r="Y215" s="125">
        <f>IF('Quant. mod. (oc)'!Y215&lt;0,0,CEILING('Quant. mod. (oc)'!Y215,6))</f>
        <v>36</v>
      </c>
      <c r="Z215" s="125">
        <f>IF('Quant. mod. (oc)'!Z215&lt;0,0,CEILING('Quant. mod. (oc)'!Z215,6))</f>
        <v>30</v>
      </c>
      <c r="AA215" s="125">
        <f>IF('Quant. mod. (oc)'!AA215&lt;0,0,CEILING('Quant. mod. (oc)'!AA215,6))</f>
        <v>30</v>
      </c>
      <c r="AB215" s="125">
        <f>IF('Quant. mod. (oc)'!AB215&lt;0,0,CEILING('Quant. mod. (oc)'!AB215,6))</f>
        <v>36</v>
      </c>
      <c r="AC215" s="125">
        <f>IF('Quant. mod. (oc)'!AC215&lt;0,0,CEILING('Quant. mod. (oc)'!AC215,6))</f>
        <v>30</v>
      </c>
      <c r="AD215" s="125">
        <f>IF('Quant. mod. (oc)'!AD215&lt;0,0,CEILING('Quant. mod. (oc)'!AD215,6))</f>
        <v>30</v>
      </c>
      <c r="AE215" s="125">
        <f>IF('Quant. mod. (oc)'!AE215&lt;0,0,CEILING('Quant. mod. (oc)'!AE215,6))</f>
        <v>30</v>
      </c>
      <c r="AF215" s="125">
        <f>IF('Quant. mod. (oc)'!AF215&lt;0,0,CEILING('Quant. mod. (oc)'!AF215,6))</f>
        <v>30</v>
      </c>
      <c r="AG215" s="126">
        <f>IF('Quant. mod. (oc)'!AG215&lt;0,0,CEILING('Quant. mod. (oc)'!AG215,6))</f>
        <v>30</v>
      </c>
      <c r="AH215" s="22"/>
    </row>
    <row r="216" spans="1:34" x14ac:dyDescent="0.25">
      <c r="A216" s="112"/>
      <c r="B216" s="134" t="s">
        <v>236</v>
      </c>
      <c r="C216" s="133" t="s">
        <v>64</v>
      </c>
      <c r="D216" s="125">
        <f>IF('Quant. mod. (oc)'!D216&lt;0,0,CEILING('Quant. mod. (oc)'!D216,6))</f>
        <v>18</v>
      </c>
      <c r="E216" s="125">
        <f>IF('Quant. mod. (oc)'!E216&lt;0,0,CEILING('Quant. mod. (oc)'!E216,6))</f>
        <v>18</v>
      </c>
      <c r="F216" s="125">
        <f>IF('Quant. mod. (oc)'!F216&lt;0,0,CEILING('Quant. mod. (oc)'!F216,6))</f>
        <v>18</v>
      </c>
      <c r="G216" s="125">
        <f>IF('Quant. mod. (oc)'!G216&lt;0,0,CEILING('Quant. mod. (oc)'!G216,6))</f>
        <v>18</v>
      </c>
      <c r="H216" s="125">
        <f>IF('Quant. mod. (oc)'!H216&lt;0,0,CEILING('Quant. mod. (oc)'!H216,6))</f>
        <v>18</v>
      </c>
      <c r="I216" s="125">
        <f>IF('Quant. mod. (oc)'!I216&lt;0,0,CEILING('Quant. mod. (oc)'!I216,6))</f>
        <v>18</v>
      </c>
      <c r="J216" s="125">
        <f>IF('Quant. mod. (oc)'!J216&lt;0,0,CEILING('Quant. mod. (oc)'!J216,6))</f>
        <v>18</v>
      </c>
      <c r="K216" s="125">
        <f>IF('Quant. mod. (oc)'!K216&lt;0,0,CEILING('Quant. mod. (oc)'!K216,6))</f>
        <v>18</v>
      </c>
      <c r="L216" s="125">
        <f>IF('Quant. mod. (oc)'!L216&lt;0,0,CEILING('Quant. mod. (oc)'!L216,6))</f>
        <v>18</v>
      </c>
      <c r="M216" s="125">
        <f>IF('Quant. mod. (oc)'!M216&lt;0,0,CEILING('Quant. mod. (oc)'!M216,6))</f>
        <v>18</v>
      </c>
      <c r="N216" s="125">
        <f>IF('Quant. mod. (oc)'!N216&lt;0,0,CEILING('Quant. mod. (oc)'!N216,6))</f>
        <v>18</v>
      </c>
      <c r="O216" s="125">
        <f>IF('Quant. mod. (oc)'!O216&lt;0,0,CEILING('Quant. mod. (oc)'!O216,6))</f>
        <v>18</v>
      </c>
      <c r="P216" s="125">
        <f>IF('Quant. mod. (oc)'!P216&lt;0,0,CEILING('Quant. mod. (oc)'!P216,6))</f>
        <v>18</v>
      </c>
      <c r="Q216" s="125">
        <f>IF('Quant. mod. (oc)'!Q216&lt;0,0,CEILING('Quant. mod. (oc)'!Q216,6))</f>
        <v>18</v>
      </c>
      <c r="R216" s="125">
        <f>IF('Quant. mod. (oc)'!R216&lt;0,0,CEILING('Quant. mod. (oc)'!R216,6))</f>
        <v>18</v>
      </c>
      <c r="S216" s="125">
        <f>IF('Quant. mod. (oc)'!S216&lt;0,0,CEILING('Quant. mod. (oc)'!S216,6))</f>
        <v>18</v>
      </c>
      <c r="T216" s="125">
        <f>IF('Quant. mod. (oc)'!T216&lt;0,0,CEILING('Quant. mod. (oc)'!T216,6))</f>
        <v>18</v>
      </c>
      <c r="U216" s="125">
        <f>IF('Quant. mod. (oc)'!U216&lt;0,0,CEILING('Quant. mod. (oc)'!U216,6))</f>
        <v>18</v>
      </c>
      <c r="V216" s="125">
        <f>IF('Quant. mod. (oc)'!V216&lt;0,0,CEILING('Quant. mod. (oc)'!V216,6))</f>
        <v>18</v>
      </c>
      <c r="W216" s="125">
        <f>IF('Quant. mod. (oc)'!W216&lt;0,0,CEILING('Quant. mod. (oc)'!W216,6))</f>
        <v>18</v>
      </c>
      <c r="X216" s="125">
        <f>IF('Quant. mod. (oc)'!X216&lt;0,0,CEILING('Quant. mod. (oc)'!X216,6))</f>
        <v>18</v>
      </c>
      <c r="Y216" s="125">
        <f>IF('Quant. mod. (oc)'!Y216&lt;0,0,CEILING('Quant. mod. (oc)'!Y216,6))</f>
        <v>18</v>
      </c>
      <c r="Z216" s="125">
        <f>IF('Quant. mod. (oc)'!Z216&lt;0,0,CEILING('Quant. mod. (oc)'!Z216,6))</f>
        <v>18</v>
      </c>
      <c r="AA216" s="125">
        <f>IF('Quant. mod. (oc)'!AA216&lt;0,0,CEILING('Quant. mod. (oc)'!AA216,6))</f>
        <v>18</v>
      </c>
      <c r="AB216" s="125">
        <f>IF('Quant. mod. (oc)'!AB216&lt;0,0,CEILING('Quant. mod. (oc)'!AB216,6))</f>
        <v>18</v>
      </c>
      <c r="AC216" s="125">
        <f>IF('Quant. mod. (oc)'!AC216&lt;0,0,CEILING('Quant. mod. (oc)'!AC216,6))</f>
        <v>18</v>
      </c>
      <c r="AD216" s="125">
        <f>IF('Quant. mod. (oc)'!AD216&lt;0,0,CEILING('Quant. mod. (oc)'!AD216,6))</f>
        <v>18</v>
      </c>
      <c r="AE216" s="125">
        <f>IF('Quant. mod. (oc)'!AE216&lt;0,0,CEILING('Quant. mod. (oc)'!AE216,6))</f>
        <v>18</v>
      </c>
      <c r="AF216" s="125">
        <f>IF('Quant. mod. (oc)'!AF216&lt;0,0,CEILING('Quant. mod. (oc)'!AF216,6))</f>
        <v>18</v>
      </c>
      <c r="AG216" s="126">
        <f>IF('Quant. mod. (oc)'!AG216&lt;0,0,CEILING('Quant. mod. (oc)'!AG216,6))</f>
        <v>18</v>
      </c>
      <c r="AH216" s="22"/>
    </row>
    <row r="217" spans="1:34" x14ac:dyDescent="0.25">
      <c r="A217" s="112"/>
      <c r="B217" s="69" t="s">
        <v>237</v>
      </c>
      <c r="C217" s="133" t="s">
        <v>64</v>
      </c>
      <c r="D217" s="125">
        <f>IF('Quant. mod. (oc)'!D217&lt;0,0,CEILING('Quant. mod. (oc)'!D217,6))</f>
        <v>0</v>
      </c>
      <c r="E217" s="125">
        <f>IF('Quant. mod. (oc)'!E217&lt;0,0,CEILING('Quant. mod. (oc)'!E217,6))</f>
        <v>0</v>
      </c>
      <c r="F217" s="125">
        <f>IF('Quant. mod. (oc)'!F217&lt;0,0,CEILING('Quant. mod. (oc)'!F217,6))</f>
        <v>0</v>
      </c>
      <c r="G217" s="125">
        <f>IF('Quant. mod. (oc)'!G217&lt;0,0,CEILING('Quant. mod. (oc)'!G217,6))</f>
        <v>0</v>
      </c>
      <c r="H217" s="125">
        <f>IF('Quant. mod. (oc)'!H217&lt;0,0,CEILING('Quant. mod. (oc)'!H217,6))</f>
        <v>0</v>
      </c>
      <c r="I217" s="125">
        <f>IF('Quant. mod. (oc)'!I217&lt;0,0,CEILING('Quant. mod. (oc)'!I217,6))</f>
        <v>0</v>
      </c>
      <c r="J217" s="125">
        <f>IF('Quant. mod. (oc)'!J217&lt;0,0,CEILING('Quant. mod. (oc)'!J217,6))</f>
        <v>0</v>
      </c>
      <c r="K217" s="125">
        <f>IF('Quant. mod. (oc)'!K217&lt;0,0,CEILING('Quant. mod. (oc)'!K217,6))</f>
        <v>0</v>
      </c>
      <c r="L217" s="125">
        <f>IF('Quant. mod. (oc)'!L217&lt;0,0,CEILING('Quant. mod. (oc)'!L217,6))</f>
        <v>0</v>
      </c>
      <c r="M217" s="125">
        <f>IF('Quant. mod. (oc)'!M217&lt;0,0,CEILING('Quant. mod. (oc)'!M217,6))</f>
        <v>0</v>
      </c>
      <c r="N217" s="125">
        <f>IF('Quant. mod. (oc)'!N217&lt;0,0,CEILING('Quant. mod. (oc)'!N217,6))</f>
        <v>6</v>
      </c>
      <c r="O217" s="125">
        <f>IF('Quant. mod. (oc)'!O217&lt;0,0,CEILING('Quant. mod. (oc)'!O217,6))</f>
        <v>6</v>
      </c>
      <c r="P217" s="125">
        <f>IF('Quant. mod. (oc)'!P217&lt;0,0,CEILING('Quant. mod. (oc)'!P217,6))</f>
        <v>6</v>
      </c>
      <c r="Q217" s="125">
        <f>IF('Quant. mod. (oc)'!Q217&lt;0,0,CEILING('Quant. mod. (oc)'!Q217,6))</f>
        <v>6</v>
      </c>
      <c r="R217" s="125">
        <f>IF('Quant. mod. (oc)'!R217&lt;0,0,CEILING('Quant. mod. (oc)'!R217,6))</f>
        <v>6</v>
      </c>
      <c r="S217" s="125">
        <f>IF('Quant. mod. (oc)'!S217&lt;0,0,CEILING('Quant. mod. (oc)'!S217,6))</f>
        <v>6</v>
      </c>
      <c r="T217" s="125">
        <f>IF('Quant. mod. (oc)'!T217&lt;0,0,CEILING('Quant. mod. (oc)'!T217,6))</f>
        <v>6</v>
      </c>
      <c r="U217" s="125">
        <f>IF('Quant. mod. (oc)'!U217&lt;0,0,CEILING('Quant. mod. (oc)'!U217,6))</f>
        <v>6</v>
      </c>
      <c r="V217" s="125">
        <f>IF('Quant. mod. (oc)'!V217&lt;0,0,CEILING('Quant. mod. (oc)'!V217,6))</f>
        <v>6</v>
      </c>
      <c r="W217" s="125">
        <f>IF('Quant. mod. (oc)'!W217&lt;0,0,CEILING('Quant. mod. (oc)'!W217,6))</f>
        <v>6</v>
      </c>
      <c r="X217" s="125">
        <f>IF('Quant. mod. (oc)'!X217&lt;0,0,CEILING('Quant. mod. (oc)'!X217,6))</f>
        <v>0</v>
      </c>
      <c r="Y217" s="125">
        <f>IF('Quant. mod. (oc)'!Y217&lt;0,0,CEILING('Quant. mod. (oc)'!Y217,6))</f>
        <v>0</v>
      </c>
      <c r="Z217" s="125">
        <f>IF('Quant. mod. (oc)'!Z217&lt;0,0,CEILING('Quant. mod. (oc)'!Z217,6))</f>
        <v>0</v>
      </c>
      <c r="AA217" s="125">
        <f>IF('Quant. mod. (oc)'!AA217&lt;0,0,CEILING('Quant. mod. (oc)'!AA217,6))</f>
        <v>0</v>
      </c>
      <c r="AB217" s="125">
        <f>IF('Quant. mod. (oc)'!AB217&lt;0,0,CEILING('Quant. mod. (oc)'!AB217,6))</f>
        <v>0</v>
      </c>
      <c r="AC217" s="125">
        <f>IF('Quant. mod. (oc)'!AC217&lt;0,0,CEILING('Quant. mod. (oc)'!AC217,6))</f>
        <v>0</v>
      </c>
      <c r="AD217" s="125">
        <f>IF('Quant. mod. (oc)'!AD217&lt;0,0,CEILING('Quant. mod. (oc)'!AD217,6))</f>
        <v>0</v>
      </c>
      <c r="AE217" s="125">
        <f>IF('Quant. mod. (oc)'!AE217&lt;0,0,CEILING('Quant. mod. (oc)'!AE217,6))</f>
        <v>0</v>
      </c>
      <c r="AF217" s="125">
        <f>IF('Quant. mod. (oc)'!AF217&lt;0,0,CEILING('Quant. mod. (oc)'!AF217,6))</f>
        <v>0</v>
      </c>
      <c r="AG217" s="126">
        <f>IF('Quant. mod. (oc)'!AG217&lt;0,0,CEILING('Quant. mod. (oc)'!AG217,6))</f>
        <v>0</v>
      </c>
      <c r="AH217" s="22"/>
    </row>
    <row r="218" spans="1:34" x14ac:dyDescent="0.25">
      <c r="A218" s="112"/>
      <c r="B218" s="69" t="s">
        <v>238</v>
      </c>
      <c r="C218" s="133" t="s">
        <v>64</v>
      </c>
      <c r="D218" s="125">
        <f>IF('Quant. mod. (oc)'!D218&lt;0,0,CEILING('Quant. mod. (oc)'!D218,6))</f>
        <v>0</v>
      </c>
      <c r="E218" s="125">
        <f>IF('Quant. mod. (oc)'!E218&lt;0,0,CEILING('Quant. mod. (oc)'!E218,6))</f>
        <v>0</v>
      </c>
      <c r="F218" s="125">
        <f>IF('Quant. mod. (oc)'!F218&lt;0,0,CEILING('Quant. mod. (oc)'!F218,6))</f>
        <v>0</v>
      </c>
      <c r="G218" s="125">
        <f>IF('Quant. mod. (oc)'!G218&lt;0,0,CEILING('Quant. mod. (oc)'!G218,6))</f>
        <v>0</v>
      </c>
      <c r="H218" s="125">
        <f>IF('Quant. mod. (oc)'!H218&lt;0,0,CEILING('Quant. mod. (oc)'!H218,6))</f>
        <v>0</v>
      </c>
      <c r="I218" s="125">
        <f>IF('Quant. mod. (oc)'!I218&lt;0,0,CEILING('Quant. mod. (oc)'!I218,6))</f>
        <v>0</v>
      </c>
      <c r="J218" s="125">
        <f>IF('Quant. mod. (oc)'!J218&lt;0,0,CEILING('Quant. mod. (oc)'!J218,6))</f>
        <v>0</v>
      </c>
      <c r="K218" s="125">
        <f>IF('Quant. mod. (oc)'!K218&lt;0,0,CEILING('Quant. mod. (oc)'!K218,6))</f>
        <v>0</v>
      </c>
      <c r="L218" s="125">
        <f>IF('Quant. mod. (oc)'!L218&lt;0,0,CEILING('Quant. mod. (oc)'!L218,6))</f>
        <v>0</v>
      </c>
      <c r="M218" s="125">
        <f>IF('Quant. mod. (oc)'!M218&lt;0,0,CEILING('Quant. mod. (oc)'!M218,6))</f>
        <v>0</v>
      </c>
      <c r="N218" s="125">
        <f>IF('Quant. mod. (oc)'!N218&lt;0,0,CEILING('Quant. mod. (oc)'!N218,6))</f>
        <v>6</v>
      </c>
      <c r="O218" s="125">
        <f>IF('Quant. mod. (oc)'!O218&lt;0,0,CEILING('Quant. mod. (oc)'!O218,6))</f>
        <v>6</v>
      </c>
      <c r="P218" s="125">
        <f>IF('Quant. mod. (oc)'!P218&lt;0,0,CEILING('Quant. mod. (oc)'!P218,6))</f>
        <v>6</v>
      </c>
      <c r="Q218" s="125">
        <f>IF('Quant. mod. (oc)'!Q218&lt;0,0,CEILING('Quant. mod. (oc)'!Q218,6))</f>
        <v>6</v>
      </c>
      <c r="R218" s="125">
        <f>IF('Quant. mod. (oc)'!R218&lt;0,0,CEILING('Quant. mod. (oc)'!R218,6))</f>
        <v>6</v>
      </c>
      <c r="S218" s="125">
        <f>IF('Quant. mod. (oc)'!S218&lt;0,0,CEILING('Quant. mod. (oc)'!S218,6))</f>
        <v>6</v>
      </c>
      <c r="T218" s="125">
        <f>IF('Quant. mod. (oc)'!T218&lt;0,0,CEILING('Quant. mod. (oc)'!T218,6))</f>
        <v>6</v>
      </c>
      <c r="U218" s="125">
        <f>IF('Quant. mod. (oc)'!U218&lt;0,0,CEILING('Quant. mod. (oc)'!U218,6))</f>
        <v>6</v>
      </c>
      <c r="V218" s="125">
        <f>IF('Quant. mod. (oc)'!V218&lt;0,0,CEILING('Quant. mod. (oc)'!V218,6))</f>
        <v>6</v>
      </c>
      <c r="W218" s="125">
        <f>IF('Quant. mod. (oc)'!W218&lt;0,0,CEILING('Quant. mod. (oc)'!W218,6))</f>
        <v>6</v>
      </c>
      <c r="X218" s="125">
        <f>IF('Quant. mod. (oc)'!X218&lt;0,0,CEILING('Quant. mod. (oc)'!X218,6))</f>
        <v>0</v>
      </c>
      <c r="Y218" s="125">
        <f>IF('Quant. mod. (oc)'!Y218&lt;0,0,CEILING('Quant. mod. (oc)'!Y218,6))</f>
        <v>0</v>
      </c>
      <c r="Z218" s="125">
        <f>IF('Quant. mod. (oc)'!Z218&lt;0,0,CEILING('Quant. mod. (oc)'!Z218,6))</f>
        <v>0</v>
      </c>
      <c r="AA218" s="125">
        <f>IF('Quant. mod. (oc)'!AA218&lt;0,0,CEILING('Quant. mod. (oc)'!AA218,6))</f>
        <v>0</v>
      </c>
      <c r="AB218" s="125">
        <f>IF('Quant. mod. (oc)'!AB218&lt;0,0,CEILING('Quant. mod. (oc)'!AB218,6))</f>
        <v>0</v>
      </c>
      <c r="AC218" s="125">
        <f>IF('Quant. mod. (oc)'!AC218&lt;0,0,CEILING('Quant. mod. (oc)'!AC218,6))</f>
        <v>0</v>
      </c>
      <c r="AD218" s="125">
        <f>IF('Quant. mod. (oc)'!AD218&lt;0,0,CEILING('Quant. mod. (oc)'!AD218,6))</f>
        <v>0</v>
      </c>
      <c r="AE218" s="125">
        <f>IF('Quant. mod. (oc)'!AE218&lt;0,0,CEILING('Quant. mod. (oc)'!AE218,6))</f>
        <v>0</v>
      </c>
      <c r="AF218" s="125">
        <f>IF('Quant. mod. (oc)'!AF218&lt;0,0,CEILING('Quant. mod. (oc)'!AF218,6))</f>
        <v>0</v>
      </c>
      <c r="AG218" s="126">
        <f>IF('Quant. mod. (oc)'!AG218&lt;0,0,CEILING('Quant. mod. (oc)'!AG218,6))</f>
        <v>0</v>
      </c>
      <c r="AH218" s="22"/>
    </row>
    <row r="219" spans="1:34" x14ac:dyDescent="0.25">
      <c r="A219" s="112"/>
      <c r="B219" s="134" t="s">
        <v>240</v>
      </c>
      <c r="C219" s="133" t="s">
        <v>64</v>
      </c>
      <c r="D219" s="125">
        <f>IF('Quant. mod. (oc)'!D219&lt;0,0,CEILING('Quant. mod. (oc)'!D219,6))</f>
        <v>0</v>
      </c>
      <c r="E219" s="125">
        <f>IF('Quant. mod. (oc)'!E219&lt;0,0,CEILING('Quant. mod. (oc)'!E219,6))</f>
        <v>0</v>
      </c>
      <c r="F219" s="125">
        <f>IF('Quant. mod. (oc)'!F219&lt;0,0,CEILING('Quant. mod. (oc)'!F219,6))</f>
        <v>0</v>
      </c>
      <c r="G219" s="125">
        <f>IF('Quant. mod. (oc)'!G219&lt;0,0,CEILING('Quant. mod. (oc)'!G219,6))</f>
        <v>0</v>
      </c>
      <c r="H219" s="125">
        <f>IF('Quant. mod. (oc)'!H219&lt;0,0,CEILING('Quant. mod. (oc)'!H219,6))</f>
        <v>0</v>
      </c>
      <c r="I219" s="125">
        <f>IF('Quant. mod. (oc)'!I219&lt;0,0,CEILING('Quant. mod. (oc)'!I219,6))</f>
        <v>0</v>
      </c>
      <c r="J219" s="125">
        <f>IF('Quant. mod. (oc)'!J219&lt;0,0,CEILING('Quant. mod. (oc)'!J219,6))</f>
        <v>0</v>
      </c>
      <c r="K219" s="125">
        <f>IF('Quant. mod. (oc)'!K219&lt;0,0,CEILING('Quant. mod. (oc)'!K219,6))</f>
        <v>0</v>
      </c>
      <c r="L219" s="125">
        <f>IF('Quant. mod. (oc)'!L219&lt;0,0,CEILING('Quant. mod. (oc)'!L219,6))</f>
        <v>0</v>
      </c>
      <c r="M219" s="125">
        <f>IF('Quant. mod. (oc)'!M219&lt;0,0,CEILING('Quant. mod. (oc)'!M219,6))</f>
        <v>0</v>
      </c>
      <c r="N219" s="125">
        <f>IF('Quant. mod. (oc)'!N219&lt;0,0,CEILING('Quant. mod. (oc)'!N219,6))</f>
        <v>0</v>
      </c>
      <c r="O219" s="125">
        <f>IF('Quant. mod. (oc)'!O219&lt;0,0,CEILING('Quant. mod. (oc)'!O219,6))</f>
        <v>0</v>
      </c>
      <c r="P219" s="125">
        <f>IF('Quant. mod. (oc)'!P219&lt;0,0,CEILING('Quant. mod. (oc)'!P219,6))</f>
        <v>0</v>
      </c>
      <c r="Q219" s="125">
        <f>IF('Quant. mod. (oc)'!Q219&lt;0,0,CEILING('Quant. mod. (oc)'!Q219,6))</f>
        <v>0</v>
      </c>
      <c r="R219" s="125">
        <f>IF('Quant. mod. (oc)'!R219&lt;0,0,CEILING('Quant. mod. (oc)'!R219,6))</f>
        <v>0</v>
      </c>
      <c r="S219" s="125">
        <f>IF('Quant. mod. (oc)'!S219&lt;0,0,CEILING('Quant. mod. (oc)'!S219,6))</f>
        <v>0</v>
      </c>
      <c r="T219" s="125">
        <f>IF('Quant. mod. (oc)'!T219&lt;0,0,CEILING('Quant. mod. (oc)'!T219,6))</f>
        <v>0</v>
      </c>
      <c r="U219" s="125">
        <f>IF('Quant. mod. (oc)'!U219&lt;0,0,CEILING('Quant. mod. (oc)'!U219,6))</f>
        <v>0</v>
      </c>
      <c r="V219" s="125">
        <f>IF('Quant. mod. (oc)'!V219&lt;0,0,CEILING('Quant. mod. (oc)'!V219,6))</f>
        <v>0</v>
      </c>
      <c r="W219" s="125">
        <f>IF('Quant. mod. (oc)'!W219&lt;0,0,CEILING('Quant. mod. (oc)'!W219,6))</f>
        <v>0</v>
      </c>
      <c r="X219" s="125">
        <f>IF('Quant. mod. (oc)'!X219&lt;0,0,CEILING('Quant. mod. (oc)'!X219,6))</f>
        <v>0</v>
      </c>
      <c r="Y219" s="125">
        <f>IF('Quant. mod. (oc)'!Y219&lt;0,0,CEILING('Quant. mod. (oc)'!Y219,6))</f>
        <v>0</v>
      </c>
      <c r="Z219" s="125">
        <f>IF('Quant. mod. (oc)'!Z219&lt;0,0,CEILING('Quant. mod. (oc)'!Z219,6))</f>
        <v>0</v>
      </c>
      <c r="AA219" s="125">
        <f>IF('Quant. mod. (oc)'!AA219&lt;0,0,CEILING('Quant. mod. (oc)'!AA219,6))</f>
        <v>0</v>
      </c>
      <c r="AB219" s="125">
        <f>IF('Quant. mod. (oc)'!AB219&lt;0,0,CEILING('Quant. mod. (oc)'!AB219,6))</f>
        <v>0</v>
      </c>
      <c r="AC219" s="125">
        <f>IF('Quant. mod. (oc)'!AC219&lt;0,0,CEILING('Quant. mod. (oc)'!AC219,6))</f>
        <v>0</v>
      </c>
      <c r="AD219" s="125">
        <f>IF('Quant. mod. (oc)'!AD219&lt;0,0,CEILING('Quant. mod. (oc)'!AD219,6))</f>
        <v>0</v>
      </c>
      <c r="AE219" s="125">
        <f>IF('Quant. mod. (oc)'!AE219&lt;0,0,CEILING('Quant. mod. (oc)'!AE219,6))</f>
        <v>0</v>
      </c>
      <c r="AF219" s="125">
        <f>IF('Quant. mod. (oc)'!AF219&lt;0,0,CEILING('Quant. mod. (oc)'!AF219,6))</f>
        <v>0</v>
      </c>
      <c r="AG219" s="126">
        <f>IF('Quant. mod. (oc)'!AG219&lt;0,0,CEILING('Quant. mod. (oc)'!AG219,6))</f>
        <v>0</v>
      </c>
      <c r="AH219" s="22"/>
    </row>
    <row r="220" spans="1:34" x14ac:dyDescent="0.25">
      <c r="A220" s="112"/>
      <c r="B220" s="69" t="s">
        <v>194</v>
      </c>
      <c r="C220" s="133" t="s">
        <v>59</v>
      </c>
      <c r="D220" s="125">
        <f>IF('Quant. mod. (oc)'!D220&lt;0,0,ROUND('Quant. mod. (oc)'!D220,0))</f>
        <v>0</v>
      </c>
      <c r="E220" s="125">
        <f>IF('Quant. mod. (oc)'!E220&lt;0,0,ROUND('Quant. mod. (oc)'!E220,0))</f>
        <v>0</v>
      </c>
      <c r="F220" s="125">
        <f>IF('Quant. mod. (oc)'!F220&lt;0,0,ROUND('Quant. mod. (oc)'!F220,0))</f>
        <v>0</v>
      </c>
      <c r="G220" s="125">
        <f>IF('Quant. mod. (oc)'!G220&lt;0,0,ROUND('Quant. mod. (oc)'!G220,0))</f>
        <v>0</v>
      </c>
      <c r="H220" s="125">
        <f>IF('Quant. mod. (oc)'!H220&lt;0,0,ROUND('Quant. mod. (oc)'!H220,0))</f>
        <v>0</v>
      </c>
      <c r="I220" s="125">
        <f>IF('Quant. mod. (oc)'!I220&lt;0,0,ROUND('Quant. mod. (oc)'!I220,0))</f>
        <v>0</v>
      </c>
      <c r="J220" s="125">
        <f>IF('Quant. mod. (oc)'!J220&lt;0,0,ROUND('Quant. mod. (oc)'!J220,0))</f>
        <v>0</v>
      </c>
      <c r="K220" s="125">
        <f>IF('Quant. mod. (oc)'!K220&lt;0,0,ROUND('Quant. mod. (oc)'!K220,0))</f>
        <v>0</v>
      </c>
      <c r="L220" s="125">
        <f>IF('Quant. mod. (oc)'!L220&lt;0,0,ROUND('Quant. mod. (oc)'!L220,0))</f>
        <v>0</v>
      </c>
      <c r="M220" s="125">
        <f>IF('Quant. mod. (oc)'!M220&lt;0,0,ROUND('Quant. mod. (oc)'!M220,0))</f>
        <v>0</v>
      </c>
      <c r="N220" s="125">
        <f>IF('Quant. mod. (oc)'!N220&lt;0,0,ROUND('Quant. mod. (oc)'!N220,0))</f>
        <v>0</v>
      </c>
      <c r="O220" s="125">
        <f>IF('Quant. mod. (oc)'!O220&lt;0,0,ROUND('Quant. mod. (oc)'!O220,0))</f>
        <v>0</v>
      </c>
      <c r="P220" s="125">
        <f>IF('Quant. mod. (oc)'!P220&lt;0,0,ROUND('Quant. mod. (oc)'!P220,0))</f>
        <v>0</v>
      </c>
      <c r="Q220" s="125">
        <f>IF('Quant. mod. (oc)'!Q220&lt;0,0,ROUND('Quant. mod. (oc)'!Q220,0))</f>
        <v>0</v>
      </c>
      <c r="R220" s="125">
        <f>IF('Quant. mod. (oc)'!R220&lt;0,0,ROUND('Quant. mod. (oc)'!R220,0))</f>
        <v>0</v>
      </c>
      <c r="S220" s="125">
        <f>IF('Quant. mod. (oc)'!S220&lt;0,0,ROUND('Quant. mod. (oc)'!S220,0))</f>
        <v>0</v>
      </c>
      <c r="T220" s="125">
        <f>IF('Quant. mod. (oc)'!T220&lt;0,0,ROUND('Quant. mod. (oc)'!T220,0))</f>
        <v>0</v>
      </c>
      <c r="U220" s="125">
        <f>IF('Quant. mod. (oc)'!U220&lt;0,0,ROUND('Quant. mod. (oc)'!U220,0))</f>
        <v>0</v>
      </c>
      <c r="V220" s="125">
        <f>IF('Quant. mod. (oc)'!V220&lt;0,0,ROUND('Quant. mod. (oc)'!V220,0))</f>
        <v>0</v>
      </c>
      <c r="W220" s="125">
        <f>IF('Quant. mod. (oc)'!W220&lt;0,0,ROUND('Quant. mod. (oc)'!W220,0))</f>
        <v>0</v>
      </c>
      <c r="X220" s="125">
        <f>IF('Quant. mod. (oc)'!X220&lt;0,0,ROUND('Quant. mod. (oc)'!X220,0))</f>
        <v>0</v>
      </c>
      <c r="Y220" s="125">
        <f>IF('Quant. mod. (oc)'!Y220&lt;0,0,ROUND('Quant. mod. (oc)'!Y220,0))</f>
        <v>0</v>
      </c>
      <c r="Z220" s="125">
        <f>IF('Quant. mod. (oc)'!Z220&lt;0,0,ROUND('Quant. mod. (oc)'!Z220,0))</f>
        <v>0</v>
      </c>
      <c r="AA220" s="125">
        <f>IF('Quant. mod. (oc)'!AA220&lt;0,0,ROUND('Quant. mod. (oc)'!AA220,0))</f>
        <v>0</v>
      </c>
      <c r="AB220" s="125">
        <f>IF('Quant. mod. (oc)'!AB220&lt;0,0,ROUND('Quant. mod. (oc)'!AB220,0))</f>
        <v>0</v>
      </c>
      <c r="AC220" s="125">
        <f>IF('Quant. mod. (oc)'!AC220&lt;0,0,ROUND('Quant. mod. (oc)'!AC220,0))</f>
        <v>0</v>
      </c>
      <c r="AD220" s="125">
        <f>IF('Quant. mod. (oc)'!AD220&lt;0,0,ROUND('Quant. mod. (oc)'!AD220,0))</f>
        <v>0</v>
      </c>
      <c r="AE220" s="125">
        <f>IF('Quant. mod. (oc)'!AE220&lt;0,0,ROUND('Quant. mod. (oc)'!AE220,0))</f>
        <v>0</v>
      </c>
      <c r="AF220" s="125">
        <f>IF('Quant. mod. (oc)'!AF220&lt;0,0,ROUND('Quant. mod. (oc)'!AF220,0))</f>
        <v>0</v>
      </c>
      <c r="AG220" s="126">
        <f>IF('Quant. mod. (oc)'!AG220&lt;0,0,ROUND('Quant. mod. (oc)'!AG220,0))</f>
        <v>0</v>
      </c>
      <c r="AH220" s="22"/>
    </row>
    <row r="221" spans="1:34" x14ac:dyDescent="0.25">
      <c r="A221" s="112"/>
      <c r="B221" s="134" t="s">
        <v>195</v>
      </c>
      <c r="C221" s="133" t="s">
        <v>59</v>
      </c>
      <c r="D221" s="125">
        <f>IF('Quant. mod. (oc)'!D221&lt;0,0,ROUND('Quant. mod. (oc)'!D221,0))</f>
        <v>0</v>
      </c>
      <c r="E221" s="125">
        <f>IF('Quant. mod. (oc)'!E221&lt;0,0,ROUND('Quant. mod. (oc)'!E221,0))</f>
        <v>0</v>
      </c>
      <c r="F221" s="125">
        <f>IF('Quant. mod. (oc)'!F221&lt;0,0,ROUND('Quant. mod. (oc)'!F221,0))</f>
        <v>0</v>
      </c>
      <c r="G221" s="125">
        <f>IF('Quant. mod. (oc)'!G221&lt;0,0,ROUND('Quant. mod. (oc)'!G221,0))</f>
        <v>0</v>
      </c>
      <c r="H221" s="125">
        <f>IF('Quant. mod. (oc)'!H221&lt;0,0,ROUND('Quant. mod. (oc)'!H221,0))</f>
        <v>0</v>
      </c>
      <c r="I221" s="125">
        <f>IF('Quant. mod. (oc)'!I221&lt;0,0,ROUND('Quant. mod. (oc)'!I221,0))</f>
        <v>0</v>
      </c>
      <c r="J221" s="125">
        <f>IF('Quant. mod. (oc)'!J221&lt;0,0,ROUND('Quant. mod. (oc)'!J221,0))</f>
        <v>0</v>
      </c>
      <c r="K221" s="125">
        <f>IF('Quant. mod. (oc)'!K221&lt;0,0,ROUND('Quant. mod. (oc)'!K221,0))</f>
        <v>0</v>
      </c>
      <c r="L221" s="125">
        <f>IF('Quant. mod. (oc)'!L221&lt;0,0,ROUND('Quant. mod. (oc)'!L221,0))</f>
        <v>0</v>
      </c>
      <c r="M221" s="125">
        <f>IF('Quant. mod. (oc)'!M221&lt;0,0,ROUND('Quant. mod. (oc)'!M221,0))</f>
        <v>0</v>
      </c>
      <c r="N221" s="125">
        <f>IF('Quant. mod. (oc)'!N221&lt;0,0,ROUND('Quant. mod. (oc)'!N221,0))</f>
        <v>0</v>
      </c>
      <c r="O221" s="125">
        <f>IF('Quant. mod. (oc)'!O221&lt;0,0,ROUND('Quant. mod. (oc)'!O221,0))</f>
        <v>0</v>
      </c>
      <c r="P221" s="125">
        <f>IF('Quant. mod. (oc)'!P221&lt;0,0,ROUND('Quant. mod. (oc)'!P221,0))</f>
        <v>0</v>
      </c>
      <c r="Q221" s="125">
        <f>IF('Quant. mod. (oc)'!Q221&lt;0,0,ROUND('Quant. mod. (oc)'!Q221,0))</f>
        <v>0</v>
      </c>
      <c r="R221" s="125">
        <f>IF('Quant. mod. (oc)'!R221&lt;0,0,ROUND('Quant. mod. (oc)'!R221,0))</f>
        <v>0</v>
      </c>
      <c r="S221" s="125">
        <f>IF('Quant. mod. (oc)'!S221&lt;0,0,ROUND('Quant. mod. (oc)'!S221,0))</f>
        <v>0</v>
      </c>
      <c r="T221" s="125">
        <f>IF('Quant. mod. (oc)'!T221&lt;0,0,ROUND('Quant. mod. (oc)'!T221,0))</f>
        <v>0</v>
      </c>
      <c r="U221" s="125">
        <f>IF('Quant. mod. (oc)'!U221&lt;0,0,ROUND('Quant. mod. (oc)'!U221,0))</f>
        <v>0</v>
      </c>
      <c r="V221" s="125">
        <f>IF('Quant. mod. (oc)'!V221&lt;0,0,ROUND('Quant. mod. (oc)'!V221,0))</f>
        <v>0</v>
      </c>
      <c r="W221" s="125">
        <f>IF('Quant. mod. (oc)'!W221&lt;0,0,ROUND('Quant. mod. (oc)'!W221,0))</f>
        <v>0</v>
      </c>
      <c r="X221" s="125">
        <f>IF('Quant. mod. (oc)'!X221&lt;0,0,ROUND('Quant. mod. (oc)'!X221,0))</f>
        <v>1</v>
      </c>
      <c r="Y221" s="125">
        <f>IF('Quant. mod. (oc)'!Y221&lt;0,0,ROUND('Quant. mod. (oc)'!Y221,0))</f>
        <v>1</v>
      </c>
      <c r="Z221" s="125">
        <f>IF('Quant. mod. (oc)'!Z221&lt;0,0,ROUND('Quant. mod. (oc)'!Z221,0))</f>
        <v>1</v>
      </c>
      <c r="AA221" s="125">
        <f>IF('Quant. mod. (oc)'!AA221&lt;0,0,ROUND('Quant. mod. (oc)'!AA221,0))</f>
        <v>1</v>
      </c>
      <c r="AB221" s="125">
        <f>IF('Quant. mod. (oc)'!AB221&lt;0,0,ROUND('Quant. mod. (oc)'!AB221,0))</f>
        <v>1</v>
      </c>
      <c r="AC221" s="125">
        <f>IF('Quant. mod. (oc)'!AC221&lt;0,0,ROUND('Quant. mod. (oc)'!AC221,0))</f>
        <v>1</v>
      </c>
      <c r="AD221" s="125">
        <f>IF('Quant. mod. (oc)'!AD221&lt;0,0,ROUND('Quant. mod. (oc)'!AD221,0))</f>
        <v>1</v>
      </c>
      <c r="AE221" s="125">
        <f>IF('Quant. mod. (oc)'!AE221&lt;0,0,ROUND('Quant. mod. (oc)'!AE221,0))</f>
        <v>1</v>
      </c>
      <c r="AF221" s="125">
        <f>IF('Quant. mod. (oc)'!AF221&lt;0,0,ROUND('Quant. mod. (oc)'!AF221,0))</f>
        <v>1</v>
      </c>
      <c r="AG221" s="126">
        <f>IF('Quant. mod. (oc)'!AG221&lt;0,0,ROUND('Quant. mod. (oc)'!AG221,0))</f>
        <v>1</v>
      </c>
      <c r="AH221" s="22"/>
    </row>
    <row r="222" spans="1:34" x14ac:dyDescent="0.25">
      <c r="A222" s="112"/>
      <c r="B222" s="69" t="s">
        <v>196</v>
      </c>
      <c r="C222" s="133" t="s">
        <v>59</v>
      </c>
      <c r="D222" s="125">
        <f>IF('Quant. mod. (oc)'!D222&lt;0,0,ROUND('Quant. mod. (oc)'!D222,0))</f>
        <v>3</v>
      </c>
      <c r="E222" s="125">
        <f>IF('Quant. mod. (oc)'!E222&lt;0,0,ROUND('Quant. mod. (oc)'!E222,0))</f>
        <v>3</v>
      </c>
      <c r="F222" s="125">
        <f>IF('Quant. mod. (oc)'!F222&lt;0,0,ROUND('Quant. mod. (oc)'!F222,0))</f>
        <v>3</v>
      </c>
      <c r="G222" s="125">
        <f>IF('Quant. mod. (oc)'!G222&lt;0,0,ROUND('Quant. mod. (oc)'!G222,0))</f>
        <v>3</v>
      </c>
      <c r="H222" s="125">
        <f>IF('Quant. mod. (oc)'!H222&lt;0,0,ROUND('Quant. mod. (oc)'!H222,0))</f>
        <v>3</v>
      </c>
      <c r="I222" s="125">
        <f>IF('Quant. mod. (oc)'!I222&lt;0,0,ROUND('Quant. mod. (oc)'!I222,0))</f>
        <v>3</v>
      </c>
      <c r="J222" s="125">
        <f>IF('Quant. mod. (oc)'!J222&lt;0,0,ROUND('Quant. mod. (oc)'!J222,0))</f>
        <v>3</v>
      </c>
      <c r="K222" s="125">
        <f>IF('Quant. mod. (oc)'!K222&lt;0,0,ROUND('Quant. mod. (oc)'!K222,0))</f>
        <v>3</v>
      </c>
      <c r="L222" s="125">
        <f>IF('Quant. mod. (oc)'!L222&lt;0,0,ROUND('Quant. mod. (oc)'!L222,0))</f>
        <v>3</v>
      </c>
      <c r="M222" s="125">
        <f>IF('Quant. mod. (oc)'!M222&lt;0,0,ROUND('Quant. mod. (oc)'!M222,0))</f>
        <v>3</v>
      </c>
      <c r="N222" s="125">
        <f>IF('Quant. mod. (oc)'!N222&lt;0,0,ROUND('Quant. mod. (oc)'!N222,0))</f>
        <v>2</v>
      </c>
      <c r="O222" s="125">
        <f>IF('Quant. mod. (oc)'!O222&lt;0,0,ROUND('Quant. mod. (oc)'!O222,0))</f>
        <v>2</v>
      </c>
      <c r="P222" s="125">
        <f>IF('Quant. mod. (oc)'!P222&lt;0,0,ROUND('Quant. mod. (oc)'!P222,0))</f>
        <v>2</v>
      </c>
      <c r="Q222" s="125">
        <f>IF('Quant. mod. (oc)'!Q222&lt;0,0,ROUND('Quant. mod. (oc)'!Q222,0))</f>
        <v>2</v>
      </c>
      <c r="R222" s="125">
        <f>IF('Quant. mod. (oc)'!R222&lt;0,0,ROUND('Quant. mod. (oc)'!R222,0))</f>
        <v>2</v>
      </c>
      <c r="S222" s="125">
        <f>IF('Quant. mod. (oc)'!S222&lt;0,0,ROUND('Quant. mod. (oc)'!S222,0))</f>
        <v>2</v>
      </c>
      <c r="T222" s="125">
        <f>IF('Quant. mod. (oc)'!T222&lt;0,0,ROUND('Quant. mod. (oc)'!T222,0))</f>
        <v>2</v>
      </c>
      <c r="U222" s="125">
        <f>IF('Quant. mod. (oc)'!U222&lt;0,0,ROUND('Quant. mod. (oc)'!U222,0))</f>
        <v>2</v>
      </c>
      <c r="V222" s="125">
        <f>IF('Quant. mod. (oc)'!V222&lt;0,0,ROUND('Quant. mod. (oc)'!V222,0))</f>
        <v>2</v>
      </c>
      <c r="W222" s="125">
        <f>IF('Quant. mod. (oc)'!W222&lt;0,0,ROUND('Quant. mod. (oc)'!W222,0))</f>
        <v>2</v>
      </c>
      <c r="X222" s="125">
        <f>IF('Quant. mod. (oc)'!X222&lt;0,0,ROUND('Quant. mod. (oc)'!X222,0))</f>
        <v>1</v>
      </c>
      <c r="Y222" s="125">
        <f>IF('Quant. mod. (oc)'!Y222&lt;0,0,ROUND('Quant. mod. (oc)'!Y222,0))</f>
        <v>1</v>
      </c>
      <c r="Z222" s="125">
        <f>IF('Quant. mod. (oc)'!Z222&lt;0,0,ROUND('Quant. mod. (oc)'!Z222,0))</f>
        <v>1</v>
      </c>
      <c r="AA222" s="125">
        <f>IF('Quant. mod. (oc)'!AA222&lt;0,0,ROUND('Quant. mod. (oc)'!AA222,0))</f>
        <v>1</v>
      </c>
      <c r="AB222" s="125">
        <f>IF('Quant. mod. (oc)'!AB222&lt;0,0,ROUND('Quant. mod. (oc)'!AB222,0))</f>
        <v>1</v>
      </c>
      <c r="AC222" s="125">
        <f>IF('Quant. mod. (oc)'!AC222&lt;0,0,ROUND('Quant. mod. (oc)'!AC222,0))</f>
        <v>1</v>
      </c>
      <c r="AD222" s="125">
        <f>IF('Quant. mod. (oc)'!AD222&lt;0,0,ROUND('Quant. mod. (oc)'!AD222,0))</f>
        <v>1</v>
      </c>
      <c r="AE222" s="125">
        <f>IF('Quant. mod. (oc)'!AE222&lt;0,0,ROUND('Quant. mod. (oc)'!AE222,0))</f>
        <v>1</v>
      </c>
      <c r="AF222" s="125">
        <f>IF('Quant. mod. (oc)'!AF222&lt;0,0,ROUND('Quant. mod. (oc)'!AF222,0))</f>
        <v>1</v>
      </c>
      <c r="AG222" s="126">
        <f>IF('Quant. mod. (oc)'!AG222&lt;0,0,ROUND('Quant. mod. (oc)'!AG222,0))</f>
        <v>1</v>
      </c>
      <c r="AH222" s="22"/>
    </row>
    <row r="223" spans="1:34" x14ac:dyDescent="0.25">
      <c r="A223" s="112"/>
      <c r="B223" s="69" t="s">
        <v>197</v>
      </c>
      <c r="C223" s="133" t="s">
        <v>59</v>
      </c>
      <c r="D223" s="125">
        <f>IF('Quant. mod. (oc)'!D223&lt;0,0,ROUND('Quant. mod. (oc)'!D223,0))</f>
        <v>0</v>
      </c>
      <c r="E223" s="125">
        <f>IF('Quant. mod. (oc)'!E223&lt;0,0,ROUND('Quant. mod. (oc)'!E223,0))</f>
        <v>0</v>
      </c>
      <c r="F223" s="125">
        <f>IF('Quant. mod. (oc)'!F223&lt;0,0,ROUND('Quant. mod. (oc)'!F223,0))</f>
        <v>0</v>
      </c>
      <c r="G223" s="125">
        <f>IF('Quant. mod. (oc)'!G223&lt;0,0,ROUND('Quant. mod. (oc)'!G223,0))</f>
        <v>0</v>
      </c>
      <c r="H223" s="125">
        <f>IF('Quant. mod. (oc)'!H223&lt;0,0,ROUND('Quant. mod. (oc)'!H223,0))</f>
        <v>0</v>
      </c>
      <c r="I223" s="125">
        <f>IF('Quant. mod. (oc)'!I223&lt;0,0,ROUND('Quant. mod. (oc)'!I223,0))</f>
        <v>0</v>
      </c>
      <c r="J223" s="125">
        <f>IF('Quant. mod. (oc)'!J223&lt;0,0,ROUND('Quant. mod. (oc)'!J223,0))</f>
        <v>0</v>
      </c>
      <c r="K223" s="125">
        <f>IF('Quant. mod. (oc)'!K223&lt;0,0,ROUND('Quant. mod. (oc)'!K223,0))</f>
        <v>0</v>
      </c>
      <c r="L223" s="125">
        <f>IF('Quant. mod. (oc)'!L223&lt;0,0,ROUND('Quant. mod. (oc)'!L223,0))</f>
        <v>0</v>
      </c>
      <c r="M223" s="125">
        <f>IF('Quant. mod. (oc)'!M223&lt;0,0,ROUND('Quant. mod. (oc)'!M223,0))</f>
        <v>0</v>
      </c>
      <c r="N223" s="125">
        <f>IF('Quant. mod. (oc)'!N223&lt;0,0,ROUND('Quant. mod. (oc)'!N223,0))</f>
        <v>0</v>
      </c>
      <c r="O223" s="125">
        <f>IF('Quant. mod. (oc)'!O223&lt;0,0,ROUND('Quant. mod. (oc)'!O223,0))</f>
        <v>0</v>
      </c>
      <c r="P223" s="125">
        <f>IF('Quant. mod. (oc)'!P223&lt;0,0,ROUND('Quant. mod. (oc)'!P223,0))</f>
        <v>0</v>
      </c>
      <c r="Q223" s="125">
        <f>IF('Quant. mod. (oc)'!Q223&lt;0,0,ROUND('Quant. mod. (oc)'!Q223,0))</f>
        <v>0</v>
      </c>
      <c r="R223" s="125">
        <f>IF('Quant. mod. (oc)'!R223&lt;0,0,ROUND('Quant. mod. (oc)'!R223,0))</f>
        <v>0</v>
      </c>
      <c r="S223" s="125">
        <f>IF('Quant. mod. (oc)'!S223&lt;0,0,ROUND('Quant. mod. (oc)'!S223,0))</f>
        <v>0</v>
      </c>
      <c r="T223" s="125">
        <f>IF('Quant. mod. (oc)'!T223&lt;0,0,ROUND('Quant. mod. (oc)'!T223,0))</f>
        <v>0</v>
      </c>
      <c r="U223" s="125">
        <f>IF('Quant. mod. (oc)'!U223&lt;0,0,ROUND('Quant. mod. (oc)'!U223,0))</f>
        <v>0</v>
      </c>
      <c r="V223" s="125">
        <f>IF('Quant. mod. (oc)'!V223&lt;0,0,ROUND('Quant. mod. (oc)'!V223,0))</f>
        <v>0</v>
      </c>
      <c r="W223" s="125">
        <f>IF('Quant. mod. (oc)'!W223&lt;0,0,ROUND('Quant. mod. (oc)'!W223,0))</f>
        <v>0</v>
      </c>
      <c r="X223" s="125">
        <f>IF('Quant. mod. (oc)'!X223&lt;0,0,ROUND('Quant. mod. (oc)'!X223,0))</f>
        <v>0</v>
      </c>
      <c r="Y223" s="125">
        <f>IF('Quant. mod. (oc)'!Y223&lt;0,0,ROUND('Quant. mod. (oc)'!Y223,0))</f>
        <v>0</v>
      </c>
      <c r="Z223" s="125">
        <f>IF('Quant. mod. (oc)'!Z223&lt;0,0,ROUND('Quant. mod. (oc)'!Z223,0))</f>
        <v>0</v>
      </c>
      <c r="AA223" s="125">
        <f>IF('Quant. mod. (oc)'!AA223&lt;0,0,ROUND('Quant. mod. (oc)'!AA223,0))</f>
        <v>0</v>
      </c>
      <c r="AB223" s="125">
        <f>IF('Quant. mod. (oc)'!AB223&lt;0,0,ROUND('Quant. mod. (oc)'!AB223,0))</f>
        <v>0</v>
      </c>
      <c r="AC223" s="125">
        <f>IF('Quant. mod. (oc)'!AC223&lt;0,0,ROUND('Quant. mod. (oc)'!AC223,0))</f>
        <v>0</v>
      </c>
      <c r="AD223" s="125">
        <f>IF('Quant. mod. (oc)'!AD223&lt;0,0,ROUND('Quant. mod. (oc)'!AD223,0))</f>
        <v>0</v>
      </c>
      <c r="AE223" s="125">
        <f>IF('Quant. mod. (oc)'!AE223&lt;0,0,ROUND('Quant. mod. (oc)'!AE223,0))</f>
        <v>0</v>
      </c>
      <c r="AF223" s="125">
        <f>IF('Quant. mod. (oc)'!AF223&lt;0,0,ROUND('Quant. mod. (oc)'!AF223,0))</f>
        <v>0</v>
      </c>
      <c r="AG223" s="126">
        <f>IF('Quant. mod. (oc)'!AG223&lt;0,0,ROUND('Quant. mod. (oc)'!AG223,0))</f>
        <v>0</v>
      </c>
      <c r="AH223" s="22"/>
    </row>
    <row r="224" spans="1:34" x14ac:dyDescent="0.25">
      <c r="A224" s="112"/>
      <c r="B224" s="134" t="s">
        <v>198</v>
      </c>
      <c r="C224" s="133" t="s">
        <v>59</v>
      </c>
      <c r="D224" s="125">
        <f>IF('Quant. mod. (oc)'!D224&lt;0,0,ROUND('Quant. mod. (oc)'!D224,0))</f>
        <v>0</v>
      </c>
      <c r="E224" s="125">
        <f>IF('Quant. mod. (oc)'!E224&lt;0,0,ROUND('Quant. mod. (oc)'!E224,0))</f>
        <v>0</v>
      </c>
      <c r="F224" s="125">
        <f>IF('Quant. mod. (oc)'!F224&lt;0,0,ROUND('Quant. mod. (oc)'!F224,0))</f>
        <v>0</v>
      </c>
      <c r="G224" s="125">
        <f>IF('Quant. mod. (oc)'!G224&lt;0,0,ROUND('Quant. mod. (oc)'!G224,0))</f>
        <v>0</v>
      </c>
      <c r="H224" s="125">
        <f>IF('Quant. mod. (oc)'!H224&lt;0,0,ROUND('Quant. mod. (oc)'!H224,0))</f>
        <v>0</v>
      </c>
      <c r="I224" s="125">
        <f>IF('Quant. mod. (oc)'!I224&lt;0,0,ROUND('Quant. mod. (oc)'!I224,0))</f>
        <v>0</v>
      </c>
      <c r="J224" s="125">
        <f>IF('Quant. mod. (oc)'!J224&lt;0,0,ROUND('Quant. mod. (oc)'!J224,0))</f>
        <v>0</v>
      </c>
      <c r="K224" s="125">
        <f>IF('Quant. mod. (oc)'!K224&lt;0,0,ROUND('Quant. mod. (oc)'!K224,0))</f>
        <v>0</v>
      </c>
      <c r="L224" s="125">
        <f>IF('Quant. mod. (oc)'!L224&lt;0,0,ROUND('Quant. mod. (oc)'!L224,0))</f>
        <v>0</v>
      </c>
      <c r="M224" s="125">
        <f>IF('Quant. mod. (oc)'!M224&lt;0,0,ROUND('Quant. mod. (oc)'!M224,0))</f>
        <v>0</v>
      </c>
      <c r="N224" s="125">
        <f>IF('Quant. mod. (oc)'!N224&lt;0,0,ROUND('Quant. mod. (oc)'!N224,0))</f>
        <v>1</v>
      </c>
      <c r="O224" s="125">
        <f>IF('Quant. mod. (oc)'!O224&lt;0,0,ROUND('Quant. mod. (oc)'!O224,0))</f>
        <v>1</v>
      </c>
      <c r="P224" s="125">
        <f>IF('Quant. mod. (oc)'!P224&lt;0,0,ROUND('Quant. mod. (oc)'!P224,0))</f>
        <v>1</v>
      </c>
      <c r="Q224" s="125">
        <f>IF('Quant. mod. (oc)'!Q224&lt;0,0,ROUND('Quant. mod. (oc)'!Q224,0))</f>
        <v>1</v>
      </c>
      <c r="R224" s="125">
        <f>IF('Quant. mod. (oc)'!R224&lt;0,0,ROUND('Quant. mod. (oc)'!R224,0))</f>
        <v>1</v>
      </c>
      <c r="S224" s="125">
        <f>IF('Quant. mod. (oc)'!S224&lt;0,0,ROUND('Quant. mod. (oc)'!S224,0))</f>
        <v>1</v>
      </c>
      <c r="T224" s="125">
        <f>IF('Quant. mod. (oc)'!T224&lt;0,0,ROUND('Quant. mod. (oc)'!T224,0))</f>
        <v>1</v>
      </c>
      <c r="U224" s="125">
        <f>IF('Quant. mod. (oc)'!U224&lt;0,0,ROUND('Quant. mod. (oc)'!U224,0))</f>
        <v>1</v>
      </c>
      <c r="V224" s="125">
        <f>IF('Quant. mod. (oc)'!V224&lt;0,0,ROUND('Quant. mod. (oc)'!V224,0))</f>
        <v>1</v>
      </c>
      <c r="W224" s="125">
        <f>IF('Quant. mod. (oc)'!W224&lt;0,0,ROUND('Quant. mod. (oc)'!W224,0))</f>
        <v>1</v>
      </c>
      <c r="X224" s="125">
        <f>IF('Quant. mod. (oc)'!X224&lt;0,0,ROUND('Quant. mod. (oc)'!X224,0))</f>
        <v>0</v>
      </c>
      <c r="Y224" s="125">
        <f>IF('Quant. mod. (oc)'!Y224&lt;0,0,ROUND('Quant. mod. (oc)'!Y224,0))</f>
        <v>0</v>
      </c>
      <c r="Z224" s="125">
        <f>IF('Quant. mod. (oc)'!Z224&lt;0,0,ROUND('Quant. mod. (oc)'!Z224,0))</f>
        <v>0</v>
      </c>
      <c r="AA224" s="125">
        <f>IF('Quant. mod. (oc)'!AA224&lt;0,0,ROUND('Quant. mod. (oc)'!AA224,0))</f>
        <v>0</v>
      </c>
      <c r="AB224" s="125">
        <f>IF('Quant. mod. (oc)'!AB224&lt;0,0,ROUND('Quant. mod. (oc)'!AB224,0))</f>
        <v>0</v>
      </c>
      <c r="AC224" s="125">
        <f>IF('Quant. mod. (oc)'!AC224&lt;0,0,ROUND('Quant. mod. (oc)'!AC224,0))</f>
        <v>0</v>
      </c>
      <c r="AD224" s="125">
        <f>IF('Quant. mod. (oc)'!AD224&lt;0,0,ROUND('Quant. mod. (oc)'!AD224,0))</f>
        <v>0</v>
      </c>
      <c r="AE224" s="125">
        <f>IF('Quant. mod. (oc)'!AE224&lt;0,0,ROUND('Quant. mod. (oc)'!AE224,0))</f>
        <v>0</v>
      </c>
      <c r="AF224" s="125">
        <f>IF('Quant. mod. (oc)'!AF224&lt;0,0,ROUND('Quant. mod. (oc)'!AF224,0))</f>
        <v>0</v>
      </c>
      <c r="AG224" s="126">
        <f>IF('Quant. mod. (oc)'!AG224&lt;0,0,ROUND('Quant. mod. (oc)'!AG224,0))</f>
        <v>0</v>
      </c>
      <c r="AH224" s="22"/>
    </row>
    <row r="225" spans="1:34" x14ac:dyDescent="0.25">
      <c r="A225" s="112"/>
      <c r="B225" s="69" t="s">
        <v>200</v>
      </c>
      <c r="C225" s="133" t="s">
        <v>59</v>
      </c>
      <c r="D225" s="125">
        <f>IF('Quant. mod. (oc)'!D225&lt;0,0,ROUND('Quant. mod. (oc)'!D225,0))</f>
        <v>0</v>
      </c>
      <c r="E225" s="125">
        <f>IF('Quant. mod. (oc)'!E225&lt;0,0,ROUND('Quant. mod. (oc)'!E225,0))</f>
        <v>0</v>
      </c>
      <c r="F225" s="125">
        <f>IF('Quant. mod. (oc)'!F225&lt;0,0,ROUND('Quant. mod. (oc)'!F225,0))</f>
        <v>0</v>
      </c>
      <c r="G225" s="125">
        <f>IF('Quant. mod. (oc)'!G225&lt;0,0,ROUND('Quant. mod. (oc)'!G225,0))</f>
        <v>0</v>
      </c>
      <c r="H225" s="125">
        <f>IF('Quant. mod. (oc)'!H225&lt;0,0,ROUND('Quant. mod. (oc)'!H225,0))</f>
        <v>0</v>
      </c>
      <c r="I225" s="125">
        <f>IF('Quant. mod. (oc)'!I225&lt;0,0,ROUND('Quant. mod. (oc)'!I225,0))</f>
        <v>0</v>
      </c>
      <c r="J225" s="125">
        <f>IF('Quant. mod. (oc)'!J225&lt;0,0,ROUND('Quant. mod. (oc)'!J225,0))</f>
        <v>0</v>
      </c>
      <c r="K225" s="125">
        <f>IF('Quant. mod. (oc)'!K225&lt;0,0,ROUND('Quant. mod. (oc)'!K225,0))</f>
        <v>0</v>
      </c>
      <c r="L225" s="125">
        <f>IF('Quant. mod. (oc)'!L225&lt;0,0,ROUND('Quant. mod. (oc)'!L225,0))</f>
        <v>0</v>
      </c>
      <c r="M225" s="125">
        <f>IF('Quant. mod. (oc)'!M225&lt;0,0,ROUND('Quant. mod. (oc)'!M225,0))</f>
        <v>0</v>
      </c>
      <c r="N225" s="125">
        <f>IF('Quant. mod. (oc)'!N225&lt;0,0,ROUND('Quant. mod. (oc)'!N225,0))</f>
        <v>0</v>
      </c>
      <c r="O225" s="125">
        <f>IF('Quant. mod. (oc)'!O225&lt;0,0,ROUND('Quant. mod. (oc)'!O225,0))</f>
        <v>0</v>
      </c>
      <c r="P225" s="125">
        <f>IF('Quant. mod. (oc)'!P225&lt;0,0,ROUND('Quant. mod. (oc)'!P225,0))</f>
        <v>0</v>
      </c>
      <c r="Q225" s="125">
        <f>IF('Quant. mod. (oc)'!Q225&lt;0,0,ROUND('Quant. mod. (oc)'!Q225,0))</f>
        <v>0</v>
      </c>
      <c r="R225" s="125">
        <f>IF('Quant. mod. (oc)'!R225&lt;0,0,ROUND('Quant. mod. (oc)'!R225,0))</f>
        <v>0</v>
      </c>
      <c r="S225" s="125">
        <f>IF('Quant. mod. (oc)'!S225&lt;0,0,ROUND('Quant. mod. (oc)'!S225,0))</f>
        <v>0</v>
      </c>
      <c r="T225" s="125">
        <f>IF('Quant. mod. (oc)'!T225&lt;0,0,ROUND('Quant. mod. (oc)'!T225,0))</f>
        <v>0</v>
      </c>
      <c r="U225" s="125">
        <f>IF('Quant. mod. (oc)'!U225&lt;0,0,ROUND('Quant. mod. (oc)'!U225,0))</f>
        <v>0</v>
      </c>
      <c r="V225" s="125">
        <f>IF('Quant. mod. (oc)'!V225&lt;0,0,ROUND('Quant. mod. (oc)'!V225,0))</f>
        <v>0</v>
      </c>
      <c r="W225" s="125">
        <f>IF('Quant. mod. (oc)'!W225&lt;0,0,ROUND('Quant. mod. (oc)'!W225,0))</f>
        <v>0</v>
      </c>
      <c r="X225" s="125">
        <f>IF('Quant. mod. (oc)'!X225&lt;0,0,ROUND('Quant. mod. (oc)'!X225,0))</f>
        <v>0</v>
      </c>
      <c r="Y225" s="125">
        <f>IF('Quant. mod. (oc)'!Y225&lt;0,0,ROUND('Quant. mod. (oc)'!Y225,0))</f>
        <v>0</v>
      </c>
      <c r="Z225" s="125">
        <f>IF('Quant. mod. (oc)'!Z225&lt;0,0,ROUND('Quant. mod. (oc)'!Z225,0))</f>
        <v>0</v>
      </c>
      <c r="AA225" s="125">
        <f>IF('Quant. mod. (oc)'!AA225&lt;0,0,ROUND('Quant. mod. (oc)'!AA225,0))</f>
        <v>0</v>
      </c>
      <c r="AB225" s="125">
        <f>IF('Quant. mod. (oc)'!AB225&lt;0,0,ROUND('Quant. mod. (oc)'!AB225,0))</f>
        <v>0</v>
      </c>
      <c r="AC225" s="125">
        <f>IF('Quant. mod. (oc)'!AC225&lt;0,0,ROUND('Quant. mod. (oc)'!AC225,0))</f>
        <v>0</v>
      </c>
      <c r="AD225" s="125">
        <f>IF('Quant. mod. (oc)'!AD225&lt;0,0,ROUND('Quant. mod. (oc)'!AD225,0))</f>
        <v>0</v>
      </c>
      <c r="AE225" s="125">
        <f>IF('Quant. mod. (oc)'!AE225&lt;0,0,ROUND('Quant. mod. (oc)'!AE225,0))</f>
        <v>0</v>
      </c>
      <c r="AF225" s="125">
        <f>IF('Quant. mod. (oc)'!AF225&lt;0,0,ROUND('Quant. mod. (oc)'!AF225,0))</f>
        <v>0</v>
      </c>
      <c r="AG225" s="126">
        <f>IF('Quant. mod. (oc)'!AG225&lt;0,0,ROUND('Quant. mod. (oc)'!AG225,0))</f>
        <v>0</v>
      </c>
      <c r="AH225" s="22"/>
    </row>
    <row r="226" spans="1:34" x14ac:dyDescent="0.25">
      <c r="A226" s="112"/>
      <c r="B226" s="69" t="s">
        <v>201</v>
      </c>
      <c r="C226" s="133" t="s">
        <v>59</v>
      </c>
      <c r="D226" s="125">
        <f>IF('Quant. mod. (oc)'!D226&lt;0,0,ROUND('Quant. mod. (oc)'!D226,0))</f>
        <v>2</v>
      </c>
      <c r="E226" s="125">
        <f>IF('Quant. mod. (oc)'!E226&lt;0,0,ROUND('Quant. mod. (oc)'!E226,0))</f>
        <v>2</v>
      </c>
      <c r="F226" s="125">
        <f>IF('Quant. mod. (oc)'!F226&lt;0,0,ROUND('Quant. mod. (oc)'!F226,0))</f>
        <v>2</v>
      </c>
      <c r="G226" s="125">
        <f>IF('Quant. mod. (oc)'!G226&lt;0,0,ROUND('Quant. mod. (oc)'!G226,0))</f>
        <v>2</v>
      </c>
      <c r="H226" s="125">
        <f>IF('Quant. mod. (oc)'!H226&lt;0,0,ROUND('Quant. mod. (oc)'!H226,0))</f>
        <v>2</v>
      </c>
      <c r="I226" s="125">
        <f>IF('Quant. mod. (oc)'!I226&lt;0,0,ROUND('Quant. mod. (oc)'!I226,0))</f>
        <v>2</v>
      </c>
      <c r="J226" s="125">
        <f>IF('Quant. mod. (oc)'!J226&lt;0,0,ROUND('Quant. mod. (oc)'!J226,0))</f>
        <v>2</v>
      </c>
      <c r="K226" s="125">
        <f>IF('Quant. mod. (oc)'!K226&lt;0,0,ROUND('Quant. mod. (oc)'!K226,0))</f>
        <v>2</v>
      </c>
      <c r="L226" s="125">
        <f>IF('Quant. mod. (oc)'!L226&lt;0,0,ROUND('Quant. mod. (oc)'!L226,0))</f>
        <v>2</v>
      </c>
      <c r="M226" s="125">
        <f>IF('Quant. mod. (oc)'!M226&lt;0,0,ROUND('Quant. mod. (oc)'!M226,0))</f>
        <v>2</v>
      </c>
      <c r="N226" s="125">
        <f>IF('Quant. mod. (oc)'!N226&lt;0,0,ROUND('Quant. mod. (oc)'!N226,0))</f>
        <v>1</v>
      </c>
      <c r="O226" s="125">
        <f>IF('Quant. mod. (oc)'!O226&lt;0,0,ROUND('Quant. mod. (oc)'!O226,0))</f>
        <v>1</v>
      </c>
      <c r="P226" s="125">
        <f>IF('Quant. mod. (oc)'!P226&lt;0,0,ROUND('Quant. mod. (oc)'!P226,0))</f>
        <v>1</v>
      </c>
      <c r="Q226" s="125">
        <f>IF('Quant. mod. (oc)'!Q226&lt;0,0,ROUND('Quant. mod. (oc)'!Q226,0))</f>
        <v>1</v>
      </c>
      <c r="R226" s="125">
        <f>IF('Quant. mod. (oc)'!R226&lt;0,0,ROUND('Quant. mod. (oc)'!R226,0))</f>
        <v>1</v>
      </c>
      <c r="S226" s="125">
        <f>IF('Quant. mod. (oc)'!S226&lt;0,0,ROUND('Quant. mod. (oc)'!S226,0))</f>
        <v>1</v>
      </c>
      <c r="T226" s="125">
        <f>IF('Quant. mod. (oc)'!T226&lt;0,0,ROUND('Quant. mod. (oc)'!T226,0))</f>
        <v>1</v>
      </c>
      <c r="U226" s="125">
        <f>IF('Quant. mod. (oc)'!U226&lt;0,0,ROUND('Quant. mod. (oc)'!U226,0))</f>
        <v>1</v>
      </c>
      <c r="V226" s="125">
        <f>IF('Quant. mod. (oc)'!V226&lt;0,0,ROUND('Quant. mod. (oc)'!V226,0))</f>
        <v>1</v>
      </c>
      <c r="W226" s="125">
        <f>IF('Quant. mod. (oc)'!W226&lt;0,0,ROUND('Quant. mod. (oc)'!W226,0))</f>
        <v>1</v>
      </c>
      <c r="X226" s="125">
        <f>IF('Quant. mod. (oc)'!X226&lt;0,0,ROUND('Quant. mod. (oc)'!X226,0))</f>
        <v>0</v>
      </c>
      <c r="Y226" s="125">
        <f>IF('Quant. mod. (oc)'!Y226&lt;0,0,ROUND('Quant. mod. (oc)'!Y226,0))</f>
        <v>0</v>
      </c>
      <c r="Z226" s="125">
        <f>IF('Quant. mod. (oc)'!Z226&lt;0,0,ROUND('Quant. mod. (oc)'!Z226,0))</f>
        <v>0</v>
      </c>
      <c r="AA226" s="125">
        <f>IF('Quant. mod. (oc)'!AA226&lt;0,0,ROUND('Quant. mod. (oc)'!AA226,0))</f>
        <v>0</v>
      </c>
      <c r="AB226" s="125">
        <f>IF('Quant. mod. (oc)'!AB226&lt;0,0,ROUND('Quant. mod. (oc)'!AB226,0))</f>
        <v>0</v>
      </c>
      <c r="AC226" s="125">
        <f>IF('Quant. mod. (oc)'!AC226&lt;0,0,ROUND('Quant. mod. (oc)'!AC226,0))</f>
        <v>0</v>
      </c>
      <c r="AD226" s="125">
        <f>IF('Quant. mod. (oc)'!AD226&lt;0,0,ROUND('Quant. mod. (oc)'!AD226,0))</f>
        <v>0</v>
      </c>
      <c r="AE226" s="125">
        <f>IF('Quant. mod. (oc)'!AE226&lt;0,0,ROUND('Quant. mod. (oc)'!AE226,0))</f>
        <v>0</v>
      </c>
      <c r="AF226" s="125">
        <f>IF('Quant. mod. (oc)'!AF226&lt;0,0,ROUND('Quant. mod. (oc)'!AF226,0))</f>
        <v>0</v>
      </c>
      <c r="AG226" s="126">
        <f>IF('Quant. mod. (oc)'!AG226&lt;0,0,ROUND('Quant. mod. (oc)'!AG226,0))</f>
        <v>0</v>
      </c>
      <c r="AH226" s="22"/>
    </row>
    <row r="227" spans="1:34" x14ac:dyDescent="0.25">
      <c r="A227" s="112"/>
      <c r="B227" s="134" t="s">
        <v>202</v>
      </c>
      <c r="C227" s="133" t="s">
        <v>59</v>
      </c>
      <c r="D227" s="125">
        <f>IF('Quant. mod. (oc)'!D227&lt;0,0,ROUND('Quant. mod. (oc)'!D227,0))</f>
        <v>1</v>
      </c>
      <c r="E227" s="125">
        <f>IF('Quant. mod. (oc)'!E227&lt;0,0,ROUND('Quant. mod. (oc)'!E227,0))</f>
        <v>1</v>
      </c>
      <c r="F227" s="125">
        <f>IF('Quant. mod. (oc)'!F227&lt;0,0,ROUND('Quant. mod. (oc)'!F227,0))</f>
        <v>1</v>
      </c>
      <c r="G227" s="125">
        <f>IF('Quant. mod. (oc)'!G227&lt;0,0,ROUND('Quant. mod. (oc)'!G227,0))</f>
        <v>1</v>
      </c>
      <c r="H227" s="125">
        <f>IF('Quant. mod. (oc)'!H227&lt;0,0,ROUND('Quant. mod. (oc)'!H227,0))</f>
        <v>1</v>
      </c>
      <c r="I227" s="125">
        <f>IF('Quant. mod. (oc)'!I227&lt;0,0,ROUND('Quant. mod. (oc)'!I227,0))</f>
        <v>1</v>
      </c>
      <c r="J227" s="125">
        <f>IF('Quant. mod. (oc)'!J227&lt;0,0,ROUND('Quant. mod. (oc)'!J227,0))</f>
        <v>1</v>
      </c>
      <c r="K227" s="125">
        <f>IF('Quant. mod. (oc)'!K227&lt;0,0,ROUND('Quant. mod. (oc)'!K227,0))</f>
        <v>1</v>
      </c>
      <c r="L227" s="125">
        <f>IF('Quant. mod. (oc)'!L227&lt;0,0,ROUND('Quant. mod. (oc)'!L227,0))</f>
        <v>1</v>
      </c>
      <c r="M227" s="125">
        <f>IF('Quant. mod. (oc)'!M227&lt;0,0,ROUND('Quant. mod. (oc)'!M227,0))</f>
        <v>1</v>
      </c>
      <c r="N227" s="125">
        <f>IF('Quant. mod. (oc)'!N227&lt;0,0,ROUND('Quant. mod. (oc)'!N227,0))</f>
        <v>1</v>
      </c>
      <c r="O227" s="125">
        <f>IF('Quant. mod. (oc)'!O227&lt;0,0,ROUND('Quant. mod. (oc)'!O227,0))</f>
        <v>1</v>
      </c>
      <c r="P227" s="125">
        <f>IF('Quant. mod. (oc)'!P227&lt;0,0,ROUND('Quant. mod. (oc)'!P227,0))</f>
        <v>1</v>
      </c>
      <c r="Q227" s="125">
        <f>IF('Quant. mod. (oc)'!Q227&lt;0,0,ROUND('Quant. mod. (oc)'!Q227,0))</f>
        <v>1</v>
      </c>
      <c r="R227" s="125">
        <f>IF('Quant. mod. (oc)'!R227&lt;0,0,ROUND('Quant. mod. (oc)'!R227,0))</f>
        <v>1</v>
      </c>
      <c r="S227" s="125">
        <f>IF('Quant. mod. (oc)'!S227&lt;0,0,ROUND('Quant. mod. (oc)'!S227,0))</f>
        <v>1</v>
      </c>
      <c r="T227" s="125">
        <f>IF('Quant. mod. (oc)'!T227&lt;0,0,ROUND('Quant. mod. (oc)'!T227,0))</f>
        <v>1</v>
      </c>
      <c r="U227" s="125">
        <f>IF('Quant. mod. (oc)'!U227&lt;0,0,ROUND('Quant. mod. (oc)'!U227,0))</f>
        <v>1</v>
      </c>
      <c r="V227" s="125">
        <f>IF('Quant. mod. (oc)'!V227&lt;0,0,ROUND('Quant. mod. (oc)'!V227,0))</f>
        <v>1</v>
      </c>
      <c r="W227" s="125">
        <f>IF('Quant. mod. (oc)'!W227&lt;0,0,ROUND('Quant. mod. (oc)'!W227,0))</f>
        <v>1</v>
      </c>
      <c r="X227" s="125">
        <f>IF('Quant. mod. (oc)'!X227&lt;0,0,ROUND('Quant. mod. (oc)'!X227,0))</f>
        <v>1</v>
      </c>
      <c r="Y227" s="125">
        <f>IF('Quant. mod. (oc)'!Y227&lt;0,0,ROUND('Quant. mod. (oc)'!Y227,0))</f>
        <v>1</v>
      </c>
      <c r="Z227" s="125">
        <f>IF('Quant. mod. (oc)'!Z227&lt;0,0,ROUND('Quant. mod. (oc)'!Z227,0))</f>
        <v>1</v>
      </c>
      <c r="AA227" s="125">
        <f>IF('Quant. mod. (oc)'!AA227&lt;0,0,ROUND('Quant. mod. (oc)'!AA227,0))</f>
        <v>1</v>
      </c>
      <c r="AB227" s="125">
        <f>IF('Quant. mod. (oc)'!AB227&lt;0,0,ROUND('Quant. mod. (oc)'!AB227,0))</f>
        <v>1</v>
      </c>
      <c r="AC227" s="125">
        <f>IF('Quant. mod. (oc)'!AC227&lt;0,0,ROUND('Quant. mod. (oc)'!AC227,0))</f>
        <v>1</v>
      </c>
      <c r="AD227" s="125">
        <f>IF('Quant. mod. (oc)'!AD227&lt;0,0,ROUND('Quant. mod. (oc)'!AD227,0))</f>
        <v>1</v>
      </c>
      <c r="AE227" s="125">
        <f>IF('Quant. mod. (oc)'!AE227&lt;0,0,ROUND('Quant. mod. (oc)'!AE227,0))</f>
        <v>1</v>
      </c>
      <c r="AF227" s="125">
        <f>IF('Quant. mod. (oc)'!AF227&lt;0,0,ROUND('Quant. mod. (oc)'!AF227,0))</f>
        <v>1</v>
      </c>
      <c r="AG227" s="126">
        <f>IF('Quant. mod. (oc)'!AG227&lt;0,0,ROUND('Quant. mod. (oc)'!AG227,0))</f>
        <v>1</v>
      </c>
      <c r="AH227" s="22"/>
    </row>
    <row r="228" spans="1:34" x14ac:dyDescent="0.25">
      <c r="A228" s="112"/>
      <c r="B228" s="69" t="s">
        <v>203</v>
      </c>
      <c r="C228" s="133" t="s">
        <v>59</v>
      </c>
      <c r="D228" s="125">
        <f>IF('Quant. mod. (oc)'!D228&lt;0,0,ROUND('Quant. mod. (oc)'!D228,0))</f>
        <v>0</v>
      </c>
      <c r="E228" s="125">
        <f>IF('Quant. mod. (oc)'!E228&lt;0,0,ROUND('Quant. mod. (oc)'!E228,0))</f>
        <v>0</v>
      </c>
      <c r="F228" s="125">
        <f>IF('Quant. mod. (oc)'!F228&lt;0,0,ROUND('Quant. mod. (oc)'!F228,0))</f>
        <v>0</v>
      </c>
      <c r="G228" s="125">
        <f>IF('Quant. mod. (oc)'!G228&lt;0,0,ROUND('Quant. mod. (oc)'!G228,0))</f>
        <v>0</v>
      </c>
      <c r="H228" s="125">
        <f>IF('Quant. mod. (oc)'!H228&lt;0,0,ROUND('Quant. mod. (oc)'!H228,0))</f>
        <v>0</v>
      </c>
      <c r="I228" s="125">
        <f>IF('Quant. mod. (oc)'!I228&lt;0,0,ROUND('Quant. mod. (oc)'!I228,0))</f>
        <v>0</v>
      </c>
      <c r="J228" s="125">
        <f>IF('Quant. mod. (oc)'!J228&lt;0,0,ROUND('Quant. mod. (oc)'!J228,0))</f>
        <v>0</v>
      </c>
      <c r="K228" s="125">
        <f>IF('Quant. mod. (oc)'!K228&lt;0,0,ROUND('Quant. mod. (oc)'!K228,0))</f>
        <v>0</v>
      </c>
      <c r="L228" s="125">
        <f>IF('Quant. mod. (oc)'!L228&lt;0,0,ROUND('Quant. mod. (oc)'!L228,0))</f>
        <v>0</v>
      </c>
      <c r="M228" s="125">
        <f>IF('Quant. mod. (oc)'!M228&lt;0,0,ROUND('Quant. mod. (oc)'!M228,0))</f>
        <v>0</v>
      </c>
      <c r="N228" s="125">
        <f>IF('Quant. mod. (oc)'!N228&lt;0,0,ROUND('Quant. mod. (oc)'!N228,0))</f>
        <v>1</v>
      </c>
      <c r="O228" s="125">
        <f>IF('Quant. mod. (oc)'!O228&lt;0,0,ROUND('Quant. mod. (oc)'!O228,0))</f>
        <v>1</v>
      </c>
      <c r="P228" s="125">
        <f>IF('Quant. mod. (oc)'!P228&lt;0,0,ROUND('Quant. mod. (oc)'!P228,0))</f>
        <v>1</v>
      </c>
      <c r="Q228" s="125">
        <f>IF('Quant. mod. (oc)'!Q228&lt;0,0,ROUND('Quant. mod. (oc)'!Q228,0))</f>
        <v>1</v>
      </c>
      <c r="R228" s="125">
        <f>IF('Quant. mod. (oc)'!R228&lt;0,0,ROUND('Quant. mod. (oc)'!R228,0))</f>
        <v>1</v>
      </c>
      <c r="S228" s="125">
        <f>IF('Quant. mod. (oc)'!S228&lt;0,0,ROUND('Quant. mod. (oc)'!S228,0))</f>
        <v>1</v>
      </c>
      <c r="T228" s="125">
        <f>IF('Quant. mod. (oc)'!T228&lt;0,0,ROUND('Quant. mod. (oc)'!T228,0))</f>
        <v>1</v>
      </c>
      <c r="U228" s="125">
        <f>IF('Quant. mod. (oc)'!U228&lt;0,0,ROUND('Quant. mod. (oc)'!U228,0))</f>
        <v>1</v>
      </c>
      <c r="V228" s="125">
        <f>IF('Quant. mod. (oc)'!V228&lt;0,0,ROUND('Quant. mod. (oc)'!V228,0))</f>
        <v>1</v>
      </c>
      <c r="W228" s="125">
        <f>IF('Quant. mod. (oc)'!W228&lt;0,0,ROUND('Quant. mod. (oc)'!W228,0))</f>
        <v>1</v>
      </c>
      <c r="X228" s="125">
        <f>IF('Quant. mod. (oc)'!X228&lt;0,0,ROUND('Quant. mod. (oc)'!X228,0))</f>
        <v>0</v>
      </c>
      <c r="Y228" s="125">
        <f>IF('Quant. mod. (oc)'!Y228&lt;0,0,ROUND('Quant. mod. (oc)'!Y228,0))</f>
        <v>0</v>
      </c>
      <c r="Z228" s="125">
        <f>IF('Quant. mod. (oc)'!Z228&lt;0,0,ROUND('Quant. mod. (oc)'!Z228,0))</f>
        <v>0</v>
      </c>
      <c r="AA228" s="125">
        <f>IF('Quant. mod. (oc)'!AA228&lt;0,0,ROUND('Quant. mod. (oc)'!AA228,0))</f>
        <v>0</v>
      </c>
      <c r="AB228" s="125">
        <f>IF('Quant. mod. (oc)'!AB228&lt;0,0,ROUND('Quant. mod. (oc)'!AB228,0))</f>
        <v>0</v>
      </c>
      <c r="AC228" s="125">
        <f>IF('Quant. mod. (oc)'!AC228&lt;0,0,ROUND('Quant. mod. (oc)'!AC228,0))</f>
        <v>0</v>
      </c>
      <c r="AD228" s="125">
        <f>IF('Quant. mod. (oc)'!AD228&lt;0,0,ROUND('Quant. mod. (oc)'!AD228,0))</f>
        <v>0</v>
      </c>
      <c r="AE228" s="125">
        <f>IF('Quant. mod. (oc)'!AE228&lt;0,0,ROUND('Quant. mod. (oc)'!AE228,0))</f>
        <v>0</v>
      </c>
      <c r="AF228" s="125">
        <f>IF('Quant. mod. (oc)'!AF228&lt;0,0,ROUND('Quant. mod. (oc)'!AF228,0))</f>
        <v>0</v>
      </c>
      <c r="AG228" s="126">
        <f>IF('Quant. mod. (oc)'!AG228&lt;0,0,ROUND('Quant. mod. (oc)'!AG228,0))</f>
        <v>0</v>
      </c>
      <c r="AH228" s="22"/>
    </row>
    <row r="229" spans="1:34" x14ac:dyDescent="0.25">
      <c r="A229" s="112"/>
      <c r="B229" s="69" t="s">
        <v>204</v>
      </c>
      <c r="C229" s="133" t="s">
        <v>59</v>
      </c>
      <c r="D229" s="125">
        <f>IF('Quant. mod. (oc)'!D229&lt;0,0,ROUND('Quant. mod. (oc)'!D229,0))</f>
        <v>0</v>
      </c>
      <c r="E229" s="125">
        <f>IF('Quant. mod. (oc)'!E229&lt;0,0,ROUND('Quant. mod. (oc)'!E229,0))</f>
        <v>0</v>
      </c>
      <c r="F229" s="125">
        <f>IF('Quant. mod. (oc)'!F229&lt;0,0,ROUND('Quant. mod. (oc)'!F229,0))</f>
        <v>0</v>
      </c>
      <c r="G229" s="125">
        <f>IF('Quant. mod. (oc)'!G229&lt;0,0,ROUND('Quant. mod. (oc)'!G229,0))</f>
        <v>0</v>
      </c>
      <c r="H229" s="125">
        <f>IF('Quant. mod. (oc)'!H229&lt;0,0,ROUND('Quant. mod. (oc)'!H229,0))</f>
        <v>0</v>
      </c>
      <c r="I229" s="125">
        <f>IF('Quant. mod. (oc)'!I229&lt;0,0,ROUND('Quant. mod. (oc)'!I229,0))</f>
        <v>0</v>
      </c>
      <c r="J229" s="125">
        <f>IF('Quant. mod. (oc)'!J229&lt;0,0,ROUND('Quant. mod. (oc)'!J229,0))</f>
        <v>0</v>
      </c>
      <c r="K229" s="125">
        <f>IF('Quant. mod. (oc)'!K229&lt;0,0,ROUND('Quant. mod. (oc)'!K229,0))</f>
        <v>0</v>
      </c>
      <c r="L229" s="125">
        <f>IF('Quant. mod. (oc)'!L229&lt;0,0,ROUND('Quant. mod. (oc)'!L229,0))</f>
        <v>0</v>
      </c>
      <c r="M229" s="125">
        <f>IF('Quant. mod. (oc)'!M229&lt;0,0,ROUND('Quant. mod. (oc)'!M229,0))</f>
        <v>0</v>
      </c>
      <c r="N229" s="125">
        <f>IF('Quant. mod. (oc)'!N229&lt;0,0,ROUND('Quant. mod. (oc)'!N229,0))</f>
        <v>1</v>
      </c>
      <c r="O229" s="125">
        <f>IF('Quant. mod. (oc)'!O229&lt;0,0,ROUND('Quant. mod. (oc)'!O229,0))</f>
        <v>1</v>
      </c>
      <c r="P229" s="125">
        <f>IF('Quant. mod. (oc)'!P229&lt;0,0,ROUND('Quant. mod. (oc)'!P229,0))</f>
        <v>1</v>
      </c>
      <c r="Q229" s="125">
        <f>IF('Quant. mod. (oc)'!Q229&lt;0,0,ROUND('Quant. mod. (oc)'!Q229,0))</f>
        <v>1</v>
      </c>
      <c r="R229" s="125">
        <f>IF('Quant. mod. (oc)'!R229&lt;0,0,ROUND('Quant. mod. (oc)'!R229,0))</f>
        <v>1</v>
      </c>
      <c r="S229" s="125">
        <f>IF('Quant. mod. (oc)'!S229&lt;0,0,ROUND('Quant. mod. (oc)'!S229,0))</f>
        <v>1</v>
      </c>
      <c r="T229" s="125">
        <f>IF('Quant. mod. (oc)'!T229&lt;0,0,ROUND('Quant. mod. (oc)'!T229,0))</f>
        <v>1</v>
      </c>
      <c r="U229" s="125">
        <f>IF('Quant. mod. (oc)'!U229&lt;0,0,ROUND('Quant. mod. (oc)'!U229,0))</f>
        <v>1</v>
      </c>
      <c r="V229" s="125">
        <f>IF('Quant. mod. (oc)'!V229&lt;0,0,ROUND('Quant. mod. (oc)'!V229,0))</f>
        <v>1</v>
      </c>
      <c r="W229" s="125">
        <f>IF('Quant. mod. (oc)'!W229&lt;0,0,ROUND('Quant. mod. (oc)'!W229,0))</f>
        <v>1</v>
      </c>
      <c r="X229" s="125">
        <f>IF('Quant. mod. (oc)'!X229&lt;0,0,ROUND('Quant. mod. (oc)'!X229,0))</f>
        <v>1</v>
      </c>
      <c r="Y229" s="125">
        <f>IF('Quant. mod. (oc)'!Y229&lt;0,0,ROUND('Quant. mod. (oc)'!Y229,0))</f>
        <v>1</v>
      </c>
      <c r="Z229" s="125">
        <f>IF('Quant. mod. (oc)'!Z229&lt;0,0,ROUND('Quant. mod. (oc)'!Z229,0))</f>
        <v>1</v>
      </c>
      <c r="AA229" s="125">
        <f>IF('Quant. mod. (oc)'!AA229&lt;0,0,ROUND('Quant. mod. (oc)'!AA229,0))</f>
        <v>1</v>
      </c>
      <c r="AB229" s="125">
        <f>IF('Quant. mod. (oc)'!AB229&lt;0,0,ROUND('Quant. mod. (oc)'!AB229,0))</f>
        <v>1</v>
      </c>
      <c r="AC229" s="125">
        <f>IF('Quant. mod. (oc)'!AC229&lt;0,0,ROUND('Quant. mod. (oc)'!AC229,0))</f>
        <v>1</v>
      </c>
      <c r="AD229" s="125">
        <f>IF('Quant. mod. (oc)'!AD229&lt;0,0,ROUND('Quant. mod. (oc)'!AD229,0))</f>
        <v>1</v>
      </c>
      <c r="AE229" s="125">
        <f>IF('Quant. mod. (oc)'!AE229&lt;0,0,ROUND('Quant. mod. (oc)'!AE229,0))</f>
        <v>1</v>
      </c>
      <c r="AF229" s="125">
        <f>IF('Quant. mod. (oc)'!AF229&lt;0,0,ROUND('Quant. mod. (oc)'!AF229,0))</f>
        <v>1</v>
      </c>
      <c r="AG229" s="126">
        <f>IF('Quant. mod. (oc)'!AG229&lt;0,0,ROUND('Quant. mod. (oc)'!AG229,0))</f>
        <v>1</v>
      </c>
      <c r="AH229" s="22"/>
    </row>
    <row r="230" spans="1:34" x14ac:dyDescent="0.25">
      <c r="A230" s="112"/>
      <c r="B230" s="134" t="s">
        <v>205</v>
      </c>
      <c r="C230" s="133" t="s">
        <v>59</v>
      </c>
      <c r="D230" s="125">
        <f>IF('Quant. mod. (oc)'!D230&lt;0,0,ROUND('Quant. mod. (oc)'!D230,0))</f>
        <v>0</v>
      </c>
      <c r="E230" s="125">
        <f>IF('Quant. mod. (oc)'!E230&lt;0,0,ROUND('Quant. mod. (oc)'!E230,0))</f>
        <v>0</v>
      </c>
      <c r="F230" s="125">
        <f>IF('Quant. mod. (oc)'!F230&lt;0,0,ROUND('Quant. mod. (oc)'!F230,0))</f>
        <v>0</v>
      </c>
      <c r="G230" s="125">
        <f>IF('Quant. mod. (oc)'!G230&lt;0,0,ROUND('Quant. mod. (oc)'!G230,0))</f>
        <v>0</v>
      </c>
      <c r="H230" s="125">
        <f>IF('Quant. mod. (oc)'!H230&lt;0,0,ROUND('Quant. mod. (oc)'!H230,0))</f>
        <v>0</v>
      </c>
      <c r="I230" s="125">
        <f>IF('Quant. mod. (oc)'!I230&lt;0,0,ROUND('Quant. mod. (oc)'!I230,0))</f>
        <v>0</v>
      </c>
      <c r="J230" s="125">
        <f>IF('Quant. mod. (oc)'!J230&lt;0,0,ROUND('Quant. mod. (oc)'!J230,0))</f>
        <v>0</v>
      </c>
      <c r="K230" s="125">
        <f>IF('Quant. mod. (oc)'!K230&lt;0,0,ROUND('Quant. mod. (oc)'!K230,0))</f>
        <v>0</v>
      </c>
      <c r="L230" s="125">
        <f>IF('Quant. mod. (oc)'!L230&lt;0,0,ROUND('Quant. mod. (oc)'!L230,0))</f>
        <v>0</v>
      </c>
      <c r="M230" s="125">
        <f>IF('Quant. mod. (oc)'!M230&lt;0,0,ROUND('Quant. mod. (oc)'!M230,0))</f>
        <v>0</v>
      </c>
      <c r="N230" s="125">
        <f>IF('Quant. mod. (oc)'!N230&lt;0,0,ROUND('Quant. mod. (oc)'!N230,0))</f>
        <v>1</v>
      </c>
      <c r="O230" s="125">
        <f>IF('Quant. mod. (oc)'!O230&lt;0,0,ROUND('Quant. mod. (oc)'!O230,0))</f>
        <v>1</v>
      </c>
      <c r="P230" s="125">
        <f>IF('Quant. mod. (oc)'!P230&lt;0,0,ROUND('Quant. mod. (oc)'!P230,0))</f>
        <v>1</v>
      </c>
      <c r="Q230" s="125">
        <f>IF('Quant. mod. (oc)'!Q230&lt;0,0,ROUND('Quant. mod. (oc)'!Q230,0))</f>
        <v>1</v>
      </c>
      <c r="R230" s="125">
        <f>IF('Quant. mod. (oc)'!R230&lt;0,0,ROUND('Quant. mod. (oc)'!R230,0))</f>
        <v>1</v>
      </c>
      <c r="S230" s="125">
        <f>IF('Quant. mod. (oc)'!S230&lt;0,0,ROUND('Quant. mod. (oc)'!S230,0))</f>
        <v>1</v>
      </c>
      <c r="T230" s="125">
        <f>IF('Quant. mod. (oc)'!T230&lt;0,0,ROUND('Quant. mod. (oc)'!T230,0))</f>
        <v>1</v>
      </c>
      <c r="U230" s="125">
        <f>IF('Quant. mod. (oc)'!U230&lt;0,0,ROUND('Quant. mod. (oc)'!U230,0))</f>
        <v>1</v>
      </c>
      <c r="V230" s="125">
        <f>IF('Quant. mod. (oc)'!V230&lt;0,0,ROUND('Quant. mod. (oc)'!V230,0))</f>
        <v>1</v>
      </c>
      <c r="W230" s="125">
        <f>IF('Quant. mod. (oc)'!W230&lt;0,0,ROUND('Quant. mod. (oc)'!W230,0))</f>
        <v>1</v>
      </c>
      <c r="X230" s="125">
        <f>IF('Quant. mod. (oc)'!X230&lt;0,0,ROUND('Quant. mod. (oc)'!X230,0))</f>
        <v>0</v>
      </c>
      <c r="Y230" s="125">
        <f>IF('Quant. mod. (oc)'!Y230&lt;0,0,ROUND('Quant. mod. (oc)'!Y230,0))</f>
        <v>0</v>
      </c>
      <c r="Z230" s="125">
        <f>IF('Quant. mod. (oc)'!Z230&lt;0,0,ROUND('Quant. mod. (oc)'!Z230,0))</f>
        <v>0</v>
      </c>
      <c r="AA230" s="125">
        <f>IF('Quant. mod. (oc)'!AA230&lt;0,0,ROUND('Quant. mod. (oc)'!AA230,0))</f>
        <v>0</v>
      </c>
      <c r="AB230" s="125">
        <f>IF('Quant. mod. (oc)'!AB230&lt;0,0,ROUND('Quant. mod. (oc)'!AB230,0))</f>
        <v>0</v>
      </c>
      <c r="AC230" s="125">
        <f>IF('Quant. mod. (oc)'!AC230&lt;0,0,ROUND('Quant. mod. (oc)'!AC230,0))</f>
        <v>0</v>
      </c>
      <c r="AD230" s="125">
        <f>IF('Quant. mod. (oc)'!AD230&lt;0,0,ROUND('Quant. mod. (oc)'!AD230,0))</f>
        <v>0</v>
      </c>
      <c r="AE230" s="125">
        <f>IF('Quant. mod. (oc)'!AE230&lt;0,0,ROUND('Quant. mod. (oc)'!AE230,0))</f>
        <v>0</v>
      </c>
      <c r="AF230" s="125">
        <f>IF('Quant. mod. (oc)'!AF230&lt;0,0,ROUND('Quant. mod. (oc)'!AF230,0))</f>
        <v>0</v>
      </c>
      <c r="AG230" s="126">
        <f>IF('Quant. mod. (oc)'!AG230&lt;0,0,ROUND('Quant. mod. (oc)'!AG230,0))</f>
        <v>0</v>
      </c>
      <c r="AH230" s="22"/>
    </row>
    <row r="231" spans="1:34" x14ac:dyDescent="0.25">
      <c r="A231" s="112"/>
      <c r="B231" s="69" t="s">
        <v>206</v>
      </c>
      <c r="C231" s="133" t="s">
        <v>59</v>
      </c>
      <c r="D231" s="125">
        <f>IF('Quant. mod. (oc)'!D231&lt;0,0,ROUND('Quant. mod. (oc)'!D231,0))</f>
        <v>0</v>
      </c>
      <c r="E231" s="125">
        <f>IF('Quant. mod. (oc)'!E231&lt;0,0,ROUND('Quant. mod. (oc)'!E231,0))</f>
        <v>0</v>
      </c>
      <c r="F231" s="125">
        <f>IF('Quant. mod. (oc)'!F231&lt;0,0,ROUND('Quant. mod. (oc)'!F231,0))</f>
        <v>0</v>
      </c>
      <c r="G231" s="125">
        <f>IF('Quant. mod. (oc)'!G231&lt;0,0,ROUND('Quant. mod. (oc)'!G231,0))</f>
        <v>0</v>
      </c>
      <c r="H231" s="125">
        <f>IF('Quant. mod. (oc)'!H231&lt;0,0,ROUND('Quant. mod. (oc)'!H231,0))</f>
        <v>0</v>
      </c>
      <c r="I231" s="125">
        <f>IF('Quant. mod. (oc)'!I231&lt;0,0,ROUND('Quant. mod. (oc)'!I231,0))</f>
        <v>0</v>
      </c>
      <c r="J231" s="125">
        <f>IF('Quant. mod. (oc)'!J231&lt;0,0,ROUND('Quant. mod. (oc)'!J231,0))</f>
        <v>0</v>
      </c>
      <c r="K231" s="125">
        <f>IF('Quant. mod. (oc)'!K231&lt;0,0,ROUND('Quant. mod. (oc)'!K231,0))</f>
        <v>0</v>
      </c>
      <c r="L231" s="125">
        <f>IF('Quant. mod. (oc)'!L231&lt;0,0,ROUND('Quant. mod. (oc)'!L231,0))</f>
        <v>0</v>
      </c>
      <c r="M231" s="125">
        <f>IF('Quant. mod. (oc)'!M231&lt;0,0,ROUND('Quant. mod. (oc)'!M231,0))</f>
        <v>0</v>
      </c>
      <c r="N231" s="125">
        <f>IF('Quant. mod. (oc)'!N231&lt;0,0,ROUND('Quant. mod. (oc)'!N231,0))</f>
        <v>0</v>
      </c>
      <c r="O231" s="125">
        <f>IF('Quant. mod. (oc)'!O231&lt;0,0,ROUND('Quant. mod. (oc)'!O231,0))</f>
        <v>0</v>
      </c>
      <c r="P231" s="125">
        <f>IF('Quant. mod. (oc)'!P231&lt;0,0,ROUND('Quant. mod. (oc)'!P231,0))</f>
        <v>0</v>
      </c>
      <c r="Q231" s="125">
        <f>IF('Quant. mod. (oc)'!Q231&lt;0,0,ROUND('Quant. mod. (oc)'!Q231,0))</f>
        <v>0</v>
      </c>
      <c r="R231" s="125">
        <f>IF('Quant. mod. (oc)'!R231&lt;0,0,ROUND('Quant. mod. (oc)'!R231,0))</f>
        <v>0</v>
      </c>
      <c r="S231" s="125">
        <f>IF('Quant. mod. (oc)'!S231&lt;0,0,ROUND('Quant. mod. (oc)'!S231,0))</f>
        <v>0</v>
      </c>
      <c r="T231" s="125">
        <f>IF('Quant. mod. (oc)'!T231&lt;0,0,ROUND('Quant. mod. (oc)'!T231,0))</f>
        <v>0</v>
      </c>
      <c r="U231" s="125">
        <f>IF('Quant. mod. (oc)'!U231&lt;0,0,ROUND('Quant. mod. (oc)'!U231,0))</f>
        <v>0</v>
      </c>
      <c r="V231" s="125">
        <f>IF('Quant. mod. (oc)'!V231&lt;0,0,ROUND('Quant. mod. (oc)'!V231,0))</f>
        <v>0</v>
      </c>
      <c r="W231" s="125">
        <f>IF('Quant. mod. (oc)'!W231&lt;0,0,ROUND('Quant. mod. (oc)'!W231,0))</f>
        <v>0</v>
      </c>
      <c r="X231" s="125">
        <f>IF('Quant. mod. (oc)'!X231&lt;0,0,ROUND('Quant. mod. (oc)'!X231,0))</f>
        <v>0</v>
      </c>
      <c r="Y231" s="125">
        <f>IF('Quant. mod. (oc)'!Y231&lt;0,0,ROUND('Quant. mod. (oc)'!Y231,0))</f>
        <v>0</v>
      </c>
      <c r="Z231" s="125">
        <f>IF('Quant. mod. (oc)'!Z231&lt;0,0,ROUND('Quant. mod. (oc)'!Z231,0))</f>
        <v>0</v>
      </c>
      <c r="AA231" s="125">
        <f>IF('Quant. mod. (oc)'!AA231&lt;0,0,ROUND('Quant. mod. (oc)'!AA231,0))</f>
        <v>0</v>
      </c>
      <c r="AB231" s="125">
        <f>IF('Quant. mod. (oc)'!AB231&lt;0,0,ROUND('Quant. mod. (oc)'!AB231,0))</f>
        <v>0</v>
      </c>
      <c r="AC231" s="125">
        <f>IF('Quant. mod. (oc)'!AC231&lt;0,0,ROUND('Quant. mod. (oc)'!AC231,0))</f>
        <v>0</v>
      </c>
      <c r="AD231" s="125">
        <f>IF('Quant. mod. (oc)'!AD231&lt;0,0,ROUND('Quant. mod. (oc)'!AD231,0))</f>
        <v>0</v>
      </c>
      <c r="AE231" s="125">
        <f>IF('Quant. mod. (oc)'!AE231&lt;0,0,ROUND('Quant. mod. (oc)'!AE231,0))</f>
        <v>0</v>
      </c>
      <c r="AF231" s="125">
        <f>IF('Quant. mod. (oc)'!AF231&lt;0,0,ROUND('Quant. mod. (oc)'!AF231,0))</f>
        <v>0</v>
      </c>
      <c r="AG231" s="126">
        <f>IF('Quant. mod. (oc)'!AG231&lt;0,0,ROUND('Quant. mod. (oc)'!AG231,0))</f>
        <v>0</v>
      </c>
      <c r="AH231" s="22"/>
    </row>
    <row r="232" spans="1:34" x14ac:dyDescent="0.25">
      <c r="A232" s="112"/>
      <c r="B232" s="69" t="s">
        <v>207</v>
      </c>
      <c r="C232" s="133" t="s">
        <v>59</v>
      </c>
      <c r="D232" s="125">
        <f>IF('Quant. mod. (oc)'!D232&lt;0,0,ROUND('Quant. mod. (oc)'!D232,0))</f>
        <v>0</v>
      </c>
      <c r="E232" s="125">
        <f>IF('Quant. mod. (oc)'!E232&lt;0,0,ROUND('Quant. mod. (oc)'!E232,0))</f>
        <v>0</v>
      </c>
      <c r="F232" s="125">
        <f>IF('Quant. mod. (oc)'!F232&lt;0,0,ROUND('Quant. mod. (oc)'!F232,0))</f>
        <v>0</v>
      </c>
      <c r="G232" s="125">
        <f>IF('Quant. mod. (oc)'!G232&lt;0,0,ROUND('Quant. mod. (oc)'!G232,0))</f>
        <v>0</v>
      </c>
      <c r="H232" s="125">
        <f>IF('Quant. mod. (oc)'!H232&lt;0,0,ROUND('Quant. mod. (oc)'!H232,0))</f>
        <v>0</v>
      </c>
      <c r="I232" s="125">
        <f>IF('Quant. mod. (oc)'!I232&lt;0,0,ROUND('Quant. mod. (oc)'!I232,0))</f>
        <v>0</v>
      </c>
      <c r="J232" s="125">
        <f>IF('Quant. mod. (oc)'!J232&lt;0,0,ROUND('Quant. mod. (oc)'!J232,0))</f>
        <v>0</v>
      </c>
      <c r="K232" s="125">
        <f>IF('Quant. mod. (oc)'!K232&lt;0,0,ROUND('Quant. mod. (oc)'!K232,0))</f>
        <v>0</v>
      </c>
      <c r="L232" s="125">
        <f>IF('Quant. mod. (oc)'!L232&lt;0,0,ROUND('Quant. mod. (oc)'!L232,0))</f>
        <v>0</v>
      </c>
      <c r="M232" s="125">
        <f>IF('Quant. mod. (oc)'!M232&lt;0,0,ROUND('Quant. mod. (oc)'!M232,0))</f>
        <v>0</v>
      </c>
      <c r="N232" s="125">
        <f>IF('Quant. mod. (oc)'!N232&lt;0,0,ROUND('Quant. mod. (oc)'!N232,0))</f>
        <v>0</v>
      </c>
      <c r="O232" s="125">
        <f>IF('Quant. mod. (oc)'!O232&lt;0,0,ROUND('Quant. mod. (oc)'!O232,0))</f>
        <v>0</v>
      </c>
      <c r="P232" s="125">
        <f>IF('Quant. mod. (oc)'!P232&lt;0,0,ROUND('Quant. mod. (oc)'!P232,0))</f>
        <v>0</v>
      </c>
      <c r="Q232" s="125">
        <f>IF('Quant. mod. (oc)'!Q232&lt;0,0,ROUND('Quant. mod. (oc)'!Q232,0))</f>
        <v>0</v>
      </c>
      <c r="R232" s="125">
        <f>IF('Quant. mod. (oc)'!R232&lt;0,0,ROUND('Quant. mod. (oc)'!R232,0))</f>
        <v>0</v>
      </c>
      <c r="S232" s="125">
        <f>IF('Quant. mod. (oc)'!S232&lt;0,0,ROUND('Quant. mod. (oc)'!S232,0))</f>
        <v>0</v>
      </c>
      <c r="T232" s="125">
        <f>IF('Quant. mod. (oc)'!T232&lt;0,0,ROUND('Quant. mod. (oc)'!T232,0))</f>
        <v>0</v>
      </c>
      <c r="U232" s="125">
        <f>IF('Quant. mod. (oc)'!U232&lt;0,0,ROUND('Quant. mod. (oc)'!U232,0))</f>
        <v>0</v>
      </c>
      <c r="V232" s="125">
        <f>IF('Quant. mod. (oc)'!V232&lt;0,0,ROUND('Quant. mod. (oc)'!V232,0))</f>
        <v>0</v>
      </c>
      <c r="W232" s="125">
        <f>IF('Quant. mod. (oc)'!W232&lt;0,0,ROUND('Quant. mod. (oc)'!W232,0))</f>
        <v>0</v>
      </c>
      <c r="X232" s="125">
        <f>IF('Quant. mod. (oc)'!X232&lt;0,0,ROUND('Quant. mod. (oc)'!X232,0))</f>
        <v>0</v>
      </c>
      <c r="Y232" s="125">
        <f>IF('Quant. mod. (oc)'!Y232&lt;0,0,ROUND('Quant. mod. (oc)'!Y232,0))</f>
        <v>0</v>
      </c>
      <c r="Z232" s="125">
        <f>IF('Quant. mod. (oc)'!Z232&lt;0,0,ROUND('Quant. mod. (oc)'!Z232,0))</f>
        <v>0</v>
      </c>
      <c r="AA232" s="125">
        <f>IF('Quant. mod. (oc)'!AA232&lt;0,0,ROUND('Quant. mod. (oc)'!AA232,0))</f>
        <v>0</v>
      </c>
      <c r="AB232" s="125">
        <f>IF('Quant. mod. (oc)'!AB232&lt;0,0,ROUND('Quant. mod. (oc)'!AB232,0))</f>
        <v>0</v>
      </c>
      <c r="AC232" s="125">
        <f>IF('Quant. mod. (oc)'!AC232&lt;0,0,ROUND('Quant. mod. (oc)'!AC232,0))</f>
        <v>0</v>
      </c>
      <c r="AD232" s="125">
        <f>IF('Quant. mod. (oc)'!AD232&lt;0,0,ROUND('Quant. mod. (oc)'!AD232,0))</f>
        <v>0</v>
      </c>
      <c r="AE232" s="125">
        <f>IF('Quant. mod. (oc)'!AE232&lt;0,0,ROUND('Quant. mod. (oc)'!AE232,0))</f>
        <v>0</v>
      </c>
      <c r="AF232" s="125">
        <f>IF('Quant. mod. (oc)'!AF232&lt;0,0,ROUND('Quant. mod. (oc)'!AF232,0))</f>
        <v>0</v>
      </c>
      <c r="AG232" s="126">
        <f>IF('Quant. mod. (oc)'!AG232&lt;0,0,ROUND('Quant. mod. (oc)'!AG232,0))</f>
        <v>0</v>
      </c>
      <c r="AH232" s="22"/>
    </row>
    <row r="233" spans="1:34" x14ac:dyDescent="0.25">
      <c r="A233" s="112"/>
      <c r="B233" s="134" t="s">
        <v>208</v>
      </c>
      <c r="C233" s="133" t="s">
        <v>59</v>
      </c>
      <c r="D233" s="125">
        <f>IF('Quant. mod. (oc)'!D233&lt;0,0,ROUND('Quant. mod. (oc)'!D233,0))</f>
        <v>0</v>
      </c>
      <c r="E233" s="125">
        <f>IF('Quant. mod. (oc)'!E233&lt;0,0,ROUND('Quant. mod. (oc)'!E233,0))</f>
        <v>0</v>
      </c>
      <c r="F233" s="125">
        <f>IF('Quant. mod. (oc)'!F233&lt;0,0,ROUND('Quant. mod. (oc)'!F233,0))</f>
        <v>0</v>
      </c>
      <c r="G233" s="125">
        <f>IF('Quant. mod. (oc)'!G233&lt;0,0,ROUND('Quant. mod. (oc)'!G233,0))</f>
        <v>0</v>
      </c>
      <c r="H233" s="125">
        <f>IF('Quant. mod. (oc)'!H233&lt;0,0,ROUND('Quant. mod. (oc)'!H233,0))</f>
        <v>0</v>
      </c>
      <c r="I233" s="125">
        <f>IF('Quant. mod. (oc)'!I233&lt;0,0,ROUND('Quant. mod. (oc)'!I233,0))</f>
        <v>0</v>
      </c>
      <c r="J233" s="125">
        <f>IF('Quant. mod. (oc)'!J233&lt;0,0,ROUND('Quant. mod. (oc)'!J233,0))</f>
        <v>0</v>
      </c>
      <c r="K233" s="125">
        <f>IF('Quant. mod. (oc)'!K233&lt;0,0,ROUND('Quant. mod. (oc)'!K233,0))</f>
        <v>0</v>
      </c>
      <c r="L233" s="125">
        <f>IF('Quant. mod. (oc)'!L233&lt;0,0,ROUND('Quant. mod. (oc)'!L233,0))</f>
        <v>0</v>
      </c>
      <c r="M233" s="125">
        <f>IF('Quant. mod. (oc)'!M233&lt;0,0,ROUND('Quant. mod. (oc)'!M233,0))</f>
        <v>0</v>
      </c>
      <c r="N233" s="125">
        <f>IF('Quant. mod. (oc)'!N233&lt;0,0,ROUND('Quant. mod. (oc)'!N233,0))</f>
        <v>0</v>
      </c>
      <c r="O233" s="125">
        <f>IF('Quant. mod. (oc)'!O233&lt;0,0,ROUND('Quant. mod. (oc)'!O233,0))</f>
        <v>0</v>
      </c>
      <c r="P233" s="125">
        <f>IF('Quant. mod. (oc)'!P233&lt;0,0,ROUND('Quant. mod. (oc)'!P233,0))</f>
        <v>0</v>
      </c>
      <c r="Q233" s="125">
        <f>IF('Quant. mod. (oc)'!Q233&lt;0,0,ROUND('Quant. mod. (oc)'!Q233,0))</f>
        <v>0</v>
      </c>
      <c r="R233" s="125">
        <f>IF('Quant. mod. (oc)'!R233&lt;0,0,ROUND('Quant. mod. (oc)'!R233,0))</f>
        <v>0</v>
      </c>
      <c r="S233" s="125">
        <f>IF('Quant. mod. (oc)'!S233&lt;0,0,ROUND('Quant. mod. (oc)'!S233,0))</f>
        <v>0</v>
      </c>
      <c r="T233" s="125">
        <f>IF('Quant. mod. (oc)'!T233&lt;0,0,ROUND('Quant. mod. (oc)'!T233,0))</f>
        <v>0</v>
      </c>
      <c r="U233" s="125">
        <f>IF('Quant. mod. (oc)'!U233&lt;0,0,ROUND('Quant. mod. (oc)'!U233,0))</f>
        <v>0</v>
      </c>
      <c r="V233" s="125">
        <f>IF('Quant. mod. (oc)'!V233&lt;0,0,ROUND('Quant. mod. (oc)'!V233,0))</f>
        <v>0</v>
      </c>
      <c r="W233" s="125">
        <f>IF('Quant. mod. (oc)'!W233&lt;0,0,ROUND('Quant. mod. (oc)'!W233,0))</f>
        <v>0</v>
      </c>
      <c r="X233" s="125">
        <f>IF('Quant. mod. (oc)'!X233&lt;0,0,ROUND('Quant. mod. (oc)'!X233,0))</f>
        <v>0</v>
      </c>
      <c r="Y233" s="125">
        <f>IF('Quant. mod. (oc)'!Y233&lt;0,0,ROUND('Quant. mod. (oc)'!Y233,0))</f>
        <v>0</v>
      </c>
      <c r="Z233" s="125">
        <f>IF('Quant. mod. (oc)'!Z233&lt;0,0,ROUND('Quant. mod. (oc)'!Z233,0))</f>
        <v>0</v>
      </c>
      <c r="AA233" s="125">
        <f>IF('Quant. mod. (oc)'!AA233&lt;0,0,ROUND('Quant. mod. (oc)'!AA233,0))</f>
        <v>0</v>
      </c>
      <c r="AB233" s="125">
        <f>IF('Quant. mod. (oc)'!AB233&lt;0,0,ROUND('Quant. mod. (oc)'!AB233,0))</f>
        <v>0</v>
      </c>
      <c r="AC233" s="125">
        <f>IF('Quant. mod. (oc)'!AC233&lt;0,0,ROUND('Quant. mod. (oc)'!AC233,0))</f>
        <v>0</v>
      </c>
      <c r="AD233" s="125">
        <f>IF('Quant. mod. (oc)'!AD233&lt;0,0,ROUND('Quant. mod. (oc)'!AD233,0))</f>
        <v>0</v>
      </c>
      <c r="AE233" s="125">
        <f>IF('Quant. mod. (oc)'!AE233&lt;0,0,ROUND('Quant. mod. (oc)'!AE233,0))</f>
        <v>0</v>
      </c>
      <c r="AF233" s="125">
        <f>IF('Quant. mod. (oc)'!AF233&lt;0,0,ROUND('Quant. mod. (oc)'!AF233,0))</f>
        <v>0</v>
      </c>
      <c r="AG233" s="126">
        <f>IF('Quant. mod. (oc)'!AG233&lt;0,0,ROUND('Quant. mod. (oc)'!AG233,0))</f>
        <v>0</v>
      </c>
      <c r="AH233" s="22"/>
    </row>
    <row r="234" spans="1:34" x14ac:dyDescent="0.25">
      <c r="A234" s="112"/>
      <c r="B234" s="69" t="s">
        <v>209</v>
      </c>
      <c r="C234" s="133" t="s">
        <v>59</v>
      </c>
      <c r="D234" s="125">
        <f>IF('Quant. mod. (oc)'!D234&lt;0,0,ROUND('Quant. mod. (oc)'!D234,0))</f>
        <v>0</v>
      </c>
      <c r="E234" s="125">
        <f>IF('Quant. mod. (oc)'!E234&lt;0,0,ROUND('Quant. mod. (oc)'!E234,0))</f>
        <v>0</v>
      </c>
      <c r="F234" s="125">
        <f>IF('Quant. mod. (oc)'!F234&lt;0,0,ROUND('Quant. mod. (oc)'!F234,0))</f>
        <v>0</v>
      </c>
      <c r="G234" s="125">
        <f>IF('Quant. mod. (oc)'!G234&lt;0,0,ROUND('Quant. mod. (oc)'!G234,0))</f>
        <v>0</v>
      </c>
      <c r="H234" s="125">
        <f>IF('Quant. mod. (oc)'!H234&lt;0,0,ROUND('Quant. mod. (oc)'!H234,0))</f>
        <v>0</v>
      </c>
      <c r="I234" s="125">
        <f>IF('Quant. mod. (oc)'!I234&lt;0,0,ROUND('Quant. mod. (oc)'!I234,0))</f>
        <v>0</v>
      </c>
      <c r="J234" s="125">
        <f>IF('Quant. mod. (oc)'!J234&lt;0,0,ROUND('Quant. mod. (oc)'!J234,0))</f>
        <v>0</v>
      </c>
      <c r="K234" s="125">
        <f>IF('Quant. mod. (oc)'!K234&lt;0,0,ROUND('Quant. mod. (oc)'!K234,0))</f>
        <v>0</v>
      </c>
      <c r="L234" s="125">
        <f>IF('Quant. mod. (oc)'!L234&lt;0,0,ROUND('Quant. mod. (oc)'!L234,0))</f>
        <v>0</v>
      </c>
      <c r="M234" s="125">
        <f>IF('Quant. mod. (oc)'!M234&lt;0,0,ROUND('Quant. mod. (oc)'!M234,0))</f>
        <v>0</v>
      </c>
      <c r="N234" s="125">
        <f>IF('Quant. mod. (oc)'!N234&lt;0,0,ROUND('Quant. mod. (oc)'!N234,0))</f>
        <v>0</v>
      </c>
      <c r="O234" s="125">
        <f>IF('Quant. mod. (oc)'!O234&lt;0,0,ROUND('Quant. mod. (oc)'!O234,0))</f>
        <v>0</v>
      </c>
      <c r="P234" s="125">
        <f>IF('Quant. mod. (oc)'!P234&lt;0,0,ROUND('Quant. mod. (oc)'!P234,0))</f>
        <v>0</v>
      </c>
      <c r="Q234" s="125">
        <f>IF('Quant. mod. (oc)'!Q234&lt;0,0,ROUND('Quant. mod. (oc)'!Q234,0))</f>
        <v>0</v>
      </c>
      <c r="R234" s="125">
        <f>IF('Quant. mod. (oc)'!R234&lt;0,0,ROUND('Quant. mod. (oc)'!R234,0))</f>
        <v>0</v>
      </c>
      <c r="S234" s="125">
        <f>IF('Quant. mod. (oc)'!S234&lt;0,0,ROUND('Quant. mod. (oc)'!S234,0))</f>
        <v>0</v>
      </c>
      <c r="T234" s="125">
        <f>IF('Quant. mod. (oc)'!T234&lt;0,0,ROUND('Quant. mod. (oc)'!T234,0))</f>
        <v>0</v>
      </c>
      <c r="U234" s="125">
        <f>IF('Quant. mod. (oc)'!U234&lt;0,0,ROUND('Quant. mod. (oc)'!U234,0))</f>
        <v>0</v>
      </c>
      <c r="V234" s="125">
        <f>IF('Quant. mod. (oc)'!V234&lt;0,0,ROUND('Quant. mod. (oc)'!V234,0))</f>
        <v>0</v>
      </c>
      <c r="W234" s="125">
        <f>IF('Quant. mod. (oc)'!W234&lt;0,0,ROUND('Quant. mod. (oc)'!W234,0))</f>
        <v>0</v>
      </c>
      <c r="X234" s="125">
        <f>IF('Quant. mod. (oc)'!X234&lt;0,0,ROUND('Quant. mod. (oc)'!X234,0))</f>
        <v>0</v>
      </c>
      <c r="Y234" s="125">
        <f>IF('Quant. mod. (oc)'!Y234&lt;0,0,ROUND('Quant. mod. (oc)'!Y234,0))</f>
        <v>0</v>
      </c>
      <c r="Z234" s="125">
        <f>IF('Quant. mod. (oc)'!Z234&lt;0,0,ROUND('Quant. mod. (oc)'!Z234,0))</f>
        <v>0</v>
      </c>
      <c r="AA234" s="125">
        <f>IF('Quant. mod. (oc)'!AA234&lt;0,0,ROUND('Quant. mod. (oc)'!AA234,0))</f>
        <v>0</v>
      </c>
      <c r="AB234" s="125">
        <f>IF('Quant. mod. (oc)'!AB234&lt;0,0,ROUND('Quant. mod. (oc)'!AB234,0))</f>
        <v>0</v>
      </c>
      <c r="AC234" s="125">
        <f>IF('Quant. mod. (oc)'!AC234&lt;0,0,ROUND('Quant. mod. (oc)'!AC234,0))</f>
        <v>0</v>
      </c>
      <c r="AD234" s="125">
        <f>IF('Quant. mod. (oc)'!AD234&lt;0,0,ROUND('Quant. mod. (oc)'!AD234,0))</f>
        <v>0</v>
      </c>
      <c r="AE234" s="125">
        <f>IF('Quant. mod. (oc)'!AE234&lt;0,0,ROUND('Quant. mod. (oc)'!AE234,0))</f>
        <v>0</v>
      </c>
      <c r="AF234" s="125">
        <f>IF('Quant. mod. (oc)'!AF234&lt;0,0,ROUND('Quant. mod. (oc)'!AF234,0))</f>
        <v>0</v>
      </c>
      <c r="AG234" s="126">
        <f>IF('Quant. mod. (oc)'!AG234&lt;0,0,ROUND('Quant. mod. (oc)'!AG234,0))</f>
        <v>0</v>
      </c>
      <c r="AH234" s="22"/>
    </row>
    <row r="235" spans="1:34" x14ac:dyDescent="0.25">
      <c r="A235" s="112"/>
      <c r="B235" s="69" t="s">
        <v>211</v>
      </c>
      <c r="C235" s="133" t="s">
        <v>59</v>
      </c>
      <c r="D235" s="125">
        <f>IF('Quant. mod. (oc)'!D235&lt;0,0,ROUND('Quant. mod. (oc)'!D235,0))</f>
        <v>1</v>
      </c>
      <c r="E235" s="125">
        <f>IF('Quant. mod. (oc)'!E235&lt;0,0,ROUND('Quant. mod. (oc)'!E235,0))</f>
        <v>1</v>
      </c>
      <c r="F235" s="125">
        <f>IF('Quant. mod. (oc)'!F235&lt;0,0,ROUND('Quant. mod. (oc)'!F235,0))</f>
        <v>1</v>
      </c>
      <c r="G235" s="125">
        <f>IF('Quant. mod. (oc)'!G235&lt;0,0,ROUND('Quant. mod. (oc)'!G235,0))</f>
        <v>1</v>
      </c>
      <c r="H235" s="125">
        <f>IF('Quant. mod. (oc)'!H235&lt;0,0,ROUND('Quant. mod. (oc)'!H235,0))</f>
        <v>1</v>
      </c>
      <c r="I235" s="125">
        <f>IF('Quant. mod. (oc)'!I235&lt;0,0,ROUND('Quant. mod. (oc)'!I235,0))</f>
        <v>1</v>
      </c>
      <c r="J235" s="125">
        <f>IF('Quant. mod. (oc)'!J235&lt;0,0,ROUND('Quant. mod. (oc)'!J235,0))</f>
        <v>1</v>
      </c>
      <c r="K235" s="125">
        <f>IF('Quant. mod. (oc)'!K235&lt;0,0,ROUND('Quant. mod. (oc)'!K235,0))</f>
        <v>1</v>
      </c>
      <c r="L235" s="125">
        <f>IF('Quant. mod. (oc)'!L235&lt;0,0,ROUND('Quant. mod. (oc)'!L235,0))</f>
        <v>1</v>
      </c>
      <c r="M235" s="125">
        <f>IF('Quant. mod. (oc)'!M235&lt;0,0,ROUND('Quant. mod. (oc)'!M235,0))</f>
        <v>1</v>
      </c>
      <c r="N235" s="125">
        <f>IF('Quant. mod. (oc)'!N235&lt;0,0,ROUND('Quant. mod. (oc)'!N235,0))</f>
        <v>2</v>
      </c>
      <c r="O235" s="125">
        <f>IF('Quant. mod. (oc)'!O235&lt;0,0,ROUND('Quant. mod. (oc)'!O235,0))</f>
        <v>2</v>
      </c>
      <c r="P235" s="125">
        <f>IF('Quant. mod. (oc)'!P235&lt;0,0,ROUND('Quant. mod. (oc)'!P235,0))</f>
        <v>2</v>
      </c>
      <c r="Q235" s="125">
        <f>IF('Quant. mod. (oc)'!Q235&lt;0,0,ROUND('Quant. mod. (oc)'!Q235,0))</f>
        <v>2</v>
      </c>
      <c r="R235" s="125">
        <f>IF('Quant. mod. (oc)'!R235&lt;0,0,ROUND('Quant. mod. (oc)'!R235,0))</f>
        <v>2</v>
      </c>
      <c r="S235" s="125">
        <f>IF('Quant. mod. (oc)'!S235&lt;0,0,ROUND('Quant. mod. (oc)'!S235,0))</f>
        <v>2</v>
      </c>
      <c r="T235" s="125">
        <f>IF('Quant. mod. (oc)'!T235&lt;0,0,ROUND('Quant. mod. (oc)'!T235,0))</f>
        <v>2</v>
      </c>
      <c r="U235" s="125">
        <f>IF('Quant. mod. (oc)'!U235&lt;0,0,ROUND('Quant. mod. (oc)'!U235,0))</f>
        <v>2</v>
      </c>
      <c r="V235" s="125">
        <f>IF('Quant. mod. (oc)'!V235&lt;0,0,ROUND('Quant. mod. (oc)'!V235,0))</f>
        <v>2</v>
      </c>
      <c r="W235" s="125">
        <f>IF('Quant. mod. (oc)'!W235&lt;0,0,ROUND('Quant. mod. (oc)'!W235,0))</f>
        <v>2</v>
      </c>
      <c r="X235" s="125">
        <f>IF('Quant. mod. (oc)'!X235&lt;0,0,ROUND('Quant. mod. (oc)'!X235,0))</f>
        <v>0</v>
      </c>
      <c r="Y235" s="125">
        <f>IF('Quant. mod. (oc)'!Y235&lt;0,0,ROUND('Quant. mod. (oc)'!Y235,0))</f>
        <v>0</v>
      </c>
      <c r="Z235" s="125">
        <f>IF('Quant. mod. (oc)'!Z235&lt;0,0,ROUND('Quant. mod. (oc)'!Z235,0))</f>
        <v>0</v>
      </c>
      <c r="AA235" s="125">
        <f>IF('Quant. mod. (oc)'!AA235&lt;0,0,ROUND('Quant. mod. (oc)'!AA235,0))</f>
        <v>0</v>
      </c>
      <c r="AB235" s="125">
        <f>IF('Quant. mod. (oc)'!AB235&lt;0,0,ROUND('Quant. mod. (oc)'!AB235,0))</f>
        <v>0</v>
      </c>
      <c r="AC235" s="125">
        <f>IF('Quant. mod. (oc)'!AC235&lt;0,0,ROUND('Quant. mod. (oc)'!AC235,0))</f>
        <v>0</v>
      </c>
      <c r="AD235" s="125">
        <f>IF('Quant. mod. (oc)'!AD235&lt;0,0,ROUND('Quant. mod. (oc)'!AD235,0))</f>
        <v>0</v>
      </c>
      <c r="AE235" s="125">
        <f>IF('Quant. mod. (oc)'!AE235&lt;0,0,ROUND('Quant. mod. (oc)'!AE235,0))</f>
        <v>0</v>
      </c>
      <c r="AF235" s="125">
        <f>IF('Quant. mod. (oc)'!AF235&lt;0,0,ROUND('Quant. mod. (oc)'!AF235,0))</f>
        <v>0</v>
      </c>
      <c r="AG235" s="126">
        <f>IF('Quant. mod. (oc)'!AG235&lt;0,0,ROUND('Quant. mod. (oc)'!AG235,0))</f>
        <v>0</v>
      </c>
      <c r="AH235" s="22"/>
    </row>
    <row r="236" spans="1:34" x14ac:dyDescent="0.25">
      <c r="A236" s="112"/>
      <c r="B236" s="69" t="s">
        <v>212</v>
      </c>
      <c r="C236" s="133" t="s">
        <v>59</v>
      </c>
      <c r="D236" s="125">
        <f>IF('Quant. mod. (oc)'!D236&lt;0,0,ROUND('Quant. mod. (oc)'!D236,0))</f>
        <v>1</v>
      </c>
      <c r="E236" s="125">
        <f>IF('Quant. mod. (oc)'!E236&lt;0,0,ROUND('Quant. mod. (oc)'!E236,0))</f>
        <v>1</v>
      </c>
      <c r="F236" s="125">
        <f>IF('Quant. mod. (oc)'!F236&lt;0,0,ROUND('Quant. mod. (oc)'!F236,0))</f>
        <v>1</v>
      </c>
      <c r="G236" s="125">
        <f>IF('Quant. mod. (oc)'!G236&lt;0,0,ROUND('Quant. mod. (oc)'!G236,0))</f>
        <v>1</v>
      </c>
      <c r="H236" s="125">
        <f>IF('Quant. mod. (oc)'!H236&lt;0,0,ROUND('Quant. mod. (oc)'!H236,0))</f>
        <v>1</v>
      </c>
      <c r="I236" s="125">
        <f>IF('Quant. mod. (oc)'!I236&lt;0,0,ROUND('Quant. mod. (oc)'!I236,0))</f>
        <v>1</v>
      </c>
      <c r="J236" s="125">
        <f>IF('Quant. mod. (oc)'!J236&lt;0,0,ROUND('Quant. mod. (oc)'!J236,0))</f>
        <v>1</v>
      </c>
      <c r="K236" s="125">
        <f>IF('Quant. mod. (oc)'!K236&lt;0,0,ROUND('Quant. mod. (oc)'!K236,0))</f>
        <v>1</v>
      </c>
      <c r="L236" s="125">
        <f>IF('Quant. mod. (oc)'!L236&lt;0,0,ROUND('Quant. mod. (oc)'!L236,0))</f>
        <v>1</v>
      </c>
      <c r="M236" s="125">
        <f>IF('Quant. mod. (oc)'!M236&lt;0,0,ROUND('Quant. mod. (oc)'!M236,0))</f>
        <v>1</v>
      </c>
      <c r="N236" s="125">
        <f>IF('Quant. mod. (oc)'!N236&lt;0,0,ROUND('Quant. mod. (oc)'!N236,0))</f>
        <v>0</v>
      </c>
      <c r="O236" s="125">
        <f>IF('Quant. mod. (oc)'!O236&lt;0,0,ROUND('Quant. mod. (oc)'!O236,0))</f>
        <v>0</v>
      </c>
      <c r="P236" s="125">
        <f>IF('Quant. mod. (oc)'!P236&lt;0,0,ROUND('Quant. mod. (oc)'!P236,0))</f>
        <v>0</v>
      </c>
      <c r="Q236" s="125">
        <f>IF('Quant. mod. (oc)'!Q236&lt;0,0,ROUND('Quant. mod. (oc)'!Q236,0))</f>
        <v>0</v>
      </c>
      <c r="R236" s="125">
        <f>IF('Quant. mod. (oc)'!R236&lt;0,0,ROUND('Quant. mod. (oc)'!R236,0))</f>
        <v>0</v>
      </c>
      <c r="S236" s="125">
        <f>IF('Quant. mod. (oc)'!S236&lt;0,0,ROUND('Quant. mod. (oc)'!S236,0))</f>
        <v>0</v>
      </c>
      <c r="T236" s="125">
        <f>IF('Quant. mod. (oc)'!T236&lt;0,0,ROUND('Quant. mod. (oc)'!T236,0))</f>
        <v>0</v>
      </c>
      <c r="U236" s="125">
        <f>IF('Quant. mod. (oc)'!U236&lt;0,0,ROUND('Quant. mod. (oc)'!U236,0))</f>
        <v>0</v>
      </c>
      <c r="V236" s="125">
        <f>IF('Quant. mod. (oc)'!V236&lt;0,0,ROUND('Quant. mod. (oc)'!V236,0))</f>
        <v>0</v>
      </c>
      <c r="W236" s="125">
        <f>IF('Quant. mod. (oc)'!W236&lt;0,0,ROUND('Quant. mod. (oc)'!W236,0))</f>
        <v>0</v>
      </c>
      <c r="X236" s="125">
        <f>IF('Quant. mod. (oc)'!X236&lt;0,0,ROUND('Quant. mod. (oc)'!X236,0))</f>
        <v>1</v>
      </c>
      <c r="Y236" s="125">
        <f>IF('Quant. mod. (oc)'!Y236&lt;0,0,ROUND('Quant. mod. (oc)'!Y236,0))</f>
        <v>1</v>
      </c>
      <c r="Z236" s="125">
        <f>IF('Quant. mod. (oc)'!Z236&lt;0,0,ROUND('Quant. mod. (oc)'!Z236,0))</f>
        <v>1</v>
      </c>
      <c r="AA236" s="125">
        <f>IF('Quant. mod. (oc)'!AA236&lt;0,0,ROUND('Quant. mod. (oc)'!AA236,0))</f>
        <v>1</v>
      </c>
      <c r="AB236" s="125">
        <f>IF('Quant. mod. (oc)'!AB236&lt;0,0,ROUND('Quant. mod. (oc)'!AB236,0))</f>
        <v>1</v>
      </c>
      <c r="AC236" s="125">
        <f>IF('Quant. mod. (oc)'!AC236&lt;0,0,ROUND('Quant. mod. (oc)'!AC236,0))</f>
        <v>1</v>
      </c>
      <c r="AD236" s="125">
        <f>IF('Quant. mod. (oc)'!AD236&lt;0,0,ROUND('Quant. mod. (oc)'!AD236,0))</f>
        <v>1</v>
      </c>
      <c r="AE236" s="125">
        <f>IF('Quant. mod. (oc)'!AE236&lt;0,0,ROUND('Quant. mod. (oc)'!AE236,0))</f>
        <v>1</v>
      </c>
      <c r="AF236" s="125">
        <f>IF('Quant. mod. (oc)'!AF236&lt;0,0,ROUND('Quant. mod. (oc)'!AF236,0))</f>
        <v>1</v>
      </c>
      <c r="AG236" s="126">
        <f>IF('Quant. mod. (oc)'!AG236&lt;0,0,ROUND('Quant. mod. (oc)'!AG236,0))</f>
        <v>1</v>
      </c>
      <c r="AH236" s="22"/>
    </row>
    <row r="237" spans="1:34" x14ac:dyDescent="0.25">
      <c r="A237" s="112"/>
      <c r="B237" s="69" t="s">
        <v>213</v>
      </c>
      <c r="C237" s="133" t="s">
        <v>59</v>
      </c>
      <c r="D237" s="125">
        <f>IF('Quant. mod. (oc)'!D237&lt;0,0,ROUND('Quant. mod. (oc)'!D237,0))</f>
        <v>4</v>
      </c>
      <c r="E237" s="125">
        <f>IF('Quant. mod. (oc)'!E237&lt;0,0,ROUND('Quant. mod. (oc)'!E237,0))</f>
        <v>4</v>
      </c>
      <c r="F237" s="125">
        <f>IF('Quant. mod. (oc)'!F237&lt;0,0,ROUND('Quant. mod. (oc)'!F237,0))</f>
        <v>4</v>
      </c>
      <c r="G237" s="125">
        <f>IF('Quant. mod. (oc)'!G237&lt;0,0,ROUND('Quant. mod. (oc)'!G237,0))</f>
        <v>4</v>
      </c>
      <c r="H237" s="125">
        <f>IF('Quant. mod. (oc)'!H237&lt;0,0,ROUND('Quant. mod. (oc)'!H237,0))</f>
        <v>4</v>
      </c>
      <c r="I237" s="125">
        <f>IF('Quant. mod. (oc)'!I237&lt;0,0,ROUND('Quant. mod. (oc)'!I237,0))</f>
        <v>4</v>
      </c>
      <c r="J237" s="125">
        <f>IF('Quant. mod. (oc)'!J237&lt;0,0,ROUND('Quant. mod. (oc)'!J237,0))</f>
        <v>4</v>
      </c>
      <c r="K237" s="125">
        <f>IF('Quant. mod. (oc)'!K237&lt;0,0,ROUND('Quant. mod. (oc)'!K237,0))</f>
        <v>4</v>
      </c>
      <c r="L237" s="125">
        <f>IF('Quant. mod. (oc)'!L237&lt;0,0,ROUND('Quant. mod. (oc)'!L237,0))</f>
        <v>4</v>
      </c>
      <c r="M237" s="125">
        <f>IF('Quant. mod. (oc)'!M237&lt;0,0,ROUND('Quant. mod. (oc)'!M237,0))</f>
        <v>4</v>
      </c>
      <c r="N237" s="125">
        <f>IF('Quant. mod. (oc)'!N237&lt;0,0,ROUND('Quant. mod. (oc)'!N237,0))</f>
        <v>2</v>
      </c>
      <c r="O237" s="125">
        <f>IF('Quant. mod. (oc)'!O237&lt;0,0,ROUND('Quant. mod. (oc)'!O237,0))</f>
        <v>2</v>
      </c>
      <c r="P237" s="125">
        <f>IF('Quant. mod. (oc)'!P237&lt;0,0,ROUND('Quant. mod. (oc)'!P237,0))</f>
        <v>2</v>
      </c>
      <c r="Q237" s="125">
        <f>IF('Quant. mod. (oc)'!Q237&lt;0,0,ROUND('Quant. mod. (oc)'!Q237,0))</f>
        <v>2</v>
      </c>
      <c r="R237" s="125">
        <f>IF('Quant. mod. (oc)'!R237&lt;0,0,ROUND('Quant. mod. (oc)'!R237,0))</f>
        <v>2</v>
      </c>
      <c r="S237" s="125">
        <f>IF('Quant. mod. (oc)'!S237&lt;0,0,ROUND('Quant. mod. (oc)'!S237,0))</f>
        <v>2</v>
      </c>
      <c r="T237" s="125">
        <f>IF('Quant. mod. (oc)'!T237&lt;0,0,ROUND('Quant. mod. (oc)'!T237,0))</f>
        <v>2</v>
      </c>
      <c r="U237" s="125">
        <f>IF('Quant. mod. (oc)'!U237&lt;0,0,ROUND('Quant. mod. (oc)'!U237,0))</f>
        <v>2</v>
      </c>
      <c r="V237" s="125">
        <f>IF('Quant. mod. (oc)'!V237&lt;0,0,ROUND('Quant. mod. (oc)'!V237,0))</f>
        <v>2</v>
      </c>
      <c r="W237" s="125">
        <f>IF('Quant. mod. (oc)'!W237&lt;0,0,ROUND('Quant. mod. (oc)'!W237,0))</f>
        <v>2</v>
      </c>
      <c r="X237" s="125">
        <f>IF('Quant. mod. (oc)'!X237&lt;0,0,ROUND('Quant. mod. (oc)'!X237,0))</f>
        <v>1</v>
      </c>
      <c r="Y237" s="125">
        <f>IF('Quant. mod. (oc)'!Y237&lt;0,0,ROUND('Quant. mod. (oc)'!Y237,0))</f>
        <v>1</v>
      </c>
      <c r="Z237" s="125">
        <f>IF('Quant. mod. (oc)'!Z237&lt;0,0,ROUND('Quant. mod. (oc)'!Z237,0))</f>
        <v>1</v>
      </c>
      <c r="AA237" s="125">
        <f>IF('Quant. mod. (oc)'!AA237&lt;0,0,ROUND('Quant. mod. (oc)'!AA237,0))</f>
        <v>1</v>
      </c>
      <c r="AB237" s="125">
        <f>IF('Quant. mod. (oc)'!AB237&lt;0,0,ROUND('Quant. mod. (oc)'!AB237,0))</f>
        <v>1</v>
      </c>
      <c r="AC237" s="125">
        <f>IF('Quant. mod. (oc)'!AC237&lt;0,0,ROUND('Quant. mod. (oc)'!AC237,0))</f>
        <v>1</v>
      </c>
      <c r="AD237" s="125">
        <f>IF('Quant. mod. (oc)'!AD237&lt;0,0,ROUND('Quant. mod. (oc)'!AD237,0))</f>
        <v>1</v>
      </c>
      <c r="AE237" s="125">
        <f>IF('Quant. mod. (oc)'!AE237&lt;0,0,ROUND('Quant. mod. (oc)'!AE237,0))</f>
        <v>1</v>
      </c>
      <c r="AF237" s="125">
        <f>IF('Quant. mod. (oc)'!AF237&lt;0,0,ROUND('Quant. mod. (oc)'!AF237,0))</f>
        <v>1</v>
      </c>
      <c r="AG237" s="126">
        <f>IF('Quant. mod. (oc)'!AG237&lt;0,0,ROUND('Quant. mod. (oc)'!AG237,0))</f>
        <v>1</v>
      </c>
      <c r="AH237" s="22"/>
    </row>
    <row r="238" spans="1:34" x14ac:dyDescent="0.25">
      <c r="A238" s="112"/>
      <c r="B238" s="69" t="s">
        <v>214</v>
      </c>
      <c r="C238" s="133" t="s">
        <v>59</v>
      </c>
      <c r="D238" s="125">
        <f>IF('Quant. mod. (oc)'!D238&lt;0,0,ROUND('Quant. mod. (oc)'!D238,0))</f>
        <v>1</v>
      </c>
      <c r="E238" s="125">
        <f>IF('Quant. mod. (oc)'!E238&lt;0,0,ROUND('Quant. mod. (oc)'!E238,0))</f>
        <v>1</v>
      </c>
      <c r="F238" s="125">
        <f>IF('Quant. mod. (oc)'!F238&lt;0,0,ROUND('Quant. mod. (oc)'!F238,0))</f>
        <v>1</v>
      </c>
      <c r="G238" s="125">
        <f>IF('Quant. mod. (oc)'!G238&lt;0,0,ROUND('Quant. mod. (oc)'!G238,0))</f>
        <v>1</v>
      </c>
      <c r="H238" s="125">
        <f>IF('Quant. mod. (oc)'!H238&lt;0,0,ROUND('Quant. mod. (oc)'!H238,0))</f>
        <v>1</v>
      </c>
      <c r="I238" s="125">
        <f>IF('Quant. mod. (oc)'!I238&lt;0,0,ROUND('Quant. mod. (oc)'!I238,0))</f>
        <v>1</v>
      </c>
      <c r="J238" s="125">
        <f>IF('Quant. mod. (oc)'!J238&lt;0,0,ROUND('Quant. mod. (oc)'!J238,0))</f>
        <v>1</v>
      </c>
      <c r="K238" s="125">
        <f>IF('Quant. mod. (oc)'!K238&lt;0,0,ROUND('Quant. mod. (oc)'!K238,0))</f>
        <v>1</v>
      </c>
      <c r="L238" s="125">
        <f>IF('Quant. mod. (oc)'!L238&lt;0,0,ROUND('Quant. mod. (oc)'!L238,0))</f>
        <v>1</v>
      </c>
      <c r="M238" s="125">
        <f>IF('Quant. mod. (oc)'!M238&lt;0,0,ROUND('Quant. mod. (oc)'!M238,0))</f>
        <v>1</v>
      </c>
      <c r="N238" s="125">
        <f>IF('Quant. mod. (oc)'!N238&lt;0,0,ROUND('Quant. mod. (oc)'!N238,0))</f>
        <v>2</v>
      </c>
      <c r="O238" s="125">
        <f>IF('Quant. mod. (oc)'!O238&lt;0,0,ROUND('Quant. mod. (oc)'!O238,0))</f>
        <v>2</v>
      </c>
      <c r="P238" s="125">
        <f>IF('Quant. mod. (oc)'!P238&lt;0,0,ROUND('Quant. mod. (oc)'!P238,0))</f>
        <v>2</v>
      </c>
      <c r="Q238" s="125">
        <f>IF('Quant. mod. (oc)'!Q238&lt;0,0,ROUND('Quant. mod. (oc)'!Q238,0))</f>
        <v>2</v>
      </c>
      <c r="R238" s="125">
        <f>IF('Quant. mod. (oc)'!R238&lt;0,0,ROUND('Quant. mod. (oc)'!R238,0))</f>
        <v>2</v>
      </c>
      <c r="S238" s="125">
        <f>IF('Quant. mod. (oc)'!S238&lt;0,0,ROUND('Quant. mod. (oc)'!S238,0))</f>
        <v>2</v>
      </c>
      <c r="T238" s="125">
        <f>IF('Quant. mod. (oc)'!T238&lt;0,0,ROUND('Quant. mod. (oc)'!T238,0))</f>
        <v>2</v>
      </c>
      <c r="U238" s="125">
        <f>IF('Quant. mod. (oc)'!U238&lt;0,0,ROUND('Quant. mod. (oc)'!U238,0))</f>
        <v>2</v>
      </c>
      <c r="V238" s="125">
        <f>IF('Quant. mod. (oc)'!V238&lt;0,0,ROUND('Quant. mod. (oc)'!V238,0))</f>
        <v>2</v>
      </c>
      <c r="W238" s="125">
        <f>IF('Quant. mod. (oc)'!W238&lt;0,0,ROUND('Quant. mod. (oc)'!W238,0))</f>
        <v>2</v>
      </c>
      <c r="X238" s="125">
        <f>IF('Quant. mod. (oc)'!X238&lt;0,0,ROUND('Quant. mod. (oc)'!X238,0))</f>
        <v>0</v>
      </c>
      <c r="Y238" s="125">
        <f>IF('Quant. mod. (oc)'!Y238&lt;0,0,ROUND('Quant. mod. (oc)'!Y238,0))</f>
        <v>0</v>
      </c>
      <c r="Z238" s="125">
        <f>IF('Quant. mod. (oc)'!Z238&lt;0,0,ROUND('Quant. mod. (oc)'!Z238,0))</f>
        <v>0</v>
      </c>
      <c r="AA238" s="125">
        <f>IF('Quant. mod. (oc)'!AA238&lt;0,0,ROUND('Quant. mod. (oc)'!AA238,0))</f>
        <v>0</v>
      </c>
      <c r="AB238" s="125">
        <f>IF('Quant. mod. (oc)'!AB238&lt;0,0,ROUND('Quant. mod. (oc)'!AB238,0))</f>
        <v>0</v>
      </c>
      <c r="AC238" s="125">
        <f>IF('Quant. mod. (oc)'!AC238&lt;0,0,ROUND('Quant. mod. (oc)'!AC238,0))</f>
        <v>0</v>
      </c>
      <c r="AD238" s="125">
        <f>IF('Quant. mod. (oc)'!AD238&lt;0,0,ROUND('Quant. mod. (oc)'!AD238,0))</f>
        <v>0</v>
      </c>
      <c r="AE238" s="125">
        <f>IF('Quant. mod. (oc)'!AE238&lt;0,0,ROUND('Quant. mod. (oc)'!AE238,0))</f>
        <v>0</v>
      </c>
      <c r="AF238" s="125">
        <f>IF('Quant. mod. (oc)'!AF238&lt;0,0,ROUND('Quant. mod. (oc)'!AF238,0))</f>
        <v>0</v>
      </c>
      <c r="AG238" s="126">
        <f>IF('Quant. mod. (oc)'!AG238&lt;0,0,ROUND('Quant. mod. (oc)'!AG238,0))</f>
        <v>0</v>
      </c>
      <c r="AH238" s="22"/>
    </row>
    <row r="239" spans="1:34" x14ac:dyDescent="0.25">
      <c r="A239" s="112"/>
      <c r="B239" s="69" t="s">
        <v>215</v>
      </c>
      <c r="C239" s="133" t="s">
        <v>59</v>
      </c>
      <c r="D239" s="125">
        <f>IF('Quant. mod. (oc)'!D239&lt;0,0,ROUND('Quant. mod. (oc)'!D239,0))</f>
        <v>0</v>
      </c>
      <c r="E239" s="125">
        <f>IF('Quant. mod. (oc)'!E239&lt;0,0,ROUND('Quant. mod. (oc)'!E239,0))</f>
        <v>0</v>
      </c>
      <c r="F239" s="125">
        <f>IF('Quant. mod. (oc)'!F239&lt;0,0,ROUND('Quant. mod. (oc)'!F239,0))</f>
        <v>0</v>
      </c>
      <c r="G239" s="125">
        <f>IF('Quant. mod. (oc)'!G239&lt;0,0,ROUND('Quant. mod. (oc)'!G239,0))</f>
        <v>0</v>
      </c>
      <c r="H239" s="125">
        <f>IF('Quant. mod. (oc)'!H239&lt;0,0,ROUND('Quant. mod. (oc)'!H239,0))</f>
        <v>0</v>
      </c>
      <c r="I239" s="125">
        <f>IF('Quant. mod. (oc)'!I239&lt;0,0,ROUND('Quant. mod. (oc)'!I239,0))</f>
        <v>0</v>
      </c>
      <c r="J239" s="125">
        <f>IF('Quant. mod. (oc)'!J239&lt;0,0,ROUND('Quant. mod. (oc)'!J239,0))</f>
        <v>0</v>
      </c>
      <c r="K239" s="125">
        <f>IF('Quant. mod. (oc)'!K239&lt;0,0,ROUND('Quant. mod. (oc)'!K239,0))</f>
        <v>0</v>
      </c>
      <c r="L239" s="125">
        <f>IF('Quant. mod. (oc)'!L239&lt;0,0,ROUND('Quant. mod. (oc)'!L239,0))</f>
        <v>0</v>
      </c>
      <c r="M239" s="125">
        <f>IF('Quant. mod. (oc)'!M239&lt;0,0,ROUND('Quant. mod. (oc)'!M239,0))</f>
        <v>0</v>
      </c>
      <c r="N239" s="125">
        <f>IF('Quant. mod. (oc)'!N239&lt;0,0,ROUND('Quant. mod. (oc)'!N239,0))</f>
        <v>0</v>
      </c>
      <c r="O239" s="125">
        <f>IF('Quant. mod. (oc)'!O239&lt;0,0,ROUND('Quant. mod. (oc)'!O239,0))</f>
        <v>0</v>
      </c>
      <c r="P239" s="125">
        <f>IF('Quant. mod. (oc)'!P239&lt;0,0,ROUND('Quant. mod. (oc)'!P239,0))</f>
        <v>0</v>
      </c>
      <c r="Q239" s="125">
        <f>IF('Quant. mod. (oc)'!Q239&lt;0,0,ROUND('Quant. mod. (oc)'!Q239,0))</f>
        <v>0</v>
      </c>
      <c r="R239" s="125">
        <f>IF('Quant. mod. (oc)'!R239&lt;0,0,ROUND('Quant. mod. (oc)'!R239,0))</f>
        <v>0</v>
      </c>
      <c r="S239" s="125">
        <f>IF('Quant. mod. (oc)'!S239&lt;0,0,ROUND('Quant. mod. (oc)'!S239,0))</f>
        <v>0</v>
      </c>
      <c r="T239" s="125">
        <f>IF('Quant. mod. (oc)'!T239&lt;0,0,ROUND('Quant. mod. (oc)'!T239,0))</f>
        <v>0</v>
      </c>
      <c r="U239" s="125">
        <f>IF('Quant. mod. (oc)'!U239&lt;0,0,ROUND('Quant. mod. (oc)'!U239,0))</f>
        <v>0</v>
      </c>
      <c r="V239" s="125">
        <f>IF('Quant. mod. (oc)'!V239&lt;0,0,ROUND('Quant. mod. (oc)'!V239,0))</f>
        <v>0</v>
      </c>
      <c r="W239" s="125">
        <f>IF('Quant. mod. (oc)'!W239&lt;0,0,ROUND('Quant. mod. (oc)'!W239,0))</f>
        <v>0</v>
      </c>
      <c r="X239" s="125">
        <f>IF('Quant. mod. (oc)'!X239&lt;0,0,ROUND('Quant. mod. (oc)'!X239,0))</f>
        <v>0</v>
      </c>
      <c r="Y239" s="125">
        <f>IF('Quant. mod. (oc)'!Y239&lt;0,0,ROUND('Quant. mod. (oc)'!Y239,0))</f>
        <v>0</v>
      </c>
      <c r="Z239" s="125">
        <f>IF('Quant. mod. (oc)'!Z239&lt;0,0,ROUND('Quant. mod. (oc)'!Z239,0))</f>
        <v>0</v>
      </c>
      <c r="AA239" s="125">
        <f>IF('Quant. mod. (oc)'!AA239&lt;0,0,ROUND('Quant. mod. (oc)'!AA239,0))</f>
        <v>0</v>
      </c>
      <c r="AB239" s="125">
        <f>IF('Quant. mod. (oc)'!AB239&lt;0,0,ROUND('Quant. mod. (oc)'!AB239,0))</f>
        <v>0</v>
      </c>
      <c r="AC239" s="125">
        <f>IF('Quant. mod. (oc)'!AC239&lt;0,0,ROUND('Quant. mod. (oc)'!AC239,0))</f>
        <v>0</v>
      </c>
      <c r="AD239" s="125">
        <f>IF('Quant. mod. (oc)'!AD239&lt;0,0,ROUND('Quant. mod. (oc)'!AD239,0))</f>
        <v>0</v>
      </c>
      <c r="AE239" s="125">
        <f>IF('Quant. mod. (oc)'!AE239&lt;0,0,ROUND('Quant. mod. (oc)'!AE239,0))</f>
        <v>0</v>
      </c>
      <c r="AF239" s="125">
        <f>IF('Quant. mod. (oc)'!AF239&lt;0,0,ROUND('Quant. mod. (oc)'!AF239,0))</f>
        <v>0</v>
      </c>
      <c r="AG239" s="126">
        <f>IF('Quant. mod. (oc)'!AG239&lt;0,0,ROUND('Quant. mod. (oc)'!AG239,0))</f>
        <v>0</v>
      </c>
      <c r="AH239" s="22"/>
    </row>
    <row r="240" spans="1:34" x14ac:dyDescent="0.25">
      <c r="A240" s="112"/>
      <c r="B240" s="69" t="s">
        <v>216</v>
      </c>
      <c r="C240" s="133" t="s">
        <v>59</v>
      </c>
      <c r="D240" s="125">
        <f>IF('Quant. mod. (oc)'!D240&lt;0,0,ROUND('Quant. mod. (oc)'!D240,0))</f>
        <v>0</v>
      </c>
      <c r="E240" s="125">
        <f>IF('Quant. mod. (oc)'!E240&lt;0,0,ROUND('Quant. mod. (oc)'!E240,0))</f>
        <v>0</v>
      </c>
      <c r="F240" s="125">
        <f>IF('Quant. mod. (oc)'!F240&lt;0,0,ROUND('Quant. mod. (oc)'!F240,0))</f>
        <v>0</v>
      </c>
      <c r="G240" s="125">
        <f>IF('Quant. mod. (oc)'!G240&lt;0,0,ROUND('Quant. mod. (oc)'!G240,0))</f>
        <v>0</v>
      </c>
      <c r="H240" s="125">
        <f>IF('Quant. mod. (oc)'!H240&lt;0,0,ROUND('Quant. mod. (oc)'!H240,0))</f>
        <v>0</v>
      </c>
      <c r="I240" s="125">
        <f>IF('Quant. mod. (oc)'!I240&lt;0,0,ROUND('Quant. mod. (oc)'!I240,0))</f>
        <v>0</v>
      </c>
      <c r="J240" s="125">
        <f>IF('Quant. mod. (oc)'!J240&lt;0,0,ROUND('Quant. mod. (oc)'!J240,0))</f>
        <v>0</v>
      </c>
      <c r="K240" s="125">
        <f>IF('Quant. mod. (oc)'!K240&lt;0,0,ROUND('Quant. mod. (oc)'!K240,0))</f>
        <v>0</v>
      </c>
      <c r="L240" s="125">
        <f>IF('Quant. mod. (oc)'!L240&lt;0,0,ROUND('Quant. mod. (oc)'!L240,0))</f>
        <v>0</v>
      </c>
      <c r="M240" s="125">
        <f>IF('Quant. mod. (oc)'!M240&lt;0,0,ROUND('Quant. mod. (oc)'!M240,0))</f>
        <v>0</v>
      </c>
      <c r="N240" s="125">
        <f>IF('Quant. mod. (oc)'!N240&lt;0,0,ROUND('Quant. mod. (oc)'!N240,0))</f>
        <v>0</v>
      </c>
      <c r="O240" s="125">
        <f>IF('Quant. mod. (oc)'!O240&lt;0,0,ROUND('Quant. mod. (oc)'!O240,0))</f>
        <v>0</v>
      </c>
      <c r="P240" s="125">
        <f>IF('Quant. mod. (oc)'!P240&lt;0,0,ROUND('Quant. mod. (oc)'!P240,0))</f>
        <v>0</v>
      </c>
      <c r="Q240" s="125">
        <f>IF('Quant. mod. (oc)'!Q240&lt;0,0,ROUND('Quant. mod. (oc)'!Q240,0))</f>
        <v>0</v>
      </c>
      <c r="R240" s="125">
        <f>IF('Quant. mod. (oc)'!R240&lt;0,0,ROUND('Quant. mod. (oc)'!R240,0))</f>
        <v>0</v>
      </c>
      <c r="S240" s="125">
        <f>IF('Quant. mod. (oc)'!S240&lt;0,0,ROUND('Quant. mod. (oc)'!S240,0))</f>
        <v>0</v>
      </c>
      <c r="T240" s="125">
        <f>IF('Quant. mod. (oc)'!T240&lt;0,0,ROUND('Quant. mod. (oc)'!T240,0))</f>
        <v>0</v>
      </c>
      <c r="U240" s="125">
        <f>IF('Quant. mod. (oc)'!U240&lt;0,0,ROUND('Quant. mod. (oc)'!U240,0))</f>
        <v>0</v>
      </c>
      <c r="V240" s="125">
        <f>IF('Quant. mod. (oc)'!V240&lt;0,0,ROUND('Quant. mod. (oc)'!V240,0))</f>
        <v>0</v>
      </c>
      <c r="W240" s="125">
        <f>IF('Quant. mod. (oc)'!W240&lt;0,0,ROUND('Quant. mod. (oc)'!W240,0))</f>
        <v>0</v>
      </c>
      <c r="X240" s="125">
        <f>IF('Quant. mod. (oc)'!X240&lt;0,0,ROUND('Quant. mod. (oc)'!X240,0))</f>
        <v>0</v>
      </c>
      <c r="Y240" s="125">
        <f>IF('Quant. mod. (oc)'!Y240&lt;0,0,ROUND('Quant. mod. (oc)'!Y240,0))</f>
        <v>0</v>
      </c>
      <c r="Z240" s="125">
        <f>IF('Quant. mod. (oc)'!Z240&lt;0,0,ROUND('Quant. mod. (oc)'!Z240,0))</f>
        <v>0</v>
      </c>
      <c r="AA240" s="125">
        <f>IF('Quant. mod. (oc)'!AA240&lt;0,0,ROUND('Quant. mod. (oc)'!AA240,0))</f>
        <v>0</v>
      </c>
      <c r="AB240" s="125">
        <f>IF('Quant. mod. (oc)'!AB240&lt;0,0,ROUND('Quant. mod. (oc)'!AB240,0))</f>
        <v>0</v>
      </c>
      <c r="AC240" s="125">
        <f>IF('Quant. mod. (oc)'!AC240&lt;0,0,ROUND('Quant. mod. (oc)'!AC240,0))</f>
        <v>0</v>
      </c>
      <c r="AD240" s="125">
        <f>IF('Quant. mod. (oc)'!AD240&lt;0,0,ROUND('Quant. mod. (oc)'!AD240,0))</f>
        <v>0</v>
      </c>
      <c r="AE240" s="125">
        <f>IF('Quant. mod. (oc)'!AE240&lt;0,0,ROUND('Quant. mod. (oc)'!AE240,0))</f>
        <v>0</v>
      </c>
      <c r="AF240" s="125">
        <f>IF('Quant. mod. (oc)'!AF240&lt;0,0,ROUND('Quant. mod. (oc)'!AF240,0))</f>
        <v>0</v>
      </c>
      <c r="AG240" s="126">
        <f>IF('Quant. mod. (oc)'!AG240&lt;0,0,ROUND('Quant. mod. (oc)'!AG240,0))</f>
        <v>0</v>
      </c>
      <c r="AH240" s="22"/>
    </row>
    <row r="241" spans="1:34" x14ac:dyDescent="0.25">
      <c r="A241" s="112"/>
      <c r="B241" s="69" t="s">
        <v>217</v>
      </c>
      <c r="C241" s="133" t="s">
        <v>59</v>
      </c>
      <c r="D241" s="125">
        <f>IF('Quant. mod. (oc)'!D241&lt;0,0,ROUND('Quant. mod. (oc)'!D241,0))</f>
        <v>0</v>
      </c>
      <c r="E241" s="125">
        <f>IF('Quant. mod. (oc)'!E241&lt;0,0,ROUND('Quant. mod. (oc)'!E241,0))</f>
        <v>0</v>
      </c>
      <c r="F241" s="125">
        <f>IF('Quant. mod. (oc)'!F241&lt;0,0,ROUND('Quant. mod. (oc)'!F241,0))</f>
        <v>0</v>
      </c>
      <c r="G241" s="125">
        <f>IF('Quant. mod. (oc)'!G241&lt;0,0,ROUND('Quant. mod. (oc)'!G241,0))</f>
        <v>0</v>
      </c>
      <c r="H241" s="125">
        <f>IF('Quant. mod. (oc)'!H241&lt;0,0,ROUND('Quant. mod. (oc)'!H241,0))</f>
        <v>0</v>
      </c>
      <c r="I241" s="125">
        <f>IF('Quant. mod. (oc)'!I241&lt;0,0,ROUND('Quant. mod. (oc)'!I241,0))</f>
        <v>0</v>
      </c>
      <c r="J241" s="125">
        <f>IF('Quant. mod. (oc)'!J241&lt;0,0,ROUND('Quant. mod. (oc)'!J241,0))</f>
        <v>0</v>
      </c>
      <c r="K241" s="125">
        <f>IF('Quant. mod. (oc)'!K241&lt;0,0,ROUND('Quant. mod. (oc)'!K241,0))</f>
        <v>0</v>
      </c>
      <c r="L241" s="125">
        <f>IF('Quant. mod. (oc)'!L241&lt;0,0,ROUND('Quant. mod. (oc)'!L241,0))</f>
        <v>0</v>
      </c>
      <c r="M241" s="125">
        <f>IF('Quant. mod. (oc)'!M241&lt;0,0,ROUND('Quant. mod. (oc)'!M241,0))</f>
        <v>0</v>
      </c>
      <c r="N241" s="125">
        <f>IF('Quant. mod. (oc)'!N241&lt;0,0,ROUND('Quant. mod. (oc)'!N241,0))</f>
        <v>2</v>
      </c>
      <c r="O241" s="125">
        <f>IF('Quant. mod. (oc)'!O241&lt;0,0,ROUND('Quant. mod. (oc)'!O241,0))</f>
        <v>2</v>
      </c>
      <c r="P241" s="125">
        <f>IF('Quant. mod. (oc)'!P241&lt;0,0,ROUND('Quant. mod. (oc)'!P241,0))</f>
        <v>2</v>
      </c>
      <c r="Q241" s="125">
        <f>IF('Quant. mod. (oc)'!Q241&lt;0,0,ROUND('Quant. mod. (oc)'!Q241,0))</f>
        <v>2</v>
      </c>
      <c r="R241" s="125">
        <f>IF('Quant. mod. (oc)'!R241&lt;0,0,ROUND('Quant. mod. (oc)'!R241,0))</f>
        <v>2</v>
      </c>
      <c r="S241" s="125">
        <f>IF('Quant. mod. (oc)'!S241&lt;0,0,ROUND('Quant. mod. (oc)'!S241,0))</f>
        <v>2</v>
      </c>
      <c r="T241" s="125">
        <f>IF('Quant. mod. (oc)'!T241&lt;0,0,ROUND('Quant. mod. (oc)'!T241,0))</f>
        <v>2</v>
      </c>
      <c r="U241" s="125">
        <f>IF('Quant. mod. (oc)'!U241&lt;0,0,ROUND('Quant. mod. (oc)'!U241,0))</f>
        <v>2</v>
      </c>
      <c r="V241" s="125">
        <f>IF('Quant. mod. (oc)'!V241&lt;0,0,ROUND('Quant. mod. (oc)'!V241,0))</f>
        <v>2</v>
      </c>
      <c r="W241" s="125">
        <f>IF('Quant. mod. (oc)'!W241&lt;0,0,ROUND('Quant. mod. (oc)'!W241,0))</f>
        <v>2</v>
      </c>
      <c r="X241" s="125">
        <f>IF('Quant. mod. (oc)'!X241&lt;0,0,ROUND('Quant. mod. (oc)'!X241,0))</f>
        <v>0</v>
      </c>
      <c r="Y241" s="125">
        <f>IF('Quant. mod. (oc)'!Y241&lt;0,0,ROUND('Quant. mod. (oc)'!Y241,0))</f>
        <v>0</v>
      </c>
      <c r="Z241" s="125">
        <f>IF('Quant. mod. (oc)'!Z241&lt;0,0,ROUND('Quant. mod. (oc)'!Z241,0))</f>
        <v>0</v>
      </c>
      <c r="AA241" s="125">
        <f>IF('Quant. mod. (oc)'!AA241&lt;0,0,ROUND('Quant. mod. (oc)'!AA241,0))</f>
        <v>0</v>
      </c>
      <c r="AB241" s="125">
        <f>IF('Quant. mod. (oc)'!AB241&lt;0,0,ROUND('Quant. mod. (oc)'!AB241,0))</f>
        <v>0</v>
      </c>
      <c r="AC241" s="125">
        <f>IF('Quant. mod. (oc)'!AC241&lt;0,0,ROUND('Quant. mod. (oc)'!AC241,0))</f>
        <v>0</v>
      </c>
      <c r="AD241" s="125">
        <f>IF('Quant. mod. (oc)'!AD241&lt;0,0,ROUND('Quant. mod. (oc)'!AD241,0))</f>
        <v>0</v>
      </c>
      <c r="AE241" s="125">
        <f>IF('Quant. mod. (oc)'!AE241&lt;0,0,ROUND('Quant. mod. (oc)'!AE241,0))</f>
        <v>0</v>
      </c>
      <c r="AF241" s="125">
        <f>IF('Quant. mod. (oc)'!AF241&lt;0,0,ROUND('Quant. mod. (oc)'!AF241,0))</f>
        <v>0</v>
      </c>
      <c r="AG241" s="126">
        <f>IF('Quant. mod. (oc)'!AG241&lt;0,0,ROUND('Quant. mod. (oc)'!AG241,0))</f>
        <v>0</v>
      </c>
      <c r="AH241" s="22"/>
    </row>
    <row r="242" spans="1:34" x14ac:dyDescent="0.25">
      <c r="A242" s="112"/>
      <c r="B242" s="69" t="s">
        <v>218</v>
      </c>
      <c r="C242" s="133" t="s">
        <v>59</v>
      </c>
      <c r="D242" s="125">
        <f>IF('Quant. mod. (oc)'!D242&lt;0,0,ROUND('Quant. mod. (oc)'!D242,0))</f>
        <v>0</v>
      </c>
      <c r="E242" s="125">
        <f>IF('Quant. mod. (oc)'!E242&lt;0,0,ROUND('Quant. mod. (oc)'!E242,0))</f>
        <v>0</v>
      </c>
      <c r="F242" s="125">
        <f>IF('Quant. mod. (oc)'!F242&lt;0,0,ROUND('Quant. mod. (oc)'!F242,0))</f>
        <v>0</v>
      </c>
      <c r="G242" s="125">
        <f>IF('Quant. mod. (oc)'!G242&lt;0,0,ROUND('Quant. mod. (oc)'!G242,0))</f>
        <v>0</v>
      </c>
      <c r="H242" s="125">
        <f>IF('Quant. mod. (oc)'!H242&lt;0,0,ROUND('Quant. mod. (oc)'!H242,0))</f>
        <v>0</v>
      </c>
      <c r="I242" s="125">
        <f>IF('Quant. mod. (oc)'!I242&lt;0,0,ROUND('Quant. mod. (oc)'!I242,0))</f>
        <v>0</v>
      </c>
      <c r="J242" s="125">
        <f>IF('Quant. mod. (oc)'!J242&lt;0,0,ROUND('Quant. mod. (oc)'!J242,0))</f>
        <v>0</v>
      </c>
      <c r="K242" s="125">
        <f>IF('Quant. mod. (oc)'!K242&lt;0,0,ROUND('Quant. mod. (oc)'!K242,0))</f>
        <v>0</v>
      </c>
      <c r="L242" s="125">
        <f>IF('Quant. mod. (oc)'!L242&lt;0,0,ROUND('Quant. mod. (oc)'!L242,0))</f>
        <v>0</v>
      </c>
      <c r="M242" s="125">
        <f>IF('Quant. mod. (oc)'!M242&lt;0,0,ROUND('Quant. mod. (oc)'!M242,0))</f>
        <v>0</v>
      </c>
      <c r="N242" s="125">
        <f>IF('Quant. mod. (oc)'!N242&lt;0,0,ROUND('Quant. mod. (oc)'!N242,0))</f>
        <v>0</v>
      </c>
      <c r="O242" s="125">
        <f>IF('Quant. mod. (oc)'!O242&lt;0,0,ROUND('Quant. mod. (oc)'!O242,0))</f>
        <v>0</v>
      </c>
      <c r="P242" s="125">
        <f>IF('Quant. mod. (oc)'!P242&lt;0,0,ROUND('Quant. mod. (oc)'!P242,0))</f>
        <v>0</v>
      </c>
      <c r="Q242" s="125">
        <f>IF('Quant. mod. (oc)'!Q242&lt;0,0,ROUND('Quant. mod. (oc)'!Q242,0))</f>
        <v>0</v>
      </c>
      <c r="R242" s="125">
        <f>IF('Quant. mod. (oc)'!R242&lt;0,0,ROUND('Quant. mod. (oc)'!R242,0))</f>
        <v>0</v>
      </c>
      <c r="S242" s="125">
        <f>IF('Quant. mod. (oc)'!S242&lt;0,0,ROUND('Quant. mod. (oc)'!S242,0))</f>
        <v>0</v>
      </c>
      <c r="T242" s="125">
        <f>IF('Quant. mod. (oc)'!T242&lt;0,0,ROUND('Quant. mod. (oc)'!T242,0))</f>
        <v>0</v>
      </c>
      <c r="U242" s="125">
        <f>IF('Quant. mod. (oc)'!U242&lt;0,0,ROUND('Quant. mod. (oc)'!U242,0))</f>
        <v>0</v>
      </c>
      <c r="V242" s="125">
        <f>IF('Quant. mod. (oc)'!V242&lt;0,0,ROUND('Quant. mod. (oc)'!V242,0))</f>
        <v>0</v>
      </c>
      <c r="W242" s="125">
        <f>IF('Quant. mod. (oc)'!W242&lt;0,0,ROUND('Quant. mod. (oc)'!W242,0))</f>
        <v>0</v>
      </c>
      <c r="X242" s="125">
        <f>IF('Quant. mod. (oc)'!X242&lt;0,0,ROUND('Quant. mod. (oc)'!X242,0))</f>
        <v>0</v>
      </c>
      <c r="Y242" s="125">
        <f>IF('Quant. mod. (oc)'!Y242&lt;0,0,ROUND('Quant. mod. (oc)'!Y242,0))</f>
        <v>0</v>
      </c>
      <c r="Z242" s="125">
        <f>IF('Quant. mod. (oc)'!Z242&lt;0,0,ROUND('Quant. mod. (oc)'!Z242,0))</f>
        <v>0</v>
      </c>
      <c r="AA242" s="125">
        <f>IF('Quant. mod. (oc)'!AA242&lt;0,0,ROUND('Quant. mod. (oc)'!AA242,0))</f>
        <v>0</v>
      </c>
      <c r="AB242" s="125">
        <f>IF('Quant. mod. (oc)'!AB242&lt;0,0,ROUND('Quant. mod. (oc)'!AB242,0))</f>
        <v>0</v>
      </c>
      <c r="AC242" s="125">
        <f>IF('Quant. mod. (oc)'!AC242&lt;0,0,ROUND('Quant. mod. (oc)'!AC242,0))</f>
        <v>0</v>
      </c>
      <c r="AD242" s="125">
        <f>IF('Quant. mod. (oc)'!AD242&lt;0,0,ROUND('Quant. mod. (oc)'!AD242,0))</f>
        <v>0</v>
      </c>
      <c r="AE242" s="125">
        <f>IF('Quant. mod. (oc)'!AE242&lt;0,0,ROUND('Quant. mod. (oc)'!AE242,0))</f>
        <v>0</v>
      </c>
      <c r="AF242" s="125">
        <f>IF('Quant. mod. (oc)'!AF242&lt;0,0,ROUND('Quant. mod. (oc)'!AF242,0))</f>
        <v>0</v>
      </c>
      <c r="AG242" s="126">
        <f>IF('Quant. mod. (oc)'!AG242&lt;0,0,ROUND('Quant. mod. (oc)'!AG242,0))</f>
        <v>0</v>
      </c>
      <c r="AH242" s="22"/>
    </row>
    <row r="243" spans="1:34" x14ac:dyDescent="0.25">
      <c r="A243" s="112"/>
      <c r="B243" s="69" t="s">
        <v>221</v>
      </c>
      <c r="C243" s="133" t="s">
        <v>59</v>
      </c>
      <c r="D243" s="125">
        <f>IF('Quant. mod. (oc)'!D243&lt;0,0,ROUND('Quant. mod. (oc)'!D243,0))</f>
        <v>4</v>
      </c>
      <c r="E243" s="125">
        <f>IF('Quant. mod. (oc)'!E243&lt;0,0,ROUND('Quant. mod. (oc)'!E243,0))</f>
        <v>4</v>
      </c>
      <c r="F243" s="125">
        <f>IF('Quant. mod. (oc)'!F243&lt;0,0,ROUND('Quant. mod. (oc)'!F243,0))</f>
        <v>4</v>
      </c>
      <c r="G243" s="125">
        <f>IF('Quant. mod. (oc)'!G243&lt;0,0,ROUND('Quant. mod. (oc)'!G243,0))</f>
        <v>4</v>
      </c>
      <c r="H243" s="125">
        <f>IF('Quant. mod. (oc)'!H243&lt;0,0,ROUND('Quant. mod. (oc)'!H243,0))</f>
        <v>4</v>
      </c>
      <c r="I243" s="125">
        <f>IF('Quant. mod. (oc)'!I243&lt;0,0,ROUND('Quant. mod. (oc)'!I243,0))</f>
        <v>4</v>
      </c>
      <c r="J243" s="125">
        <f>IF('Quant. mod. (oc)'!J243&lt;0,0,ROUND('Quant. mod. (oc)'!J243,0))</f>
        <v>4</v>
      </c>
      <c r="K243" s="125">
        <f>IF('Quant. mod. (oc)'!K243&lt;0,0,ROUND('Quant. mod. (oc)'!K243,0))</f>
        <v>4</v>
      </c>
      <c r="L243" s="125">
        <f>IF('Quant. mod. (oc)'!L243&lt;0,0,ROUND('Quant. mod. (oc)'!L243,0))</f>
        <v>4</v>
      </c>
      <c r="M243" s="125">
        <f>IF('Quant. mod. (oc)'!M243&lt;0,0,ROUND('Quant. mod. (oc)'!M243,0))</f>
        <v>4</v>
      </c>
      <c r="N243" s="125">
        <f>IF('Quant. mod. (oc)'!N243&lt;0,0,ROUND('Quant. mod. (oc)'!N243,0))</f>
        <v>4</v>
      </c>
      <c r="O243" s="125">
        <f>IF('Quant. mod. (oc)'!O243&lt;0,0,ROUND('Quant. mod. (oc)'!O243,0))</f>
        <v>4</v>
      </c>
      <c r="P243" s="125">
        <f>IF('Quant. mod. (oc)'!P243&lt;0,0,ROUND('Quant. mod. (oc)'!P243,0))</f>
        <v>4</v>
      </c>
      <c r="Q243" s="125">
        <f>IF('Quant. mod. (oc)'!Q243&lt;0,0,ROUND('Quant. mod. (oc)'!Q243,0))</f>
        <v>4</v>
      </c>
      <c r="R243" s="125">
        <f>IF('Quant. mod. (oc)'!R243&lt;0,0,ROUND('Quant. mod. (oc)'!R243,0))</f>
        <v>4</v>
      </c>
      <c r="S243" s="125">
        <f>IF('Quant. mod. (oc)'!S243&lt;0,0,ROUND('Quant. mod. (oc)'!S243,0))</f>
        <v>4</v>
      </c>
      <c r="T243" s="125">
        <f>IF('Quant. mod. (oc)'!T243&lt;0,0,ROUND('Quant. mod. (oc)'!T243,0))</f>
        <v>4</v>
      </c>
      <c r="U243" s="125">
        <f>IF('Quant. mod. (oc)'!U243&lt;0,0,ROUND('Quant. mod. (oc)'!U243,0))</f>
        <v>4</v>
      </c>
      <c r="V243" s="125">
        <f>IF('Quant. mod. (oc)'!V243&lt;0,0,ROUND('Quant. mod. (oc)'!V243,0))</f>
        <v>4</v>
      </c>
      <c r="W243" s="125">
        <f>IF('Quant. mod. (oc)'!W243&lt;0,0,ROUND('Quant. mod. (oc)'!W243,0))</f>
        <v>4</v>
      </c>
      <c r="X243" s="125">
        <f>IF('Quant. mod. (oc)'!X243&lt;0,0,ROUND('Quant. mod. (oc)'!X243,0))</f>
        <v>3</v>
      </c>
      <c r="Y243" s="125">
        <f>IF('Quant. mod. (oc)'!Y243&lt;0,0,ROUND('Quant. mod. (oc)'!Y243,0))</f>
        <v>3</v>
      </c>
      <c r="Z243" s="125">
        <f>IF('Quant. mod. (oc)'!Z243&lt;0,0,ROUND('Quant. mod. (oc)'!Z243,0))</f>
        <v>3</v>
      </c>
      <c r="AA243" s="125">
        <f>IF('Quant. mod. (oc)'!AA243&lt;0,0,ROUND('Quant. mod. (oc)'!AA243,0))</f>
        <v>3</v>
      </c>
      <c r="AB243" s="125">
        <f>IF('Quant. mod. (oc)'!AB243&lt;0,0,ROUND('Quant. mod. (oc)'!AB243,0))</f>
        <v>3</v>
      </c>
      <c r="AC243" s="125">
        <f>IF('Quant. mod. (oc)'!AC243&lt;0,0,ROUND('Quant. mod. (oc)'!AC243,0))</f>
        <v>3</v>
      </c>
      <c r="AD243" s="125">
        <f>IF('Quant. mod. (oc)'!AD243&lt;0,0,ROUND('Quant. mod. (oc)'!AD243,0))</f>
        <v>3</v>
      </c>
      <c r="AE243" s="125">
        <f>IF('Quant. mod. (oc)'!AE243&lt;0,0,ROUND('Quant. mod. (oc)'!AE243,0))</f>
        <v>3</v>
      </c>
      <c r="AF243" s="125">
        <f>IF('Quant. mod. (oc)'!AF243&lt;0,0,ROUND('Quant. mod. (oc)'!AF243,0))</f>
        <v>3</v>
      </c>
      <c r="AG243" s="126">
        <f>IF('Quant. mod. (oc)'!AG243&lt;0,0,ROUND('Quant. mod. (oc)'!AG243,0))</f>
        <v>3</v>
      </c>
      <c r="AH243" s="22"/>
    </row>
    <row r="244" spans="1:34" x14ac:dyDescent="0.25">
      <c r="A244" s="112"/>
      <c r="B244" s="69" t="s">
        <v>222</v>
      </c>
      <c r="C244" s="133" t="s">
        <v>59</v>
      </c>
      <c r="D244" s="125">
        <f>IF('Quant. mod. (oc)'!D244&lt;0,0,ROUND('Quant. mod. (oc)'!D244,0))</f>
        <v>7</v>
      </c>
      <c r="E244" s="125">
        <f>IF('Quant. mod. (oc)'!E244&lt;0,0,ROUND('Quant. mod. (oc)'!E244,0))</f>
        <v>7</v>
      </c>
      <c r="F244" s="125">
        <f>IF('Quant. mod. (oc)'!F244&lt;0,0,ROUND('Quant. mod. (oc)'!F244,0))</f>
        <v>7</v>
      </c>
      <c r="G244" s="125">
        <f>IF('Quant. mod. (oc)'!G244&lt;0,0,ROUND('Quant. mod. (oc)'!G244,0))</f>
        <v>7</v>
      </c>
      <c r="H244" s="125">
        <f>IF('Quant. mod. (oc)'!H244&lt;0,0,ROUND('Quant. mod. (oc)'!H244,0))</f>
        <v>7</v>
      </c>
      <c r="I244" s="125">
        <f>IF('Quant. mod. (oc)'!I244&lt;0,0,ROUND('Quant. mod. (oc)'!I244,0))</f>
        <v>7</v>
      </c>
      <c r="J244" s="125">
        <f>IF('Quant. mod. (oc)'!J244&lt;0,0,ROUND('Quant. mod. (oc)'!J244,0))</f>
        <v>7</v>
      </c>
      <c r="K244" s="125">
        <f>IF('Quant. mod. (oc)'!K244&lt;0,0,ROUND('Quant. mod. (oc)'!K244,0))</f>
        <v>7</v>
      </c>
      <c r="L244" s="125">
        <f>IF('Quant. mod. (oc)'!L244&lt;0,0,ROUND('Quant. mod. (oc)'!L244,0))</f>
        <v>7</v>
      </c>
      <c r="M244" s="125">
        <f>IF('Quant. mod. (oc)'!M244&lt;0,0,ROUND('Quant. mod. (oc)'!M244,0))</f>
        <v>7</v>
      </c>
      <c r="N244" s="125">
        <f>IF('Quant. mod. (oc)'!N244&lt;0,0,ROUND('Quant. mod. (oc)'!N244,0))</f>
        <v>4</v>
      </c>
      <c r="O244" s="125">
        <f>IF('Quant. mod. (oc)'!O244&lt;0,0,ROUND('Quant. mod. (oc)'!O244,0))</f>
        <v>4</v>
      </c>
      <c r="P244" s="125">
        <f>IF('Quant. mod. (oc)'!P244&lt;0,0,ROUND('Quant. mod. (oc)'!P244,0))</f>
        <v>4</v>
      </c>
      <c r="Q244" s="125">
        <f>IF('Quant. mod. (oc)'!Q244&lt;0,0,ROUND('Quant. mod. (oc)'!Q244,0))</f>
        <v>4</v>
      </c>
      <c r="R244" s="125">
        <f>IF('Quant. mod. (oc)'!R244&lt;0,0,ROUND('Quant. mod. (oc)'!R244,0))</f>
        <v>4</v>
      </c>
      <c r="S244" s="125">
        <f>IF('Quant. mod. (oc)'!S244&lt;0,0,ROUND('Quant. mod. (oc)'!S244,0))</f>
        <v>4</v>
      </c>
      <c r="T244" s="125">
        <f>IF('Quant. mod. (oc)'!T244&lt;0,0,ROUND('Quant. mod. (oc)'!T244,0))</f>
        <v>4</v>
      </c>
      <c r="U244" s="125">
        <f>IF('Quant. mod. (oc)'!U244&lt;0,0,ROUND('Quant. mod. (oc)'!U244,0))</f>
        <v>4</v>
      </c>
      <c r="V244" s="125">
        <f>IF('Quant. mod. (oc)'!V244&lt;0,0,ROUND('Quant. mod. (oc)'!V244,0))</f>
        <v>4</v>
      </c>
      <c r="W244" s="125">
        <f>IF('Quant. mod. (oc)'!W244&lt;0,0,ROUND('Quant. mod. (oc)'!W244,0))</f>
        <v>4</v>
      </c>
      <c r="X244" s="125">
        <f>IF('Quant. mod. (oc)'!X244&lt;0,0,ROUND('Quant. mod. (oc)'!X244,0))</f>
        <v>4</v>
      </c>
      <c r="Y244" s="125">
        <f>IF('Quant. mod. (oc)'!Y244&lt;0,0,ROUND('Quant. mod. (oc)'!Y244,0))</f>
        <v>4</v>
      </c>
      <c r="Z244" s="125">
        <f>IF('Quant. mod. (oc)'!Z244&lt;0,0,ROUND('Quant. mod. (oc)'!Z244,0))</f>
        <v>4</v>
      </c>
      <c r="AA244" s="125">
        <f>IF('Quant. mod. (oc)'!AA244&lt;0,0,ROUND('Quant. mod. (oc)'!AA244,0))</f>
        <v>4</v>
      </c>
      <c r="AB244" s="125">
        <f>IF('Quant. mod. (oc)'!AB244&lt;0,0,ROUND('Quant. mod. (oc)'!AB244,0))</f>
        <v>4</v>
      </c>
      <c r="AC244" s="125">
        <f>IF('Quant. mod. (oc)'!AC244&lt;0,0,ROUND('Quant. mod. (oc)'!AC244,0))</f>
        <v>4</v>
      </c>
      <c r="AD244" s="125">
        <f>IF('Quant. mod. (oc)'!AD244&lt;0,0,ROUND('Quant. mod. (oc)'!AD244,0))</f>
        <v>4</v>
      </c>
      <c r="AE244" s="125">
        <f>IF('Quant. mod. (oc)'!AE244&lt;0,0,ROUND('Quant. mod. (oc)'!AE244,0))</f>
        <v>4</v>
      </c>
      <c r="AF244" s="125">
        <f>IF('Quant. mod. (oc)'!AF244&lt;0,0,ROUND('Quant. mod. (oc)'!AF244,0))</f>
        <v>4</v>
      </c>
      <c r="AG244" s="126">
        <f>IF('Quant. mod. (oc)'!AG244&lt;0,0,ROUND('Quant. mod. (oc)'!AG244,0))</f>
        <v>4</v>
      </c>
      <c r="AH244" s="22"/>
    </row>
    <row r="245" spans="1:34" x14ac:dyDescent="0.25">
      <c r="A245" s="112"/>
      <c r="B245" s="69" t="s">
        <v>223</v>
      </c>
      <c r="C245" s="133" t="s">
        <v>59</v>
      </c>
      <c r="D245" s="125">
        <f>IF('Quant. mod. (oc)'!D245&lt;0,0,ROUND('Quant. mod. (oc)'!D245,0))</f>
        <v>4</v>
      </c>
      <c r="E245" s="125">
        <f>IF('Quant. mod. (oc)'!E245&lt;0,0,ROUND('Quant. mod. (oc)'!E245,0))</f>
        <v>4</v>
      </c>
      <c r="F245" s="125">
        <f>IF('Quant. mod. (oc)'!F245&lt;0,0,ROUND('Quant. mod. (oc)'!F245,0))</f>
        <v>4</v>
      </c>
      <c r="G245" s="125">
        <f>IF('Quant. mod. (oc)'!G245&lt;0,0,ROUND('Quant. mod. (oc)'!G245,0))</f>
        <v>4</v>
      </c>
      <c r="H245" s="125">
        <f>IF('Quant. mod. (oc)'!H245&lt;0,0,ROUND('Quant. mod. (oc)'!H245,0))</f>
        <v>4</v>
      </c>
      <c r="I245" s="125">
        <f>IF('Quant. mod. (oc)'!I245&lt;0,0,ROUND('Quant. mod. (oc)'!I245,0))</f>
        <v>4</v>
      </c>
      <c r="J245" s="125">
        <f>IF('Quant. mod. (oc)'!J245&lt;0,0,ROUND('Quant. mod. (oc)'!J245,0))</f>
        <v>4</v>
      </c>
      <c r="K245" s="125">
        <f>IF('Quant. mod. (oc)'!K245&lt;0,0,ROUND('Quant. mod. (oc)'!K245,0))</f>
        <v>4</v>
      </c>
      <c r="L245" s="125">
        <f>IF('Quant. mod. (oc)'!L245&lt;0,0,ROUND('Quant. mod. (oc)'!L245,0))</f>
        <v>4</v>
      </c>
      <c r="M245" s="125">
        <f>IF('Quant. mod. (oc)'!M245&lt;0,0,ROUND('Quant. mod. (oc)'!M245,0))</f>
        <v>4</v>
      </c>
      <c r="N245" s="125">
        <f>IF('Quant. mod. (oc)'!N245&lt;0,0,ROUND('Quant. mod. (oc)'!N245,0))</f>
        <v>4</v>
      </c>
      <c r="O245" s="125">
        <f>IF('Quant. mod. (oc)'!O245&lt;0,0,ROUND('Quant. mod. (oc)'!O245,0))</f>
        <v>4</v>
      </c>
      <c r="P245" s="125">
        <f>IF('Quant. mod. (oc)'!P245&lt;0,0,ROUND('Quant. mod. (oc)'!P245,0))</f>
        <v>4</v>
      </c>
      <c r="Q245" s="125">
        <f>IF('Quant. mod. (oc)'!Q245&lt;0,0,ROUND('Quant. mod. (oc)'!Q245,0))</f>
        <v>4</v>
      </c>
      <c r="R245" s="125">
        <f>IF('Quant. mod. (oc)'!R245&lt;0,0,ROUND('Quant. mod. (oc)'!R245,0))</f>
        <v>4</v>
      </c>
      <c r="S245" s="125">
        <f>IF('Quant. mod. (oc)'!S245&lt;0,0,ROUND('Quant. mod. (oc)'!S245,0))</f>
        <v>4</v>
      </c>
      <c r="T245" s="125">
        <f>IF('Quant. mod. (oc)'!T245&lt;0,0,ROUND('Quant. mod. (oc)'!T245,0))</f>
        <v>4</v>
      </c>
      <c r="U245" s="125">
        <f>IF('Quant. mod. (oc)'!U245&lt;0,0,ROUND('Quant. mod. (oc)'!U245,0))</f>
        <v>4</v>
      </c>
      <c r="V245" s="125">
        <f>IF('Quant. mod. (oc)'!V245&lt;0,0,ROUND('Quant. mod. (oc)'!V245,0))</f>
        <v>4</v>
      </c>
      <c r="W245" s="125">
        <f>IF('Quant. mod. (oc)'!W245&lt;0,0,ROUND('Quant. mod. (oc)'!W245,0))</f>
        <v>4</v>
      </c>
      <c r="X245" s="125">
        <f>IF('Quant. mod. (oc)'!X245&lt;0,0,ROUND('Quant. mod. (oc)'!X245,0))</f>
        <v>5</v>
      </c>
      <c r="Y245" s="125">
        <f>IF('Quant. mod. (oc)'!Y245&lt;0,0,ROUND('Quant. mod. (oc)'!Y245,0))</f>
        <v>5</v>
      </c>
      <c r="Z245" s="125">
        <f>IF('Quant. mod. (oc)'!Z245&lt;0,0,ROUND('Quant. mod. (oc)'!Z245,0))</f>
        <v>5</v>
      </c>
      <c r="AA245" s="125">
        <f>IF('Quant. mod. (oc)'!AA245&lt;0,0,ROUND('Quant. mod. (oc)'!AA245,0))</f>
        <v>5</v>
      </c>
      <c r="AB245" s="125">
        <f>IF('Quant. mod. (oc)'!AB245&lt;0,0,ROUND('Quant. mod. (oc)'!AB245,0))</f>
        <v>5</v>
      </c>
      <c r="AC245" s="125">
        <f>IF('Quant. mod. (oc)'!AC245&lt;0,0,ROUND('Quant. mod. (oc)'!AC245,0))</f>
        <v>5</v>
      </c>
      <c r="AD245" s="125">
        <f>IF('Quant. mod. (oc)'!AD245&lt;0,0,ROUND('Quant. mod. (oc)'!AD245,0))</f>
        <v>5</v>
      </c>
      <c r="AE245" s="125">
        <f>IF('Quant. mod. (oc)'!AE245&lt;0,0,ROUND('Quant. mod. (oc)'!AE245,0))</f>
        <v>5</v>
      </c>
      <c r="AF245" s="125">
        <f>IF('Quant. mod. (oc)'!AF245&lt;0,0,ROUND('Quant. mod. (oc)'!AF245,0))</f>
        <v>5</v>
      </c>
      <c r="AG245" s="126">
        <f>IF('Quant. mod. (oc)'!AG245&lt;0,0,ROUND('Quant. mod. (oc)'!AG245,0))</f>
        <v>5</v>
      </c>
      <c r="AH245" s="22"/>
    </row>
    <row r="246" spans="1:34" x14ac:dyDescent="0.25">
      <c r="A246" s="112"/>
      <c r="B246" s="69" t="s">
        <v>224</v>
      </c>
      <c r="C246" s="133" t="s">
        <v>59</v>
      </c>
      <c r="D246" s="125">
        <f>IF('Quant. mod. (oc)'!D246&lt;0,0,ROUND('Quant. mod. (oc)'!D246,0))</f>
        <v>0</v>
      </c>
      <c r="E246" s="125">
        <f>IF('Quant. mod. (oc)'!E246&lt;0,0,ROUND('Quant. mod. (oc)'!E246,0))</f>
        <v>0</v>
      </c>
      <c r="F246" s="125">
        <f>IF('Quant. mod. (oc)'!F246&lt;0,0,ROUND('Quant. mod. (oc)'!F246,0))</f>
        <v>0</v>
      </c>
      <c r="G246" s="125">
        <f>IF('Quant. mod. (oc)'!G246&lt;0,0,ROUND('Quant. mod. (oc)'!G246,0))</f>
        <v>0</v>
      </c>
      <c r="H246" s="125">
        <f>IF('Quant. mod. (oc)'!H246&lt;0,0,ROUND('Quant. mod. (oc)'!H246,0))</f>
        <v>0</v>
      </c>
      <c r="I246" s="125">
        <f>IF('Quant. mod. (oc)'!I246&lt;0,0,ROUND('Quant. mod. (oc)'!I246,0))</f>
        <v>0</v>
      </c>
      <c r="J246" s="125">
        <f>IF('Quant. mod. (oc)'!J246&lt;0,0,ROUND('Quant. mod. (oc)'!J246,0))</f>
        <v>0</v>
      </c>
      <c r="K246" s="125">
        <f>IF('Quant. mod. (oc)'!K246&lt;0,0,ROUND('Quant. mod. (oc)'!K246,0))</f>
        <v>0</v>
      </c>
      <c r="L246" s="125">
        <f>IF('Quant. mod. (oc)'!L246&lt;0,0,ROUND('Quant. mod. (oc)'!L246,0))</f>
        <v>0</v>
      </c>
      <c r="M246" s="125">
        <f>IF('Quant. mod. (oc)'!M246&lt;0,0,ROUND('Quant. mod. (oc)'!M246,0))</f>
        <v>0</v>
      </c>
      <c r="N246" s="125">
        <f>IF('Quant. mod. (oc)'!N246&lt;0,0,ROUND('Quant. mod. (oc)'!N246,0))</f>
        <v>6</v>
      </c>
      <c r="O246" s="125">
        <f>IF('Quant. mod. (oc)'!O246&lt;0,0,ROUND('Quant. mod. (oc)'!O246,0))</f>
        <v>6</v>
      </c>
      <c r="P246" s="125">
        <f>IF('Quant. mod. (oc)'!P246&lt;0,0,ROUND('Quant. mod. (oc)'!P246,0))</f>
        <v>6</v>
      </c>
      <c r="Q246" s="125">
        <f>IF('Quant. mod. (oc)'!Q246&lt;0,0,ROUND('Quant. mod. (oc)'!Q246,0))</f>
        <v>6</v>
      </c>
      <c r="R246" s="125">
        <f>IF('Quant. mod. (oc)'!R246&lt;0,0,ROUND('Quant. mod. (oc)'!R246,0))</f>
        <v>6</v>
      </c>
      <c r="S246" s="125">
        <f>IF('Quant. mod. (oc)'!S246&lt;0,0,ROUND('Quant. mod. (oc)'!S246,0))</f>
        <v>6</v>
      </c>
      <c r="T246" s="125">
        <f>IF('Quant. mod. (oc)'!T246&lt;0,0,ROUND('Quant. mod. (oc)'!T246,0))</f>
        <v>6</v>
      </c>
      <c r="U246" s="125">
        <f>IF('Quant. mod. (oc)'!U246&lt;0,0,ROUND('Quant. mod. (oc)'!U246,0))</f>
        <v>6</v>
      </c>
      <c r="V246" s="125">
        <f>IF('Quant. mod. (oc)'!V246&lt;0,0,ROUND('Quant. mod. (oc)'!V246,0))</f>
        <v>6</v>
      </c>
      <c r="W246" s="125">
        <f>IF('Quant. mod. (oc)'!W246&lt;0,0,ROUND('Quant. mod. (oc)'!W246,0))</f>
        <v>6</v>
      </c>
      <c r="X246" s="125">
        <f>IF('Quant. mod. (oc)'!X246&lt;0,0,ROUND('Quant. mod. (oc)'!X246,0))</f>
        <v>0</v>
      </c>
      <c r="Y246" s="125">
        <f>IF('Quant. mod. (oc)'!Y246&lt;0,0,ROUND('Quant. mod. (oc)'!Y246,0))</f>
        <v>0</v>
      </c>
      <c r="Z246" s="125">
        <f>IF('Quant. mod. (oc)'!Z246&lt;0,0,ROUND('Quant. mod. (oc)'!Z246,0))</f>
        <v>0</v>
      </c>
      <c r="AA246" s="125">
        <f>IF('Quant. mod. (oc)'!AA246&lt;0,0,ROUND('Quant. mod. (oc)'!AA246,0))</f>
        <v>0</v>
      </c>
      <c r="AB246" s="125">
        <f>IF('Quant. mod. (oc)'!AB246&lt;0,0,ROUND('Quant. mod. (oc)'!AB246,0))</f>
        <v>0</v>
      </c>
      <c r="AC246" s="125">
        <f>IF('Quant. mod. (oc)'!AC246&lt;0,0,ROUND('Quant. mod. (oc)'!AC246,0))</f>
        <v>0</v>
      </c>
      <c r="AD246" s="125">
        <f>IF('Quant. mod. (oc)'!AD246&lt;0,0,ROUND('Quant. mod. (oc)'!AD246,0))</f>
        <v>0</v>
      </c>
      <c r="AE246" s="125">
        <f>IF('Quant. mod. (oc)'!AE246&lt;0,0,ROUND('Quant. mod. (oc)'!AE246,0))</f>
        <v>0</v>
      </c>
      <c r="AF246" s="125">
        <f>IF('Quant. mod. (oc)'!AF246&lt;0,0,ROUND('Quant. mod. (oc)'!AF246,0))</f>
        <v>0</v>
      </c>
      <c r="AG246" s="126">
        <f>IF('Quant. mod. (oc)'!AG246&lt;0,0,ROUND('Quant. mod. (oc)'!AG246,0))</f>
        <v>0</v>
      </c>
      <c r="AH246" s="22"/>
    </row>
    <row r="247" spans="1:34" x14ac:dyDescent="0.25">
      <c r="A247" s="112"/>
      <c r="B247" s="69" t="s">
        <v>225</v>
      </c>
      <c r="C247" s="133" t="s">
        <v>59</v>
      </c>
      <c r="D247" s="125">
        <f>IF('Quant. mod. (oc)'!D247&lt;0,0,ROUND('Quant. mod. (oc)'!D247,0))</f>
        <v>0</v>
      </c>
      <c r="E247" s="125">
        <f>IF('Quant. mod. (oc)'!E247&lt;0,0,ROUND('Quant. mod. (oc)'!E247,0))</f>
        <v>0</v>
      </c>
      <c r="F247" s="125">
        <f>IF('Quant. mod. (oc)'!F247&lt;0,0,ROUND('Quant. mod. (oc)'!F247,0))</f>
        <v>0</v>
      </c>
      <c r="G247" s="125">
        <f>IF('Quant. mod. (oc)'!G247&lt;0,0,ROUND('Quant. mod. (oc)'!G247,0))</f>
        <v>0</v>
      </c>
      <c r="H247" s="125">
        <f>IF('Quant. mod. (oc)'!H247&lt;0,0,ROUND('Quant. mod. (oc)'!H247,0))</f>
        <v>0</v>
      </c>
      <c r="I247" s="125">
        <f>IF('Quant. mod. (oc)'!I247&lt;0,0,ROUND('Quant. mod. (oc)'!I247,0))</f>
        <v>0</v>
      </c>
      <c r="J247" s="125">
        <f>IF('Quant. mod. (oc)'!J247&lt;0,0,ROUND('Quant. mod. (oc)'!J247,0))</f>
        <v>0</v>
      </c>
      <c r="K247" s="125">
        <f>IF('Quant. mod. (oc)'!K247&lt;0,0,ROUND('Quant. mod. (oc)'!K247,0))</f>
        <v>0</v>
      </c>
      <c r="L247" s="125">
        <f>IF('Quant. mod. (oc)'!L247&lt;0,0,ROUND('Quant. mod. (oc)'!L247,0))</f>
        <v>0</v>
      </c>
      <c r="M247" s="125">
        <f>IF('Quant. mod. (oc)'!M247&lt;0,0,ROUND('Quant. mod. (oc)'!M247,0))</f>
        <v>0</v>
      </c>
      <c r="N247" s="125">
        <f>IF('Quant. mod. (oc)'!N247&lt;0,0,ROUND('Quant. mod. (oc)'!N247,0))</f>
        <v>0</v>
      </c>
      <c r="O247" s="125">
        <f>IF('Quant. mod. (oc)'!O247&lt;0,0,ROUND('Quant. mod. (oc)'!O247,0))</f>
        <v>0</v>
      </c>
      <c r="P247" s="125">
        <f>IF('Quant. mod. (oc)'!P247&lt;0,0,ROUND('Quant. mod. (oc)'!P247,0))</f>
        <v>0</v>
      </c>
      <c r="Q247" s="125">
        <f>IF('Quant. mod. (oc)'!Q247&lt;0,0,ROUND('Quant. mod. (oc)'!Q247,0))</f>
        <v>0</v>
      </c>
      <c r="R247" s="125">
        <f>IF('Quant. mod. (oc)'!R247&lt;0,0,ROUND('Quant. mod. (oc)'!R247,0))</f>
        <v>0</v>
      </c>
      <c r="S247" s="125">
        <f>IF('Quant. mod. (oc)'!S247&lt;0,0,ROUND('Quant. mod. (oc)'!S247,0))</f>
        <v>0</v>
      </c>
      <c r="T247" s="125">
        <f>IF('Quant. mod. (oc)'!T247&lt;0,0,ROUND('Quant. mod. (oc)'!T247,0))</f>
        <v>0</v>
      </c>
      <c r="U247" s="125">
        <f>IF('Quant. mod. (oc)'!U247&lt;0,0,ROUND('Quant. mod. (oc)'!U247,0))</f>
        <v>0</v>
      </c>
      <c r="V247" s="125">
        <f>IF('Quant. mod. (oc)'!V247&lt;0,0,ROUND('Quant. mod. (oc)'!V247,0))</f>
        <v>0</v>
      </c>
      <c r="W247" s="125">
        <f>IF('Quant. mod. (oc)'!W247&lt;0,0,ROUND('Quant. mod. (oc)'!W247,0))</f>
        <v>0</v>
      </c>
      <c r="X247" s="125">
        <f>IF('Quant. mod. (oc)'!X247&lt;0,0,ROUND('Quant. mod. (oc)'!X247,0))</f>
        <v>0</v>
      </c>
      <c r="Y247" s="125">
        <f>IF('Quant. mod. (oc)'!Y247&lt;0,0,ROUND('Quant. mod. (oc)'!Y247,0))</f>
        <v>0</v>
      </c>
      <c r="Z247" s="125">
        <f>IF('Quant. mod. (oc)'!Z247&lt;0,0,ROUND('Quant. mod. (oc)'!Z247,0))</f>
        <v>0</v>
      </c>
      <c r="AA247" s="125">
        <f>IF('Quant. mod. (oc)'!AA247&lt;0,0,ROUND('Quant. mod. (oc)'!AA247,0))</f>
        <v>0</v>
      </c>
      <c r="AB247" s="125">
        <f>IF('Quant. mod. (oc)'!AB247&lt;0,0,ROUND('Quant. mod. (oc)'!AB247,0))</f>
        <v>0</v>
      </c>
      <c r="AC247" s="125">
        <f>IF('Quant. mod. (oc)'!AC247&lt;0,0,ROUND('Quant. mod. (oc)'!AC247,0))</f>
        <v>0</v>
      </c>
      <c r="AD247" s="125">
        <f>IF('Quant. mod. (oc)'!AD247&lt;0,0,ROUND('Quant. mod. (oc)'!AD247,0))</f>
        <v>0</v>
      </c>
      <c r="AE247" s="125">
        <f>IF('Quant. mod. (oc)'!AE247&lt;0,0,ROUND('Quant. mod. (oc)'!AE247,0))</f>
        <v>0</v>
      </c>
      <c r="AF247" s="125">
        <f>IF('Quant. mod. (oc)'!AF247&lt;0,0,ROUND('Quant. mod. (oc)'!AF247,0))</f>
        <v>0</v>
      </c>
      <c r="AG247" s="126">
        <f>IF('Quant. mod. (oc)'!AG247&lt;0,0,ROUND('Quant. mod. (oc)'!AG247,0))</f>
        <v>0</v>
      </c>
      <c r="AH247" s="22"/>
    </row>
    <row r="248" spans="1:34" x14ac:dyDescent="0.25">
      <c r="A248" s="112"/>
      <c r="B248" s="69" t="s">
        <v>228</v>
      </c>
      <c r="C248" s="133" t="s">
        <v>59</v>
      </c>
      <c r="D248" s="125">
        <f>IF('Quant. mod. (oc)'!D248&lt;0,0,ROUND('Quant. mod. (oc)'!D248,0))</f>
        <v>8</v>
      </c>
      <c r="E248" s="125">
        <f>IF('Quant. mod. (oc)'!E248&lt;0,0,ROUND('Quant. mod. (oc)'!E248,0))</f>
        <v>8</v>
      </c>
      <c r="F248" s="125">
        <f>IF('Quant. mod. (oc)'!F248&lt;0,0,ROUND('Quant. mod. (oc)'!F248,0))</f>
        <v>8</v>
      </c>
      <c r="G248" s="125">
        <f>IF('Quant. mod. (oc)'!G248&lt;0,0,ROUND('Quant. mod. (oc)'!G248,0))</f>
        <v>8</v>
      </c>
      <c r="H248" s="125">
        <f>IF('Quant. mod. (oc)'!H248&lt;0,0,ROUND('Quant. mod. (oc)'!H248,0))</f>
        <v>8</v>
      </c>
      <c r="I248" s="125">
        <f>IF('Quant. mod. (oc)'!I248&lt;0,0,ROUND('Quant. mod. (oc)'!I248,0))</f>
        <v>8</v>
      </c>
      <c r="J248" s="125">
        <f>IF('Quant. mod. (oc)'!J248&lt;0,0,ROUND('Quant. mod. (oc)'!J248,0))</f>
        <v>8</v>
      </c>
      <c r="K248" s="125">
        <f>IF('Quant. mod. (oc)'!K248&lt;0,0,ROUND('Quant. mod. (oc)'!K248,0))</f>
        <v>8</v>
      </c>
      <c r="L248" s="125">
        <f>IF('Quant. mod. (oc)'!L248&lt;0,0,ROUND('Quant. mod. (oc)'!L248,0))</f>
        <v>8</v>
      </c>
      <c r="M248" s="125">
        <f>IF('Quant. mod. (oc)'!M248&lt;0,0,ROUND('Quant. mod. (oc)'!M248,0))</f>
        <v>8</v>
      </c>
      <c r="N248" s="125">
        <f>IF('Quant. mod. (oc)'!N248&lt;0,0,ROUND('Quant. mod. (oc)'!N248,0))</f>
        <v>4</v>
      </c>
      <c r="O248" s="125">
        <f>IF('Quant. mod. (oc)'!O248&lt;0,0,ROUND('Quant. mod. (oc)'!O248,0))</f>
        <v>4</v>
      </c>
      <c r="P248" s="125">
        <f>IF('Quant. mod. (oc)'!P248&lt;0,0,ROUND('Quant. mod. (oc)'!P248,0))</f>
        <v>4</v>
      </c>
      <c r="Q248" s="125">
        <f>IF('Quant. mod. (oc)'!Q248&lt;0,0,ROUND('Quant. mod. (oc)'!Q248,0))</f>
        <v>4</v>
      </c>
      <c r="R248" s="125">
        <f>IF('Quant. mod. (oc)'!R248&lt;0,0,ROUND('Quant. mod. (oc)'!R248,0))</f>
        <v>4</v>
      </c>
      <c r="S248" s="125">
        <f>IF('Quant. mod. (oc)'!S248&lt;0,0,ROUND('Quant. mod. (oc)'!S248,0))</f>
        <v>4</v>
      </c>
      <c r="T248" s="125">
        <f>IF('Quant. mod. (oc)'!T248&lt;0,0,ROUND('Quant. mod. (oc)'!T248,0))</f>
        <v>4</v>
      </c>
      <c r="U248" s="125">
        <f>IF('Quant. mod. (oc)'!U248&lt;0,0,ROUND('Quant. mod. (oc)'!U248,0))</f>
        <v>4</v>
      </c>
      <c r="V248" s="125">
        <f>IF('Quant. mod. (oc)'!V248&lt;0,0,ROUND('Quant. mod. (oc)'!V248,0))</f>
        <v>4</v>
      </c>
      <c r="W248" s="125">
        <f>IF('Quant. mod. (oc)'!W248&lt;0,0,ROUND('Quant. mod. (oc)'!W248,0))</f>
        <v>4</v>
      </c>
      <c r="X248" s="125">
        <f>IF('Quant. mod. (oc)'!X248&lt;0,0,ROUND('Quant. mod. (oc)'!X248,0))</f>
        <v>8</v>
      </c>
      <c r="Y248" s="125">
        <f>IF('Quant. mod. (oc)'!Y248&lt;0,0,ROUND('Quant. mod. (oc)'!Y248,0))</f>
        <v>8</v>
      </c>
      <c r="Z248" s="125">
        <f>IF('Quant. mod. (oc)'!Z248&lt;0,0,ROUND('Quant. mod. (oc)'!Z248,0))</f>
        <v>8</v>
      </c>
      <c r="AA248" s="125">
        <f>IF('Quant. mod. (oc)'!AA248&lt;0,0,ROUND('Quant. mod. (oc)'!AA248,0))</f>
        <v>8</v>
      </c>
      <c r="AB248" s="125">
        <f>IF('Quant. mod. (oc)'!AB248&lt;0,0,ROUND('Quant. mod. (oc)'!AB248,0))</f>
        <v>8</v>
      </c>
      <c r="AC248" s="125">
        <f>IF('Quant. mod. (oc)'!AC248&lt;0,0,ROUND('Quant. mod. (oc)'!AC248,0))</f>
        <v>8</v>
      </c>
      <c r="AD248" s="125">
        <f>IF('Quant. mod. (oc)'!AD248&lt;0,0,ROUND('Quant. mod. (oc)'!AD248,0))</f>
        <v>8</v>
      </c>
      <c r="AE248" s="125">
        <f>IF('Quant. mod. (oc)'!AE248&lt;0,0,ROUND('Quant. mod. (oc)'!AE248,0))</f>
        <v>8</v>
      </c>
      <c r="AF248" s="125">
        <f>IF('Quant. mod. (oc)'!AF248&lt;0,0,ROUND('Quant. mod. (oc)'!AF248,0))</f>
        <v>8</v>
      </c>
      <c r="AG248" s="126">
        <f>IF('Quant. mod. (oc)'!AG248&lt;0,0,ROUND('Quant. mod. (oc)'!AG248,0))</f>
        <v>8</v>
      </c>
      <c r="AH248" s="22"/>
    </row>
    <row r="249" spans="1:34" x14ac:dyDescent="0.25">
      <c r="A249" s="112"/>
      <c r="B249" s="69" t="s">
        <v>229</v>
      </c>
      <c r="C249" s="133" t="s">
        <v>59</v>
      </c>
      <c r="D249" s="125">
        <f>IF('Quant. mod. (oc)'!D249&lt;0,0,ROUND('Quant. mod. (oc)'!D249,0))</f>
        <v>4</v>
      </c>
      <c r="E249" s="125">
        <f>IF('Quant. mod. (oc)'!E249&lt;0,0,ROUND('Quant. mod. (oc)'!E249,0))</f>
        <v>4</v>
      </c>
      <c r="F249" s="125">
        <f>IF('Quant. mod. (oc)'!F249&lt;0,0,ROUND('Quant. mod. (oc)'!F249,0))</f>
        <v>4</v>
      </c>
      <c r="G249" s="125">
        <f>IF('Quant. mod. (oc)'!G249&lt;0,0,ROUND('Quant. mod. (oc)'!G249,0))</f>
        <v>4</v>
      </c>
      <c r="H249" s="125">
        <f>IF('Quant. mod. (oc)'!H249&lt;0,0,ROUND('Quant. mod. (oc)'!H249,0))</f>
        <v>4</v>
      </c>
      <c r="I249" s="125">
        <f>IF('Quant. mod. (oc)'!I249&lt;0,0,ROUND('Quant. mod. (oc)'!I249,0))</f>
        <v>4</v>
      </c>
      <c r="J249" s="125">
        <f>IF('Quant. mod. (oc)'!J249&lt;0,0,ROUND('Quant. mod. (oc)'!J249,0))</f>
        <v>4</v>
      </c>
      <c r="K249" s="125">
        <f>IF('Quant. mod. (oc)'!K249&lt;0,0,ROUND('Quant. mod. (oc)'!K249,0))</f>
        <v>4</v>
      </c>
      <c r="L249" s="125">
        <f>IF('Quant. mod. (oc)'!L249&lt;0,0,ROUND('Quant. mod. (oc)'!L249,0))</f>
        <v>4</v>
      </c>
      <c r="M249" s="125">
        <f>IF('Quant. mod. (oc)'!M249&lt;0,0,ROUND('Quant. mod. (oc)'!M249,0))</f>
        <v>4</v>
      </c>
      <c r="N249" s="125">
        <f>IF('Quant. mod. (oc)'!N249&lt;0,0,ROUND('Quant. mod. (oc)'!N249,0))</f>
        <v>12</v>
      </c>
      <c r="O249" s="125">
        <f>IF('Quant. mod. (oc)'!O249&lt;0,0,ROUND('Quant. mod. (oc)'!O249,0))</f>
        <v>12</v>
      </c>
      <c r="P249" s="125">
        <f>IF('Quant. mod. (oc)'!P249&lt;0,0,ROUND('Quant. mod. (oc)'!P249,0))</f>
        <v>12</v>
      </c>
      <c r="Q249" s="125">
        <f>IF('Quant. mod. (oc)'!Q249&lt;0,0,ROUND('Quant. mod. (oc)'!Q249,0))</f>
        <v>12</v>
      </c>
      <c r="R249" s="125">
        <f>IF('Quant. mod. (oc)'!R249&lt;0,0,ROUND('Quant. mod. (oc)'!R249,0))</f>
        <v>12</v>
      </c>
      <c r="S249" s="125">
        <f>IF('Quant. mod. (oc)'!S249&lt;0,0,ROUND('Quant. mod. (oc)'!S249,0))</f>
        <v>12</v>
      </c>
      <c r="T249" s="125">
        <f>IF('Quant. mod. (oc)'!T249&lt;0,0,ROUND('Quant. mod. (oc)'!T249,0))</f>
        <v>12</v>
      </c>
      <c r="U249" s="125">
        <f>IF('Quant. mod. (oc)'!U249&lt;0,0,ROUND('Quant. mod. (oc)'!U249,0))</f>
        <v>12</v>
      </c>
      <c r="V249" s="125">
        <f>IF('Quant. mod. (oc)'!V249&lt;0,0,ROUND('Quant. mod. (oc)'!V249,0))</f>
        <v>12</v>
      </c>
      <c r="W249" s="125">
        <f>IF('Quant. mod. (oc)'!W249&lt;0,0,ROUND('Quant. mod. (oc)'!W249,0))</f>
        <v>12</v>
      </c>
      <c r="X249" s="125">
        <f>IF('Quant. mod. (oc)'!X249&lt;0,0,ROUND('Quant. mod. (oc)'!X249,0))</f>
        <v>6</v>
      </c>
      <c r="Y249" s="125">
        <f>IF('Quant. mod. (oc)'!Y249&lt;0,0,ROUND('Quant. mod. (oc)'!Y249,0))</f>
        <v>6</v>
      </c>
      <c r="Z249" s="125">
        <f>IF('Quant. mod. (oc)'!Z249&lt;0,0,ROUND('Quant. mod. (oc)'!Z249,0))</f>
        <v>6</v>
      </c>
      <c r="AA249" s="125">
        <f>IF('Quant. mod. (oc)'!AA249&lt;0,0,ROUND('Quant. mod. (oc)'!AA249,0))</f>
        <v>6</v>
      </c>
      <c r="AB249" s="125">
        <f>IF('Quant. mod. (oc)'!AB249&lt;0,0,ROUND('Quant. mod. (oc)'!AB249,0))</f>
        <v>6</v>
      </c>
      <c r="AC249" s="125">
        <f>IF('Quant. mod. (oc)'!AC249&lt;0,0,ROUND('Quant. mod. (oc)'!AC249,0))</f>
        <v>6</v>
      </c>
      <c r="AD249" s="125">
        <f>IF('Quant. mod. (oc)'!AD249&lt;0,0,ROUND('Quant. mod. (oc)'!AD249,0))</f>
        <v>6</v>
      </c>
      <c r="AE249" s="125">
        <f>IF('Quant. mod. (oc)'!AE249&lt;0,0,ROUND('Quant. mod. (oc)'!AE249,0))</f>
        <v>6</v>
      </c>
      <c r="AF249" s="125">
        <f>IF('Quant. mod. (oc)'!AF249&lt;0,0,ROUND('Quant. mod. (oc)'!AF249,0))</f>
        <v>6</v>
      </c>
      <c r="AG249" s="126">
        <f>IF('Quant. mod. (oc)'!AG249&lt;0,0,ROUND('Quant. mod. (oc)'!AG249,0))</f>
        <v>6</v>
      </c>
      <c r="AH249" s="22"/>
    </row>
    <row r="250" spans="1:34" x14ac:dyDescent="0.25">
      <c r="A250" s="112"/>
      <c r="B250" s="69" t="s">
        <v>230</v>
      </c>
      <c r="C250" s="133" t="s">
        <v>59</v>
      </c>
      <c r="D250" s="125">
        <f>IF('Quant. mod. (oc)'!D250&lt;0,0,ROUND('Quant. mod. (oc)'!D250,0))</f>
        <v>6</v>
      </c>
      <c r="E250" s="125">
        <f>IF('Quant. mod. (oc)'!E250&lt;0,0,ROUND('Quant. mod. (oc)'!E250,0))</f>
        <v>6</v>
      </c>
      <c r="F250" s="125">
        <f>IF('Quant. mod. (oc)'!F250&lt;0,0,ROUND('Quant. mod. (oc)'!F250,0))</f>
        <v>6</v>
      </c>
      <c r="G250" s="125">
        <f>IF('Quant. mod. (oc)'!G250&lt;0,0,ROUND('Quant. mod. (oc)'!G250,0))</f>
        <v>6</v>
      </c>
      <c r="H250" s="125">
        <f>IF('Quant. mod. (oc)'!H250&lt;0,0,ROUND('Quant. mod. (oc)'!H250,0))</f>
        <v>6</v>
      </c>
      <c r="I250" s="125">
        <f>IF('Quant. mod. (oc)'!I250&lt;0,0,ROUND('Quant. mod. (oc)'!I250,0))</f>
        <v>6</v>
      </c>
      <c r="J250" s="125">
        <f>IF('Quant. mod. (oc)'!J250&lt;0,0,ROUND('Quant. mod. (oc)'!J250,0))</f>
        <v>6</v>
      </c>
      <c r="K250" s="125">
        <f>IF('Quant. mod. (oc)'!K250&lt;0,0,ROUND('Quant. mod. (oc)'!K250,0))</f>
        <v>6</v>
      </c>
      <c r="L250" s="125">
        <f>IF('Quant. mod. (oc)'!L250&lt;0,0,ROUND('Quant. mod. (oc)'!L250,0))</f>
        <v>6</v>
      </c>
      <c r="M250" s="125">
        <f>IF('Quant. mod. (oc)'!M250&lt;0,0,ROUND('Quant. mod. (oc)'!M250,0))</f>
        <v>6</v>
      </c>
      <c r="N250" s="125">
        <f>IF('Quant. mod. (oc)'!N250&lt;0,0,ROUND('Quant. mod. (oc)'!N250,0))</f>
        <v>12</v>
      </c>
      <c r="O250" s="125">
        <f>IF('Quant. mod. (oc)'!O250&lt;0,0,ROUND('Quant. mod. (oc)'!O250,0))</f>
        <v>12</v>
      </c>
      <c r="P250" s="125">
        <f>IF('Quant. mod. (oc)'!P250&lt;0,0,ROUND('Quant. mod. (oc)'!P250,0))</f>
        <v>12</v>
      </c>
      <c r="Q250" s="125">
        <f>IF('Quant. mod. (oc)'!Q250&lt;0,0,ROUND('Quant. mod. (oc)'!Q250,0))</f>
        <v>12</v>
      </c>
      <c r="R250" s="125">
        <f>IF('Quant. mod. (oc)'!R250&lt;0,0,ROUND('Quant. mod. (oc)'!R250,0))</f>
        <v>12</v>
      </c>
      <c r="S250" s="125">
        <f>IF('Quant. mod. (oc)'!S250&lt;0,0,ROUND('Quant. mod. (oc)'!S250,0))</f>
        <v>12</v>
      </c>
      <c r="T250" s="125">
        <f>IF('Quant. mod. (oc)'!T250&lt;0,0,ROUND('Quant. mod. (oc)'!T250,0))</f>
        <v>12</v>
      </c>
      <c r="U250" s="125">
        <f>IF('Quant. mod. (oc)'!U250&lt;0,0,ROUND('Quant. mod. (oc)'!U250,0))</f>
        <v>12</v>
      </c>
      <c r="V250" s="125">
        <f>IF('Quant. mod. (oc)'!V250&lt;0,0,ROUND('Quant. mod. (oc)'!V250,0))</f>
        <v>12</v>
      </c>
      <c r="W250" s="125">
        <f>IF('Quant. mod. (oc)'!W250&lt;0,0,ROUND('Quant. mod. (oc)'!W250,0))</f>
        <v>12</v>
      </c>
      <c r="X250" s="125">
        <f>IF('Quant. mod. (oc)'!X250&lt;0,0,ROUND('Quant. mod. (oc)'!X250,0))</f>
        <v>10</v>
      </c>
      <c r="Y250" s="125">
        <f>IF('Quant. mod. (oc)'!Y250&lt;0,0,ROUND('Quant. mod. (oc)'!Y250,0))</f>
        <v>10</v>
      </c>
      <c r="Z250" s="125">
        <f>IF('Quant. mod. (oc)'!Z250&lt;0,0,ROUND('Quant. mod. (oc)'!Z250,0))</f>
        <v>10</v>
      </c>
      <c r="AA250" s="125">
        <f>IF('Quant. mod. (oc)'!AA250&lt;0,0,ROUND('Quant. mod. (oc)'!AA250,0))</f>
        <v>10</v>
      </c>
      <c r="AB250" s="125">
        <f>IF('Quant. mod. (oc)'!AB250&lt;0,0,ROUND('Quant. mod. (oc)'!AB250,0))</f>
        <v>10</v>
      </c>
      <c r="AC250" s="125">
        <f>IF('Quant. mod. (oc)'!AC250&lt;0,0,ROUND('Quant. mod. (oc)'!AC250,0))</f>
        <v>10</v>
      </c>
      <c r="AD250" s="125">
        <f>IF('Quant. mod. (oc)'!AD250&lt;0,0,ROUND('Quant. mod. (oc)'!AD250,0))</f>
        <v>10</v>
      </c>
      <c r="AE250" s="125">
        <f>IF('Quant. mod. (oc)'!AE250&lt;0,0,ROUND('Quant. mod. (oc)'!AE250,0))</f>
        <v>10</v>
      </c>
      <c r="AF250" s="125">
        <f>IF('Quant. mod. (oc)'!AF250&lt;0,0,ROUND('Quant. mod. (oc)'!AF250,0))</f>
        <v>10</v>
      </c>
      <c r="AG250" s="126">
        <f>IF('Quant. mod. (oc)'!AG250&lt;0,0,ROUND('Quant. mod. (oc)'!AG250,0))</f>
        <v>10</v>
      </c>
      <c r="AH250" s="22"/>
    </row>
    <row r="251" spans="1:34" x14ac:dyDescent="0.25">
      <c r="A251" s="112"/>
      <c r="B251" s="69" t="s">
        <v>231</v>
      </c>
      <c r="C251" s="133" t="s">
        <v>59</v>
      </c>
      <c r="D251" s="125">
        <f>IF('Quant. mod. (oc)'!D251&lt;0,0,ROUND('Quant. mod. (oc)'!D251,0))</f>
        <v>0</v>
      </c>
      <c r="E251" s="125">
        <f>IF('Quant. mod. (oc)'!E251&lt;0,0,ROUND('Quant. mod. (oc)'!E251,0))</f>
        <v>0</v>
      </c>
      <c r="F251" s="125">
        <f>IF('Quant. mod. (oc)'!F251&lt;0,0,ROUND('Quant. mod. (oc)'!F251,0))</f>
        <v>0</v>
      </c>
      <c r="G251" s="125">
        <f>IF('Quant. mod. (oc)'!G251&lt;0,0,ROUND('Quant. mod. (oc)'!G251,0))</f>
        <v>0</v>
      </c>
      <c r="H251" s="125">
        <f>IF('Quant. mod. (oc)'!H251&lt;0,0,ROUND('Quant. mod. (oc)'!H251,0))</f>
        <v>0</v>
      </c>
      <c r="I251" s="125">
        <f>IF('Quant. mod. (oc)'!I251&lt;0,0,ROUND('Quant. mod. (oc)'!I251,0))</f>
        <v>0</v>
      </c>
      <c r="J251" s="125">
        <f>IF('Quant. mod. (oc)'!J251&lt;0,0,ROUND('Quant. mod. (oc)'!J251,0))</f>
        <v>0</v>
      </c>
      <c r="K251" s="125">
        <f>IF('Quant. mod. (oc)'!K251&lt;0,0,ROUND('Quant. mod. (oc)'!K251,0))</f>
        <v>0</v>
      </c>
      <c r="L251" s="125">
        <f>IF('Quant. mod. (oc)'!L251&lt;0,0,ROUND('Quant. mod. (oc)'!L251,0))</f>
        <v>0</v>
      </c>
      <c r="M251" s="125">
        <f>IF('Quant. mod. (oc)'!M251&lt;0,0,ROUND('Quant. mod. (oc)'!M251,0))</f>
        <v>0</v>
      </c>
      <c r="N251" s="125">
        <f>IF('Quant. mod. (oc)'!N251&lt;0,0,ROUND('Quant. mod. (oc)'!N251,0))</f>
        <v>0</v>
      </c>
      <c r="O251" s="125">
        <f>IF('Quant. mod. (oc)'!O251&lt;0,0,ROUND('Quant. mod. (oc)'!O251,0))</f>
        <v>0</v>
      </c>
      <c r="P251" s="125">
        <f>IF('Quant. mod. (oc)'!P251&lt;0,0,ROUND('Quant. mod. (oc)'!P251,0))</f>
        <v>0</v>
      </c>
      <c r="Q251" s="125">
        <f>IF('Quant. mod. (oc)'!Q251&lt;0,0,ROUND('Quant. mod. (oc)'!Q251,0))</f>
        <v>0</v>
      </c>
      <c r="R251" s="125">
        <f>IF('Quant. mod. (oc)'!R251&lt;0,0,ROUND('Quant. mod. (oc)'!R251,0))</f>
        <v>0</v>
      </c>
      <c r="S251" s="125">
        <f>IF('Quant. mod. (oc)'!S251&lt;0,0,ROUND('Quant. mod. (oc)'!S251,0))</f>
        <v>0</v>
      </c>
      <c r="T251" s="125">
        <f>IF('Quant. mod. (oc)'!T251&lt;0,0,ROUND('Quant. mod. (oc)'!T251,0))</f>
        <v>0</v>
      </c>
      <c r="U251" s="125">
        <f>IF('Quant. mod. (oc)'!U251&lt;0,0,ROUND('Quant. mod. (oc)'!U251,0))</f>
        <v>0</v>
      </c>
      <c r="V251" s="125">
        <f>IF('Quant. mod. (oc)'!V251&lt;0,0,ROUND('Quant. mod. (oc)'!V251,0))</f>
        <v>0</v>
      </c>
      <c r="W251" s="125">
        <f>IF('Quant. mod. (oc)'!W251&lt;0,0,ROUND('Quant. mod. (oc)'!W251,0))</f>
        <v>0</v>
      </c>
      <c r="X251" s="125">
        <f>IF('Quant. mod. (oc)'!X251&lt;0,0,ROUND('Quant. mod. (oc)'!X251,0))</f>
        <v>0</v>
      </c>
      <c r="Y251" s="125">
        <f>IF('Quant. mod. (oc)'!Y251&lt;0,0,ROUND('Quant. mod. (oc)'!Y251,0))</f>
        <v>0</v>
      </c>
      <c r="Z251" s="125">
        <f>IF('Quant. mod. (oc)'!Z251&lt;0,0,ROUND('Quant. mod. (oc)'!Z251,0))</f>
        <v>0</v>
      </c>
      <c r="AA251" s="125">
        <f>IF('Quant. mod. (oc)'!AA251&lt;0,0,ROUND('Quant. mod. (oc)'!AA251,0))</f>
        <v>0</v>
      </c>
      <c r="AB251" s="125">
        <f>IF('Quant. mod. (oc)'!AB251&lt;0,0,ROUND('Quant. mod. (oc)'!AB251,0))</f>
        <v>0</v>
      </c>
      <c r="AC251" s="125">
        <f>IF('Quant. mod. (oc)'!AC251&lt;0,0,ROUND('Quant. mod. (oc)'!AC251,0))</f>
        <v>0</v>
      </c>
      <c r="AD251" s="125">
        <f>IF('Quant. mod. (oc)'!AD251&lt;0,0,ROUND('Quant. mod. (oc)'!AD251,0))</f>
        <v>0</v>
      </c>
      <c r="AE251" s="125">
        <f>IF('Quant. mod. (oc)'!AE251&lt;0,0,ROUND('Quant. mod. (oc)'!AE251,0))</f>
        <v>0</v>
      </c>
      <c r="AF251" s="125">
        <f>IF('Quant. mod. (oc)'!AF251&lt;0,0,ROUND('Quant. mod. (oc)'!AF251,0))</f>
        <v>0</v>
      </c>
      <c r="AG251" s="126">
        <f>IF('Quant. mod. (oc)'!AG251&lt;0,0,ROUND('Quant. mod. (oc)'!AG251,0))</f>
        <v>0</v>
      </c>
      <c r="AH251" s="22"/>
    </row>
    <row r="252" spans="1:34" x14ac:dyDescent="0.25">
      <c r="A252" s="112"/>
      <c r="B252" s="69" t="s">
        <v>232</v>
      </c>
      <c r="C252" s="133" t="s">
        <v>59</v>
      </c>
      <c r="D252" s="125">
        <f>IF('Quant. mod. (oc)'!D252&lt;0,0,ROUND('Quant. mod. (oc)'!D252,0))</f>
        <v>0</v>
      </c>
      <c r="E252" s="125">
        <f>IF('Quant. mod. (oc)'!E252&lt;0,0,ROUND('Quant. mod. (oc)'!E252,0))</f>
        <v>0</v>
      </c>
      <c r="F252" s="125">
        <f>IF('Quant. mod. (oc)'!F252&lt;0,0,ROUND('Quant. mod. (oc)'!F252,0))</f>
        <v>0</v>
      </c>
      <c r="G252" s="125">
        <f>IF('Quant. mod. (oc)'!G252&lt;0,0,ROUND('Quant. mod. (oc)'!G252,0))</f>
        <v>0</v>
      </c>
      <c r="H252" s="125">
        <f>IF('Quant. mod. (oc)'!H252&lt;0,0,ROUND('Quant. mod. (oc)'!H252,0))</f>
        <v>0</v>
      </c>
      <c r="I252" s="125">
        <f>IF('Quant. mod. (oc)'!I252&lt;0,0,ROUND('Quant. mod. (oc)'!I252,0))</f>
        <v>0</v>
      </c>
      <c r="J252" s="125">
        <f>IF('Quant. mod. (oc)'!J252&lt;0,0,ROUND('Quant. mod. (oc)'!J252,0))</f>
        <v>0</v>
      </c>
      <c r="K252" s="125">
        <f>IF('Quant. mod. (oc)'!K252&lt;0,0,ROUND('Quant. mod. (oc)'!K252,0))</f>
        <v>0</v>
      </c>
      <c r="L252" s="125">
        <f>IF('Quant. mod. (oc)'!L252&lt;0,0,ROUND('Quant. mod. (oc)'!L252,0))</f>
        <v>0</v>
      </c>
      <c r="M252" s="125">
        <f>IF('Quant. mod. (oc)'!M252&lt;0,0,ROUND('Quant. mod. (oc)'!M252,0))</f>
        <v>0</v>
      </c>
      <c r="N252" s="125">
        <f>IF('Quant. mod. (oc)'!N252&lt;0,0,ROUND('Quant. mod. (oc)'!N252,0))</f>
        <v>0</v>
      </c>
      <c r="O252" s="125">
        <f>IF('Quant. mod. (oc)'!O252&lt;0,0,ROUND('Quant. mod. (oc)'!O252,0))</f>
        <v>0</v>
      </c>
      <c r="P252" s="125">
        <f>IF('Quant. mod. (oc)'!P252&lt;0,0,ROUND('Quant. mod. (oc)'!P252,0))</f>
        <v>0</v>
      </c>
      <c r="Q252" s="125">
        <f>IF('Quant. mod. (oc)'!Q252&lt;0,0,ROUND('Quant. mod. (oc)'!Q252,0))</f>
        <v>0</v>
      </c>
      <c r="R252" s="125">
        <f>IF('Quant. mod. (oc)'!R252&lt;0,0,ROUND('Quant. mod. (oc)'!R252,0))</f>
        <v>0</v>
      </c>
      <c r="S252" s="125">
        <f>IF('Quant. mod. (oc)'!S252&lt;0,0,ROUND('Quant. mod. (oc)'!S252,0))</f>
        <v>0</v>
      </c>
      <c r="T252" s="125">
        <f>IF('Quant. mod. (oc)'!T252&lt;0,0,ROUND('Quant. mod. (oc)'!T252,0))</f>
        <v>0</v>
      </c>
      <c r="U252" s="125">
        <f>IF('Quant. mod. (oc)'!U252&lt;0,0,ROUND('Quant. mod. (oc)'!U252,0))</f>
        <v>0</v>
      </c>
      <c r="V252" s="125">
        <f>IF('Quant. mod. (oc)'!V252&lt;0,0,ROUND('Quant. mod. (oc)'!V252,0))</f>
        <v>0</v>
      </c>
      <c r="W252" s="125">
        <f>IF('Quant. mod. (oc)'!W252&lt;0,0,ROUND('Quant. mod. (oc)'!W252,0))</f>
        <v>0</v>
      </c>
      <c r="X252" s="125">
        <f>IF('Quant. mod. (oc)'!X252&lt;0,0,ROUND('Quant. mod. (oc)'!X252,0))</f>
        <v>0</v>
      </c>
      <c r="Y252" s="125">
        <f>IF('Quant. mod. (oc)'!Y252&lt;0,0,ROUND('Quant. mod. (oc)'!Y252,0))</f>
        <v>0</v>
      </c>
      <c r="Z252" s="125">
        <f>IF('Quant. mod. (oc)'!Z252&lt;0,0,ROUND('Quant. mod. (oc)'!Z252,0))</f>
        <v>0</v>
      </c>
      <c r="AA252" s="125">
        <f>IF('Quant. mod. (oc)'!AA252&lt;0,0,ROUND('Quant. mod. (oc)'!AA252,0))</f>
        <v>0</v>
      </c>
      <c r="AB252" s="125">
        <f>IF('Quant. mod. (oc)'!AB252&lt;0,0,ROUND('Quant. mod. (oc)'!AB252,0))</f>
        <v>0</v>
      </c>
      <c r="AC252" s="125">
        <f>IF('Quant. mod. (oc)'!AC252&lt;0,0,ROUND('Quant. mod. (oc)'!AC252,0))</f>
        <v>0</v>
      </c>
      <c r="AD252" s="125">
        <f>IF('Quant. mod. (oc)'!AD252&lt;0,0,ROUND('Quant. mod. (oc)'!AD252,0))</f>
        <v>0</v>
      </c>
      <c r="AE252" s="125">
        <f>IF('Quant. mod. (oc)'!AE252&lt;0,0,ROUND('Quant. mod. (oc)'!AE252,0))</f>
        <v>0</v>
      </c>
      <c r="AF252" s="125">
        <f>IF('Quant. mod. (oc)'!AF252&lt;0,0,ROUND('Quant. mod. (oc)'!AF252,0))</f>
        <v>0</v>
      </c>
      <c r="AG252" s="126">
        <f>IF('Quant. mod. (oc)'!AG252&lt;0,0,ROUND('Quant. mod. (oc)'!AG252,0))</f>
        <v>0</v>
      </c>
      <c r="AH252" s="22"/>
    </row>
    <row r="253" spans="1:34" x14ac:dyDescent="0.25">
      <c r="A253" s="112"/>
      <c r="B253" s="120" t="s">
        <v>553</v>
      </c>
      <c r="C253" s="121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8"/>
      <c r="AH253" s="22"/>
    </row>
    <row r="254" spans="1:34" x14ac:dyDescent="0.25">
      <c r="A254" s="112"/>
      <c r="B254" s="69" t="s">
        <v>241</v>
      </c>
      <c r="C254" s="133" t="s">
        <v>64</v>
      </c>
      <c r="D254" s="125">
        <f>IF('Quant. mod. (oc)'!D254&lt;0,0,CEILING('Quant. mod. (oc)'!D254,6))</f>
        <v>24</v>
      </c>
      <c r="E254" s="125">
        <f>IF('Quant. mod. (oc)'!E254&lt;0,0,CEILING('Quant. mod. (oc)'!E254,6))</f>
        <v>24</v>
      </c>
      <c r="F254" s="125">
        <f>IF('Quant. mod. (oc)'!F254&lt;0,0,CEILING('Quant. mod. (oc)'!F254,6))</f>
        <v>24</v>
      </c>
      <c r="G254" s="125">
        <f>IF('Quant. mod. (oc)'!G254&lt;0,0,CEILING('Quant. mod. (oc)'!G254,6))</f>
        <v>24</v>
      </c>
      <c r="H254" s="125">
        <f>IF('Quant. mod. (oc)'!H254&lt;0,0,CEILING('Quant. mod. (oc)'!H254,6))</f>
        <v>24</v>
      </c>
      <c r="I254" s="125">
        <f>IF('Quant. mod. (oc)'!I254&lt;0,0,CEILING('Quant. mod. (oc)'!I254,6))</f>
        <v>24</v>
      </c>
      <c r="J254" s="125">
        <f>IF('Quant. mod. (oc)'!J254&lt;0,0,CEILING('Quant. mod. (oc)'!J254,6))</f>
        <v>24</v>
      </c>
      <c r="K254" s="125">
        <f>IF('Quant. mod. (oc)'!K254&lt;0,0,CEILING('Quant. mod. (oc)'!K254,6))</f>
        <v>24</v>
      </c>
      <c r="L254" s="125">
        <f>IF('Quant. mod. (oc)'!L254&lt;0,0,CEILING('Quant. mod. (oc)'!L254,6))</f>
        <v>24</v>
      </c>
      <c r="M254" s="125">
        <f>IF('Quant. mod. (oc)'!M254&lt;0,0,CEILING('Quant. mod. (oc)'!M254,6))</f>
        <v>24</v>
      </c>
      <c r="N254" s="125">
        <f>IF('Quant. mod. (oc)'!N254&lt;0,0,CEILING('Quant. mod. (oc)'!N254,6))</f>
        <v>18</v>
      </c>
      <c r="O254" s="125">
        <f>IF('Quant. mod. (oc)'!O254&lt;0,0,CEILING('Quant. mod. (oc)'!O254,6))</f>
        <v>18</v>
      </c>
      <c r="P254" s="125">
        <f>IF('Quant. mod. (oc)'!P254&lt;0,0,CEILING('Quant. mod. (oc)'!P254,6))</f>
        <v>18</v>
      </c>
      <c r="Q254" s="125">
        <f>IF('Quant. mod. (oc)'!Q254&lt;0,0,CEILING('Quant. mod. (oc)'!Q254,6))</f>
        <v>18</v>
      </c>
      <c r="R254" s="125">
        <f>IF('Quant. mod. (oc)'!R254&lt;0,0,CEILING('Quant. mod. (oc)'!R254,6))</f>
        <v>18</v>
      </c>
      <c r="S254" s="125">
        <f>IF('Quant. mod. (oc)'!S254&lt;0,0,CEILING('Quant. mod. (oc)'!S254,6))</f>
        <v>18</v>
      </c>
      <c r="T254" s="125">
        <f>IF('Quant. mod. (oc)'!T254&lt;0,0,CEILING('Quant. mod. (oc)'!T254,6))</f>
        <v>18</v>
      </c>
      <c r="U254" s="125">
        <f>IF('Quant. mod. (oc)'!U254&lt;0,0,CEILING('Quant. mod. (oc)'!U254,6))</f>
        <v>18</v>
      </c>
      <c r="V254" s="125">
        <f>IF('Quant. mod. (oc)'!V254&lt;0,0,CEILING('Quant. mod. (oc)'!V254,6))</f>
        <v>18</v>
      </c>
      <c r="W254" s="125">
        <f>IF('Quant. mod. (oc)'!W254&lt;0,0,CEILING('Quant. mod. (oc)'!W254,6))</f>
        <v>18</v>
      </c>
      <c r="X254" s="125">
        <f>IF('Quant. mod. (oc)'!X254&lt;0,0,CEILING('Quant. mod. (oc)'!X254,6))</f>
        <v>24</v>
      </c>
      <c r="Y254" s="125">
        <f>IF('Quant. mod. (oc)'!Y254&lt;0,0,CEILING('Quant. mod. (oc)'!Y254,6))</f>
        <v>24</v>
      </c>
      <c r="Z254" s="125">
        <f>IF('Quant. mod. (oc)'!Z254&lt;0,0,CEILING('Quant. mod. (oc)'!Z254,6))</f>
        <v>24</v>
      </c>
      <c r="AA254" s="125">
        <f>IF('Quant. mod. (oc)'!AA254&lt;0,0,CEILING('Quant. mod. (oc)'!AA254,6))</f>
        <v>24</v>
      </c>
      <c r="AB254" s="125">
        <f>IF('Quant. mod. (oc)'!AB254&lt;0,0,CEILING('Quant. mod. (oc)'!AB254,6))</f>
        <v>24</v>
      </c>
      <c r="AC254" s="125">
        <f>IF('Quant. mod. (oc)'!AC254&lt;0,0,CEILING('Quant. mod. (oc)'!AC254,6))</f>
        <v>24</v>
      </c>
      <c r="AD254" s="125">
        <f>IF('Quant. mod. (oc)'!AD254&lt;0,0,CEILING('Quant. mod. (oc)'!AD254,6))</f>
        <v>24</v>
      </c>
      <c r="AE254" s="125">
        <f>IF('Quant. mod. (oc)'!AE254&lt;0,0,CEILING('Quant. mod. (oc)'!AE254,6))</f>
        <v>24</v>
      </c>
      <c r="AF254" s="125">
        <f>IF('Quant. mod. (oc)'!AF254&lt;0,0,CEILING('Quant. mod. (oc)'!AF254,6))</f>
        <v>24</v>
      </c>
      <c r="AG254" s="126">
        <f>IF('Quant. mod. (oc)'!AG254&lt;0,0,CEILING('Quant. mod. (oc)'!AG254,6))</f>
        <v>24</v>
      </c>
      <c r="AH254" s="22"/>
    </row>
    <row r="255" spans="1:34" x14ac:dyDescent="0.25">
      <c r="A255" s="112"/>
      <c r="B255" s="69" t="s">
        <v>242</v>
      </c>
      <c r="C255" s="133" t="s">
        <v>64</v>
      </c>
      <c r="D255" s="125">
        <f>IF('Quant. mod. (oc)'!D255&lt;0,0,CEILING('Quant. mod. (oc)'!D255,6))</f>
        <v>18</v>
      </c>
      <c r="E255" s="125">
        <f>IF('Quant. mod. (oc)'!E255&lt;0,0,CEILING('Quant. mod. (oc)'!E255,6))</f>
        <v>18</v>
      </c>
      <c r="F255" s="125">
        <f>IF('Quant. mod. (oc)'!F255&lt;0,0,CEILING('Quant. mod. (oc)'!F255,6))</f>
        <v>18</v>
      </c>
      <c r="G255" s="125">
        <f>IF('Quant. mod. (oc)'!G255&lt;0,0,CEILING('Quant. mod. (oc)'!G255,6))</f>
        <v>18</v>
      </c>
      <c r="H255" s="125">
        <f>IF('Quant. mod. (oc)'!H255&lt;0,0,CEILING('Quant. mod. (oc)'!H255,6))</f>
        <v>18</v>
      </c>
      <c r="I255" s="125">
        <f>IF('Quant. mod. (oc)'!I255&lt;0,0,CEILING('Quant. mod. (oc)'!I255,6))</f>
        <v>18</v>
      </c>
      <c r="J255" s="125">
        <f>IF('Quant. mod. (oc)'!J255&lt;0,0,CEILING('Quant. mod. (oc)'!J255,6))</f>
        <v>18</v>
      </c>
      <c r="K255" s="125">
        <f>IF('Quant. mod. (oc)'!K255&lt;0,0,CEILING('Quant. mod. (oc)'!K255,6))</f>
        <v>18</v>
      </c>
      <c r="L255" s="125">
        <f>IF('Quant. mod. (oc)'!L255&lt;0,0,CEILING('Quant. mod. (oc)'!L255,6))</f>
        <v>18</v>
      </c>
      <c r="M255" s="125">
        <f>IF('Quant. mod. (oc)'!M255&lt;0,0,CEILING('Quant. mod. (oc)'!M255,6))</f>
        <v>18</v>
      </c>
      <c r="N255" s="125">
        <f>IF('Quant. mod. (oc)'!N255&lt;0,0,CEILING('Quant. mod. (oc)'!N255,6))</f>
        <v>18</v>
      </c>
      <c r="O255" s="125">
        <f>IF('Quant. mod. (oc)'!O255&lt;0,0,CEILING('Quant. mod. (oc)'!O255,6))</f>
        <v>18</v>
      </c>
      <c r="P255" s="125">
        <f>IF('Quant. mod. (oc)'!P255&lt;0,0,CEILING('Quant. mod. (oc)'!P255,6))</f>
        <v>18</v>
      </c>
      <c r="Q255" s="125">
        <f>IF('Quant. mod. (oc)'!Q255&lt;0,0,CEILING('Quant. mod. (oc)'!Q255,6))</f>
        <v>18</v>
      </c>
      <c r="R255" s="125">
        <f>IF('Quant. mod. (oc)'!R255&lt;0,0,CEILING('Quant. mod. (oc)'!R255,6))</f>
        <v>18</v>
      </c>
      <c r="S255" s="125">
        <f>IF('Quant. mod. (oc)'!S255&lt;0,0,CEILING('Quant. mod. (oc)'!S255,6))</f>
        <v>18</v>
      </c>
      <c r="T255" s="125">
        <f>IF('Quant. mod. (oc)'!T255&lt;0,0,CEILING('Quant. mod. (oc)'!T255,6))</f>
        <v>18</v>
      </c>
      <c r="U255" s="125">
        <f>IF('Quant. mod. (oc)'!U255&lt;0,0,CEILING('Quant. mod. (oc)'!U255,6))</f>
        <v>18</v>
      </c>
      <c r="V255" s="125">
        <f>IF('Quant. mod. (oc)'!V255&lt;0,0,CEILING('Quant. mod. (oc)'!V255,6))</f>
        <v>18</v>
      </c>
      <c r="W255" s="125">
        <f>IF('Quant. mod. (oc)'!W255&lt;0,0,CEILING('Quant. mod. (oc)'!W255,6))</f>
        <v>18</v>
      </c>
      <c r="X255" s="125">
        <f>IF('Quant. mod. (oc)'!X255&lt;0,0,CEILING('Quant. mod. (oc)'!X255,6))</f>
        <v>24</v>
      </c>
      <c r="Y255" s="125">
        <f>IF('Quant. mod. (oc)'!Y255&lt;0,0,CEILING('Quant. mod. (oc)'!Y255,6))</f>
        <v>24</v>
      </c>
      <c r="Z255" s="125">
        <f>IF('Quant. mod. (oc)'!Z255&lt;0,0,CEILING('Quant. mod. (oc)'!Z255,6))</f>
        <v>24</v>
      </c>
      <c r="AA255" s="125">
        <f>IF('Quant. mod. (oc)'!AA255&lt;0,0,CEILING('Quant. mod. (oc)'!AA255,6))</f>
        <v>24</v>
      </c>
      <c r="AB255" s="125">
        <f>IF('Quant. mod. (oc)'!AB255&lt;0,0,CEILING('Quant. mod. (oc)'!AB255,6))</f>
        <v>24</v>
      </c>
      <c r="AC255" s="125">
        <f>IF('Quant. mod. (oc)'!AC255&lt;0,0,CEILING('Quant. mod. (oc)'!AC255,6))</f>
        <v>24</v>
      </c>
      <c r="AD255" s="125">
        <f>IF('Quant. mod. (oc)'!AD255&lt;0,0,CEILING('Quant. mod. (oc)'!AD255,6))</f>
        <v>24</v>
      </c>
      <c r="AE255" s="125">
        <f>IF('Quant. mod. (oc)'!AE255&lt;0,0,CEILING('Quant. mod. (oc)'!AE255,6))</f>
        <v>24</v>
      </c>
      <c r="AF255" s="125">
        <f>IF('Quant. mod. (oc)'!AF255&lt;0,0,CEILING('Quant. mod. (oc)'!AF255,6))</f>
        <v>24</v>
      </c>
      <c r="AG255" s="126">
        <f>IF('Quant. mod. (oc)'!AG255&lt;0,0,CEILING('Quant. mod. (oc)'!AG255,6))</f>
        <v>24</v>
      </c>
      <c r="AH255" s="22"/>
    </row>
    <row r="256" spans="1:34" x14ac:dyDescent="0.25">
      <c r="A256" s="112"/>
      <c r="B256" s="69" t="s">
        <v>243</v>
      </c>
      <c r="C256" s="133" t="s">
        <v>64</v>
      </c>
      <c r="D256" s="125">
        <f>IF('Quant. mod. (oc)'!D256&lt;0,0,CEILING('Quant. mod. (oc)'!D256,6))</f>
        <v>0</v>
      </c>
      <c r="E256" s="125">
        <f>IF('Quant. mod. (oc)'!E256&lt;0,0,CEILING('Quant. mod. (oc)'!E256,6))</f>
        <v>0</v>
      </c>
      <c r="F256" s="125">
        <f>IF('Quant. mod. (oc)'!F256&lt;0,0,CEILING('Quant. mod. (oc)'!F256,6))</f>
        <v>0</v>
      </c>
      <c r="G256" s="125">
        <f>IF('Quant. mod. (oc)'!G256&lt;0,0,CEILING('Quant. mod. (oc)'!G256,6))</f>
        <v>0</v>
      </c>
      <c r="H256" s="125">
        <f>IF('Quant. mod. (oc)'!H256&lt;0,0,CEILING('Quant. mod. (oc)'!H256,6))</f>
        <v>0</v>
      </c>
      <c r="I256" s="125">
        <f>IF('Quant. mod. (oc)'!I256&lt;0,0,CEILING('Quant. mod. (oc)'!I256,6))</f>
        <v>0</v>
      </c>
      <c r="J256" s="125">
        <f>IF('Quant. mod. (oc)'!J256&lt;0,0,CEILING('Quant. mod. (oc)'!J256,6))</f>
        <v>0</v>
      </c>
      <c r="K256" s="125">
        <f>IF('Quant. mod. (oc)'!K256&lt;0,0,CEILING('Quant. mod. (oc)'!K256,6))</f>
        <v>0</v>
      </c>
      <c r="L256" s="125">
        <f>IF('Quant. mod. (oc)'!L256&lt;0,0,CEILING('Quant. mod. (oc)'!L256,6))</f>
        <v>0</v>
      </c>
      <c r="M256" s="125">
        <f>IF('Quant. mod. (oc)'!M256&lt;0,0,CEILING('Quant. mod. (oc)'!M256,6))</f>
        <v>0</v>
      </c>
      <c r="N256" s="125">
        <f>IF('Quant. mod. (oc)'!N256&lt;0,0,CEILING('Quant. mod. (oc)'!N256,6))</f>
        <v>6</v>
      </c>
      <c r="O256" s="125">
        <f>IF('Quant. mod. (oc)'!O256&lt;0,0,CEILING('Quant. mod. (oc)'!O256,6))</f>
        <v>6</v>
      </c>
      <c r="P256" s="125">
        <f>IF('Quant. mod. (oc)'!P256&lt;0,0,CEILING('Quant. mod. (oc)'!P256,6))</f>
        <v>6</v>
      </c>
      <c r="Q256" s="125">
        <f>IF('Quant. mod. (oc)'!Q256&lt;0,0,CEILING('Quant. mod. (oc)'!Q256,6))</f>
        <v>6</v>
      </c>
      <c r="R256" s="125">
        <f>IF('Quant. mod. (oc)'!R256&lt;0,0,CEILING('Quant. mod. (oc)'!R256,6))</f>
        <v>6</v>
      </c>
      <c r="S256" s="125">
        <f>IF('Quant. mod. (oc)'!S256&lt;0,0,CEILING('Quant. mod. (oc)'!S256,6))</f>
        <v>6</v>
      </c>
      <c r="T256" s="125">
        <f>IF('Quant. mod. (oc)'!T256&lt;0,0,CEILING('Quant. mod. (oc)'!T256,6))</f>
        <v>6</v>
      </c>
      <c r="U256" s="125">
        <f>IF('Quant. mod. (oc)'!U256&lt;0,0,CEILING('Quant. mod. (oc)'!U256,6))</f>
        <v>6</v>
      </c>
      <c r="V256" s="125">
        <f>IF('Quant. mod. (oc)'!V256&lt;0,0,CEILING('Quant. mod. (oc)'!V256,6))</f>
        <v>6</v>
      </c>
      <c r="W256" s="125">
        <f>IF('Quant. mod. (oc)'!W256&lt;0,0,CEILING('Quant. mod. (oc)'!W256,6))</f>
        <v>6</v>
      </c>
      <c r="X256" s="125">
        <f>IF('Quant. mod. (oc)'!X256&lt;0,0,CEILING('Quant. mod. (oc)'!X256,6))</f>
        <v>6</v>
      </c>
      <c r="Y256" s="125">
        <f>IF('Quant. mod. (oc)'!Y256&lt;0,0,CEILING('Quant. mod. (oc)'!Y256,6))</f>
        <v>6</v>
      </c>
      <c r="Z256" s="125">
        <f>IF('Quant. mod. (oc)'!Z256&lt;0,0,CEILING('Quant. mod. (oc)'!Z256,6))</f>
        <v>6</v>
      </c>
      <c r="AA256" s="125">
        <f>IF('Quant. mod. (oc)'!AA256&lt;0,0,CEILING('Quant. mod. (oc)'!AA256,6))</f>
        <v>6</v>
      </c>
      <c r="AB256" s="125">
        <f>IF('Quant. mod. (oc)'!AB256&lt;0,0,CEILING('Quant. mod. (oc)'!AB256,6))</f>
        <v>6</v>
      </c>
      <c r="AC256" s="125">
        <f>IF('Quant. mod. (oc)'!AC256&lt;0,0,CEILING('Quant. mod. (oc)'!AC256,6))</f>
        <v>6</v>
      </c>
      <c r="AD256" s="125">
        <f>IF('Quant. mod. (oc)'!AD256&lt;0,0,CEILING('Quant. mod. (oc)'!AD256,6))</f>
        <v>6</v>
      </c>
      <c r="AE256" s="125">
        <f>IF('Quant. mod. (oc)'!AE256&lt;0,0,CEILING('Quant. mod. (oc)'!AE256,6))</f>
        <v>6</v>
      </c>
      <c r="AF256" s="125">
        <f>IF('Quant. mod. (oc)'!AF256&lt;0,0,CEILING('Quant. mod. (oc)'!AF256,6))</f>
        <v>6</v>
      </c>
      <c r="AG256" s="126">
        <f>IF('Quant. mod. (oc)'!AG256&lt;0,0,CEILING('Quant. mod. (oc)'!AG256,6))</f>
        <v>6</v>
      </c>
      <c r="AH256" s="22"/>
    </row>
    <row r="257" spans="1:34" x14ac:dyDescent="0.25">
      <c r="A257" s="112"/>
      <c r="B257" s="69" t="s">
        <v>244</v>
      </c>
      <c r="C257" s="133" t="s">
        <v>64</v>
      </c>
      <c r="D257" s="125">
        <f>IF('Quant. mod. (oc)'!D257&lt;0,0,CEILING('Quant. mod. (oc)'!D257,6))</f>
        <v>18</v>
      </c>
      <c r="E257" s="125">
        <f>IF('Quant. mod. (oc)'!E257&lt;0,0,CEILING('Quant. mod. (oc)'!E257,6))</f>
        <v>18</v>
      </c>
      <c r="F257" s="125">
        <f>IF('Quant. mod. (oc)'!F257&lt;0,0,CEILING('Quant. mod. (oc)'!F257,6))</f>
        <v>18</v>
      </c>
      <c r="G257" s="125">
        <f>IF('Quant. mod. (oc)'!G257&lt;0,0,CEILING('Quant. mod. (oc)'!G257,6))</f>
        <v>18</v>
      </c>
      <c r="H257" s="125">
        <f>IF('Quant. mod. (oc)'!H257&lt;0,0,CEILING('Quant. mod. (oc)'!H257,6))</f>
        <v>18</v>
      </c>
      <c r="I257" s="125">
        <f>IF('Quant. mod. (oc)'!I257&lt;0,0,CEILING('Quant. mod. (oc)'!I257,6))</f>
        <v>18</v>
      </c>
      <c r="J257" s="125">
        <f>IF('Quant. mod. (oc)'!J257&lt;0,0,CEILING('Quant. mod. (oc)'!J257,6))</f>
        <v>18</v>
      </c>
      <c r="K257" s="125">
        <f>IF('Quant. mod. (oc)'!K257&lt;0,0,CEILING('Quant. mod. (oc)'!K257,6))</f>
        <v>18</v>
      </c>
      <c r="L257" s="125">
        <f>IF('Quant. mod. (oc)'!L257&lt;0,0,CEILING('Quant. mod. (oc)'!L257,6))</f>
        <v>18</v>
      </c>
      <c r="M257" s="125">
        <f>IF('Quant. mod. (oc)'!M257&lt;0,0,CEILING('Quant. mod. (oc)'!M257,6))</f>
        <v>18</v>
      </c>
      <c r="N257" s="125">
        <f>IF('Quant. mod. (oc)'!N257&lt;0,0,CEILING('Quant. mod. (oc)'!N257,6))</f>
        <v>18</v>
      </c>
      <c r="O257" s="125">
        <f>IF('Quant. mod. (oc)'!O257&lt;0,0,CEILING('Quant. mod. (oc)'!O257,6))</f>
        <v>18</v>
      </c>
      <c r="P257" s="125">
        <f>IF('Quant. mod. (oc)'!P257&lt;0,0,CEILING('Quant. mod. (oc)'!P257,6))</f>
        <v>18</v>
      </c>
      <c r="Q257" s="125">
        <f>IF('Quant. mod. (oc)'!Q257&lt;0,0,CEILING('Quant. mod. (oc)'!Q257,6))</f>
        <v>18</v>
      </c>
      <c r="R257" s="125">
        <f>IF('Quant. mod. (oc)'!R257&lt;0,0,CEILING('Quant. mod. (oc)'!R257,6))</f>
        <v>18</v>
      </c>
      <c r="S257" s="125">
        <f>IF('Quant. mod. (oc)'!S257&lt;0,0,CEILING('Quant. mod. (oc)'!S257,6))</f>
        <v>18</v>
      </c>
      <c r="T257" s="125">
        <f>IF('Quant. mod. (oc)'!T257&lt;0,0,CEILING('Quant. mod. (oc)'!T257,6))</f>
        <v>18</v>
      </c>
      <c r="U257" s="125">
        <f>IF('Quant. mod. (oc)'!U257&lt;0,0,CEILING('Quant. mod. (oc)'!U257,6))</f>
        <v>18</v>
      </c>
      <c r="V257" s="125">
        <f>IF('Quant. mod. (oc)'!V257&lt;0,0,CEILING('Quant. mod. (oc)'!V257,6))</f>
        <v>18</v>
      </c>
      <c r="W257" s="125">
        <f>IF('Quant. mod. (oc)'!W257&lt;0,0,CEILING('Quant. mod. (oc)'!W257,6))</f>
        <v>18</v>
      </c>
      <c r="X257" s="125">
        <f>IF('Quant. mod. (oc)'!X257&lt;0,0,CEILING('Quant. mod. (oc)'!X257,6))</f>
        <v>24</v>
      </c>
      <c r="Y257" s="125">
        <f>IF('Quant. mod. (oc)'!Y257&lt;0,0,CEILING('Quant. mod. (oc)'!Y257,6))</f>
        <v>24</v>
      </c>
      <c r="Z257" s="125">
        <f>IF('Quant. mod. (oc)'!Z257&lt;0,0,CEILING('Quant. mod. (oc)'!Z257,6))</f>
        <v>24</v>
      </c>
      <c r="AA257" s="125">
        <f>IF('Quant. mod. (oc)'!AA257&lt;0,0,CEILING('Quant. mod. (oc)'!AA257,6))</f>
        <v>24</v>
      </c>
      <c r="AB257" s="125">
        <f>IF('Quant. mod. (oc)'!AB257&lt;0,0,CEILING('Quant. mod. (oc)'!AB257,6))</f>
        <v>24</v>
      </c>
      <c r="AC257" s="125">
        <f>IF('Quant. mod. (oc)'!AC257&lt;0,0,CEILING('Quant. mod. (oc)'!AC257,6))</f>
        <v>24</v>
      </c>
      <c r="AD257" s="125">
        <f>IF('Quant. mod. (oc)'!AD257&lt;0,0,CEILING('Quant. mod. (oc)'!AD257,6))</f>
        <v>24</v>
      </c>
      <c r="AE257" s="125">
        <f>IF('Quant. mod. (oc)'!AE257&lt;0,0,CEILING('Quant. mod. (oc)'!AE257,6))</f>
        <v>24</v>
      </c>
      <c r="AF257" s="125">
        <f>IF('Quant. mod. (oc)'!AF257&lt;0,0,CEILING('Quant. mod. (oc)'!AF257,6))</f>
        <v>24</v>
      </c>
      <c r="AG257" s="126">
        <f>IF('Quant. mod. (oc)'!AG257&lt;0,0,CEILING('Quant. mod. (oc)'!AG257,6))</f>
        <v>24</v>
      </c>
      <c r="AH257" s="22"/>
    </row>
    <row r="258" spans="1:34" x14ac:dyDescent="0.25">
      <c r="A258" s="112"/>
      <c r="B258" s="69" t="s">
        <v>246</v>
      </c>
      <c r="C258" s="133" t="s">
        <v>59</v>
      </c>
      <c r="D258" s="125">
        <f>IF('Quant. mod. (oc)'!D258&lt;0,0,ROUND('Quant. mod. (oc)'!D258,0))</f>
        <v>2</v>
      </c>
      <c r="E258" s="125">
        <f>IF('Quant. mod. (oc)'!E258&lt;0,0,ROUND('Quant. mod. (oc)'!E258,0))</f>
        <v>2</v>
      </c>
      <c r="F258" s="125">
        <f>IF('Quant. mod. (oc)'!F258&lt;0,0,ROUND('Quant. mod. (oc)'!F258,0))</f>
        <v>2</v>
      </c>
      <c r="G258" s="125">
        <f>IF('Quant. mod. (oc)'!G258&lt;0,0,ROUND('Quant. mod. (oc)'!G258,0))</f>
        <v>2</v>
      </c>
      <c r="H258" s="125">
        <f>IF('Quant. mod. (oc)'!H258&lt;0,0,ROUND('Quant. mod. (oc)'!H258,0))</f>
        <v>2</v>
      </c>
      <c r="I258" s="125">
        <f>IF('Quant. mod. (oc)'!I258&lt;0,0,ROUND('Quant. mod. (oc)'!I258,0))</f>
        <v>2</v>
      </c>
      <c r="J258" s="125">
        <f>IF('Quant. mod. (oc)'!J258&lt;0,0,ROUND('Quant. mod. (oc)'!J258,0))</f>
        <v>2</v>
      </c>
      <c r="K258" s="125">
        <f>IF('Quant. mod. (oc)'!K258&lt;0,0,ROUND('Quant. mod. (oc)'!K258,0))</f>
        <v>2</v>
      </c>
      <c r="L258" s="125">
        <f>IF('Quant. mod. (oc)'!L258&lt;0,0,ROUND('Quant. mod. (oc)'!L258,0))</f>
        <v>2</v>
      </c>
      <c r="M258" s="125">
        <f>IF('Quant. mod. (oc)'!M258&lt;0,0,ROUND('Quant. mod. (oc)'!M258,0))</f>
        <v>2</v>
      </c>
      <c r="N258" s="125">
        <f>IF('Quant. mod. (oc)'!N258&lt;0,0,ROUND('Quant. mod. (oc)'!N258,0))</f>
        <v>2</v>
      </c>
      <c r="O258" s="125">
        <f>IF('Quant. mod. (oc)'!O258&lt;0,0,ROUND('Quant. mod. (oc)'!O258,0))</f>
        <v>2</v>
      </c>
      <c r="P258" s="125">
        <f>IF('Quant. mod. (oc)'!P258&lt;0,0,ROUND('Quant. mod. (oc)'!P258,0))</f>
        <v>2</v>
      </c>
      <c r="Q258" s="125">
        <f>IF('Quant. mod. (oc)'!Q258&lt;0,0,ROUND('Quant. mod. (oc)'!Q258,0))</f>
        <v>2</v>
      </c>
      <c r="R258" s="125">
        <f>IF('Quant. mod. (oc)'!R258&lt;0,0,ROUND('Quant. mod. (oc)'!R258,0))</f>
        <v>2</v>
      </c>
      <c r="S258" s="125">
        <f>IF('Quant. mod. (oc)'!S258&lt;0,0,ROUND('Quant. mod. (oc)'!S258,0))</f>
        <v>2</v>
      </c>
      <c r="T258" s="125">
        <f>IF('Quant. mod. (oc)'!T258&lt;0,0,ROUND('Quant. mod. (oc)'!T258,0))</f>
        <v>2</v>
      </c>
      <c r="U258" s="125">
        <f>IF('Quant. mod. (oc)'!U258&lt;0,0,ROUND('Quant. mod. (oc)'!U258,0))</f>
        <v>2</v>
      </c>
      <c r="V258" s="125">
        <f>IF('Quant. mod. (oc)'!V258&lt;0,0,ROUND('Quant. mod. (oc)'!V258,0))</f>
        <v>2</v>
      </c>
      <c r="W258" s="125">
        <f>IF('Quant. mod. (oc)'!W258&lt;0,0,ROUND('Quant. mod. (oc)'!W258,0))</f>
        <v>2</v>
      </c>
      <c r="X258" s="125">
        <f>IF('Quant. mod. (oc)'!X258&lt;0,0,ROUND('Quant. mod. (oc)'!X258,0))</f>
        <v>2</v>
      </c>
      <c r="Y258" s="125">
        <f>IF('Quant. mod. (oc)'!Y258&lt;0,0,ROUND('Quant. mod. (oc)'!Y258,0))</f>
        <v>2</v>
      </c>
      <c r="Z258" s="125">
        <f>IF('Quant. mod. (oc)'!Z258&lt;0,0,ROUND('Quant. mod. (oc)'!Z258,0))</f>
        <v>2</v>
      </c>
      <c r="AA258" s="125">
        <f>IF('Quant. mod. (oc)'!AA258&lt;0,0,ROUND('Quant. mod. (oc)'!AA258,0))</f>
        <v>2</v>
      </c>
      <c r="AB258" s="125">
        <f>IF('Quant. mod. (oc)'!AB258&lt;0,0,ROUND('Quant. mod. (oc)'!AB258,0))</f>
        <v>2</v>
      </c>
      <c r="AC258" s="125">
        <f>IF('Quant. mod. (oc)'!AC258&lt;0,0,ROUND('Quant. mod. (oc)'!AC258,0))</f>
        <v>2</v>
      </c>
      <c r="AD258" s="125">
        <f>IF('Quant. mod. (oc)'!AD258&lt;0,0,ROUND('Quant. mod. (oc)'!AD258,0))</f>
        <v>2</v>
      </c>
      <c r="AE258" s="125">
        <f>IF('Quant. mod. (oc)'!AE258&lt;0,0,ROUND('Quant. mod. (oc)'!AE258,0))</f>
        <v>2</v>
      </c>
      <c r="AF258" s="125">
        <f>IF('Quant. mod. (oc)'!AF258&lt;0,0,ROUND('Quant. mod. (oc)'!AF258,0))</f>
        <v>2</v>
      </c>
      <c r="AG258" s="126">
        <f>IF('Quant. mod. (oc)'!AG258&lt;0,0,ROUND('Quant. mod. (oc)'!AG258,0))</f>
        <v>2</v>
      </c>
      <c r="AH258" s="22"/>
    </row>
    <row r="259" spans="1:34" x14ac:dyDescent="0.25">
      <c r="A259" s="112"/>
      <c r="B259" s="69" t="s">
        <v>250</v>
      </c>
      <c r="C259" s="133" t="s">
        <v>59</v>
      </c>
      <c r="D259" s="125">
        <f>IF('Quant. mod. (oc)'!D259&lt;0,0,ROUND('Quant. mod. (oc)'!D259,0))</f>
        <v>2</v>
      </c>
      <c r="E259" s="125">
        <f>IF('Quant. mod. (oc)'!E259&lt;0,0,ROUND('Quant. mod. (oc)'!E259,0))</f>
        <v>2</v>
      </c>
      <c r="F259" s="125">
        <f>IF('Quant. mod. (oc)'!F259&lt;0,0,ROUND('Quant. mod. (oc)'!F259,0))</f>
        <v>2</v>
      </c>
      <c r="G259" s="125">
        <f>IF('Quant. mod. (oc)'!G259&lt;0,0,ROUND('Quant. mod. (oc)'!G259,0))</f>
        <v>2</v>
      </c>
      <c r="H259" s="125">
        <f>IF('Quant. mod. (oc)'!H259&lt;0,0,ROUND('Quant. mod. (oc)'!H259,0))</f>
        <v>2</v>
      </c>
      <c r="I259" s="125">
        <f>IF('Quant. mod. (oc)'!I259&lt;0,0,ROUND('Quant. mod. (oc)'!I259,0))</f>
        <v>2</v>
      </c>
      <c r="J259" s="125">
        <f>IF('Quant. mod. (oc)'!J259&lt;0,0,ROUND('Quant. mod. (oc)'!J259,0))</f>
        <v>2</v>
      </c>
      <c r="K259" s="125">
        <f>IF('Quant. mod. (oc)'!K259&lt;0,0,ROUND('Quant. mod. (oc)'!K259,0))</f>
        <v>2</v>
      </c>
      <c r="L259" s="125">
        <f>IF('Quant. mod. (oc)'!L259&lt;0,0,ROUND('Quant. mod. (oc)'!L259,0))</f>
        <v>2</v>
      </c>
      <c r="M259" s="125">
        <f>IF('Quant. mod. (oc)'!M259&lt;0,0,ROUND('Quant. mod. (oc)'!M259,0))</f>
        <v>2</v>
      </c>
      <c r="N259" s="125">
        <f>IF('Quant. mod. (oc)'!N259&lt;0,0,ROUND('Quant. mod. (oc)'!N259,0))</f>
        <v>2</v>
      </c>
      <c r="O259" s="125">
        <f>IF('Quant. mod. (oc)'!O259&lt;0,0,ROUND('Quant. mod. (oc)'!O259,0))</f>
        <v>2</v>
      </c>
      <c r="P259" s="125">
        <f>IF('Quant. mod. (oc)'!P259&lt;0,0,ROUND('Quant. mod. (oc)'!P259,0))</f>
        <v>2</v>
      </c>
      <c r="Q259" s="125">
        <f>IF('Quant. mod. (oc)'!Q259&lt;0,0,ROUND('Quant. mod. (oc)'!Q259,0))</f>
        <v>2</v>
      </c>
      <c r="R259" s="125">
        <f>IF('Quant. mod. (oc)'!R259&lt;0,0,ROUND('Quant. mod. (oc)'!R259,0))</f>
        <v>2</v>
      </c>
      <c r="S259" s="125">
        <f>IF('Quant. mod. (oc)'!S259&lt;0,0,ROUND('Quant. mod. (oc)'!S259,0))</f>
        <v>2</v>
      </c>
      <c r="T259" s="125">
        <f>IF('Quant. mod. (oc)'!T259&lt;0,0,ROUND('Quant. mod. (oc)'!T259,0))</f>
        <v>2</v>
      </c>
      <c r="U259" s="125">
        <f>IF('Quant. mod. (oc)'!U259&lt;0,0,ROUND('Quant. mod. (oc)'!U259,0))</f>
        <v>2</v>
      </c>
      <c r="V259" s="125">
        <f>IF('Quant. mod. (oc)'!V259&lt;0,0,ROUND('Quant. mod. (oc)'!V259,0))</f>
        <v>2</v>
      </c>
      <c r="W259" s="125">
        <f>IF('Quant. mod. (oc)'!W259&lt;0,0,ROUND('Quant. mod. (oc)'!W259,0))</f>
        <v>2</v>
      </c>
      <c r="X259" s="125">
        <f>IF('Quant. mod. (oc)'!X259&lt;0,0,ROUND('Quant. mod. (oc)'!X259,0))</f>
        <v>2</v>
      </c>
      <c r="Y259" s="125">
        <f>IF('Quant. mod. (oc)'!Y259&lt;0,0,ROUND('Quant. mod. (oc)'!Y259,0))</f>
        <v>2</v>
      </c>
      <c r="Z259" s="125">
        <f>IF('Quant. mod. (oc)'!Z259&lt;0,0,ROUND('Quant. mod. (oc)'!Z259,0))</f>
        <v>2</v>
      </c>
      <c r="AA259" s="125">
        <f>IF('Quant. mod. (oc)'!AA259&lt;0,0,ROUND('Quant. mod. (oc)'!AA259,0))</f>
        <v>2</v>
      </c>
      <c r="AB259" s="125">
        <f>IF('Quant. mod. (oc)'!AB259&lt;0,0,ROUND('Quant. mod. (oc)'!AB259,0))</f>
        <v>2</v>
      </c>
      <c r="AC259" s="125">
        <f>IF('Quant. mod. (oc)'!AC259&lt;0,0,ROUND('Quant. mod. (oc)'!AC259,0))</f>
        <v>2</v>
      </c>
      <c r="AD259" s="125">
        <f>IF('Quant. mod. (oc)'!AD259&lt;0,0,ROUND('Quant. mod. (oc)'!AD259,0))</f>
        <v>2</v>
      </c>
      <c r="AE259" s="125">
        <f>IF('Quant. mod. (oc)'!AE259&lt;0,0,ROUND('Quant. mod. (oc)'!AE259,0))</f>
        <v>2</v>
      </c>
      <c r="AF259" s="125">
        <f>IF('Quant. mod. (oc)'!AF259&lt;0,0,ROUND('Quant. mod. (oc)'!AF259,0))</f>
        <v>2</v>
      </c>
      <c r="AG259" s="126">
        <f>IF('Quant. mod. (oc)'!AG259&lt;0,0,ROUND('Quant. mod. (oc)'!AG259,0))</f>
        <v>2</v>
      </c>
      <c r="AH259" s="22"/>
    </row>
    <row r="260" spans="1:34" x14ac:dyDescent="0.25">
      <c r="A260" s="112"/>
      <c r="B260" s="69" t="s">
        <v>251</v>
      </c>
      <c r="C260" s="133" t="s">
        <v>59</v>
      </c>
      <c r="D260" s="125">
        <f>IF('Quant. mod. (oc)'!D260&lt;0,0,ROUND('Quant. mod. (oc)'!D260,0))</f>
        <v>1</v>
      </c>
      <c r="E260" s="125">
        <f>IF('Quant. mod. (oc)'!E260&lt;0,0,ROUND('Quant. mod. (oc)'!E260,0))</f>
        <v>1</v>
      </c>
      <c r="F260" s="125">
        <f>IF('Quant. mod. (oc)'!F260&lt;0,0,ROUND('Quant. mod. (oc)'!F260,0))</f>
        <v>1</v>
      </c>
      <c r="G260" s="125">
        <f>IF('Quant. mod. (oc)'!G260&lt;0,0,ROUND('Quant. mod. (oc)'!G260,0))</f>
        <v>1</v>
      </c>
      <c r="H260" s="125">
        <f>IF('Quant. mod. (oc)'!H260&lt;0,0,ROUND('Quant. mod. (oc)'!H260,0))</f>
        <v>1</v>
      </c>
      <c r="I260" s="125">
        <f>IF('Quant. mod. (oc)'!I260&lt;0,0,ROUND('Quant. mod. (oc)'!I260,0))</f>
        <v>1</v>
      </c>
      <c r="J260" s="125">
        <f>IF('Quant. mod. (oc)'!J260&lt;0,0,ROUND('Quant. mod. (oc)'!J260,0))</f>
        <v>1</v>
      </c>
      <c r="K260" s="125">
        <f>IF('Quant. mod. (oc)'!K260&lt;0,0,ROUND('Quant. mod. (oc)'!K260,0))</f>
        <v>1</v>
      </c>
      <c r="L260" s="125">
        <f>IF('Quant. mod. (oc)'!L260&lt;0,0,ROUND('Quant. mod. (oc)'!L260,0))</f>
        <v>1</v>
      </c>
      <c r="M260" s="125">
        <f>IF('Quant. mod. (oc)'!M260&lt;0,0,ROUND('Quant. mod. (oc)'!M260,0))</f>
        <v>1</v>
      </c>
      <c r="N260" s="125">
        <f>IF('Quant. mod. (oc)'!N260&lt;0,0,ROUND('Quant. mod. (oc)'!N260,0))</f>
        <v>1</v>
      </c>
      <c r="O260" s="125">
        <f>IF('Quant. mod. (oc)'!O260&lt;0,0,ROUND('Quant. mod. (oc)'!O260,0))</f>
        <v>1</v>
      </c>
      <c r="P260" s="125">
        <f>IF('Quant. mod. (oc)'!P260&lt;0,0,ROUND('Quant. mod. (oc)'!P260,0))</f>
        <v>1</v>
      </c>
      <c r="Q260" s="125">
        <f>IF('Quant. mod. (oc)'!Q260&lt;0,0,ROUND('Quant. mod. (oc)'!Q260,0))</f>
        <v>1</v>
      </c>
      <c r="R260" s="125">
        <f>IF('Quant. mod. (oc)'!R260&lt;0,0,ROUND('Quant. mod. (oc)'!R260,0))</f>
        <v>1</v>
      </c>
      <c r="S260" s="125">
        <f>IF('Quant. mod. (oc)'!S260&lt;0,0,ROUND('Quant. mod. (oc)'!S260,0))</f>
        <v>1</v>
      </c>
      <c r="T260" s="125">
        <f>IF('Quant. mod. (oc)'!T260&lt;0,0,ROUND('Quant. mod. (oc)'!T260,0))</f>
        <v>1</v>
      </c>
      <c r="U260" s="125">
        <f>IF('Quant. mod. (oc)'!U260&lt;0,0,ROUND('Quant. mod. (oc)'!U260,0))</f>
        <v>1</v>
      </c>
      <c r="V260" s="125">
        <f>IF('Quant. mod. (oc)'!V260&lt;0,0,ROUND('Quant. mod. (oc)'!V260,0))</f>
        <v>1</v>
      </c>
      <c r="W260" s="125">
        <f>IF('Quant. mod. (oc)'!W260&lt;0,0,ROUND('Quant. mod. (oc)'!W260,0))</f>
        <v>1</v>
      </c>
      <c r="X260" s="125">
        <f>IF('Quant. mod. (oc)'!X260&lt;0,0,ROUND('Quant. mod. (oc)'!X260,0))</f>
        <v>1</v>
      </c>
      <c r="Y260" s="125">
        <f>IF('Quant. mod. (oc)'!Y260&lt;0,0,ROUND('Quant. mod. (oc)'!Y260,0))</f>
        <v>1</v>
      </c>
      <c r="Z260" s="125">
        <f>IF('Quant. mod. (oc)'!Z260&lt;0,0,ROUND('Quant. mod. (oc)'!Z260,0))</f>
        <v>1</v>
      </c>
      <c r="AA260" s="125">
        <f>IF('Quant. mod. (oc)'!AA260&lt;0,0,ROUND('Quant. mod. (oc)'!AA260,0))</f>
        <v>1</v>
      </c>
      <c r="AB260" s="125">
        <f>IF('Quant. mod. (oc)'!AB260&lt;0,0,ROUND('Quant. mod. (oc)'!AB260,0))</f>
        <v>1</v>
      </c>
      <c r="AC260" s="125">
        <f>IF('Quant. mod. (oc)'!AC260&lt;0,0,ROUND('Quant. mod. (oc)'!AC260,0))</f>
        <v>1</v>
      </c>
      <c r="AD260" s="125">
        <f>IF('Quant. mod. (oc)'!AD260&lt;0,0,ROUND('Quant. mod. (oc)'!AD260,0))</f>
        <v>1</v>
      </c>
      <c r="AE260" s="125">
        <f>IF('Quant. mod. (oc)'!AE260&lt;0,0,ROUND('Quant. mod. (oc)'!AE260,0))</f>
        <v>1</v>
      </c>
      <c r="AF260" s="125">
        <f>IF('Quant. mod. (oc)'!AF260&lt;0,0,ROUND('Quant. mod. (oc)'!AF260,0))</f>
        <v>1</v>
      </c>
      <c r="AG260" s="126">
        <f>IF('Quant. mod. (oc)'!AG260&lt;0,0,ROUND('Quant. mod. (oc)'!AG260,0))</f>
        <v>1</v>
      </c>
      <c r="AH260" s="22"/>
    </row>
    <row r="261" spans="1:34" x14ac:dyDescent="0.25">
      <c r="A261" s="112"/>
      <c r="B261" s="69" t="s">
        <v>254</v>
      </c>
      <c r="C261" s="133" t="s">
        <v>59</v>
      </c>
      <c r="D261" s="125">
        <f>IF('Quant. mod. (oc)'!D261&lt;0,0,ROUND('Quant. mod. (oc)'!D261,0))</f>
        <v>1</v>
      </c>
      <c r="E261" s="125">
        <f>IF('Quant. mod. (oc)'!E261&lt;0,0,ROUND('Quant. mod. (oc)'!E261,0))</f>
        <v>1</v>
      </c>
      <c r="F261" s="125">
        <f>IF('Quant. mod. (oc)'!F261&lt;0,0,ROUND('Quant. mod. (oc)'!F261,0))</f>
        <v>1</v>
      </c>
      <c r="G261" s="125">
        <f>IF('Quant. mod. (oc)'!G261&lt;0,0,ROUND('Quant. mod. (oc)'!G261,0))</f>
        <v>1</v>
      </c>
      <c r="H261" s="125">
        <f>IF('Quant. mod. (oc)'!H261&lt;0,0,ROUND('Quant. mod. (oc)'!H261,0))</f>
        <v>1</v>
      </c>
      <c r="I261" s="125">
        <f>IF('Quant. mod. (oc)'!I261&lt;0,0,ROUND('Quant. mod. (oc)'!I261,0))</f>
        <v>1</v>
      </c>
      <c r="J261" s="125">
        <f>IF('Quant. mod. (oc)'!J261&lt;0,0,ROUND('Quant. mod. (oc)'!J261,0))</f>
        <v>1</v>
      </c>
      <c r="K261" s="125">
        <f>IF('Quant. mod. (oc)'!K261&lt;0,0,ROUND('Quant. mod. (oc)'!K261,0))</f>
        <v>1</v>
      </c>
      <c r="L261" s="125">
        <f>IF('Quant. mod. (oc)'!L261&lt;0,0,ROUND('Quant. mod. (oc)'!L261,0))</f>
        <v>1</v>
      </c>
      <c r="M261" s="125">
        <f>IF('Quant. mod. (oc)'!M261&lt;0,0,ROUND('Quant. mod. (oc)'!M261,0))</f>
        <v>1</v>
      </c>
      <c r="N261" s="125">
        <f>IF('Quant. mod. (oc)'!N261&lt;0,0,ROUND('Quant. mod. (oc)'!N261,0))</f>
        <v>1</v>
      </c>
      <c r="O261" s="125">
        <f>IF('Quant. mod. (oc)'!O261&lt;0,0,ROUND('Quant. mod. (oc)'!O261,0))</f>
        <v>1</v>
      </c>
      <c r="P261" s="125">
        <f>IF('Quant. mod. (oc)'!P261&lt;0,0,ROUND('Quant. mod. (oc)'!P261,0))</f>
        <v>1</v>
      </c>
      <c r="Q261" s="125">
        <f>IF('Quant. mod. (oc)'!Q261&lt;0,0,ROUND('Quant. mod. (oc)'!Q261,0))</f>
        <v>1</v>
      </c>
      <c r="R261" s="125">
        <f>IF('Quant. mod. (oc)'!R261&lt;0,0,ROUND('Quant. mod. (oc)'!R261,0))</f>
        <v>1</v>
      </c>
      <c r="S261" s="125">
        <f>IF('Quant. mod. (oc)'!S261&lt;0,0,ROUND('Quant. mod. (oc)'!S261,0))</f>
        <v>1</v>
      </c>
      <c r="T261" s="125">
        <f>IF('Quant. mod. (oc)'!T261&lt;0,0,ROUND('Quant. mod. (oc)'!T261,0))</f>
        <v>1</v>
      </c>
      <c r="U261" s="125">
        <f>IF('Quant. mod. (oc)'!U261&lt;0,0,ROUND('Quant. mod. (oc)'!U261,0))</f>
        <v>1</v>
      </c>
      <c r="V261" s="125">
        <f>IF('Quant. mod. (oc)'!V261&lt;0,0,ROUND('Quant. mod. (oc)'!V261,0))</f>
        <v>1</v>
      </c>
      <c r="W261" s="125">
        <f>IF('Quant. mod. (oc)'!W261&lt;0,0,ROUND('Quant. mod. (oc)'!W261,0))</f>
        <v>1</v>
      </c>
      <c r="X261" s="125">
        <f>IF('Quant. mod. (oc)'!X261&lt;0,0,ROUND('Quant. mod. (oc)'!X261,0))</f>
        <v>1</v>
      </c>
      <c r="Y261" s="125">
        <f>IF('Quant. mod. (oc)'!Y261&lt;0,0,ROUND('Quant. mod. (oc)'!Y261,0))</f>
        <v>1</v>
      </c>
      <c r="Z261" s="125">
        <f>IF('Quant. mod. (oc)'!Z261&lt;0,0,ROUND('Quant. mod. (oc)'!Z261,0))</f>
        <v>1</v>
      </c>
      <c r="AA261" s="125">
        <f>IF('Quant. mod. (oc)'!AA261&lt;0,0,ROUND('Quant. mod. (oc)'!AA261,0))</f>
        <v>1</v>
      </c>
      <c r="AB261" s="125">
        <f>IF('Quant. mod. (oc)'!AB261&lt;0,0,ROUND('Quant. mod. (oc)'!AB261,0))</f>
        <v>1</v>
      </c>
      <c r="AC261" s="125">
        <f>IF('Quant. mod. (oc)'!AC261&lt;0,0,ROUND('Quant. mod. (oc)'!AC261,0))</f>
        <v>1</v>
      </c>
      <c r="AD261" s="125">
        <f>IF('Quant. mod. (oc)'!AD261&lt;0,0,ROUND('Quant. mod. (oc)'!AD261,0))</f>
        <v>1</v>
      </c>
      <c r="AE261" s="125">
        <f>IF('Quant. mod. (oc)'!AE261&lt;0,0,ROUND('Quant. mod. (oc)'!AE261,0))</f>
        <v>1</v>
      </c>
      <c r="AF261" s="125">
        <f>IF('Quant. mod. (oc)'!AF261&lt;0,0,ROUND('Quant. mod. (oc)'!AF261,0))</f>
        <v>1</v>
      </c>
      <c r="AG261" s="126">
        <f>IF('Quant. mod. (oc)'!AG261&lt;0,0,ROUND('Quant. mod. (oc)'!AG261,0))</f>
        <v>1</v>
      </c>
      <c r="AH261" s="22"/>
    </row>
    <row r="262" spans="1:34" x14ac:dyDescent="0.25">
      <c r="A262" s="112"/>
      <c r="B262" s="69" t="s">
        <v>255</v>
      </c>
      <c r="C262" s="133" t="s">
        <v>59</v>
      </c>
      <c r="D262" s="125">
        <f>IF('Quant. mod. (oc)'!D262&lt;0,0,ROUND('Quant. mod. (oc)'!D262,0))</f>
        <v>1</v>
      </c>
      <c r="E262" s="125">
        <f>IF('Quant. mod. (oc)'!E262&lt;0,0,ROUND('Quant. mod. (oc)'!E262,0))</f>
        <v>1</v>
      </c>
      <c r="F262" s="125">
        <f>IF('Quant. mod. (oc)'!F262&lt;0,0,ROUND('Quant. mod. (oc)'!F262,0))</f>
        <v>1</v>
      </c>
      <c r="G262" s="125">
        <f>IF('Quant. mod. (oc)'!G262&lt;0,0,ROUND('Quant. mod. (oc)'!G262,0))</f>
        <v>1</v>
      </c>
      <c r="H262" s="125">
        <f>IF('Quant. mod. (oc)'!H262&lt;0,0,ROUND('Quant. mod. (oc)'!H262,0))</f>
        <v>1</v>
      </c>
      <c r="I262" s="125">
        <f>IF('Quant. mod. (oc)'!I262&lt;0,0,ROUND('Quant. mod. (oc)'!I262,0))</f>
        <v>1</v>
      </c>
      <c r="J262" s="125">
        <f>IF('Quant. mod. (oc)'!J262&lt;0,0,ROUND('Quant. mod. (oc)'!J262,0))</f>
        <v>1</v>
      </c>
      <c r="K262" s="125">
        <f>IF('Quant. mod. (oc)'!K262&lt;0,0,ROUND('Quant. mod. (oc)'!K262,0))</f>
        <v>1</v>
      </c>
      <c r="L262" s="125">
        <f>IF('Quant. mod. (oc)'!L262&lt;0,0,ROUND('Quant. mod. (oc)'!L262,0))</f>
        <v>1</v>
      </c>
      <c r="M262" s="125">
        <f>IF('Quant. mod. (oc)'!M262&lt;0,0,ROUND('Quant. mod. (oc)'!M262,0))</f>
        <v>1</v>
      </c>
      <c r="N262" s="125">
        <f>IF('Quant. mod. (oc)'!N262&lt;0,0,ROUND('Quant. mod. (oc)'!N262,0))</f>
        <v>1</v>
      </c>
      <c r="O262" s="125">
        <f>IF('Quant. mod. (oc)'!O262&lt;0,0,ROUND('Quant. mod. (oc)'!O262,0))</f>
        <v>1</v>
      </c>
      <c r="P262" s="125">
        <f>IF('Quant. mod. (oc)'!P262&lt;0,0,ROUND('Quant. mod. (oc)'!P262,0))</f>
        <v>1</v>
      </c>
      <c r="Q262" s="125">
        <f>IF('Quant. mod. (oc)'!Q262&lt;0,0,ROUND('Quant. mod. (oc)'!Q262,0))</f>
        <v>1</v>
      </c>
      <c r="R262" s="125">
        <f>IF('Quant. mod. (oc)'!R262&lt;0,0,ROUND('Quant. mod. (oc)'!R262,0))</f>
        <v>1</v>
      </c>
      <c r="S262" s="125">
        <f>IF('Quant. mod. (oc)'!S262&lt;0,0,ROUND('Quant. mod. (oc)'!S262,0))</f>
        <v>1</v>
      </c>
      <c r="T262" s="125">
        <f>IF('Quant. mod. (oc)'!T262&lt;0,0,ROUND('Quant. mod. (oc)'!T262,0))</f>
        <v>1</v>
      </c>
      <c r="U262" s="125">
        <f>IF('Quant. mod. (oc)'!U262&lt;0,0,ROUND('Quant. mod. (oc)'!U262,0))</f>
        <v>1</v>
      </c>
      <c r="V262" s="125">
        <f>IF('Quant. mod. (oc)'!V262&lt;0,0,ROUND('Quant. mod. (oc)'!V262,0))</f>
        <v>1</v>
      </c>
      <c r="W262" s="125">
        <f>IF('Quant. mod. (oc)'!W262&lt;0,0,ROUND('Quant. mod. (oc)'!W262,0))</f>
        <v>1</v>
      </c>
      <c r="X262" s="125">
        <f>IF('Quant. mod. (oc)'!X262&lt;0,0,ROUND('Quant. mod. (oc)'!X262,0))</f>
        <v>1</v>
      </c>
      <c r="Y262" s="125">
        <f>IF('Quant. mod. (oc)'!Y262&lt;0,0,ROUND('Quant. mod. (oc)'!Y262,0))</f>
        <v>1</v>
      </c>
      <c r="Z262" s="125">
        <f>IF('Quant. mod. (oc)'!Z262&lt;0,0,ROUND('Quant. mod. (oc)'!Z262,0))</f>
        <v>1</v>
      </c>
      <c r="AA262" s="125">
        <f>IF('Quant. mod. (oc)'!AA262&lt;0,0,ROUND('Quant. mod. (oc)'!AA262,0))</f>
        <v>1</v>
      </c>
      <c r="AB262" s="125">
        <f>IF('Quant. mod. (oc)'!AB262&lt;0,0,ROUND('Quant. mod. (oc)'!AB262,0))</f>
        <v>1</v>
      </c>
      <c r="AC262" s="125">
        <f>IF('Quant. mod. (oc)'!AC262&lt;0,0,ROUND('Quant. mod. (oc)'!AC262,0))</f>
        <v>1</v>
      </c>
      <c r="AD262" s="125">
        <f>IF('Quant. mod. (oc)'!AD262&lt;0,0,ROUND('Quant. mod. (oc)'!AD262,0))</f>
        <v>1</v>
      </c>
      <c r="AE262" s="125">
        <f>IF('Quant. mod. (oc)'!AE262&lt;0,0,ROUND('Quant. mod. (oc)'!AE262,0))</f>
        <v>1</v>
      </c>
      <c r="AF262" s="125">
        <f>IF('Quant. mod. (oc)'!AF262&lt;0,0,ROUND('Quant. mod. (oc)'!AF262,0))</f>
        <v>1</v>
      </c>
      <c r="AG262" s="126">
        <f>IF('Quant. mod. (oc)'!AG262&lt;0,0,ROUND('Quant. mod. (oc)'!AG262,0))</f>
        <v>1</v>
      </c>
      <c r="AH262" s="22"/>
    </row>
    <row r="263" spans="1:34" x14ac:dyDescent="0.25">
      <c r="A263" s="112"/>
      <c r="B263" s="69" t="s">
        <v>256</v>
      </c>
      <c r="C263" s="133" t="s">
        <v>59</v>
      </c>
      <c r="D263" s="125">
        <f>IF('Quant. mod. (oc)'!D263&lt;0,0,ROUND('Quant. mod. (oc)'!D263,0))</f>
        <v>0</v>
      </c>
      <c r="E263" s="125">
        <f>IF('Quant. mod. (oc)'!E263&lt;0,0,ROUND('Quant. mod. (oc)'!E263,0))</f>
        <v>0</v>
      </c>
      <c r="F263" s="125">
        <f>IF('Quant. mod. (oc)'!F263&lt;0,0,ROUND('Quant. mod. (oc)'!F263,0))</f>
        <v>0</v>
      </c>
      <c r="G263" s="125">
        <f>IF('Quant. mod. (oc)'!G263&lt;0,0,ROUND('Quant. mod. (oc)'!G263,0))</f>
        <v>0</v>
      </c>
      <c r="H263" s="125">
        <f>IF('Quant. mod. (oc)'!H263&lt;0,0,ROUND('Quant. mod. (oc)'!H263,0))</f>
        <v>0</v>
      </c>
      <c r="I263" s="125">
        <f>IF('Quant. mod. (oc)'!I263&lt;0,0,ROUND('Quant. mod. (oc)'!I263,0))</f>
        <v>0</v>
      </c>
      <c r="J263" s="125">
        <f>IF('Quant. mod. (oc)'!J263&lt;0,0,ROUND('Quant. mod. (oc)'!J263,0))</f>
        <v>0</v>
      </c>
      <c r="K263" s="125">
        <f>IF('Quant. mod. (oc)'!K263&lt;0,0,ROUND('Quant. mod. (oc)'!K263,0))</f>
        <v>0</v>
      </c>
      <c r="L263" s="125">
        <f>IF('Quant. mod. (oc)'!L263&lt;0,0,ROUND('Quant. mod. (oc)'!L263,0))</f>
        <v>0</v>
      </c>
      <c r="M263" s="125">
        <f>IF('Quant. mod. (oc)'!M263&lt;0,0,ROUND('Quant. mod. (oc)'!M263,0))</f>
        <v>0</v>
      </c>
      <c r="N263" s="125">
        <f>IF('Quant. mod. (oc)'!N263&lt;0,0,ROUND('Quant. mod. (oc)'!N263,0))</f>
        <v>1</v>
      </c>
      <c r="O263" s="125">
        <f>IF('Quant. mod. (oc)'!O263&lt;0,0,ROUND('Quant. mod. (oc)'!O263,0))</f>
        <v>1</v>
      </c>
      <c r="P263" s="125">
        <f>IF('Quant. mod. (oc)'!P263&lt;0,0,ROUND('Quant. mod. (oc)'!P263,0))</f>
        <v>1</v>
      </c>
      <c r="Q263" s="125">
        <f>IF('Quant. mod. (oc)'!Q263&lt;0,0,ROUND('Quant. mod. (oc)'!Q263,0))</f>
        <v>1</v>
      </c>
      <c r="R263" s="125">
        <f>IF('Quant. mod. (oc)'!R263&lt;0,0,ROUND('Quant. mod. (oc)'!R263,0))</f>
        <v>1</v>
      </c>
      <c r="S263" s="125">
        <f>IF('Quant. mod. (oc)'!S263&lt;0,0,ROUND('Quant. mod. (oc)'!S263,0))</f>
        <v>1</v>
      </c>
      <c r="T263" s="125">
        <f>IF('Quant. mod. (oc)'!T263&lt;0,0,ROUND('Quant. mod. (oc)'!T263,0))</f>
        <v>1</v>
      </c>
      <c r="U263" s="125">
        <f>IF('Quant. mod. (oc)'!U263&lt;0,0,ROUND('Quant. mod. (oc)'!U263,0))</f>
        <v>1</v>
      </c>
      <c r="V263" s="125">
        <f>IF('Quant. mod. (oc)'!V263&lt;0,0,ROUND('Quant. mod. (oc)'!V263,0))</f>
        <v>1</v>
      </c>
      <c r="W263" s="125">
        <f>IF('Quant. mod. (oc)'!W263&lt;0,0,ROUND('Quant. mod. (oc)'!W263,0))</f>
        <v>1</v>
      </c>
      <c r="X263" s="125">
        <f>IF('Quant. mod. (oc)'!X263&lt;0,0,ROUND('Quant. mod. (oc)'!X263,0))</f>
        <v>1</v>
      </c>
      <c r="Y263" s="125">
        <f>IF('Quant. mod. (oc)'!Y263&lt;0,0,ROUND('Quant. mod. (oc)'!Y263,0))</f>
        <v>1</v>
      </c>
      <c r="Z263" s="125">
        <f>IF('Quant. mod. (oc)'!Z263&lt;0,0,ROUND('Quant. mod. (oc)'!Z263,0))</f>
        <v>1</v>
      </c>
      <c r="AA263" s="125">
        <f>IF('Quant. mod. (oc)'!AA263&lt;0,0,ROUND('Quant. mod. (oc)'!AA263,0))</f>
        <v>1</v>
      </c>
      <c r="AB263" s="125">
        <f>IF('Quant. mod. (oc)'!AB263&lt;0,0,ROUND('Quant. mod. (oc)'!AB263,0))</f>
        <v>1</v>
      </c>
      <c r="AC263" s="125">
        <f>IF('Quant. mod. (oc)'!AC263&lt;0,0,ROUND('Quant. mod. (oc)'!AC263,0))</f>
        <v>1</v>
      </c>
      <c r="AD263" s="125">
        <f>IF('Quant. mod. (oc)'!AD263&lt;0,0,ROUND('Quant. mod. (oc)'!AD263,0))</f>
        <v>1</v>
      </c>
      <c r="AE263" s="125">
        <f>IF('Quant. mod. (oc)'!AE263&lt;0,0,ROUND('Quant. mod. (oc)'!AE263,0))</f>
        <v>1</v>
      </c>
      <c r="AF263" s="125">
        <f>IF('Quant. mod. (oc)'!AF263&lt;0,0,ROUND('Quant. mod. (oc)'!AF263,0))</f>
        <v>1</v>
      </c>
      <c r="AG263" s="126">
        <f>IF('Quant. mod. (oc)'!AG263&lt;0,0,ROUND('Quant. mod. (oc)'!AG263,0))</f>
        <v>1</v>
      </c>
      <c r="AH263" s="22"/>
    </row>
    <row r="264" spans="1:34" x14ac:dyDescent="0.25">
      <c r="A264" s="112"/>
      <c r="B264" s="69" t="s">
        <v>258</v>
      </c>
      <c r="C264" s="133" t="s">
        <v>59</v>
      </c>
      <c r="D264" s="125">
        <f>IF('Quant. mod. (oc)'!D264&lt;0,0,ROUND('Quant. mod. (oc)'!D264,0))</f>
        <v>1</v>
      </c>
      <c r="E264" s="125">
        <f>IF('Quant. mod. (oc)'!E264&lt;0,0,ROUND('Quant. mod. (oc)'!E264,0))</f>
        <v>1</v>
      </c>
      <c r="F264" s="125">
        <f>IF('Quant. mod. (oc)'!F264&lt;0,0,ROUND('Quant. mod. (oc)'!F264,0))</f>
        <v>1</v>
      </c>
      <c r="G264" s="125">
        <f>IF('Quant. mod. (oc)'!G264&lt;0,0,ROUND('Quant. mod. (oc)'!G264,0))</f>
        <v>1</v>
      </c>
      <c r="H264" s="125">
        <f>IF('Quant. mod. (oc)'!H264&lt;0,0,ROUND('Quant. mod. (oc)'!H264,0))</f>
        <v>1</v>
      </c>
      <c r="I264" s="125">
        <f>IF('Quant. mod. (oc)'!I264&lt;0,0,ROUND('Quant. mod. (oc)'!I264,0))</f>
        <v>1</v>
      </c>
      <c r="J264" s="125">
        <f>IF('Quant. mod. (oc)'!J264&lt;0,0,ROUND('Quant. mod. (oc)'!J264,0))</f>
        <v>1</v>
      </c>
      <c r="K264" s="125">
        <f>IF('Quant. mod. (oc)'!K264&lt;0,0,ROUND('Quant. mod. (oc)'!K264,0))</f>
        <v>1</v>
      </c>
      <c r="L264" s="125">
        <f>IF('Quant. mod. (oc)'!L264&lt;0,0,ROUND('Quant. mod. (oc)'!L264,0))</f>
        <v>1</v>
      </c>
      <c r="M264" s="125">
        <f>IF('Quant. mod. (oc)'!M264&lt;0,0,ROUND('Quant. mod. (oc)'!M264,0))</f>
        <v>1</v>
      </c>
      <c r="N264" s="125">
        <f>IF('Quant. mod. (oc)'!N264&lt;0,0,ROUND('Quant. mod. (oc)'!N264,0))</f>
        <v>1</v>
      </c>
      <c r="O264" s="125">
        <f>IF('Quant. mod. (oc)'!O264&lt;0,0,ROUND('Quant. mod. (oc)'!O264,0))</f>
        <v>1</v>
      </c>
      <c r="P264" s="125">
        <f>IF('Quant. mod. (oc)'!P264&lt;0,0,ROUND('Quant. mod. (oc)'!P264,0))</f>
        <v>1</v>
      </c>
      <c r="Q264" s="125">
        <f>IF('Quant. mod. (oc)'!Q264&lt;0,0,ROUND('Quant. mod. (oc)'!Q264,0))</f>
        <v>1</v>
      </c>
      <c r="R264" s="125">
        <f>IF('Quant. mod. (oc)'!R264&lt;0,0,ROUND('Quant. mod. (oc)'!R264,0))</f>
        <v>1</v>
      </c>
      <c r="S264" s="125">
        <f>IF('Quant. mod. (oc)'!S264&lt;0,0,ROUND('Quant. mod. (oc)'!S264,0))</f>
        <v>1</v>
      </c>
      <c r="T264" s="125">
        <f>IF('Quant. mod. (oc)'!T264&lt;0,0,ROUND('Quant. mod. (oc)'!T264,0))</f>
        <v>1</v>
      </c>
      <c r="U264" s="125">
        <f>IF('Quant. mod. (oc)'!U264&lt;0,0,ROUND('Quant. mod. (oc)'!U264,0))</f>
        <v>1</v>
      </c>
      <c r="V264" s="125">
        <f>IF('Quant. mod. (oc)'!V264&lt;0,0,ROUND('Quant. mod. (oc)'!V264,0))</f>
        <v>1</v>
      </c>
      <c r="W264" s="125">
        <f>IF('Quant. mod. (oc)'!W264&lt;0,0,ROUND('Quant. mod. (oc)'!W264,0))</f>
        <v>1</v>
      </c>
      <c r="X264" s="125">
        <f>IF('Quant. mod. (oc)'!X264&lt;0,0,ROUND('Quant. mod. (oc)'!X264,0))</f>
        <v>1</v>
      </c>
      <c r="Y264" s="125">
        <f>IF('Quant. mod. (oc)'!Y264&lt;0,0,ROUND('Quant. mod. (oc)'!Y264,0))</f>
        <v>1</v>
      </c>
      <c r="Z264" s="125">
        <f>IF('Quant. mod. (oc)'!Z264&lt;0,0,ROUND('Quant. mod. (oc)'!Z264,0))</f>
        <v>1</v>
      </c>
      <c r="AA264" s="125">
        <f>IF('Quant. mod. (oc)'!AA264&lt;0,0,ROUND('Quant. mod. (oc)'!AA264,0))</f>
        <v>1</v>
      </c>
      <c r="AB264" s="125">
        <f>IF('Quant. mod. (oc)'!AB264&lt;0,0,ROUND('Quant. mod. (oc)'!AB264,0))</f>
        <v>1</v>
      </c>
      <c r="AC264" s="125">
        <f>IF('Quant. mod. (oc)'!AC264&lt;0,0,ROUND('Quant. mod. (oc)'!AC264,0))</f>
        <v>1</v>
      </c>
      <c r="AD264" s="125">
        <f>IF('Quant. mod. (oc)'!AD264&lt;0,0,ROUND('Quant. mod. (oc)'!AD264,0))</f>
        <v>1</v>
      </c>
      <c r="AE264" s="125">
        <f>IF('Quant. mod. (oc)'!AE264&lt;0,0,ROUND('Quant. mod. (oc)'!AE264,0))</f>
        <v>1</v>
      </c>
      <c r="AF264" s="125">
        <f>IF('Quant. mod. (oc)'!AF264&lt;0,0,ROUND('Quant. mod. (oc)'!AF264,0))</f>
        <v>1</v>
      </c>
      <c r="AG264" s="126">
        <f>IF('Quant. mod. (oc)'!AG264&lt;0,0,ROUND('Quant. mod. (oc)'!AG264,0))</f>
        <v>1</v>
      </c>
      <c r="AH264" s="22"/>
    </row>
    <row r="265" spans="1:34" x14ac:dyDescent="0.25">
      <c r="A265" s="112"/>
      <c r="B265" s="69" t="s">
        <v>260</v>
      </c>
      <c r="C265" s="133" t="s">
        <v>59</v>
      </c>
      <c r="D265" s="125">
        <f>IF('Quant. mod. (oc)'!D265&lt;0,0,ROUND('Quant. mod. (oc)'!D265,0))</f>
        <v>2</v>
      </c>
      <c r="E265" s="125">
        <f>IF('Quant. mod. (oc)'!E265&lt;0,0,ROUND('Quant. mod. (oc)'!E265,0))</f>
        <v>2</v>
      </c>
      <c r="F265" s="125">
        <f>IF('Quant. mod. (oc)'!F265&lt;0,0,ROUND('Quant. mod. (oc)'!F265,0))</f>
        <v>2</v>
      </c>
      <c r="G265" s="125">
        <f>IF('Quant. mod. (oc)'!G265&lt;0,0,ROUND('Quant. mod. (oc)'!G265,0))</f>
        <v>2</v>
      </c>
      <c r="H265" s="125">
        <f>IF('Quant. mod. (oc)'!H265&lt;0,0,ROUND('Quant. mod. (oc)'!H265,0))</f>
        <v>2</v>
      </c>
      <c r="I265" s="125">
        <f>IF('Quant. mod. (oc)'!I265&lt;0,0,ROUND('Quant. mod. (oc)'!I265,0))</f>
        <v>2</v>
      </c>
      <c r="J265" s="125">
        <f>IF('Quant. mod. (oc)'!J265&lt;0,0,ROUND('Quant. mod. (oc)'!J265,0))</f>
        <v>2</v>
      </c>
      <c r="K265" s="125">
        <f>IF('Quant. mod. (oc)'!K265&lt;0,0,ROUND('Quant. mod. (oc)'!K265,0))</f>
        <v>2</v>
      </c>
      <c r="L265" s="125">
        <f>IF('Quant. mod. (oc)'!L265&lt;0,0,ROUND('Quant. mod. (oc)'!L265,0))</f>
        <v>2</v>
      </c>
      <c r="M265" s="125">
        <f>IF('Quant. mod. (oc)'!M265&lt;0,0,ROUND('Quant. mod. (oc)'!M265,0))</f>
        <v>2</v>
      </c>
      <c r="N265" s="125">
        <f>IF('Quant. mod. (oc)'!N265&lt;0,0,ROUND('Quant. mod. (oc)'!N265,0))</f>
        <v>2</v>
      </c>
      <c r="O265" s="125">
        <f>IF('Quant. mod. (oc)'!O265&lt;0,0,ROUND('Quant. mod. (oc)'!O265,0))</f>
        <v>2</v>
      </c>
      <c r="P265" s="125">
        <f>IF('Quant. mod. (oc)'!P265&lt;0,0,ROUND('Quant. mod. (oc)'!P265,0))</f>
        <v>2</v>
      </c>
      <c r="Q265" s="125">
        <f>IF('Quant. mod. (oc)'!Q265&lt;0,0,ROUND('Quant. mod. (oc)'!Q265,0))</f>
        <v>2</v>
      </c>
      <c r="R265" s="125">
        <f>IF('Quant. mod. (oc)'!R265&lt;0,0,ROUND('Quant. mod. (oc)'!R265,0))</f>
        <v>2</v>
      </c>
      <c r="S265" s="125">
        <f>IF('Quant. mod. (oc)'!S265&lt;0,0,ROUND('Quant. mod. (oc)'!S265,0))</f>
        <v>2</v>
      </c>
      <c r="T265" s="125">
        <f>IF('Quant. mod. (oc)'!T265&lt;0,0,ROUND('Quant. mod. (oc)'!T265,0))</f>
        <v>2</v>
      </c>
      <c r="U265" s="125">
        <f>IF('Quant. mod. (oc)'!U265&lt;0,0,ROUND('Quant. mod. (oc)'!U265,0))</f>
        <v>2</v>
      </c>
      <c r="V265" s="125">
        <f>IF('Quant. mod. (oc)'!V265&lt;0,0,ROUND('Quant. mod. (oc)'!V265,0))</f>
        <v>2</v>
      </c>
      <c r="W265" s="125">
        <f>IF('Quant. mod. (oc)'!W265&lt;0,0,ROUND('Quant. mod. (oc)'!W265,0))</f>
        <v>2</v>
      </c>
      <c r="X265" s="125">
        <f>IF('Quant. mod. (oc)'!X265&lt;0,0,ROUND('Quant. mod. (oc)'!X265,0))</f>
        <v>2</v>
      </c>
      <c r="Y265" s="125">
        <f>IF('Quant. mod. (oc)'!Y265&lt;0,0,ROUND('Quant. mod. (oc)'!Y265,0))</f>
        <v>2</v>
      </c>
      <c r="Z265" s="125">
        <f>IF('Quant. mod. (oc)'!Z265&lt;0,0,ROUND('Quant. mod. (oc)'!Z265,0))</f>
        <v>2</v>
      </c>
      <c r="AA265" s="125">
        <f>IF('Quant. mod. (oc)'!AA265&lt;0,0,ROUND('Quant. mod. (oc)'!AA265,0))</f>
        <v>2</v>
      </c>
      <c r="AB265" s="125">
        <f>IF('Quant. mod. (oc)'!AB265&lt;0,0,ROUND('Quant. mod. (oc)'!AB265,0))</f>
        <v>2</v>
      </c>
      <c r="AC265" s="125">
        <f>IF('Quant. mod. (oc)'!AC265&lt;0,0,ROUND('Quant. mod. (oc)'!AC265,0))</f>
        <v>2</v>
      </c>
      <c r="AD265" s="125">
        <f>IF('Quant. mod. (oc)'!AD265&lt;0,0,ROUND('Quant. mod. (oc)'!AD265,0))</f>
        <v>2</v>
      </c>
      <c r="AE265" s="125">
        <f>IF('Quant. mod. (oc)'!AE265&lt;0,0,ROUND('Quant. mod. (oc)'!AE265,0))</f>
        <v>2</v>
      </c>
      <c r="AF265" s="125">
        <f>IF('Quant. mod. (oc)'!AF265&lt;0,0,ROUND('Quant. mod. (oc)'!AF265,0))</f>
        <v>2</v>
      </c>
      <c r="AG265" s="126">
        <f>IF('Quant. mod. (oc)'!AG265&lt;0,0,ROUND('Quant. mod. (oc)'!AG265,0))</f>
        <v>2</v>
      </c>
      <c r="AH265" s="22"/>
    </row>
    <row r="266" spans="1:34" x14ac:dyDescent="0.25">
      <c r="A266" s="112"/>
      <c r="B266" s="69" t="s">
        <v>261</v>
      </c>
      <c r="C266" s="133" t="s">
        <v>59</v>
      </c>
      <c r="D266" s="125">
        <f>IF('Quant. mod. (oc)'!D266&lt;0,0,ROUND('Quant. mod. (oc)'!D266,0))</f>
        <v>5</v>
      </c>
      <c r="E266" s="125">
        <f>IF('Quant. mod. (oc)'!E266&lt;0,0,ROUND('Quant. mod. (oc)'!E266,0))</f>
        <v>5</v>
      </c>
      <c r="F266" s="125">
        <f>IF('Quant. mod. (oc)'!F266&lt;0,0,ROUND('Quant. mod. (oc)'!F266,0))</f>
        <v>5</v>
      </c>
      <c r="G266" s="125">
        <f>IF('Quant. mod. (oc)'!G266&lt;0,0,ROUND('Quant. mod. (oc)'!G266,0))</f>
        <v>5</v>
      </c>
      <c r="H266" s="125">
        <f>IF('Quant. mod. (oc)'!H266&lt;0,0,ROUND('Quant. mod. (oc)'!H266,0))</f>
        <v>5</v>
      </c>
      <c r="I266" s="125">
        <f>IF('Quant. mod. (oc)'!I266&lt;0,0,ROUND('Quant. mod. (oc)'!I266,0))</f>
        <v>5</v>
      </c>
      <c r="J266" s="125">
        <f>IF('Quant. mod. (oc)'!J266&lt;0,0,ROUND('Quant. mod. (oc)'!J266,0))</f>
        <v>5</v>
      </c>
      <c r="K266" s="125">
        <f>IF('Quant. mod. (oc)'!K266&lt;0,0,ROUND('Quant. mod. (oc)'!K266,0))</f>
        <v>5</v>
      </c>
      <c r="L266" s="125">
        <f>IF('Quant. mod. (oc)'!L266&lt;0,0,ROUND('Quant. mod. (oc)'!L266,0))</f>
        <v>5</v>
      </c>
      <c r="M266" s="125">
        <f>IF('Quant. mod. (oc)'!M266&lt;0,0,ROUND('Quant. mod. (oc)'!M266,0))</f>
        <v>5</v>
      </c>
      <c r="N266" s="125">
        <f>IF('Quant. mod. (oc)'!N266&lt;0,0,ROUND('Quant. mod. (oc)'!N266,0))</f>
        <v>7</v>
      </c>
      <c r="O266" s="125">
        <f>IF('Quant. mod. (oc)'!O266&lt;0,0,ROUND('Quant. mod. (oc)'!O266,0))</f>
        <v>7</v>
      </c>
      <c r="P266" s="125">
        <f>IF('Quant. mod. (oc)'!P266&lt;0,0,ROUND('Quant. mod. (oc)'!P266,0))</f>
        <v>7</v>
      </c>
      <c r="Q266" s="125">
        <f>IF('Quant. mod. (oc)'!Q266&lt;0,0,ROUND('Quant. mod. (oc)'!Q266,0))</f>
        <v>7</v>
      </c>
      <c r="R266" s="125">
        <f>IF('Quant. mod. (oc)'!R266&lt;0,0,ROUND('Quant. mod. (oc)'!R266,0))</f>
        <v>7</v>
      </c>
      <c r="S266" s="125">
        <f>IF('Quant. mod. (oc)'!S266&lt;0,0,ROUND('Quant. mod. (oc)'!S266,0))</f>
        <v>7</v>
      </c>
      <c r="T266" s="125">
        <f>IF('Quant. mod. (oc)'!T266&lt;0,0,ROUND('Quant. mod. (oc)'!T266,0))</f>
        <v>7</v>
      </c>
      <c r="U266" s="125">
        <f>IF('Quant. mod. (oc)'!U266&lt;0,0,ROUND('Quant. mod. (oc)'!U266,0))</f>
        <v>7</v>
      </c>
      <c r="V266" s="125">
        <f>IF('Quant. mod. (oc)'!V266&lt;0,0,ROUND('Quant. mod. (oc)'!V266,0))</f>
        <v>7</v>
      </c>
      <c r="W266" s="125">
        <f>IF('Quant. mod. (oc)'!W266&lt;0,0,ROUND('Quant. mod. (oc)'!W266,0))</f>
        <v>7</v>
      </c>
      <c r="X266" s="125">
        <f>IF('Quant. mod. (oc)'!X266&lt;0,0,ROUND('Quant. mod. (oc)'!X266,0))</f>
        <v>7</v>
      </c>
      <c r="Y266" s="125">
        <f>IF('Quant. mod. (oc)'!Y266&lt;0,0,ROUND('Quant. mod. (oc)'!Y266,0))</f>
        <v>7</v>
      </c>
      <c r="Z266" s="125">
        <f>IF('Quant. mod. (oc)'!Z266&lt;0,0,ROUND('Quant. mod. (oc)'!Z266,0))</f>
        <v>7</v>
      </c>
      <c r="AA266" s="125">
        <f>IF('Quant. mod. (oc)'!AA266&lt;0,0,ROUND('Quant. mod. (oc)'!AA266,0))</f>
        <v>7</v>
      </c>
      <c r="AB266" s="125">
        <f>IF('Quant. mod. (oc)'!AB266&lt;0,0,ROUND('Quant. mod. (oc)'!AB266,0))</f>
        <v>7</v>
      </c>
      <c r="AC266" s="125">
        <f>IF('Quant. mod. (oc)'!AC266&lt;0,0,ROUND('Quant. mod. (oc)'!AC266,0))</f>
        <v>7</v>
      </c>
      <c r="AD266" s="125">
        <f>IF('Quant. mod. (oc)'!AD266&lt;0,0,ROUND('Quant. mod. (oc)'!AD266,0))</f>
        <v>7</v>
      </c>
      <c r="AE266" s="125">
        <f>IF('Quant. mod. (oc)'!AE266&lt;0,0,ROUND('Quant. mod. (oc)'!AE266,0))</f>
        <v>7</v>
      </c>
      <c r="AF266" s="125">
        <f>IF('Quant. mod. (oc)'!AF266&lt;0,0,ROUND('Quant. mod. (oc)'!AF266,0))</f>
        <v>7</v>
      </c>
      <c r="AG266" s="126">
        <f>IF('Quant. mod. (oc)'!AG266&lt;0,0,ROUND('Quant. mod. (oc)'!AG266,0))</f>
        <v>7</v>
      </c>
      <c r="AH266" s="22"/>
    </row>
    <row r="267" spans="1:34" x14ac:dyDescent="0.25">
      <c r="A267" s="112"/>
      <c r="B267" s="69" t="s">
        <v>263</v>
      </c>
      <c r="C267" s="133" t="s">
        <v>59</v>
      </c>
      <c r="D267" s="125">
        <f>IF('Quant. mod. (oc)'!D267&lt;0,0,ROUND('Quant. mod. (oc)'!D267,0))</f>
        <v>4</v>
      </c>
      <c r="E267" s="125">
        <f>IF('Quant. mod. (oc)'!E267&lt;0,0,ROUND('Quant. mod. (oc)'!E267,0))</f>
        <v>4</v>
      </c>
      <c r="F267" s="125">
        <f>IF('Quant. mod. (oc)'!F267&lt;0,0,ROUND('Quant. mod. (oc)'!F267,0))</f>
        <v>4</v>
      </c>
      <c r="G267" s="125">
        <f>IF('Quant. mod. (oc)'!G267&lt;0,0,ROUND('Quant. mod. (oc)'!G267,0))</f>
        <v>4</v>
      </c>
      <c r="H267" s="125">
        <f>IF('Quant. mod. (oc)'!H267&lt;0,0,ROUND('Quant. mod. (oc)'!H267,0))</f>
        <v>4</v>
      </c>
      <c r="I267" s="125">
        <f>IF('Quant. mod. (oc)'!I267&lt;0,0,ROUND('Quant. mod. (oc)'!I267,0))</f>
        <v>4</v>
      </c>
      <c r="J267" s="125">
        <f>IF('Quant. mod. (oc)'!J267&lt;0,0,ROUND('Quant. mod. (oc)'!J267,0))</f>
        <v>4</v>
      </c>
      <c r="K267" s="125">
        <f>IF('Quant. mod. (oc)'!K267&lt;0,0,ROUND('Quant. mod. (oc)'!K267,0))</f>
        <v>4</v>
      </c>
      <c r="L267" s="125">
        <f>IF('Quant. mod. (oc)'!L267&lt;0,0,ROUND('Quant. mod. (oc)'!L267,0))</f>
        <v>4</v>
      </c>
      <c r="M267" s="125">
        <f>IF('Quant. mod. (oc)'!M267&lt;0,0,ROUND('Quant. mod. (oc)'!M267,0))</f>
        <v>4</v>
      </c>
      <c r="N267" s="125">
        <f>IF('Quant. mod. (oc)'!N267&lt;0,0,ROUND('Quant. mod. (oc)'!N267,0))</f>
        <v>7</v>
      </c>
      <c r="O267" s="125">
        <f>IF('Quant. mod. (oc)'!O267&lt;0,0,ROUND('Quant. mod. (oc)'!O267,0))</f>
        <v>7</v>
      </c>
      <c r="P267" s="125">
        <f>IF('Quant. mod. (oc)'!P267&lt;0,0,ROUND('Quant. mod. (oc)'!P267,0))</f>
        <v>7</v>
      </c>
      <c r="Q267" s="125">
        <f>IF('Quant. mod. (oc)'!Q267&lt;0,0,ROUND('Quant. mod. (oc)'!Q267,0))</f>
        <v>7</v>
      </c>
      <c r="R267" s="125">
        <f>IF('Quant. mod. (oc)'!R267&lt;0,0,ROUND('Quant. mod. (oc)'!R267,0))</f>
        <v>7</v>
      </c>
      <c r="S267" s="125">
        <f>IF('Quant. mod. (oc)'!S267&lt;0,0,ROUND('Quant. mod. (oc)'!S267,0))</f>
        <v>7</v>
      </c>
      <c r="T267" s="125">
        <f>IF('Quant. mod. (oc)'!T267&lt;0,0,ROUND('Quant. mod. (oc)'!T267,0))</f>
        <v>7</v>
      </c>
      <c r="U267" s="125">
        <f>IF('Quant. mod. (oc)'!U267&lt;0,0,ROUND('Quant. mod. (oc)'!U267,0))</f>
        <v>7</v>
      </c>
      <c r="V267" s="125">
        <f>IF('Quant. mod. (oc)'!V267&lt;0,0,ROUND('Quant. mod. (oc)'!V267,0))</f>
        <v>7</v>
      </c>
      <c r="W267" s="125">
        <f>IF('Quant. mod. (oc)'!W267&lt;0,0,ROUND('Quant. mod. (oc)'!W267,0))</f>
        <v>7</v>
      </c>
      <c r="X267" s="125">
        <f>IF('Quant. mod. (oc)'!X267&lt;0,0,ROUND('Quant. mod. (oc)'!X267,0))</f>
        <v>5</v>
      </c>
      <c r="Y267" s="125">
        <f>IF('Quant. mod. (oc)'!Y267&lt;0,0,ROUND('Quant. mod. (oc)'!Y267,0))</f>
        <v>5</v>
      </c>
      <c r="Z267" s="125">
        <f>IF('Quant. mod. (oc)'!Z267&lt;0,0,ROUND('Quant. mod. (oc)'!Z267,0))</f>
        <v>5</v>
      </c>
      <c r="AA267" s="125">
        <f>IF('Quant. mod. (oc)'!AA267&lt;0,0,ROUND('Quant. mod. (oc)'!AA267,0))</f>
        <v>5</v>
      </c>
      <c r="AB267" s="125">
        <f>IF('Quant. mod. (oc)'!AB267&lt;0,0,ROUND('Quant. mod. (oc)'!AB267,0))</f>
        <v>5</v>
      </c>
      <c r="AC267" s="125">
        <f>IF('Quant. mod. (oc)'!AC267&lt;0,0,ROUND('Quant. mod. (oc)'!AC267,0))</f>
        <v>5</v>
      </c>
      <c r="AD267" s="125">
        <f>IF('Quant. mod. (oc)'!AD267&lt;0,0,ROUND('Quant. mod. (oc)'!AD267,0))</f>
        <v>5</v>
      </c>
      <c r="AE267" s="125">
        <f>IF('Quant. mod. (oc)'!AE267&lt;0,0,ROUND('Quant. mod. (oc)'!AE267,0))</f>
        <v>5</v>
      </c>
      <c r="AF267" s="125">
        <f>IF('Quant. mod. (oc)'!AF267&lt;0,0,ROUND('Quant. mod. (oc)'!AF267,0))</f>
        <v>5</v>
      </c>
      <c r="AG267" s="126">
        <f>IF('Quant. mod. (oc)'!AG267&lt;0,0,ROUND('Quant. mod. (oc)'!AG267,0))</f>
        <v>5</v>
      </c>
      <c r="AH267" s="22"/>
    </row>
    <row r="268" spans="1:34" x14ac:dyDescent="0.25">
      <c r="A268" s="112"/>
      <c r="B268" s="120" t="s">
        <v>555</v>
      </c>
      <c r="C268" s="121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8"/>
      <c r="AH268" s="22"/>
    </row>
    <row r="269" spans="1:34" x14ac:dyDescent="0.25">
      <c r="A269" s="112"/>
      <c r="B269" s="69" t="s">
        <v>274</v>
      </c>
      <c r="C269" s="133" t="s">
        <v>64</v>
      </c>
      <c r="D269" s="125">
        <f>IF('Quant. mod. (oc)'!D269&lt;0,0,CEILING('Quant. mod. (oc)'!D269,6))</f>
        <v>60</v>
      </c>
      <c r="E269" s="125">
        <f>IF('Quant. mod. (oc)'!E269&lt;0,0,CEILING('Quant. mod. (oc)'!E269,6))</f>
        <v>60</v>
      </c>
      <c r="F269" s="125">
        <f>IF('Quant. mod. (oc)'!F269&lt;0,0,CEILING('Quant. mod. (oc)'!F269,6))</f>
        <v>60</v>
      </c>
      <c r="G269" s="125">
        <f>IF('Quant. mod. (oc)'!G269&lt;0,0,CEILING('Quant. mod. (oc)'!G269,6))</f>
        <v>60</v>
      </c>
      <c r="H269" s="125">
        <f>IF('Quant. mod. (oc)'!H269&lt;0,0,CEILING('Quant. mod. (oc)'!H269,6))</f>
        <v>60</v>
      </c>
      <c r="I269" s="125">
        <f>IF('Quant. mod. (oc)'!I269&lt;0,0,CEILING('Quant. mod. (oc)'!I269,6))</f>
        <v>60</v>
      </c>
      <c r="J269" s="125">
        <f>IF('Quant. mod. (oc)'!J269&lt;0,0,CEILING('Quant. mod. (oc)'!J269,6))</f>
        <v>60</v>
      </c>
      <c r="K269" s="125">
        <f>IF('Quant. mod. (oc)'!K269&lt;0,0,CEILING('Quant. mod. (oc)'!K269,6))</f>
        <v>60</v>
      </c>
      <c r="L269" s="125">
        <f>IF('Quant. mod. (oc)'!L269&lt;0,0,CEILING('Quant. mod. (oc)'!L269,6))</f>
        <v>60</v>
      </c>
      <c r="M269" s="125">
        <f>IF('Quant. mod. (oc)'!M269&lt;0,0,CEILING('Quant. mod. (oc)'!M269,6))</f>
        <v>60</v>
      </c>
      <c r="N269" s="125">
        <f>IF('Quant. mod. (oc)'!N269&lt;0,0,CEILING('Quant. mod. (oc)'!N269,6))</f>
        <v>48</v>
      </c>
      <c r="O269" s="125">
        <f>IF('Quant. mod. (oc)'!O269&lt;0,0,CEILING('Quant. mod. (oc)'!O269,6))</f>
        <v>48</v>
      </c>
      <c r="P269" s="125">
        <f>IF('Quant. mod. (oc)'!P269&lt;0,0,CEILING('Quant. mod. (oc)'!P269,6))</f>
        <v>48</v>
      </c>
      <c r="Q269" s="125">
        <f>IF('Quant. mod. (oc)'!Q269&lt;0,0,CEILING('Quant. mod. (oc)'!Q269,6))</f>
        <v>48</v>
      </c>
      <c r="R269" s="125">
        <f>IF('Quant. mod. (oc)'!R269&lt;0,0,CEILING('Quant. mod. (oc)'!R269,6))</f>
        <v>48</v>
      </c>
      <c r="S269" s="125">
        <f>IF('Quant. mod. (oc)'!S269&lt;0,0,CEILING('Quant. mod. (oc)'!S269,6))</f>
        <v>48</v>
      </c>
      <c r="T269" s="125">
        <f>IF('Quant. mod. (oc)'!T269&lt;0,0,CEILING('Quant. mod. (oc)'!T269,6))</f>
        <v>48</v>
      </c>
      <c r="U269" s="125">
        <f>IF('Quant. mod. (oc)'!U269&lt;0,0,CEILING('Quant. mod. (oc)'!U269,6))</f>
        <v>48</v>
      </c>
      <c r="V269" s="125">
        <f>IF('Quant. mod. (oc)'!V269&lt;0,0,CEILING('Quant. mod. (oc)'!V269,6))</f>
        <v>48</v>
      </c>
      <c r="W269" s="125">
        <f>IF('Quant. mod. (oc)'!W269&lt;0,0,CEILING('Quant. mod. (oc)'!W269,6))</f>
        <v>48</v>
      </c>
      <c r="X269" s="125">
        <f>IF('Quant. mod. (oc)'!X269&lt;0,0,CEILING('Quant. mod. (oc)'!X269,6))</f>
        <v>48</v>
      </c>
      <c r="Y269" s="125">
        <f>IF('Quant. mod. (oc)'!Y269&lt;0,0,CEILING('Quant. mod. (oc)'!Y269,6))</f>
        <v>48</v>
      </c>
      <c r="Z269" s="125">
        <f>IF('Quant. mod. (oc)'!Z269&lt;0,0,CEILING('Quant. mod. (oc)'!Z269,6))</f>
        <v>48</v>
      </c>
      <c r="AA269" s="125">
        <f>IF('Quant. mod. (oc)'!AA269&lt;0,0,CEILING('Quant. mod. (oc)'!AA269,6))</f>
        <v>48</v>
      </c>
      <c r="AB269" s="125">
        <f>IF('Quant. mod. (oc)'!AB269&lt;0,0,CEILING('Quant. mod. (oc)'!AB269,6))</f>
        <v>48</v>
      </c>
      <c r="AC269" s="125">
        <f>IF('Quant. mod. (oc)'!AC269&lt;0,0,CEILING('Quant. mod. (oc)'!AC269,6))</f>
        <v>48</v>
      </c>
      <c r="AD269" s="125">
        <f>IF('Quant. mod. (oc)'!AD269&lt;0,0,CEILING('Quant. mod. (oc)'!AD269,6))</f>
        <v>48</v>
      </c>
      <c r="AE269" s="125">
        <f>IF('Quant. mod. (oc)'!AE269&lt;0,0,CEILING('Quant. mod. (oc)'!AE269,6))</f>
        <v>48</v>
      </c>
      <c r="AF269" s="125">
        <f>IF('Quant. mod. (oc)'!AF269&lt;0,0,CEILING('Quant. mod. (oc)'!AF269,6))</f>
        <v>48</v>
      </c>
      <c r="AG269" s="126">
        <f>IF('Quant. mod. (oc)'!AG269&lt;0,0,CEILING('Quant. mod. (oc)'!AG269,6))</f>
        <v>48</v>
      </c>
      <c r="AH269" s="22"/>
    </row>
    <row r="270" spans="1:34" x14ac:dyDescent="0.25">
      <c r="A270" s="112"/>
      <c r="B270" s="69" t="s">
        <v>275</v>
      </c>
      <c r="C270" s="133" t="s">
        <v>59</v>
      </c>
      <c r="D270" s="125">
        <f>IF('Quant. mod. (oc)'!D270&lt;0,0,ROUND('Quant. mod. (oc)'!D270,0))</f>
        <v>1</v>
      </c>
      <c r="E270" s="125">
        <f>IF('Quant. mod. (oc)'!E270&lt;0,0,ROUND('Quant. mod. (oc)'!E270,0))</f>
        <v>1</v>
      </c>
      <c r="F270" s="125">
        <f>IF('Quant. mod. (oc)'!F270&lt;0,0,ROUND('Quant. mod. (oc)'!F270,0))</f>
        <v>1</v>
      </c>
      <c r="G270" s="125">
        <f>IF('Quant. mod. (oc)'!G270&lt;0,0,ROUND('Quant. mod. (oc)'!G270,0))</f>
        <v>1</v>
      </c>
      <c r="H270" s="125">
        <f>IF('Quant. mod. (oc)'!H270&lt;0,0,ROUND('Quant. mod. (oc)'!H270,0))</f>
        <v>1</v>
      </c>
      <c r="I270" s="125">
        <f>IF('Quant. mod. (oc)'!I270&lt;0,0,ROUND('Quant. mod. (oc)'!I270,0))</f>
        <v>1</v>
      </c>
      <c r="J270" s="125">
        <f>IF('Quant. mod. (oc)'!J270&lt;0,0,ROUND('Quant. mod. (oc)'!J270,0))</f>
        <v>1</v>
      </c>
      <c r="K270" s="125">
        <f>IF('Quant. mod. (oc)'!K270&lt;0,0,ROUND('Quant. mod. (oc)'!K270,0))</f>
        <v>1</v>
      </c>
      <c r="L270" s="125">
        <f>IF('Quant. mod. (oc)'!L270&lt;0,0,ROUND('Quant. mod. (oc)'!L270,0))</f>
        <v>1</v>
      </c>
      <c r="M270" s="125">
        <f>IF('Quant. mod. (oc)'!M270&lt;0,0,ROUND('Quant. mod. (oc)'!M270,0))</f>
        <v>1</v>
      </c>
      <c r="N270" s="125">
        <f>IF('Quant. mod. (oc)'!N270&lt;0,0,ROUND('Quant. mod. (oc)'!N270,0))</f>
        <v>1</v>
      </c>
      <c r="O270" s="125">
        <f>IF('Quant. mod. (oc)'!O270&lt;0,0,ROUND('Quant. mod. (oc)'!O270,0))</f>
        <v>1</v>
      </c>
      <c r="P270" s="125">
        <f>IF('Quant. mod. (oc)'!P270&lt;0,0,ROUND('Quant. mod. (oc)'!P270,0))</f>
        <v>1</v>
      </c>
      <c r="Q270" s="125">
        <f>IF('Quant. mod. (oc)'!Q270&lt;0,0,ROUND('Quant. mod. (oc)'!Q270,0))</f>
        <v>1</v>
      </c>
      <c r="R270" s="125">
        <f>IF('Quant. mod. (oc)'!R270&lt;0,0,ROUND('Quant. mod. (oc)'!R270,0))</f>
        <v>1</v>
      </c>
      <c r="S270" s="125">
        <f>IF('Quant. mod. (oc)'!S270&lt;0,0,ROUND('Quant. mod. (oc)'!S270,0))</f>
        <v>1</v>
      </c>
      <c r="T270" s="125">
        <f>IF('Quant. mod. (oc)'!T270&lt;0,0,ROUND('Quant. mod. (oc)'!T270,0))</f>
        <v>1</v>
      </c>
      <c r="U270" s="125">
        <f>IF('Quant. mod. (oc)'!U270&lt;0,0,ROUND('Quant. mod. (oc)'!U270,0))</f>
        <v>1</v>
      </c>
      <c r="V270" s="125">
        <f>IF('Quant. mod. (oc)'!V270&lt;0,0,ROUND('Quant. mod. (oc)'!V270,0))</f>
        <v>1</v>
      </c>
      <c r="W270" s="125">
        <f>IF('Quant. mod. (oc)'!W270&lt;0,0,ROUND('Quant. mod. (oc)'!W270,0))</f>
        <v>1</v>
      </c>
      <c r="X270" s="125">
        <f>IF('Quant. mod. (oc)'!X270&lt;0,0,ROUND('Quant. mod. (oc)'!X270,0))</f>
        <v>1</v>
      </c>
      <c r="Y270" s="125">
        <f>IF('Quant. mod. (oc)'!Y270&lt;0,0,ROUND('Quant. mod. (oc)'!Y270,0))</f>
        <v>1</v>
      </c>
      <c r="Z270" s="125">
        <f>IF('Quant. mod. (oc)'!Z270&lt;0,0,ROUND('Quant. mod. (oc)'!Z270,0))</f>
        <v>1</v>
      </c>
      <c r="AA270" s="125">
        <f>IF('Quant. mod. (oc)'!AA270&lt;0,0,ROUND('Quant. mod. (oc)'!AA270,0))</f>
        <v>1</v>
      </c>
      <c r="AB270" s="125">
        <f>IF('Quant. mod. (oc)'!AB270&lt;0,0,ROUND('Quant. mod. (oc)'!AB270,0))</f>
        <v>1</v>
      </c>
      <c r="AC270" s="125">
        <f>IF('Quant. mod. (oc)'!AC270&lt;0,0,ROUND('Quant. mod. (oc)'!AC270,0))</f>
        <v>1</v>
      </c>
      <c r="AD270" s="125">
        <f>IF('Quant. mod. (oc)'!AD270&lt;0,0,ROUND('Quant. mod. (oc)'!AD270,0))</f>
        <v>1</v>
      </c>
      <c r="AE270" s="125">
        <f>IF('Quant. mod. (oc)'!AE270&lt;0,0,ROUND('Quant. mod. (oc)'!AE270,0))</f>
        <v>1</v>
      </c>
      <c r="AF270" s="125">
        <f>IF('Quant. mod. (oc)'!AF270&lt;0,0,ROUND('Quant. mod. (oc)'!AF270,0))</f>
        <v>1</v>
      </c>
      <c r="AG270" s="126">
        <f>IF('Quant. mod. (oc)'!AG270&lt;0,0,ROUND('Quant. mod. (oc)'!AG270,0))</f>
        <v>1</v>
      </c>
      <c r="AH270" s="22"/>
    </row>
    <row r="271" spans="1:34" x14ac:dyDescent="0.25">
      <c r="A271" s="112"/>
      <c r="B271" s="69" t="s">
        <v>276</v>
      </c>
      <c r="C271" s="133" t="s">
        <v>59</v>
      </c>
      <c r="D271" s="125">
        <f>IF('Quant. mod. (oc)'!D271&lt;0,0,ROUND('Quant. mod. (oc)'!D271,0))</f>
        <v>5</v>
      </c>
      <c r="E271" s="125">
        <f>IF('Quant. mod. (oc)'!E271&lt;0,0,ROUND('Quant. mod. (oc)'!E271,0))</f>
        <v>5</v>
      </c>
      <c r="F271" s="125">
        <f>IF('Quant. mod. (oc)'!F271&lt;0,0,ROUND('Quant. mod. (oc)'!F271,0))</f>
        <v>5</v>
      </c>
      <c r="G271" s="125">
        <f>IF('Quant. mod. (oc)'!G271&lt;0,0,ROUND('Quant. mod. (oc)'!G271,0))</f>
        <v>5</v>
      </c>
      <c r="H271" s="125">
        <f>IF('Quant. mod. (oc)'!H271&lt;0,0,ROUND('Quant. mod. (oc)'!H271,0))</f>
        <v>5</v>
      </c>
      <c r="I271" s="125">
        <f>IF('Quant. mod. (oc)'!I271&lt;0,0,ROUND('Quant. mod. (oc)'!I271,0))</f>
        <v>5</v>
      </c>
      <c r="J271" s="125">
        <f>IF('Quant. mod. (oc)'!J271&lt;0,0,ROUND('Quant. mod. (oc)'!J271,0))</f>
        <v>5</v>
      </c>
      <c r="K271" s="125">
        <f>IF('Quant. mod. (oc)'!K271&lt;0,0,ROUND('Quant. mod. (oc)'!K271,0))</f>
        <v>5</v>
      </c>
      <c r="L271" s="125">
        <f>IF('Quant. mod. (oc)'!L271&lt;0,0,ROUND('Quant. mod. (oc)'!L271,0))</f>
        <v>5</v>
      </c>
      <c r="M271" s="125">
        <f>IF('Quant. mod. (oc)'!M271&lt;0,0,ROUND('Quant. mod. (oc)'!M271,0))</f>
        <v>5</v>
      </c>
      <c r="N271" s="125">
        <f>IF('Quant. mod. (oc)'!N271&lt;0,0,ROUND('Quant. mod. (oc)'!N271,0))</f>
        <v>5</v>
      </c>
      <c r="O271" s="125">
        <f>IF('Quant. mod. (oc)'!O271&lt;0,0,ROUND('Quant. mod. (oc)'!O271,0))</f>
        <v>5</v>
      </c>
      <c r="P271" s="125">
        <f>IF('Quant. mod. (oc)'!P271&lt;0,0,ROUND('Quant. mod. (oc)'!P271,0))</f>
        <v>5</v>
      </c>
      <c r="Q271" s="125">
        <f>IF('Quant. mod. (oc)'!Q271&lt;0,0,ROUND('Quant. mod. (oc)'!Q271,0))</f>
        <v>5</v>
      </c>
      <c r="R271" s="125">
        <f>IF('Quant. mod. (oc)'!R271&lt;0,0,ROUND('Quant. mod. (oc)'!R271,0))</f>
        <v>5</v>
      </c>
      <c r="S271" s="125">
        <f>IF('Quant. mod. (oc)'!S271&lt;0,0,ROUND('Quant. mod. (oc)'!S271,0))</f>
        <v>5</v>
      </c>
      <c r="T271" s="125">
        <f>IF('Quant. mod. (oc)'!T271&lt;0,0,ROUND('Quant. mod. (oc)'!T271,0))</f>
        <v>5</v>
      </c>
      <c r="U271" s="125">
        <f>IF('Quant. mod. (oc)'!U271&lt;0,0,ROUND('Quant. mod. (oc)'!U271,0))</f>
        <v>5</v>
      </c>
      <c r="V271" s="125">
        <f>IF('Quant. mod. (oc)'!V271&lt;0,0,ROUND('Quant. mod. (oc)'!V271,0))</f>
        <v>5</v>
      </c>
      <c r="W271" s="125">
        <f>IF('Quant. mod. (oc)'!W271&lt;0,0,ROUND('Quant. mod. (oc)'!W271,0))</f>
        <v>5</v>
      </c>
      <c r="X271" s="125">
        <f>IF('Quant. mod. (oc)'!X271&lt;0,0,ROUND('Quant. mod. (oc)'!X271,0))</f>
        <v>5</v>
      </c>
      <c r="Y271" s="125">
        <f>IF('Quant. mod. (oc)'!Y271&lt;0,0,ROUND('Quant. mod. (oc)'!Y271,0))</f>
        <v>5</v>
      </c>
      <c r="Z271" s="125">
        <f>IF('Quant. mod. (oc)'!Z271&lt;0,0,ROUND('Quant. mod. (oc)'!Z271,0))</f>
        <v>5</v>
      </c>
      <c r="AA271" s="125">
        <f>IF('Quant. mod. (oc)'!AA271&lt;0,0,ROUND('Quant. mod. (oc)'!AA271,0))</f>
        <v>5</v>
      </c>
      <c r="AB271" s="125">
        <f>IF('Quant. mod. (oc)'!AB271&lt;0,0,ROUND('Quant. mod. (oc)'!AB271,0))</f>
        <v>5</v>
      </c>
      <c r="AC271" s="125">
        <f>IF('Quant. mod. (oc)'!AC271&lt;0,0,ROUND('Quant. mod. (oc)'!AC271,0))</f>
        <v>5</v>
      </c>
      <c r="AD271" s="125">
        <f>IF('Quant. mod. (oc)'!AD271&lt;0,0,ROUND('Quant. mod. (oc)'!AD271,0))</f>
        <v>5</v>
      </c>
      <c r="AE271" s="125">
        <f>IF('Quant. mod. (oc)'!AE271&lt;0,0,ROUND('Quant. mod. (oc)'!AE271,0))</f>
        <v>5</v>
      </c>
      <c r="AF271" s="125">
        <f>IF('Quant. mod. (oc)'!AF271&lt;0,0,ROUND('Quant. mod. (oc)'!AF271,0))</f>
        <v>5</v>
      </c>
      <c r="AG271" s="126">
        <f>IF('Quant. mod. (oc)'!AG271&lt;0,0,ROUND('Quant. mod. (oc)'!AG271,0))</f>
        <v>5</v>
      </c>
      <c r="AH271" s="22"/>
    </row>
    <row r="272" spans="1:34" x14ac:dyDescent="0.25">
      <c r="A272" s="112"/>
      <c r="B272" s="120" t="s">
        <v>556</v>
      </c>
      <c r="C272" s="121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8"/>
      <c r="AH272" s="22"/>
    </row>
    <row r="273" spans="1:34" x14ac:dyDescent="0.25">
      <c r="A273" s="112"/>
      <c r="B273" s="69" t="s">
        <v>266</v>
      </c>
      <c r="C273" s="133" t="s">
        <v>64</v>
      </c>
      <c r="D273" s="125">
        <f>IF('Quant. mod. (oc)'!D273&lt;0,0,CEILING('Quant. mod. (oc)'!D273,6))</f>
        <v>24</v>
      </c>
      <c r="E273" s="125">
        <f>IF('Quant. mod. (oc)'!E273&lt;0,0,CEILING('Quant. mod. (oc)'!E273,6))</f>
        <v>24</v>
      </c>
      <c r="F273" s="125">
        <f>IF('Quant. mod. (oc)'!F273&lt;0,0,CEILING('Quant. mod. (oc)'!F273,6))</f>
        <v>24</v>
      </c>
      <c r="G273" s="125">
        <f>IF('Quant. mod. (oc)'!G273&lt;0,0,CEILING('Quant. mod. (oc)'!G273,6))</f>
        <v>24</v>
      </c>
      <c r="H273" s="125">
        <f>IF('Quant. mod. (oc)'!H273&lt;0,0,CEILING('Quant. mod. (oc)'!H273,6))</f>
        <v>24</v>
      </c>
      <c r="I273" s="125">
        <f>IF('Quant. mod. (oc)'!I273&lt;0,0,CEILING('Quant. mod. (oc)'!I273,6))</f>
        <v>24</v>
      </c>
      <c r="J273" s="125">
        <f>IF('Quant. mod. (oc)'!J273&lt;0,0,CEILING('Quant. mod. (oc)'!J273,6))</f>
        <v>24</v>
      </c>
      <c r="K273" s="125">
        <f>IF('Quant. mod. (oc)'!K273&lt;0,0,CEILING('Quant. mod. (oc)'!K273,6))</f>
        <v>24</v>
      </c>
      <c r="L273" s="125">
        <f>IF('Quant. mod. (oc)'!L273&lt;0,0,CEILING('Quant. mod. (oc)'!L273,6))</f>
        <v>24</v>
      </c>
      <c r="M273" s="125">
        <f>IF('Quant. mod. (oc)'!M273&lt;0,0,CEILING('Quant. mod. (oc)'!M273,6))</f>
        <v>24</v>
      </c>
      <c r="N273" s="125">
        <f>IF('Quant. mod. (oc)'!N273&lt;0,0,CEILING('Quant. mod. (oc)'!N273,6))</f>
        <v>24</v>
      </c>
      <c r="O273" s="125">
        <f>IF('Quant. mod. (oc)'!O273&lt;0,0,CEILING('Quant. mod. (oc)'!O273,6))</f>
        <v>24</v>
      </c>
      <c r="P273" s="125">
        <f>IF('Quant. mod. (oc)'!P273&lt;0,0,CEILING('Quant. mod. (oc)'!P273,6))</f>
        <v>24</v>
      </c>
      <c r="Q273" s="125">
        <f>IF('Quant. mod. (oc)'!Q273&lt;0,0,CEILING('Quant. mod. (oc)'!Q273,6))</f>
        <v>24</v>
      </c>
      <c r="R273" s="125">
        <f>IF('Quant. mod. (oc)'!R273&lt;0,0,CEILING('Quant. mod. (oc)'!R273,6))</f>
        <v>24</v>
      </c>
      <c r="S273" s="125">
        <f>IF('Quant. mod. (oc)'!S273&lt;0,0,CEILING('Quant. mod. (oc)'!S273,6))</f>
        <v>24</v>
      </c>
      <c r="T273" s="125">
        <f>IF('Quant. mod. (oc)'!T273&lt;0,0,CEILING('Quant. mod. (oc)'!T273,6))</f>
        <v>24</v>
      </c>
      <c r="U273" s="125">
        <f>IF('Quant. mod. (oc)'!U273&lt;0,0,CEILING('Quant. mod. (oc)'!U273,6))</f>
        <v>24</v>
      </c>
      <c r="V273" s="125">
        <f>IF('Quant. mod. (oc)'!V273&lt;0,0,CEILING('Quant. mod. (oc)'!V273,6))</f>
        <v>24</v>
      </c>
      <c r="W273" s="125">
        <f>IF('Quant. mod. (oc)'!W273&lt;0,0,CEILING('Quant. mod. (oc)'!W273,6))</f>
        <v>24</v>
      </c>
      <c r="X273" s="125">
        <f>IF('Quant. mod. (oc)'!X273&lt;0,0,CEILING('Quant. mod. (oc)'!X273,6))</f>
        <v>24</v>
      </c>
      <c r="Y273" s="125">
        <f>IF('Quant. mod. (oc)'!Y273&lt;0,0,CEILING('Quant. mod. (oc)'!Y273,6))</f>
        <v>24</v>
      </c>
      <c r="Z273" s="125">
        <f>IF('Quant. mod. (oc)'!Z273&lt;0,0,CEILING('Quant. mod. (oc)'!Z273,6))</f>
        <v>24</v>
      </c>
      <c r="AA273" s="125">
        <f>IF('Quant. mod. (oc)'!AA273&lt;0,0,CEILING('Quant. mod. (oc)'!AA273,6))</f>
        <v>24</v>
      </c>
      <c r="AB273" s="125">
        <f>IF('Quant. mod. (oc)'!AB273&lt;0,0,CEILING('Quant. mod. (oc)'!AB273,6))</f>
        <v>24</v>
      </c>
      <c r="AC273" s="125">
        <f>IF('Quant. mod. (oc)'!AC273&lt;0,0,CEILING('Quant. mod. (oc)'!AC273,6))</f>
        <v>24</v>
      </c>
      <c r="AD273" s="125">
        <f>IF('Quant. mod. (oc)'!AD273&lt;0,0,CEILING('Quant. mod. (oc)'!AD273,6))</f>
        <v>24</v>
      </c>
      <c r="AE273" s="125">
        <f>IF('Quant. mod. (oc)'!AE273&lt;0,0,CEILING('Quant. mod. (oc)'!AE273,6))</f>
        <v>24</v>
      </c>
      <c r="AF273" s="125">
        <f>IF('Quant. mod. (oc)'!AF273&lt;0,0,CEILING('Quant. mod. (oc)'!AF273,6))</f>
        <v>24</v>
      </c>
      <c r="AG273" s="126">
        <f>IF('Quant. mod. (oc)'!AG273&lt;0,0,CEILING('Quant. mod. (oc)'!AG273,6))</f>
        <v>24</v>
      </c>
      <c r="AH273" s="22"/>
    </row>
    <row r="274" spans="1:34" x14ac:dyDescent="0.25">
      <c r="A274" s="112"/>
      <c r="B274" s="120" t="s">
        <v>557</v>
      </c>
      <c r="C274" s="121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8"/>
      <c r="AH274" s="22"/>
    </row>
    <row r="275" spans="1:34" x14ac:dyDescent="0.25">
      <c r="A275" s="112"/>
      <c r="B275" s="69" t="s">
        <v>267</v>
      </c>
      <c r="C275" s="133" t="s">
        <v>64</v>
      </c>
      <c r="D275" s="125">
        <f>IF('Quant. mod. (oc)'!D275&lt;0,0,ROUND('Quant. mod. (oc)'!D275,0))</f>
        <v>70</v>
      </c>
      <c r="E275" s="125">
        <f>IF('Quant. mod. (oc)'!E275&lt;0,0,ROUND('Quant. mod. (oc)'!E275,0))</f>
        <v>70</v>
      </c>
      <c r="F275" s="125">
        <f>IF('Quant. mod. (oc)'!F275&lt;0,0,ROUND('Quant. mod. (oc)'!F275,0))</f>
        <v>70</v>
      </c>
      <c r="G275" s="125">
        <f>IF('Quant. mod. (oc)'!G275&lt;0,0,ROUND('Quant. mod. (oc)'!G275,0))</f>
        <v>70</v>
      </c>
      <c r="H275" s="125">
        <f>IF('Quant. mod. (oc)'!H275&lt;0,0,ROUND('Quant. mod. (oc)'!H275,0))</f>
        <v>70</v>
      </c>
      <c r="I275" s="125">
        <f>IF('Quant. mod. (oc)'!I275&lt;0,0,ROUND('Quant. mod. (oc)'!I275,0))</f>
        <v>70</v>
      </c>
      <c r="J275" s="125">
        <f>IF('Quant. mod. (oc)'!J275&lt;0,0,ROUND('Quant. mod. (oc)'!J275,0))</f>
        <v>70</v>
      </c>
      <c r="K275" s="125">
        <f>IF('Quant. mod. (oc)'!K275&lt;0,0,ROUND('Quant. mod. (oc)'!K275,0))</f>
        <v>70</v>
      </c>
      <c r="L275" s="125">
        <f>IF('Quant. mod. (oc)'!L275&lt;0,0,ROUND('Quant. mod. (oc)'!L275,0))</f>
        <v>70</v>
      </c>
      <c r="M275" s="125">
        <f>IF('Quant. mod. (oc)'!M275&lt;0,0,ROUND('Quant. mod. (oc)'!M275,0))</f>
        <v>70</v>
      </c>
      <c r="N275" s="125">
        <f>IF('Quant. mod. (oc)'!N275&lt;0,0,ROUND('Quant. mod. (oc)'!N275,0))</f>
        <v>70</v>
      </c>
      <c r="O275" s="125">
        <f>IF('Quant. mod. (oc)'!O275&lt;0,0,ROUND('Quant. mod. (oc)'!O275,0))</f>
        <v>70</v>
      </c>
      <c r="P275" s="125">
        <f>IF('Quant. mod. (oc)'!P275&lt;0,0,ROUND('Quant. mod. (oc)'!P275,0))</f>
        <v>70</v>
      </c>
      <c r="Q275" s="125">
        <f>IF('Quant. mod. (oc)'!Q275&lt;0,0,ROUND('Quant. mod. (oc)'!Q275,0))</f>
        <v>70</v>
      </c>
      <c r="R275" s="125">
        <f>IF('Quant. mod. (oc)'!R275&lt;0,0,ROUND('Quant. mod. (oc)'!R275,0))</f>
        <v>70</v>
      </c>
      <c r="S275" s="125">
        <f>IF('Quant. mod. (oc)'!S275&lt;0,0,ROUND('Quant. mod. (oc)'!S275,0))</f>
        <v>70</v>
      </c>
      <c r="T275" s="125">
        <f>IF('Quant. mod. (oc)'!T275&lt;0,0,ROUND('Quant. mod. (oc)'!T275,0))</f>
        <v>70</v>
      </c>
      <c r="U275" s="125">
        <f>IF('Quant. mod. (oc)'!U275&lt;0,0,ROUND('Quant. mod. (oc)'!U275,0))</f>
        <v>70</v>
      </c>
      <c r="V275" s="125">
        <f>IF('Quant. mod. (oc)'!V275&lt;0,0,ROUND('Quant. mod. (oc)'!V275,0))</f>
        <v>70</v>
      </c>
      <c r="W275" s="125">
        <f>IF('Quant. mod. (oc)'!W275&lt;0,0,ROUND('Quant. mod. (oc)'!W275,0))</f>
        <v>70</v>
      </c>
      <c r="X275" s="125">
        <f>IF('Quant. mod. (oc)'!X275&lt;0,0,ROUND('Quant. mod. (oc)'!X275,0))</f>
        <v>60</v>
      </c>
      <c r="Y275" s="125">
        <f>IF('Quant. mod. (oc)'!Y275&lt;0,0,ROUND('Quant. mod. (oc)'!Y275,0))</f>
        <v>60</v>
      </c>
      <c r="Z275" s="125">
        <f>IF('Quant. mod. (oc)'!Z275&lt;0,0,ROUND('Quant. mod. (oc)'!Z275,0))</f>
        <v>60</v>
      </c>
      <c r="AA275" s="125">
        <f>IF('Quant. mod. (oc)'!AA275&lt;0,0,ROUND('Quant. mod. (oc)'!AA275,0))</f>
        <v>60</v>
      </c>
      <c r="AB275" s="125">
        <f>IF('Quant. mod. (oc)'!AB275&lt;0,0,ROUND('Quant. mod. (oc)'!AB275,0))</f>
        <v>60</v>
      </c>
      <c r="AC275" s="125">
        <f>IF('Quant. mod. (oc)'!AC275&lt;0,0,ROUND('Quant. mod. (oc)'!AC275,0))</f>
        <v>60</v>
      </c>
      <c r="AD275" s="125">
        <f>IF('Quant. mod. (oc)'!AD275&lt;0,0,ROUND('Quant. mod. (oc)'!AD275,0))</f>
        <v>60</v>
      </c>
      <c r="AE275" s="125">
        <f>IF('Quant. mod. (oc)'!AE275&lt;0,0,ROUND('Quant. mod. (oc)'!AE275,0))</f>
        <v>60</v>
      </c>
      <c r="AF275" s="125">
        <f>IF('Quant. mod. (oc)'!AF275&lt;0,0,ROUND('Quant. mod. (oc)'!AF275,0))</f>
        <v>60</v>
      </c>
      <c r="AG275" s="126">
        <f>IF('Quant. mod. (oc)'!AG275&lt;0,0,ROUND('Quant. mod. (oc)'!AG275,0))</f>
        <v>60</v>
      </c>
      <c r="AH275" s="22"/>
    </row>
    <row r="276" spans="1:34" x14ac:dyDescent="0.25">
      <c r="A276" s="112"/>
      <c r="B276" s="120" t="s">
        <v>558</v>
      </c>
      <c r="C276" s="121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8"/>
      <c r="AH276" s="22"/>
    </row>
    <row r="277" spans="1:34" x14ac:dyDescent="0.25">
      <c r="A277" s="112"/>
      <c r="B277" s="69" t="s">
        <v>268</v>
      </c>
      <c r="C277" s="133" t="s">
        <v>59</v>
      </c>
      <c r="D277" s="125">
        <f>IF('Quant. mod. (oc)'!D277&lt;0,0,ROUND('Quant. mod. (oc)'!D277,0))</f>
        <v>2</v>
      </c>
      <c r="E277" s="125">
        <f>IF('Quant. mod. (oc)'!E277&lt;0,0,ROUND('Quant. mod. (oc)'!E277,0))</f>
        <v>2</v>
      </c>
      <c r="F277" s="125">
        <f>IF('Quant. mod. (oc)'!F277&lt;0,0,ROUND('Quant. mod. (oc)'!F277,0))</f>
        <v>2</v>
      </c>
      <c r="G277" s="125">
        <f>IF('Quant. mod. (oc)'!G277&lt;0,0,ROUND('Quant. mod. (oc)'!G277,0))</f>
        <v>2</v>
      </c>
      <c r="H277" s="125">
        <f>IF('Quant. mod. (oc)'!H277&lt;0,0,ROUND('Quant. mod. (oc)'!H277,0))</f>
        <v>2</v>
      </c>
      <c r="I277" s="125">
        <f>IF('Quant. mod. (oc)'!I277&lt;0,0,ROUND('Quant. mod. (oc)'!I277,0))</f>
        <v>2</v>
      </c>
      <c r="J277" s="125">
        <f>IF('Quant. mod. (oc)'!J277&lt;0,0,ROUND('Quant. mod. (oc)'!J277,0))</f>
        <v>2</v>
      </c>
      <c r="K277" s="125">
        <f>IF('Quant. mod. (oc)'!K277&lt;0,0,ROUND('Quant. mod. (oc)'!K277,0))</f>
        <v>2</v>
      </c>
      <c r="L277" s="125">
        <f>IF('Quant. mod. (oc)'!L277&lt;0,0,ROUND('Quant. mod. (oc)'!L277,0))</f>
        <v>2</v>
      </c>
      <c r="M277" s="125">
        <f>IF('Quant. mod. (oc)'!M277&lt;0,0,ROUND('Quant. mod. (oc)'!M277,0))</f>
        <v>2</v>
      </c>
      <c r="N277" s="125">
        <f>IF('Quant. mod. (oc)'!N277&lt;0,0,ROUND('Quant. mod. (oc)'!N277,0))</f>
        <v>2</v>
      </c>
      <c r="O277" s="125">
        <f>IF('Quant. mod. (oc)'!O277&lt;0,0,ROUND('Quant. mod. (oc)'!O277,0))</f>
        <v>2</v>
      </c>
      <c r="P277" s="125">
        <f>IF('Quant. mod. (oc)'!P277&lt;0,0,ROUND('Quant. mod. (oc)'!P277,0))</f>
        <v>2</v>
      </c>
      <c r="Q277" s="125">
        <f>IF('Quant. mod. (oc)'!Q277&lt;0,0,ROUND('Quant. mod. (oc)'!Q277,0))</f>
        <v>2</v>
      </c>
      <c r="R277" s="125">
        <f>IF('Quant. mod. (oc)'!R277&lt;0,0,ROUND('Quant. mod. (oc)'!R277,0))</f>
        <v>2</v>
      </c>
      <c r="S277" s="125">
        <f>IF('Quant. mod. (oc)'!S277&lt;0,0,ROUND('Quant. mod. (oc)'!S277,0))</f>
        <v>2</v>
      </c>
      <c r="T277" s="125">
        <f>IF('Quant. mod. (oc)'!T277&lt;0,0,ROUND('Quant. mod. (oc)'!T277,0))</f>
        <v>2</v>
      </c>
      <c r="U277" s="125">
        <f>IF('Quant. mod. (oc)'!U277&lt;0,0,ROUND('Quant. mod. (oc)'!U277,0))</f>
        <v>2</v>
      </c>
      <c r="V277" s="125">
        <f>IF('Quant. mod. (oc)'!V277&lt;0,0,ROUND('Quant. mod. (oc)'!V277,0))</f>
        <v>2</v>
      </c>
      <c r="W277" s="125">
        <f>IF('Quant. mod. (oc)'!W277&lt;0,0,ROUND('Quant. mod. (oc)'!W277,0))</f>
        <v>2</v>
      </c>
      <c r="X277" s="125">
        <f>IF('Quant. mod. (oc)'!X277&lt;0,0,ROUND('Quant. mod. (oc)'!X277,0))</f>
        <v>1</v>
      </c>
      <c r="Y277" s="125">
        <f>IF('Quant. mod. (oc)'!Y277&lt;0,0,ROUND('Quant. mod. (oc)'!Y277,0))</f>
        <v>1</v>
      </c>
      <c r="Z277" s="125">
        <f>IF('Quant. mod. (oc)'!Z277&lt;0,0,ROUND('Quant. mod. (oc)'!Z277,0))</f>
        <v>1</v>
      </c>
      <c r="AA277" s="125">
        <f>IF('Quant. mod. (oc)'!AA277&lt;0,0,ROUND('Quant. mod. (oc)'!AA277,0))</f>
        <v>1</v>
      </c>
      <c r="AB277" s="125">
        <f>IF('Quant. mod. (oc)'!AB277&lt;0,0,ROUND('Quant. mod. (oc)'!AB277,0))</f>
        <v>1</v>
      </c>
      <c r="AC277" s="125">
        <f>IF('Quant. mod. (oc)'!AC277&lt;0,0,ROUND('Quant. mod. (oc)'!AC277,0))</f>
        <v>1</v>
      </c>
      <c r="AD277" s="125">
        <f>IF('Quant. mod. (oc)'!AD277&lt;0,0,ROUND('Quant. mod. (oc)'!AD277,0))</f>
        <v>1</v>
      </c>
      <c r="AE277" s="125">
        <f>IF('Quant. mod. (oc)'!AE277&lt;0,0,ROUND('Quant. mod. (oc)'!AE277,0))</f>
        <v>1</v>
      </c>
      <c r="AF277" s="125">
        <f>IF('Quant. mod. (oc)'!AF277&lt;0,0,ROUND('Quant. mod. (oc)'!AF277,0))</f>
        <v>1</v>
      </c>
      <c r="AG277" s="126">
        <f>IF('Quant. mod. (oc)'!AG277&lt;0,0,ROUND('Quant. mod. (oc)'!AG277,0))</f>
        <v>1</v>
      </c>
      <c r="AH277" s="22"/>
    </row>
    <row r="278" spans="1:34" x14ac:dyDescent="0.25">
      <c r="A278" s="112"/>
      <c r="B278" s="69" t="s">
        <v>269</v>
      </c>
      <c r="C278" s="133" t="s">
        <v>59</v>
      </c>
      <c r="D278" s="125">
        <f>IF('Quant. mod. (oc)'!D278&lt;0,0,ROUND('Quant. mod. (oc)'!D278,0))</f>
        <v>2</v>
      </c>
      <c r="E278" s="125">
        <f>IF('Quant. mod. (oc)'!E278&lt;0,0,ROUND('Quant. mod. (oc)'!E278,0))</f>
        <v>2</v>
      </c>
      <c r="F278" s="125">
        <f>IF('Quant. mod. (oc)'!F278&lt;0,0,ROUND('Quant. mod. (oc)'!F278,0))</f>
        <v>2</v>
      </c>
      <c r="G278" s="125">
        <f>IF('Quant. mod. (oc)'!G278&lt;0,0,ROUND('Quant. mod. (oc)'!G278,0))</f>
        <v>2</v>
      </c>
      <c r="H278" s="125">
        <f>IF('Quant. mod. (oc)'!H278&lt;0,0,ROUND('Quant. mod. (oc)'!H278,0))</f>
        <v>2</v>
      </c>
      <c r="I278" s="125">
        <f>IF('Quant. mod. (oc)'!I278&lt;0,0,ROUND('Quant. mod. (oc)'!I278,0))</f>
        <v>2</v>
      </c>
      <c r="J278" s="125">
        <f>IF('Quant. mod. (oc)'!J278&lt;0,0,ROUND('Quant. mod. (oc)'!J278,0))</f>
        <v>2</v>
      </c>
      <c r="K278" s="125">
        <f>IF('Quant. mod. (oc)'!K278&lt;0,0,ROUND('Quant. mod. (oc)'!K278,0))</f>
        <v>2</v>
      </c>
      <c r="L278" s="125">
        <f>IF('Quant. mod. (oc)'!L278&lt;0,0,ROUND('Quant. mod. (oc)'!L278,0))</f>
        <v>2</v>
      </c>
      <c r="M278" s="125">
        <f>IF('Quant. mod. (oc)'!M278&lt;0,0,ROUND('Quant. mod. (oc)'!M278,0))</f>
        <v>2</v>
      </c>
      <c r="N278" s="125">
        <f>IF('Quant. mod. (oc)'!N278&lt;0,0,ROUND('Quant. mod. (oc)'!N278,0))</f>
        <v>6</v>
      </c>
      <c r="O278" s="125">
        <f>IF('Quant. mod. (oc)'!O278&lt;0,0,ROUND('Quant. mod. (oc)'!O278,0))</f>
        <v>6</v>
      </c>
      <c r="P278" s="125">
        <f>IF('Quant. mod. (oc)'!P278&lt;0,0,ROUND('Quant. mod. (oc)'!P278,0))</f>
        <v>6</v>
      </c>
      <c r="Q278" s="125">
        <f>IF('Quant. mod. (oc)'!Q278&lt;0,0,ROUND('Quant. mod. (oc)'!Q278,0))</f>
        <v>6</v>
      </c>
      <c r="R278" s="125">
        <f>IF('Quant. mod. (oc)'!R278&lt;0,0,ROUND('Quant. mod. (oc)'!R278,0))</f>
        <v>6</v>
      </c>
      <c r="S278" s="125">
        <f>IF('Quant. mod. (oc)'!S278&lt;0,0,ROUND('Quant. mod. (oc)'!S278,0))</f>
        <v>6</v>
      </c>
      <c r="T278" s="125">
        <f>IF('Quant. mod. (oc)'!T278&lt;0,0,ROUND('Quant. mod. (oc)'!T278,0))</f>
        <v>6</v>
      </c>
      <c r="U278" s="125">
        <f>IF('Quant. mod. (oc)'!U278&lt;0,0,ROUND('Quant. mod. (oc)'!U278,0))</f>
        <v>6</v>
      </c>
      <c r="V278" s="125">
        <f>IF('Quant. mod. (oc)'!V278&lt;0,0,ROUND('Quant. mod. (oc)'!V278,0))</f>
        <v>6</v>
      </c>
      <c r="W278" s="125">
        <f>IF('Quant. mod. (oc)'!W278&lt;0,0,ROUND('Quant. mod. (oc)'!W278,0))</f>
        <v>6</v>
      </c>
      <c r="X278" s="125">
        <f>IF('Quant. mod. (oc)'!X278&lt;0,0,ROUND('Quant. mod. (oc)'!X278,0))</f>
        <v>3</v>
      </c>
      <c r="Y278" s="125">
        <f>IF('Quant. mod. (oc)'!Y278&lt;0,0,ROUND('Quant. mod. (oc)'!Y278,0))</f>
        <v>3</v>
      </c>
      <c r="Z278" s="125">
        <f>IF('Quant. mod. (oc)'!Z278&lt;0,0,ROUND('Quant. mod. (oc)'!Z278,0))</f>
        <v>3</v>
      </c>
      <c r="AA278" s="125">
        <f>IF('Quant. mod. (oc)'!AA278&lt;0,0,ROUND('Quant. mod. (oc)'!AA278,0))</f>
        <v>3</v>
      </c>
      <c r="AB278" s="125">
        <f>IF('Quant. mod. (oc)'!AB278&lt;0,0,ROUND('Quant. mod. (oc)'!AB278,0))</f>
        <v>3</v>
      </c>
      <c r="AC278" s="125">
        <f>IF('Quant. mod. (oc)'!AC278&lt;0,0,ROUND('Quant. mod. (oc)'!AC278,0))</f>
        <v>3</v>
      </c>
      <c r="AD278" s="125">
        <f>IF('Quant. mod. (oc)'!AD278&lt;0,0,ROUND('Quant. mod. (oc)'!AD278,0))</f>
        <v>3</v>
      </c>
      <c r="AE278" s="125">
        <f>IF('Quant. mod. (oc)'!AE278&lt;0,0,ROUND('Quant. mod. (oc)'!AE278,0))</f>
        <v>3</v>
      </c>
      <c r="AF278" s="125">
        <f>IF('Quant. mod. (oc)'!AF278&lt;0,0,ROUND('Quant. mod. (oc)'!AF278,0))</f>
        <v>3</v>
      </c>
      <c r="AG278" s="126">
        <f>IF('Quant. mod. (oc)'!AG278&lt;0,0,ROUND('Quant. mod. (oc)'!AG278,0))</f>
        <v>3</v>
      </c>
      <c r="AH278" s="22"/>
    </row>
    <row r="279" spans="1:34" x14ac:dyDescent="0.25">
      <c r="A279" s="112"/>
      <c r="B279" s="69" t="s">
        <v>270</v>
      </c>
      <c r="C279" s="133" t="s">
        <v>59</v>
      </c>
      <c r="D279" s="125">
        <f>IF('Quant. mod. (oc)'!D279&lt;0,0,ROUND('Quant. mod. (oc)'!D279,0))</f>
        <v>3</v>
      </c>
      <c r="E279" s="125">
        <f>IF('Quant. mod. (oc)'!E279&lt;0,0,ROUND('Quant. mod. (oc)'!E279,0))</f>
        <v>3</v>
      </c>
      <c r="F279" s="125">
        <f>IF('Quant. mod. (oc)'!F279&lt;0,0,ROUND('Quant. mod. (oc)'!F279,0))</f>
        <v>3</v>
      </c>
      <c r="G279" s="125">
        <f>IF('Quant. mod. (oc)'!G279&lt;0,0,ROUND('Quant. mod. (oc)'!G279,0))</f>
        <v>3</v>
      </c>
      <c r="H279" s="125">
        <f>IF('Quant. mod. (oc)'!H279&lt;0,0,ROUND('Quant. mod. (oc)'!H279,0))</f>
        <v>3</v>
      </c>
      <c r="I279" s="125">
        <f>IF('Quant. mod. (oc)'!I279&lt;0,0,ROUND('Quant. mod. (oc)'!I279,0))</f>
        <v>3</v>
      </c>
      <c r="J279" s="125">
        <f>IF('Quant. mod. (oc)'!J279&lt;0,0,ROUND('Quant. mod. (oc)'!J279,0))</f>
        <v>3</v>
      </c>
      <c r="K279" s="125">
        <f>IF('Quant. mod. (oc)'!K279&lt;0,0,ROUND('Quant. mod. (oc)'!K279,0))</f>
        <v>3</v>
      </c>
      <c r="L279" s="125">
        <f>IF('Quant. mod. (oc)'!L279&lt;0,0,ROUND('Quant. mod. (oc)'!L279,0))</f>
        <v>3</v>
      </c>
      <c r="M279" s="125">
        <f>IF('Quant. mod. (oc)'!M279&lt;0,0,ROUND('Quant. mod. (oc)'!M279,0))</f>
        <v>3</v>
      </c>
      <c r="N279" s="125">
        <f>IF('Quant. mod. (oc)'!N279&lt;0,0,ROUND('Quant. mod. (oc)'!N279,0))</f>
        <v>6</v>
      </c>
      <c r="O279" s="125">
        <f>IF('Quant. mod. (oc)'!O279&lt;0,0,ROUND('Quant. mod. (oc)'!O279,0))</f>
        <v>6</v>
      </c>
      <c r="P279" s="125">
        <f>IF('Quant. mod. (oc)'!P279&lt;0,0,ROUND('Quant. mod. (oc)'!P279,0))</f>
        <v>6</v>
      </c>
      <c r="Q279" s="125">
        <f>IF('Quant. mod. (oc)'!Q279&lt;0,0,ROUND('Quant. mod. (oc)'!Q279,0))</f>
        <v>6</v>
      </c>
      <c r="R279" s="125">
        <f>IF('Quant. mod. (oc)'!R279&lt;0,0,ROUND('Quant. mod. (oc)'!R279,0))</f>
        <v>6</v>
      </c>
      <c r="S279" s="125">
        <f>IF('Quant. mod. (oc)'!S279&lt;0,0,ROUND('Quant. mod. (oc)'!S279,0))</f>
        <v>6</v>
      </c>
      <c r="T279" s="125">
        <f>IF('Quant. mod. (oc)'!T279&lt;0,0,ROUND('Quant. mod. (oc)'!T279,0))</f>
        <v>6</v>
      </c>
      <c r="U279" s="125">
        <f>IF('Quant. mod. (oc)'!U279&lt;0,0,ROUND('Quant. mod. (oc)'!U279,0))</f>
        <v>6</v>
      </c>
      <c r="V279" s="125">
        <f>IF('Quant. mod. (oc)'!V279&lt;0,0,ROUND('Quant. mod. (oc)'!V279,0))</f>
        <v>6</v>
      </c>
      <c r="W279" s="125">
        <f>IF('Quant. mod. (oc)'!W279&lt;0,0,ROUND('Quant. mod. (oc)'!W279,0))</f>
        <v>6</v>
      </c>
      <c r="X279" s="125">
        <f>IF('Quant. mod. (oc)'!X279&lt;0,0,ROUND('Quant. mod. (oc)'!X279,0))</f>
        <v>2</v>
      </c>
      <c r="Y279" s="125">
        <f>IF('Quant. mod. (oc)'!Y279&lt;0,0,ROUND('Quant. mod. (oc)'!Y279,0))</f>
        <v>2</v>
      </c>
      <c r="Z279" s="125">
        <f>IF('Quant. mod. (oc)'!Z279&lt;0,0,ROUND('Quant. mod. (oc)'!Z279,0))</f>
        <v>2</v>
      </c>
      <c r="AA279" s="125">
        <f>IF('Quant. mod. (oc)'!AA279&lt;0,0,ROUND('Quant. mod. (oc)'!AA279,0))</f>
        <v>2</v>
      </c>
      <c r="AB279" s="125">
        <f>IF('Quant. mod. (oc)'!AB279&lt;0,0,ROUND('Quant. mod. (oc)'!AB279,0))</f>
        <v>2</v>
      </c>
      <c r="AC279" s="125">
        <f>IF('Quant. mod. (oc)'!AC279&lt;0,0,ROUND('Quant. mod. (oc)'!AC279,0))</f>
        <v>2</v>
      </c>
      <c r="AD279" s="125">
        <f>IF('Quant. mod. (oc)'!AD279&lt;0,0,ROUND('Quant. mod. (oc)'!AD279,0))</f>
        <v>2</v>
      </c>
      <c r="AE279" s="125">
        <f>IF('Quant. mod. (oc)'!AE279&lt;0,0,ROUND('Quant. mod. (oc)'!AE279,0))</f>
        <v>2</v>
      </c>
      <c r="AF279" s="125">
        <f>IF('Quant. mod. (oc)'!AF279&lt;0,0,ROUND('Quant. mod. (oc)'!AF279,0))</f>
        <v>2</v>
      </c>
      <c r="AG279" s="126">
        <f>IF('Quant. mod. (oc)'!AG279&lt;0,0,ROUND('Quant. mod. (oc)'!AG279,0))</f>
        <v>2</v>
      </c>
      <c r="AH279" s="22"/>
    </row>
    <row r="280" spans="1:34" x14ac:dyDescent="0.25">
      <c r="A280" s="112"/>
      <c r="B280" s="69" t="s">
        <v>271</v>
      </c>
      <c r="C280" s="133" t="s">
        <v>59</v>
      </c>
      <c r="D280" s="125">
        <f>IF('Quant. mod. (oc)'!D280&lt;0,0,ROUND('Quant. mod. (oc)'!D280,0))</f>
        <v>0</v>
      </c>
      <c r="E280" s="125">
        <f>IF('Quant. mod. (oc)'!E280&lt;0,0,ROUND('Quant. mod. (oc)'!E280,0))</f>
        <v>0</v>
      </c>
      <c r="F280" s="125">
        <f>IF('Quant. mod. (oc)'!F280&lt;0,0,ROUND('Quant. mod. (oc)'!F280,0))</f>
        <v>0</v>
      </c>
      <c r="G280" s="125">
        <f>IF('Quant. mod. (oc)'!G280&lt;0,0,ROUND('Quant. mod. (oc)'!G280,0))</f>
        <v>0</v>
      </c>
      <c r="H280" s="125">
        <f>IF('Quant. mod. (oc)'!H280&lt;0,0,ROUND('Quant. mod. (oc)'!H280,0))</f>
        <v>0</v>
      </c>
      <c r="I280" s="125">
        <f>IF('Quant. mod. (oc)'!I280&lt;0,0,ROUND('Quant. mod. (oc)'!I280,0))</f>
        <v>0</v>
      </c>
      <c r="J280" s="125">
        <f>IF('Quant. mod. (oc)'!J280&lt;0,0,ROUND('Quant. mod. (oc)'!J280,0))</f>
        <v>0</v>
      </c>
      <c r="K280" s="125">
        <f>IF('Quant. mod. (oc)'!K280&lt;0,0,ROUND('Quant. mod. (oc)'!K280,0))</f>
        <v>0</v>
      </c>
      <c r="L280" s="125">
        <f>IF('Quant. mod. (oc)'!L280&lt;0,0,ROUND('Quant. mod. (oc)'!L280,0))</f>
        <v>0</v>
      </c>
      <c r="M280" s="125">
        <f>IF('Quant. mod. (oc)'!M280&lt;0,0,ROUND('Quant. mod. (oc)'!M280,0))</f>
        <v>0</v>
      </c>
      <c r="N280" s="125">
        <f>IF('Quant. mod. (oc)'!N280&lt;0,0,ROUND('Quant. mod. (oc)'!N280,0))</f>
        <v>0</v>
      </c>
      <c r="O280" s="125">
        <f>IF('Quant. mod. (oc)'!O280&lt;0,0,ROUND('Quant. mod. (oc)'!O280,0))</f>
        <v>0</v>
      </c>
      <c r="P280" s="125">
        <f>IF('Quant. mod. (oc)'!P280&lt;0,0,ROUND('Quant. mod. (oc)'!P280,0))</f>
        <v>0</v>
      </c>
      <c r="Q280" s="125">
        <f>IF('Quant. mod. (oc)'!Q280&lt;0,0,ROUND('Quant. mod. (oc)'!Q280,0))</f>
        <v>0</v>
      </c>
      <c r="R280" s="125">
        <f>IF('Quant. mod. (oc)'!R280&lt;0,0,ROUND('Quant. mod. (oc)'!R280,0))</f>
        <v>0</v>
      </c>
      <c r="S280" s="125">
        <f>IF('Quant. mod. (oc)'!S280&lt;0,0,ROUND('Quant. mod. (oc)'!S280,0))</f>
        <v>0</v>
      </c>
      <c r="T280" s="125">
        <f>IF('Quant. mod. (oc)'!T280&lt;0,0,ROUND('Quant. mod. (oc)'!T280,0))</f>
        <v>0</v>
      </c>
      <c r="U280" s="125">
        <f>IF('Quant. mod. (oc)'!U280&lt;0,0,ROUND('Quant. mod. (oc)'!U280,0))</f>
        <v>0</v>
      </c>
      <c r="V280" s="125">
        <f>IF('Quant. mod. (oc)'!V280&lt;0,0,ROUND('Quant. mod. (oc)'!V280,0))</f>
        <v>0</v>
      </c>
      <c r="W280" s="125">
        <f>IF('Quant. mod. (oc)'!W280&lt;0,0,ROUND('Quant. mod. (oc)'!W280,0))</f>
        <v>0</v>
      </c>
      <c r="X280" s="125">
        <f>IF('Quant. mod. (oc)'!X280&lt;0,0,ROUND('Quant. mod. (oc)'!X280,0))</f>
        <v>0</v>
      </c>
      <c r="Y280" s="125">
        <f>IF('Quant. mod. (oc)'!Y280&lt;0,0,ROUND('Quant. mod. (oc)'!Y280,0))</f>
        <v>0</v>
      </c>
      <c r="Z280" s="125">
        <f>IF('Quant. mod. (oc)'!Z280&lt;0,0,ROUND('Quant. mod. (oc)'!Z280,0))</f>
        <v>0</v>
      </c>
      <c r="AA280" s="125">
        <f>IF('Quant. mod. (oc)'!AA280&lt;0,0,ROUND('Quant. mod. (oc)'!AA280,0))</f>
        <v>0</v>
      </c>
      <c r="AB280" s="125">
        <f>IF('Quant. mod. (oc)'!AB280&lt;0,0,ROUND('Quant. mod. (oc)'!AB280,0))</f>
        <v>0</v>
      </c>
      <c r="AC280" s="125">
        <f>IF('Quant. mod. (oc)'!AC280&lt;0,0,ROUND('Quant. mod. (oc)'!AC280,0))</f>
        <v>0</v>
      </c>
      <c r="AD280" s="125">
        <f>IF('Quant. mod. (oc)'!AD280&lt;0,0,ROUND('Quant. mod. (oc)'!AD280,0))</f>
        <v>0</v>
      </c>
      <c r="AE280" s="125">
        <f>IF('Quant. mod. (oc)'!AE280&lt;0,0,ROUND('Quant. mod. (oc)'!AE280,0))</f>
        <v>0</v>
      </c>
      <c r="AF280" s="125">
        <f>IF('Quant. mod. (oc)'!AF280&lt;0,0,ROUND('Quant. mod. (oc)'!AF280,0))</f>
        <v>0</v>
      </c>
      <c r="AG280" s="126">
        <f>IF('Quant. mod. (oc)'!AG280&lt;0,0,ROUND('Quant. mod. (oc)'!AG280,0))</f>
        <v>0</v>
      </c>
      <c r="AH280" s="22"/>
    </row>
    <row r="281" spans="1:34" x14ac:dyDescent="0.25">
      <c r="A281" s="112"/>
      <c r="B281" s="69" t="s">
        <v>272</v>
      </c>
      <c r="C281" s="133" t="s">
        <v>59</v>
      </c>
      <c r="D281" s="125">
        <f>IF('Quant. mod. (oc)'!D281&lt;0,0,ROUND('Quant. mod. (oc)'!D281,0))</f>
        <v>0</v>
      </c>
      <c r="E281" s="125">
        <f>IF('Quant. mod. (oc)'!E281&lt;0,0,ROUND('Quant. mod. (oc)'!E281,0))</f>
        <v>0</v>
      </c>
      <c r="F281" s="125">
        <f>IF('Quant. mod. (oc)'!F281&lt;0,0,ROUND('Quant. mod. (oc)'!F281,0))</f>
        <v>0</v>
      </c>
      <c r="G281" s="125">
        <f>IF('Quant. mod. (oc)'!G281&lt;0,0,ROUND('Quant. mod. (oc)'!G281,0))</f>
        <v>0</v>
      </c>
      <c r="H281" s="125">
        <f>IF('Quant. mod. (oc)'!H281&lt;0,0,ROUND('Quant. mod. (oc)'!H281,0))</f>
        <v>0</v>
      </c>
      <c r="I281" s="125">
        <f>IF('Quant. mod. (oc)'!I281&lt;0,0,ROUND('Quant. mod. (oc)'!I281,0))</f>
        <v>0</v>
      </c>
      <c r="J281" s="125">
        <f>IF('Quant. mod. (oc)'!J281&lt;0,0,ROUND('Quant. mod. (oc)'!J281,0))</f>
        <v>0</v>
      </c>
      <c r="K281" s="125">
        <f>IF('Quant. mod. (oc)'!K281&lt;0,0,ROUND('Quant. mod. (oc)'!K281,0))</f>
        <v>0</v>
      </c>
      <c r="L281" s="125">
        <f>IF('Quant. mod. (oc)'!L281&lt;0,0,ROUND('Quant. mod. (oc)'!L281,0))</f>
        <v>0</v>
      </c>
      <c r="M281" s="125">
        <f>IF('Quant. mod. (oc)'!M281&lt;0,0,ROUND('Quant. mod. (oc)'!M281,0))</f>
        <v>0</v>
      </c>
      <c r="N281" s="125">
        <f>IF('Quant. mod. (oc)'!N281&lt;0,0,ROUND('Quant. mod. (oc)'!N281,0))</f>
        <v>0</v>
      </c>
      <c r="O281" s="125">
        <f>IF('Quant. mod. (oc)'!O281&lt;0,0,ROUND('Quant. mod. (oc)'!O281,0))</f>
        <v>0</v>
      </c>
      <c r="P281" s="125">
        <f>IF('Quant. mod. (oc)'!P281&lt;0,0,ROUND('Quant. mod. (oc)'!P281,0))</f>
        <v>0</v>
      </c>
      <c r="Q281" s="125">
        <f>IF('Quant. mod. (oc)'!Q281&lt;0,0,ROUND('Quant. mod. (oc)'!Q281,0))</f>
        <v>0</v>
      </c>
      <c r="R281" s="125">
        <f>IF('Quant. mod. (oc)'!R281&lt;0,0,ROUND('Quant. mod. (oc)'!R281,0))</f>
        <v>0</v>
      </c>
      <c r="S281" s="125">
        <f>IF('Quant. mod. (oc)'!S281&lt;0,0,ROUND('Quant. mod. (oc)'!S281,0))</f>
        <v>0</v>
      </c>
      <c r="T281" s="125">
        <f>IF('Quant. mod. (oc)'!T281&lt;0,0,ROUND('Quant. mod. (oc)'!T281,0))</f>
        <v>0</v>
      </c>
      <c r="U281" s="125">
        <f>IF('Quant. mod. (oc)'!U281&lt;0,0,ROUND('Quant. mod. (oc)'!U281,0))</f>
        <v>0</v>
      </c>
      <c r="V281" s="125">
        <f>IF('Quant. mod. (oc)'!V281&lt;0,0,ROUND('Quant. mod. (oc)'!V281,0))</f>
        <v>0</v>
      </c>
      <c r="W281" s="125">
        <f>IF('Quant. mod. (oc)'!W281&lt;0,0,ROUND('Quant. mod. (oc)'!W281,0))</f>
        <v>0</v>
      </c>
      <c r="X281" s="125">
        <f>IF('Quant. mod. (oc)'!X281&lt;0,0,ROUND('Quant. mod. (oc)'!X281,0))</f>
        <v>0</v>
      </c>
      <c r="Y281" s="125">
        <f>IF('Quant. mod. (oc)'!Y281&lt;0,0,ROUND('Quant. mod. (oc)'!Y281,0))</f>
        <v>0</v>
      </c>
      <c r="Z281" s="125">
        <f>IF('Quant. mod. (oc)'!Z281&lt;0,0,ROUND('Quant. mod. (oc)'!Z281,0))</f>
        <v>0</v>
      </c>
      <c r="AA281" s="125">
        <f>IF('Quant. mod. (oc)'!AA281&lt;0,0,ROUND('Quant. mod. (oc)'!AA281,0))</f>
        <v>0</v>
      </c>
      <c r="AB281" s="125">
        <f>IF('Quant. mod. (oc)'!AB281&lt;0,0,ROUND('Quant. mod. (oc)'!AB281,0))</f>
        <v>0</v>
      </c>
      <c r="AC281" s="125">
        <f>IF('Quant. mod. (oc)'!AC281&lt;0,0,ROUND('Quant. mod. (oc)'!AC281,0))</f>
        <v>0</v>
      </c>
      <c r="AD281" s="125">
        <f>IF('Quant. mod. (oc)'!AD281&lt;0,0,ROUND('Quant. mod. (oc)'!AD281,0))</f>
        <v>0</v>
      </c>
      <c r="AE281" s="125">
        <f>IF('Quant. mod. (oc)'!AE281&lt;0,0,ROUND('Quant. mod. (oc)'!AE281,0))</f>
        <v>0</v>
      </c>
      <c r="AF281" s="125">
        <f>IF('Quant. mod. (oc)'!AF281&lt;0,0,ROUND('Quant. mod. (oc)'!AF281,0))</f>
        <v>0</v>
      </c>
      <c r="AG281" s="126">
        <f>IF('Quant. mod. (oc)'!AG281&lt;0,0,ROUND('Quant. mod. (oc)'!AG281,0))</f>
        <v>0</v>
      </c>
      <c r="AH281" s="22"/>
    </row>
    <row r="282" spans="1:34" x14ac:dyDescent="0.25">
      <c r="A282" s="112"/>
      <c r="B282" s="120" t="s">
        <v>559</v>
      </c>
      <c r="C282" s="121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8"/>
      <c r="AH282" s="22"/>
    </row>
    <row r="283" spans="1:34" x14ac:dyDescent="0.25">
      <c r="A283" s="112"/>
      <c r="B283" s="69" t="s">
        <v>278</v>
      </c>
      <c r="C283" s="133" t="s">
        <v>59</v>
      </c>
      <c r="D283" s="125">
        <f>IF('Quant. mod. (oc)'!D283&lt;0,0,ROUND('Quant. mod. (oc)'!D283,0))</f>
        <v>1</v>
      </c>
      <c r="E283" s="125">
        <f>IF('Quant. mod. (oc)'!E283&lt;0,0,ROUND('Quant. mod. (oc)'!E283,0))</f>
        <v>1</v>
      </c>
      <c r="F283" s="125">
        <f>IF('Quant. mod. (oc)'!F283&lt;0,0,ROUND('Quant. mod. (oc)'!F283,0))</f>
        <v>1</v>
      </c>
      <c r="G283" s="125">
        <f>IF('Quant. mod. (oc)'!G283&lt;0,0,ROUND('Quant. mod. (oc)'!G283,0))</f>
        <v>1</v>
      </c>
      <c r="H283" s="125">
        <f>IF('Quant. mod. (oc)'!H283&lt;0,0,ROUND('Quant. mod. (oc)'!H283,0))</f>
        <v>1</v>
      </c>
      <c r="I283" s="125">
        <f>IF('Quant. mod. (oc)'!I283&lt;0,0,ROUND('Quant. mod. (oc)'!I283,0))</f>
        <v>1</v>
      </c>
      <c r="J283" s="125">
        <f>IF('Quant. mod. (oc)'!J283&lt;0,0,ROUND('Quant. mod. (oc)'!J283,0))</f>
        <v>1</v>
      </c>
      <c r="K283" s="125">
        <f>IF('Quant. mod. (oc)'!K283&lt;0,0,ROUND('Quant. mod. (oc)'!K283,0))</f>
        <v>1</v>
      </c>
      <c r="L283" s="125">
        <f>IF('Quant. mod. (oc)'!L283&lt;0,0,ROUND('Quant. mod. (oc)'!L283,0))</f>
        <v>1</v>
      </c>
      <c r="M283" s="125">
        <f>IF('Quant. mod. (oc)'!M283&lt;0,0,ROUND('Quant. mod. (oc)'!M283,0))</f>
        <v>1</v>
      </c>
      <c r="N283" s="125">
        <f>IF('Quant. mod. (oc)'!N283&lt;0,0,ROUND('Quant. mod. (oc)'!N283,0))</f>
        <v>1</v>
      </c>
      <c r="O283" s="125">
        <f>IF('Quant. mod. (oc)'!O283&lt;0,0,ROUND('Quant. mod. (oc)'!O283,0))</f>
        <v>1</v>
      </c>
      <c r="P283" s="125">
        <f>IF('Quant. mod. (oc)'!P283&lt;0,0,ROUND('Quant. mod. (oc)'!P283,0))</f>
        <v>1</v>
      </c>
      <c r="Q283" s="125">
        <f>IF('Quant. mod. (oc)'!Q283&lt;0,0,ROUND('Quant. mod. (oc)'!Q283,0))</f>
        <v>1</v>
      </c>
      <c r="R283" s="125">
        <f>IF('Quant. mod. (oc)'!R283&lt;0,0,ROUND('Quant. mod. (oc)'!R283,0))</f>
        <v>1</v>
      </c>
      <c r="S283" s="125">
        <f>IF('Quant. mod. (oc)'!S283&lt;0,0,ROUND('Quant. mod. (oc)'!S283,0))</f>
        <v>1</v>
      </c>
      <c r="T283" s="125">
        <f>IF('Quant. mod. (oc)'!T283&lt;0,0,ROUND('Quant. mod. (oc)'!T283,0))</f>
        <v>1</v>
      </c>
      <c r="U283" s="125">
        <f>IF('Quant. mod. (oc)'!U283&lt;0,0,ROUND('Quant. mod. (oc)'!U283,0))</f>
        <v>1</v>
      </c>
      <c r="V283" s="125">
        <f>IF('Quant. mod. (oc)'!V283&lt;0,0,ROUND('Quant. mod. (oc)'!V283,0))</f>
        <v>1</v>
      </c>
      <c r="W283" s="125">
        <f>IF('Quant. mod. (oc)'!W283&lt;0,0,ROUND('Quant. mod. (oc)'!W283,0))</f>
        <v>1</v>
      </c>
      <c r="X283" s="125">
        <f>IF('Quant. mod. (oc)'!X283&lt;0,0,ROUND('Quant. mod. (oc)'!X283,0))</f>
        <v>1</v>
      </c>
      <c r="Y283" s="125">
        <f>IF('Quant. mod. (oc)'!Y283&lt;0,0,ROUND('Quant. mod. (oc)'!Y283,0))</f>
        <v>1</v>
      </c>
      <c r="Z283" s="125">
        <f>IF('Quant. mod. (oc)'!Z283&lt;0,0,ROUND('Quant. mod. (oc)'!Z283,0))</f>
        <v>1</v>
      </c>
      <c r="AA283" s="125">
        <f>IF('Quant. mod. (oc)'!AA283&lt;0,0,ROUND('Quant. mod. (oc)'!AA283,0))</f>
        <v>1</v>
      </c>
      <c r="AB283" s="125">
        <f>IF('Quant. mod. (oc)'!AB283&lt;0,0,ROUND('Quant. mod. (oc)'!AB283,0))</f>
        <v>1</v>
      </c>
      <c r="AC283" s="125">
        <f>IF('Quant. mod. (oc)'!AC283&lt;0,0,ROUND('Quant. mod. (oc)'!AC283,0))</f>
        <v>1</v>
      </c>
      <c r="AD283" s="125">
        <f>IF('Quant. mod. (oc)'!AD283&lt;0,0,ROUND('Quant. mod. (oc)'!AD283,0))</f>
        <v>1</v>
      </c>
      <c r="AE283" s="125">
        <f>IF('Quant. mod. (oc)'!AE283&lt;0,0,ROUND('Quant. mod. (oc)'!AE283,0))</f>
        <v>1</v>
      </c>
      <c r="AF283" s="125">
        <f>IF('Quant. mod. (oc)'!AF283&lt;0,0,ROUND('Quant. mod. (oc)'!AF283,0))</f>
        <v>1</v>
      </c>
      <c r="AG283" s="126">
        <f>IF('Quant. mod. (oc)'!AG283&lt;0,0,ROUND('Quant. mod. (oc)'!AG283,0))</f>
        <v>1</v>
      </c>
      <c r="AH283" s="22"/>
    </row>
    <row r="284" spans="1:34" x14ac:dyDescent="0.25">
      <c r="A284" s="112"/>
      <c r="B284" s="69" t="s">
        <v>280</v>
      </c>
      <c r="C284" s="133" t="s">
        <v>59</v>
      </c>
      <c r="D284" s="125">
        <f>IF('Quant. mod. (oc)'!D284&lt;0,0,ROUND('Quant. mod. (oc)'!D284,0))</f>
        <v>1</v>
      </c>
      <c r="E284" s="125">
        <f>IF('Quant. mod. (oc)'!E284&lt;0,0,ROUND('Quant. mod. (oc)'!E284,0))</f>
        <v>1</v>
      </c>
      <c r="F284" s="125">
        <f>IF('Quant. mod. (oc)'!F284&lt;0,0,ROUND('Quant. mod. (oc)'!F284,0))</f>
        <v>1</v>
      </c>
      <c r="G284" s="125">
        <f>IF('Quant. mod. (oc)'!G284&lt;0,0,ROUND('Quant. mod. (oc)'!G284,0))</f>
        <v>1</v>
      </c>
      <c r="H284" s="125">
        <f>IF('Quant. mod. (oc)'!H284&lt;0,0,ROUND('Quant. mod. (oc)'!H284,0))</f>
        <v>1</v>
      </c>
      <c r="I284" s="125">
        <f>IF('Quant. mod. (oc)'!I284&lt;0,0,ROUND('Quant. mod. (oc)'!I284,0))</f>
        <v>1</v>
      </c>
      <c r="J284" s="125">
        <f>IF('Quant. mod. (oc)'!J284&lt;0,0,ROUND('Quant. mod. (oc)'!J284,0))</f>
        <v>1</v>
      </c>
      <c r="K284" s="125">
        <f>IF('Quant. mod. (oc)'!K284&lt;0,0,ROUND('Quant. mod. (oc)'!K284,0))</f>
        <v>1</v>
      </c>
      <c r="L284" s="125">
        <f>IF('Quant. mod. (oc)'!L284&lt;0,0,ROUND('Quant. mod. (oc)'!L284,0))</f>
        <v>1</v>
      </c>
      <c r="M284" s="125">
        <f>IF('Quant. mod. (oc)'!M284&lt;0,0,ROUND('Quant. mod. (oc)'!M284,0))</f>
        <v>1</v>
      </c>
      <c r="N284" s="125">
        <f>IF('Quant. mod. (oc)'!N284&lt;0,0,ROUND('Quant. mod. (oc)'!N284,0))</f>
        <v>0</v>
      </c>
      <c r="O284" s="125">
        <f>IF('Quant. mod. (oc)'!O284&lt;0,0,ROUND('Quant. mod. (oc)'!O284,0))</f>
        <v>0</v>
      </c>
      <c r="P284" s="125">
        <f>IF('Quant. mod. (oc)'!P284&lt;0,0,ROUND('Quant. mod. (oc)'!P284,0))</f>
        <v>0</v>
      </c>
      <c r="Q284" s="125">
        <f>IF('Quant. mod. (oc)'!Q284&lt;0,0,ROUND('Quant. mod. (oc)'!Q284,0))</f>
        <v>0</v>
      </c>
      <c r="R284" s="125">
        <f>IF('Quant. mod. (oc)'!R284&lt;0,0,ROUND('Quant. mod. (oc)'!R284,0))</f>
        <v>0</v>
      </c>
      <c r="S284" s="125">
        <f>IF('Quant. mod. (oc)'!S284&lt;0,0,ROUND('Quant. mod. (oc)'!S284,0))</f>
        <v>0</v>
      </c>
      <c r="T284" s="125">
        <f>IF('Quant. mod. (oc)'!T284&lt;0,0,ROUND('Quant. mod. (oc)'!T284,0))</f>
        <v>0</v>
      </c>
      <c r="U284" s="125">
        <f>IF('Quant. mod. (oc)'!U284&lt;0,0,ROUND('Quant. mod. (oc)'!U284,0))</f>
        <v>0</v>
      </c>
      <c r="V284" s="125">
        <f>IF('Quant. mod. (oc)'!V284&lt;0,0,ROUND('Quant. mod. (oc)'!V284,0))</f>
        <v>0</v>
      </c>
      <c r="W284" s="125">
        <f>IF('Quant. mod. (oc)'!W284&lt;0,0,ROUND('Quant. mod. (oc)'!W284,0))</f>
        <v>0</v>
      </c>
      <c r="X284" s="125">
        <f>IF('Quant. mod. (oc)'!X284&lt;0,0,ROUND('Quant. mod. (oc)'!X284,0))</f>
        <v>0</v>
      </c>
      <c r="Y284" s="125">
        <f>IF('Quant. mod. (oc)'!Y284&lt;0,0,ROUND('Quant. mod. (oc)'!Y284,0))</f>
        <v>0</v>
      </c>
      <c r="Z284" s="125">
        <f>IF('Quant. mod. (oc)'!Z284&lt;0,0,ROUND('Quant. mod. (oc)'!Z284,0))</f>
        <v>0</v>
      </c>
      <c r="AA284" s="125">
        <f>IF('Quant. mod. (oc)'!AA284&lt;0,0,ROUND('Quant. mod. (oc)'!AA284,0))</f>
        <v>0</v>
      </c>
      <c r="AB284" s="125">
        <f>IF('Quant. mod. (oc)'!AB284&lt;0,0,ROUND('Quant. mod. (oc)'!AB284,0))</f>
        <v>0</v>
      </c>
      <c r="AC284" s="125">
        <f>IF('Quant. mod. (oc)'!AC284&lt;0,0,ROUND('Quant. mod. (oc)'!AC284,0))</f>
        <v>0</v>
      </c>
      <c r="AD284" s="125">
        <f>IF('Quant. mod. (oc)'!AD284&lt;0,0,ROUND('Quant. mod. (oc)'!AD284,0))</f>
        <v>0</v>
      </c>
      <c r="AE284" s="125">
        <f>IF('Quant. mod. (oc)'!AE284&lt;0,0,ROUND('Quant. mod. (oc)'!AE284,0))</f>
        <v>0</v>
      </c>
      <c r="AF284" s="125">
        <f>IF('Quant. mod. (oc)'!AF284&lt;0,0,ROUND('Quant. mod. (oc)'!AF284,0))</f>
        <v>0</v>
      </c>
      <c r="AG284" s="126">
        <f>IF('Quant. mod. (oc)'!AG284&lt;0,0,ROUND('Quant. mod. (oc)'!AG284,0))</f>
        <v>0</v>
      </c>
      <c r="AH284" s="22"/>
    </row>
    <row r="285" spans="1:34" x14ac:dyDescent="0.25">
      <c r="A285" s="112"/>
      <c r="B285" s="69" t="s">
        <v>281</v>
      </c>
      <c r="C285" s="133" t="s">
        <v>59</v>
      </c>
      <c r="D285" s="125">
        <f>IF('Quant. mod. (oc)'!D285&lt;0,0,ROUND('Quant. mod. (oc)'!D285,0))</f>
        <v>0</v>
      </c>
      <c r="E285" s="125">
        <f>IF('Quant. mod. (oc)'!E285&lt;0,0,ROUND('Quant. mod. (oc)'!E285,0))</f>
        <v>0</v>
      </c>
      <c r="F285" s="125">
        <f>IF('Quant. mod. (oc)'!F285&lt;0,0,ROUND('Quant. mod. (oc)'!F285,0))</f>
        <v>0</v>
      </c>
      <c r="G285" s="125">
        <f>IF('Quant. mod. (oc)'!G285&lt;0,0,ROUND('Quant. mod. (oc)'!G285,0))</f>
        <v>0</v>
      </c>
      <c r="H285" s="125">
        <f>IF('Quant. mod. (oc)'!H285&lt;0,0,ROUND('Quant. mod. (oc)'!H285,0))</f>
        <v>0</v>
      </c>
      <c r="I285" s="125">
        <f>IF('Quant. mod. (oc)'!I285&lt;0,0,ROUND('Quant. mod. (oc)'!I285,0))</f>
        <v>0</v>
      </c>
      <c r="J285" s="125">
        <f>IF('Quant. mod. (oc)'!J285&lt;0,0,ROUND('Quant. mod. (oc)'!J285,0))</f>
        <v>0</v>
      </c>
      <c r="K285" s="125">
        <f>IF('Quant. mod. (oc)'!K285&lt;0,0,ROUND('Quant. mod. (oc)'!K285,0))</f>
        <v>0</v>
      </c>
      <c r="L285" s="125">
        <f>IF('Quant. mod. (oc)'!L285&lt;0,0,ROUND('Quant. mod. (oc)'!L285,0))</f>
        <v>0</v>
      </c>
      <c r="M285" s="125">
        <f>IF('Quant. mod. (oc)'!M285&lt;0,0,ROUND('Quant. mod. (oc)'!M285,0))</f>
        <v>0</v>
      </c>
      <c r="N285" s="125">
        <f>IF('Quant. mod. (oc)'!N285&lt;0,0,ROUND('Quant. mod. (oc)'!N285,0))</f>
        <v>2</v>
      </c>
      <c r="O285" s="125">
        <f>IF('Quant. mod. (oc)'!O285&lt;0,0,ROUND('Quant. mod. (oc)'!O285,0))</f>
        <v>2</v>
      </c>
      <c r="P285" s="125">
        <f>IF('Quant. mod. (oc)'!P285&lt;0,0,ROUND('Quant. mod. (oc)'!P285,0))</f>
        <v>2</v>
      </c>
      <c r="Q285" s="125">
        <f>IF('Quant. mod. (oc)'!Q285&lt;0,0,ROUND('Quant. mod. (oc)'!Q285,0))</f>
        <v>2</v>
      </c>
      <c r="R285" s="125">
        <f>IF('Quant. mod. (oc)'!R285&lt;0,0,ROUND('Quant. mod. (oc)'!R285,0))</f>
        <v>2</v>
      </c>
      <c r="S285" s="125">
        <f>IF('Quant. mod. (oc)'!S285&lt;0,0,ROUND('Quant. mod. (oc)'!S285,0))</f>
        <v>2</v>
      </c>
      <c r="T285" s="125">
        <f>IF('Quant. mod. (oc)'!T285&lt;0,0,ROUND('Quant. mod. (oc)'!T285,0))</f>
        <v>2</v>
      </c>
      <c r="U285" s="125">
        <f>IF('Quant. mod. (oc)'!U285&lt;0,0,ROUND('Quant. mod. (oc)'!U285,0))</f>
        <v>2</v>
      </c>
      <c r="V285" s="125">
        <f>IF('Quant. mod. (oc)'!V285&lt;0,0,ROUND('Quant. mod. (oc)'!V285,0))</f>
        <v>2</v>
      </c>
      <c r="W285" s="125">
        <f>IF('Quant. mod. (oc)'!W285&lt;0,0,ROUND('Quant. mod. (oc)'!W285,0))</f>
        <v>2</v>
      </c>
      <c r="X285" s="125">
        <f>IF('Quant. mod. (oc)'!X285&lt;0,0,ROUND('Quant. mod. (oc)'!X285,0))</f>
        <v>0</v>
      </c>
      <c r="Y285" s="125">
        <f>IF('Quant. mod. (oc)'!Y285&lt;0,0,ROUND('Quant. mod. (oc)'!Y285,0))</f>
        <v>0</v>
      </c>
      <c r="Z285" s="125">
        <f>IF('Quant. mod. (oc)'!Z285&lt;0,0,ROUND('Quant. mod. (oc)'!Z285,0))</f>
        <v>0</v>
      </c>
      <c r="AA285" s="125">
        <f>IF('Quant. mod. (oc)'!AA285&lt;0,0,ROUND('Quant. mod. (oc)'!AA285,0))</f>
        <v>0</v>
      </c>
      <c r="AB285" s="125">
        <f>IF('Quant. mod. (oc)'!AB285&lt;0,0,ROUND('Quant. mod. (oc)'!AB285,0))</f>
        <v>0</v>
      </c>
      <c r="AC285" s="125">
        <f>IF('Quant. mod. (oc)'!AC285&lt;0,0,ROUND('Quant. mod. (oc)'!AC285,0))</f>
        <v>0</v>
      </c>
      <c r="AD285" s="125">
        <f>IF('Quant. mod. (oc)'!AD285&lt;0,0,ROUND('Quant. mod. (oc)'!AD285,0))</f>
        <v>0</v>
      </c>
      <c r="AE285" s="125">
        <f>IF('Quant. mod. (oc)'!AE285&lt;0,0,ROUND('Quant. mod. (oc)'!AE285,0))</f>
        <v>0</v>
      </c>
      <c r="AF285" s="125">
        <f>IF('Quant. mod. (oc)'!AF285&lt;0,0,ROUND('Quant. mod. (oc)'!AF285,0))</f>
        <v>0</v>
      </c>
      <c r="AG285" s="126">
        <f>IF('Quant. mod. (oc)'!AG285&lt;0,0,ROUND('Quant. mod. (oc)'!AG285,0))</f>
        <v>0</v>
      </c>
      <c r="AH285" s="22"/>
    </row>
    <row r="286" spans="1:34" x14ac:dyDescent="0.25">
      <c r="A286" s="112"/>
      <c r="B286" s="69" t="s">
        <v>282</v>
      </c>
      <c r="C286" s="133" t="s">
        <v>59</v>
      </c>
      <c r="D286" s="125">
        <f>IF('Quant. mod. (oc)'!D286&lt;0,0,ROUND('Quant. mod. (oc)'!D286,0))</f>
        <v>0</v>
      </c>
      <c r="E286" s="125">
        <f>IF('Quant. mod. (oc)'!E286&lt;0,0,ROUND('Quant. mod. (oc)'!E286,0))</f>
        <v>0</v>
      </c>
      <c r="F286" s="125">
        <f>IF('Quant. mod. (oc)'!F286&lt;0,0,ROUND('Quant. mod. (oc)'!F286,0))</f>
        <v>0</v>
      </c>
      <c r="G286" s="125">
        <f>IF('Quant. mod. (oc)'!G286&lt;0,0,ROUND('Quant. mod. (oc)'!G286,0))</f>
        <v>0</v>
      </c>
      <c r="H286" s="125">
        <f>IF('Quant. mod. (oc)'!H286&lt;0,0,ROUND('Quant. mod. (oc)'!H286,0))</f>
        <v>0</v>
      </c>
      <c r="I286" s="125">
        <f>IF('Quant. mod. (oc)'!I286&lt;0,0,ROUND('Quant. mod. (oc)'!I286,0))</f>
        <v>0</v>
      </c>
      <c r="J286" s="125">
        <f>IF('Quant. mod. (oc)'!J286&lt;0,0,ROUND('Quant. mod. (oc)'!J286,0))</f>
        <v>0</v>
      </c>
      <c r="K286" s="125">
        <f>IF('Quant. mod. (oc)'!K286&lt;0,0,ROUND('Quant. mod. (oc)'!K286,0))</f>
        <v>0</v>
      </c>
      <c r="L286" s="125">
        <f>IF('Quant. mod. (oc)'!L286&lt;0,0,ROUND('Quant. mod. (oc)'!L286,0))</f>
        <v>0</v>
      </c>
      <c r="M286" s="125">
        <f>IF('Quant. mod. (oc)'!M286&lt;0,0,ROUND('Quant. mod. (oc)'!M286,0))</f>
        <v>0</v>
      </c>
      <c r="N286" s="125">
        <f>IF('Quant. mod. (oc)'!N286&lt;0,0,ROUND('Quant. mod. (oc)'!N286,0))</f>
        <v>0</v>
      </c>
      <c r="O286" s="125">
        <f>IF('Quant. mod. (oc)'!O286&lt;0,0,ROUND('Quant. mod. (oc)'!O286,0))</f>
        <v>0</v>
      </c>
      <c r="P286" s="125">
        <f>IF('Quant. mod. (oc)'!P286&lt;0,0,ROUND('Quant. mod. (oc)'!P286,0))</f>
        <v>0</v>
      </c>
      <c r="Q286" s="125">
        <f>IF('Quant. mod. (oc)'!Q286&lt;0,0,ROUND('Quant. mod. (oc)'!Q286,0))</f>
        <v>0</v>
      </c>
      <c r="R286" s="125">
        <f>IF('Quant. mod. (oc)'!R286&lt;0,0,ROUND('Quant. mod. (oc)'!R286,0))</f>
        <v>0</v>
      </c>
      <c r="S286" s="125">
        <f>IF('Quant. mod. (oc)'!S286&lt;0,0,ROUND('Quant. mod. (oc)'!S286,0))</f>
        <v>0</v>
      </c>
      <c r="T286" s="125">
        <f>IF('Quant. mod. (oc)'!T286&lt;0,0,ROUND('Quant. mod. (oc)'!T286,0))</f>
        <v>0</v>
      </c>
      <c r="U286" s="125">
        <f>IF('Quant. mod. (oc)'!U286&lt;0,0,ROUND('Quant. mod. (oc)'!U286,0))</f>
        <v>0</v>
      </c>
      <c r="V286" s="125">
        <f>IF('Quant. mod. (oc)'!V286&lt;0,0,ROUND('Quant. mod. (oc)'!V286,0))</f>
        <v>0</v>
      </c>
      <c r="W286" s="125">
        <f>IF('Quant. mod. (oc)'!W286&lt;0,0,ROUND('Quant. mod. (oc)'!W286,0))</f>
        <v>0</v>
      </c>
      <c r="X286" s="125">
        <f>IF('Quant. mod. (oc)'!X286&lt;0,0,ROUND('Quant. mod. (oc)'!X286,0))</f>
        <v>1</v>
      </c>
      <c r="Y286" s="125">
        <f>IF('Quant. mod. (oc)'!Y286&lt;0,0,ROUND('Quant. mod. (oc)'!Y286,0))</f>
        <v>1</v>
      </c>
      <c r="Z286" s="125">
        <f>IF('Quant. mod. (oc)'!Z286&lt;0,0,ROUND('Quant. mod. (oc)'!Z286,0))</f>
        <v>1</v>
      </c>
      <c r="AA286" s="125">
        <f>IF('Quant. mod. (oc)'!AA286&lt;0,0,ROUND('Quant. mod. (oc)'!AA286,0))</f>
        <v>1</v>
      </c>
      <c r="AB286" s="125">
        <f>IF('Quant. mod. (oc)'!AB286&lt;0,0,ROUND('Quant. mod. (oc)'!AB286,0))</f>
        <v>1</v>
      </c>
      <c r="AC286" s="125">
        <f>IF('Quant. mod. (oc)'!AC286&lt;0,0,ROUND('Quant. mod. (oc)'!AC286,0))</f>
        <v>1</v>
      </c>
      <c r="AD286" s="125">
        <f>IF('Quant. mod. (oc)'!AD286&lt;0,0,ROUND('Quant. mod. (oc)'!AD286,0))</f>
        <v>1</v>
      </c>
      <c r="AE286" s="125">
        <f>IF('Quant. mod. (oc)'!AE286&lt;0,0,ROUND('Quant. mod. (oc)'!AE286,0))</f>
        <v>1</v>
      </c>
      <c r="AF286" s="125">
        <f>IF('Quant. mod. (oc)'!AF286&lt;0,0,ROUND('Quant. mod. (oc)'!AF286,0))</f>
        <v>1</v>
      </c>
      <c r="AG286" s="126">
        <f>IF('Quant. mod. (oc)'!AG286&lt;0,0,ROUND('Quant. mod. (oc)'!AG286,0))</f>
        <v>1</v>
      </c>
      <c r="AH286" s="22"/>
    </row>
    <row r="287" spans="1:34" x14ac:dyDescent="0.25">
      <c r="A287" s="112"/>
      <c r="B287" s="120" t="s">
        <v>560</v>
      </c>
      <c r="C287" s="121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8"/>
      <c r="AH287" s="22"/>
    </row>
    <row r="288" spans="1:34" x14ac:dyDescent="0.25">
      <c r="A288" s="112"/>
      <c r="B288" s="69" t="s">
        <v>284</v>
      </c>
      <c r="C288" s="133" t="s">
        <v>59</v>
      </c>
      <c r="D288" s="125">
        <f>IF('Quant. mod. (oc)'!D288&lt;0,0,ROUND('Quant. mod. (oc)'!D288,0))</f>
        <v>1</v>
      </c>
      <c r="E288" s="125">
        <f>IF('Quant. mod. (oc)'!E288&lt;0,0,ROUND('Quant. mod. (oc)'!E288,0))</f>
        <v>1</v>
      </c>
      <c r="F288" s="125">
        <f>IF('Quant. mod. (oc)'!F288&lt;0,0,ROUND('Quant. mod. (oc)'!F288,0))</f>
        <v>1</v>
      </c>
      <c r="G288" s="125">
        <f>IF('Quant. mod. (oc)'!G288&lt;0,0,ROUND('Quant. mod. (oc)'!G288,0))</f>
        <v>1</v>
      </c>
      <c r="H288" s="125">
        <f>IF('Quant. mod. (oc)'!H288&lt;0,0,ROUND('Quant. mod. (oc)'!H288,0))</f>
        <v>1</v>
      </c>
      <c r="I288" s="125">
        <f>IF('Quant. mod. (oc)'!I288&lt;0,0,ROUND('Quant. mod. (oc)'!I288,0))</f>
        <v>1</v>
      </c>
      <c r="J288" s="125">
        <f>IF('Quant. mod. (oc)'!J288&lt;0,0,ROUND('Quant. mod. (oc)'!J288,0))</f>
        <v>1</v>
      </c>
      <c r="K288" s="125">
        <f>IF('Quant. mod. (oc)'!K288&lt;0,0,ROUND('Quant. mod. (oc)'!K288,0))</f>
        <v>1</v>
      </c>
      <c r="L288" s="125">
        <f>IF('Quant. mod. (oc)'!L288&lt;0,0,ROUND('Quant. mod. (oc)'!L288,0))</f>
        <v>1</v>
      </c>
      <c r="M288" s="125">
        <f>IF('Quant. mod. (oc)'!M288&lt;0,0,ROUND('Quant. mod. (oc)'!M288,0))</f>
        <v>1</v>
      </c>
      <c r="N288" s="125">
        <f>IF('Quant. mod. (oc)'!N288&lt;0,0,ROUND('Quant. mod. (oc)'!N288,0))</f>
        <v>1</v>
      </c>
      <c r="O288" s="125">
        <f>IF('Quant. mod. (oc)'!O288&lt;0,0,ROUND('Quant. mod. (oc)'!O288,0))</f>
        <v>1</v>
      </c>
      <c r="P288" s="125">
        <f>IF('Quant. mod. (oc)'!P288&lt;0,0,ROUND('Quant. mod. (oc)'!P288,0))</f>
        <v>1</v>
      </c>
      <c r="Q288" s="125">
        <f>IF('Quant. mod. (oc)'!Q288&lt;0,0,ROUND('Quant. mod. (oc)'!Q288,0))</f>
        <v>1</v>
      </c>
      <c r="R288" s="125">
        <f>IF('Quant. mod. (oc)'!R288&lt;0,0,ROUND('Quant. mod. (oc)'!R288,0))</f>
        <v>1</v>
      </c>
      <c r="S288" s="125">
        <f>IF('Quant. mod. (oc)'!S288&lt;0,0,ROUND('Quant. mod. (oc)'!S288,0))</f>
        <v>1</v>
      </c>
      <c r="T288" s="125">
        <f>IF('Quant. mod. (oc)'!T288&lt;0,0,ROUND('Quant. mod. (oc)'!T288,0))</f>
        <v>1</v>
      </c>
      <c r="U288" s="125">
        <f>IF('Quant. mod. (oc)'!U288&lt;0,0,ROUND('Quant. mod. (oc)'!U288,0))</f>
        <v>1</v>
      </c>
      <c r="V288" s="125">
        <f>IF('Quant. mod. (oc)'!V288&lt;0,0,ROUND('Quant. mod. (oc)'!V288,0))</f>
        <v>1</v>
      </c>
      <c r="W288" s="125">
        <f>IF('Quant. mod. (oc)'!W288&lt;0,0,ROUND('Quant. mod. (oc)'!W288,0))</f>
        <v>1</v>
      </c>
      <c r="X288" s="125">
        <f>IF('Quant. mod. (oc)'!X288&lt;0,0,ROUND('Quant. mod. (oc)'!X288,0))</f>
        <v>1</v>
      </c>
      <c r="Y288" s="125">
        <f>IF('Quant. mod. (oc)'!Y288&lt;0,0,ROUND('Quant. mod. (oc)'!Y288,0))</f>
        <v>1</v>
      </c>
      <c r="Z288" s="125">
        <f>IF('Quant. mod. (oc)'!Z288&lt;0,0,ROUND('Quant. mod. (oc)'!Z288,0))</f>
        <v>1</v>
      </c>
      <c r="AA288" s="125">
        <f>IF('Quant. mod. (oc)'!AA288&lt;0,0,ROUND('Quant. mod. (oc)'!AA288,0))</f>
        <v>1</v>
      </c>
      <c r="AB288" s="125">
        <f>IF('Quant. mod. (oc)'!AB288&lt;0,0,ROUND('Quant. mod. (oc)'!AB288,0))</f>
        <v>1</v>
      </c>
      <c r="AC288" s="125">
        <f>IF('Quant. mod. (oc)'!AC288&lt;0,0,ROUND('Quant. mod. (oc)'!AC288,0))</f>
        <v>1</v>
      </c>
      <c r="AD288" s="125">
        <f>IF('Quant. mod. (oc)'!AD288&lt;0,0,ROUND('Quant. mod. (oc)'!AD288,0))</f>
        <v>1</v>
      </c>
      <c r="AE288" s="125">
        <f>IF('Quant. mod. (oc)'!AE288&lt;0,0,ROUND('Quant. mod. (oc)'!AE288,0))</f>
        <v>1</v>
      </c>
      <c r="AF288" s="125">
        <f>IF('Quant. mod. (oc)'!AF288&lt;0,0,ROUND('Quant. mod. (oc)'!AF288,0))</f>
        <v>1</v>
      </c>
      <c r="AG288" s="126">
        <f>IF('Quant. mod. (oc)'!AG288&lt;0,0,ROUND('Quant. mod. (oc)'!AG288,0))</f>
        <v>1</v>
      </c>
      <c r="AH288" s="22"/>
    </row>
    <row r="289" spans="1:34" x14ac:dyDescent="0.25">
      <c r="A289" s="112"/>
      <c r="B289" s="69" t="s">
        <v>285</v>
      </c>
      <c r="C289" s="133" t="s">
        <v>59</v>
      </c>
      <c r="D289" s="125">
        <f>IF('Quant. mod. (oc)'!D289&lt;0,0,ROUND('Quant. mod. (oc)'!D289,0))</f>
        <v>1</v>
      </c>
      <c r="E289" s="125">
        <f>IF('Quant. mod. (oc)'!E289&lt;0,0,ROUND('Quant. mod. (oc)'!E289,0))</f>
        <v>1</v>
      </c>
      <c r="F289" s="125">
        <f>IF('Quant. mod. (oc)'!F289&lt;0,0,ROUND('Quant. mod. (oc)'!F289,0))</f>
        <v>1</v>
      </c>
      <c r="G289" s="125">
        <f>IF('Quant. mod. (oc)'!G289&lt;0,0,ROUND('Quant. mod. (oc)'!G289,0))</f>
        <v>1</v>
      </c>
      <c r="H289" s="125">
        <f>IF('Quant. mod. (oc)'!H289&lt;0,0,ROUND('Quant. mod. (oc)'!H289,0))</f>
        <v>1</v>
      </c>
      <c r="I289" s="125">
        <f>IF('Quant. mod. (oc)'!I289&lt;0,0,ROUND('Quant. mod. (oc)'!I289,0))</f>
        <v>1</v>
      </c>
      <c r="J289" s="125">
        <f>IF('Quant. mod. (oc)'!J289&lt;0,0,ROUND('Quant. mod. (oc)'!J289,0))</f>
        <v>1</v>
      </c>
      <c r="K289" s="125">
        <f>IF('Quant. mod. (oc)'!K289&lt;0,0,ROUND('Quant. mod. (oc)'!K289,0))</f>
        <v>1</v>
      </c>
      <c r="L289" s="125">
        <f>IF('Quant. mod. (oc)'!L289&lt;0,0,ROUND('Quant. mod. (oc)'!L289,0))</f>
        <v>1</v>
      </c>
      <c r="M289" s="125">
        <f>IF('Quant. mod. (oc)'!M289&lt;0,0,ROUND('Quant. mod. (oc)'!M289,0))</f>
        <v>1</v>
      </c>
      <c r="N289" s="125">
        <f>IF('Quant. mod. (oc)'!N289&lt;0,0,ROUND('Quant. mod. (oc)'!N289,0))</f>
        <v>1</v>
      </c>
      <c r="O289" s="125">
        <f>IF('Quant. mod. (oc)'!O289&lt;0,0,ROUND('Quant. mod. (oc)'!O289,0))</f>
        <v>1</v>
      </c>
      <c r="P289" s="125">
        <f>IF('Quant. mod. (oc)'!P289&lt;0,0,ROUND('Quant. mod. (oc)'!P289,0))</f>
        <v>1</v>
      </c>
      <c r="Q289" s="125">
        <f>IF('Quant. mod. (oc)'!Q289&lt;0,0,ROUND('Quant. mod. (oc)'!Q289,0))</f>
        <v>1</v>
      </c>
      <c r="R289" s="125">
        <f>IF('Quant. mod. (oc)'!R289&lt;0,0,ROUND('Quant. mod. (oc)'!R289,0))</f>
        <v>1</v>
      </c>
      <c r="S289" s="125">
        <f>IF('Quant. mod. (oc)'!S289&lt;0,0,ROUND('Quant. mod. (oc)'!S289,0))</f>
        <v>1</v>
      </c>
      <c r="T289" s="125">
        <f>IF('Quant. mod. (oc)'!T289&lt;0,0,ROUND('Quant. mod. (oc)'!T289,0))</f>
        <v>1</v>
      </c>
      <c r="U289" s="125">
        <f>IF('Quant. mod. (oc)'!U289&lt;0,0,ROUND('Quant. mod. (oc)'!U289,0))</f>
        <v>1</v>
      </c>
      <c r="V289" s="125">
        <f>IF('Quant. mod. (oc)'!V289&lt;0,0,ROUND('Quant. mod. (oc)'!V289,0))</f>
        <v>1</v>
      </c>
      <c r="W289" s="125">
        <f>IF('Quant. mod. (oc)'!W289&lt;0,0,ROUND('Quant. mod. (oc)'!W289,0))</f>
        <v>1</v>
      </c>
      <c r="X289" s="125">
        <f>IF('Quant. mod. (oc)'!X289&lt;0,0,ROUND('Quant. mod. (oc)'!X289,0))</f>
        <v>1</v>
      </c>
      <c r="Y289" s="125">
        <f>IF('Quant. mod. (oc)'!Y289&lt;0,0,ROUND('Quant. mod. (oc)'!Y289,0))</f>
        <v>1</v>
      </c>
      <c r="Z289" s="125">
        <f>IF('Quant. mod. (oc)'!Z289&lt;0,0,ROUND('Quant. mod. (oc)'!Z289,0))</f>
        <v>1</v>
      </c>
      <c r="AA289" s="125">
        <f>IF('Quant. mod. (oc)'!AA289&lt;0,0,ROUND('Quant. mod. (oc)'!AA289,0))</f>
        <v>1</v>
      </c>
      <c r="AB289" s="125">
        <f>IF('Quant. mod. (oc)'!AB289&lt;0,0,ROUND('Quant. mod. (oc)'!AB289,0))</f>
        <v>1</v>
      </c>
      <c r="AC289" s="125">
        <f>IF('Quant. mod. (oc)'!AC289&lt;0,0,ROUND('Quant. mod. (oc)'!AC289,0))</f>
        <v>1</v>
      </c>
      <c r="AD289" s="125">
        <f>IF('Quant. mod. (oc)'!AD289&lt;0,0,ROUND('Quant. mod. (oc)'!AD289,0))</f>
        <v>1</v>
      </c>
      <c r="AE289" s="125">
        <f>IF('Quant. mod. (oc)'!AE289&lt;0,0,ROUND('Quant. mod. (oc)'!AE289,0))</f>
        <v>1</v>
      </c>
      <c r="AF289" s="125">
        <f>IF('Quant. mod. (oc)'!AF289&lt;0,0,ROUND('Quant. mod. (oc)'!AF289,0))</f>
        <v>1</v>
      </c>
      <c r="AG289" s="126">
        <f>IF('Quant. mod. (oc)'!AG289&lt;0,0,ROUND('Quant. mod. (oc)'!AG289,0))</f>
        <v>1</v>
      </c>
      <c r="AH289" s="22"/>
    </row>
    <row r="290" spans="1:34" x14ac:dyDescent="0.25">
      <c r="A290" s="112"/>
      <c r="B290" s="69" t="s">
        <v>286</v>
      </c>
      <c r="C290" s="133" t="s">
        <v>59</v>
      </c>
      <c r="D290" s="125">
        <f>IF('Quant. mod. (oc)'!D290&lt;0,0,ROUND('Quant. mod. (oc)'!D290,0))</f>
        <v>0</v>
      </c>
      <c r="E290" s="125">
        <f>IF('Quant. mod. (oc)'!E290&lt;0,0,ROUND('Quant. mod. (oc)'!E290,0))</f>
        <v>0</v>
      </c>
      <c r="F290" s="125">
        <f>IF('Quant. mod. (oc)'!F290&lt;0,0,ROUND('Quant. mod. (oc)'!F290,0))</f>
        <v>0</v>
      </c>
      <c r="G290" s="125">
        <f>IF('Quant. mod. (oc)'!G290&lt;0,0,ROUND('Quant. mod. (oc)'!G290,0))</f>
        <v>0</v>
      </c>
      <c r="H290" s="125">
        <f>IF('Quant. mod. (oc)'!H290&lt;0,0,ROUND('Quant. mod. (oc)'!H290,0))</f>
        <v>0</v>
      </c>
      <c r="I290" s="125">
        <f>IF('Quant. mod. (oc)'!I290&lt;0,0,ROUND('Quant. mod. (oc)'!I290,0))</f>
        <v>0</v>
      </c>
      <c r="J290" s="125">
        <f>IF('Quant. mod. (oc)'!J290&lt;0,0,ROUND('Quant. mod. (oc)'!J290,0))</f>
        <v>0</v>
      </c>
      <c r="K290" s="125">
        <f>IF('Quant. mod. (oc)'!K290&lt;0,0,ROUND('Quant. mod. (oc)'!K290,0))</f>
        <v>0</v>
      </c>
      <c r="L290" s="125">
        <f>IF('Quant. mod. (oc)'!L290&lt;0,0,ROUND('Quant. mod. (oc)'!L290,0))</f>
        <v>0</v>
      </c>
      <c r="M290" s="125">
        <f>IF('Quant. mod. (oc)'!M290&lt;0,0,ROUND('Quant. mod. (oc)'!M290,0))</f>
        <v>0</v>
      </c>
      <c r="N290" s="125">
        <f>IF('Quant. mod. (oc)'!N290&lt;0,0,ROUND('Quant. mod. (oc)'!N290,0))</f>
        <v>0</v>
      </c>
      <c r="O290" s="125">
        <f>IF('Quant. mod. (oc)'!O290&lt;0,0,ROUND('Quant. mod. (oc)'!O290,0))</f>
        <v>0</v>
      </c>
      <c r="P290" s="125">
        <f>IF('Quant. mod. (oc)'!P290&lt;0,0,ROUND('Quant. mod. (oc)'!P290,0))</f>
        <v>0</v>
      </c>
      <c r="Q290" s="125">
        <f>IF('Quant. mod. (oc)'!Q290&lt;0,0,ROUND('Quant. mod. (oc)'!Q290,0))</f>
        <v>0</v>
      </c>
      <c r="R290" s="125">
        <f>IF('Quant. mod. (oc)'!R290&lt;0,0,ROUND('Quant. mod. (oc)'!R290,0))</f>
        <v>0</v>
      </c>
      <c r="S290" s="125">
        <f>IF('Quant. mod. (oc)'!S290&lt;0,0,ROUND('Quant. mod. (oc)'!S290,0))</f>
        <v>0</v>
      </c>
      <c r="T290" s="125">
        <f>IF('Quant. mod. (oc)'!T290&lt;0,0,ROUND('Quant. mod. (oc)'!T290,0))</f>
        <v>0</v>
      </c>
      <c r="U290" s="125">
        <f>IF('Quant. mod. (oc)'!U290&lt;0,0,ROUND('Quant. mod. (oc)'!U290,0))</f>
        <v>0</v>
      </c>
      <c r="V290" s="125">
        <f>IF('Quant. mod. (oc)'!V290&lt;0,0,ROUND('Quant. mod. (oc)'!V290,0))</f>
        <v>0</v>
      </c>
      <c r="W290" s="125">
        <f>IF('Quant. mod. (oc)'!W290&lt;0,0,ROUND('Quant. mod. (oc)'!W290,0))</f>
        <v>0</v>
      </c>
      <c r="X290" s="125">
        <f>IF('Quant. mod. (oc)'!X290&lt;0,0,ROUND('Quant. mod. (oc)'!X290,0))</f>
        <v>1</v>
      </c>
      <c r="Y290" s="125">
        <f>IF('Quant. mod. (oc)'!Y290&lt;0,0,ROUND('Quant. mod. (oc)'!Y290,0))</f>
        <v>1</v>
      </c>
      <c r="Z290" s="125">
        <f>IF('Quant. mod. (oc)'!Z290&lt;0,0,ROUND('Quant. mod. (oc)'!Z290,0))</f>
        <v>1</v>
      </c>
      <c r="AA290" s="125">
        <f>IF('Quant. mod. (oc)'!AA290&lt;0,0,ROUND('Quant. mod. (oc)'!AA290,0))</f>
        <v>1</v>
      </c>
      <c r="AB290" s="125">
        <f>IF('Quant. mod. (oc)'!AB290&lt;0,0,ROUND('Quant. mod. (oc)'!AB290,0))</f>
        <v>1</v>
      </c>
      <c r="AC290" s="125">
        <f>IF('Quant. mod. (oc)'!AC290&lt;0,0,ROUND('Quant. mod. (oc)'!AC290,0))</f>
        <v>1</v>
      </c>
      <c r="AD290" s="125">
        <f>IF('Quant. mod. (oc)'!AD290&lt;0,0,ROUND('Quant. mod. (oc)'!AD290,0))</f>
        <v>1</v>
      </c>
      <c r="AE290" s="125">
        <f>IF('Quant. mod. (oc)'!AE290&lt;0,0,ROUND('Quant. mod. (oc)'!AE290,0))</f>
        <v>1</v>
      </c>
      <c r="AF290" s="125">
        <f>IF('Quant. mod. (oc)'!AF290&lt;0,0,ROUND('Quant. mod. (oc)'!AF290,0))</f>
        <v>1</v>
      </c>
      <c r="AG290" s="126">
        <f>IF('Quant. mod. (oc)'!AG290&lt;0,0,ROUND('Quant. mod. (oc)'!AG290,0))</f>
        <v>1</v>
      </c>
      <c r="AH290" s="22"/>
    </row>
    <row r="291" spans="1:34" x14ac:dyDescent="0.25">
      <c r="A291" s="112"/>
      <c r="B291" s="69" t="s">
        <v>287</v>
      </c>
      <c r="C291" s="133" t="s">
        <v>59</v>
      </c>
      <c r="D291" s="125">
        <f>IF('Quant. mod. (oc)'!D291&lt;0,0,ROUND('Quant. mod. (oc)'!D291,0))</f>
        <v>1</v>
      </c>
      <c r="E291" s="125">
        <f>IF('Quant. mod. (oc)'!E291&lt;0,0,ROUND('Quant. mod. (oc)'!E291,0))</f>
        <v>1</v>
      </c>
      <c r="F291" s="125">
        <f>IF('Quant. mod. (oc)'!F291&lt;0,0,ROUND('Quant. mod. (oc)'!F291,0))</f>
        <v>1</v>
      </c>
      <c r="G291" s="125">
        <f>IF('Quant. mod. (oc)'!G291&lt;0,0,ROUND('Quant. mod. (oc)'!G291,0))</f>
        <v>1</v>
      </c>
      <c r="H291" s="125">
        <f>IF('Quant. mod. (oc)'!H291&lt;0,0,ROUND('Quant. mod. (oc)'!H291,0))</f>
        <v>1</v>
      </c>
      <c r="I291" s="125">
        <f>IF('Quant. mod. (oc)'!I291&lt;0,0,ROUND('Quant. mod. (oc)'!I291,0))</f>
        <v>1</v>
      </c>
      <c r="J291" s="125">
        <f>IF('Quant. mod. (oc)'!J291&lt;0,0,ROUND('Quant. mod. (oc)'!J291,0))</f>
        <v>1</v>
      </c>
      <c r="K291" s="125">
        <f>IF('Quant. mod. (oc)'!K291&lt;0,0,ROUND('Quant. mod. (oc)'!K291,0))</f>
        <v>1</v>
      </c>
      <c r="L291" s="125">
        <f>IF('Quant. mod. (oc)'!L291&lt;0,0,ROUND('Quant. mod. (oc)'!L291,0))</f>
        <v>1</v>
      </c>
      <c r="M291" s="125">
        <f>IF('Quant. mod. (oc)'!M291&lt;0,0,ROUND('Quant. mod. (oc)'!M291,0))</f>
        <v>1</v>
      </c>
      <c r="N291" s="125">
        <f>IF('Quant. mod. (oc)'!N291&lt;0,0,ROUND('Quant. mod. (oc)'!N291,0))</f>
        <v>1</v>
      </c>
      <c r="O291" s="125">
        <f>IF('Quant. mod. (oc)'!O291&lt;0,0,ROUND('Quant. mod. (oc)'!O291,0))</f>
        <v>1</v>
      </c>
      <c r="P291" s="125">
        <f>IF('Quant. mod. (oc)'!P291&lt;0,0,ROUND('Quant. mod. (oc)'!P291,0))</f>
        <v>1</v>
      </c>
      <c r="Q291" s="125">
        <f>IF('Quant. mod. (oc)'!Q291&lt;0,0,ROUND('Quant. mod. (oc)'!Q291,0))</f>
        <v>1</v>
      </c>
      <c r="R291" s="125">
        <f>IF('Quant. mod. (oc)'!R291&lt;0,0,ROUND('Quant. mod. (oc)'!R291,0))</f>
        <v>1</v>
      </c>
      <c r="S291" s="125">
        <f>IF('Quant. mod. (oc)'!S291&lt;0,0,ROUND('Quant. mod. (oc)'!S291,0))</f>
        <v>1</v>
      </c>
      <c r="T291" s="125">
        <f>IF('Quant. mod. (oc)'!T291&lt;0,0,ROUND('Quant. mod. (oc)'!T291,0))</f>
        <v>1</v>
      </c>
      <c r="U291" s="125">
        <f>IF('Quant. mod. (oc)'!U291&lt;0,0,ROUND('Quant. mod. (oc)'!U291,0))</f>
        <v>1</v>
      </c>
      <c r="V291" s="125">
        <f>IF('Quant. mod. (oc)'!V291&lt;0,0,ROUND('Quant. mod. (oc)'!V291,0))</f>
        <v>1</v>
      </c>
      <c r="W291" s="125">
        <f>IF('Quant. mod. (oc)'!W291&lt;0,0,ROUND('Quant. mod. (oc)'!W291,0))</f>
        <v>1</v>
      </c>
      <c r="X291" s="125">
        <f>IF('Quant. mod. (oc)'!X291&lt;0,0,ROUND('Quant. mod. (oc)'!X291,0))</f>
        <v>0</v>
      </c>
      <c r="Y291" s="125">
        <f>IF('Quant. mod. (oc)'!Y291&lt;0,0,ROUND('Quant. mod. (oc)'!Y291,0))</f>
        <v>0</v>
      </c>
      <c r="Z291" s="125">
        <f>IF('Quant. mod. (oc)'!Z291&lt;0,0,ROUND('Quant. mod. (oc)'!Z291,0))</f>
        <v>0</v>
      </c>
      <c r="AA291" s="125">
        <f>IF('Quant. mod. (oc)'!AA291&lt;0,0,ROUND('Quant. mod. (oc)'!AA291,0))</f>
        <v>0</v>
      </c>
      <c r="AB291" s="125">
        <f>IF('Quant. mod. (oc)'!AB291&lt;0,0,ROUND('Quant. mod. (oc)'!AB291,0))</f>
        <v>0</v>
      </c>
      <c r="AC291" s="125">
        <f>IF('Quant. mod. (oc)'!AC291&lt;0,0,ROUND('Quant. mod. (oc)'!AC291,0))</f>
        <v>0</v>
      </c>
      <c r="AD291" s="125">
        <f>IF('Quant. mod. (oc)'!AD291&lt;0,0,ROUND('Quant. mod. (oc)'!AD291,0))</f>
        <v>0</v>
      </c>
      <c r="AE291" s="125">
        <f>IF('Quant. mod. (oc)'!AE291&lt;0,0,ROUND('Quant. mod. (oc)'!AE291,0))</f>
        <v>0</v>
      </c>
      <c r="AF291" s="125">
        <f>IF('Quant. mod. (oc)'!AF291&lt;0,0,ROUND('Quant. mod. (oc)'!AF291,0))</f>
        <v>0</v>
      </c>
      <c r="AG291" s="126">
        <f>IF('Quant. mod. (oc)'!AG291&lt;0,0,ROUND('Quant. mod. (oc)'!AG291,0))</f>
        <v>0</v>
      </c>
      <c r="AH291" s="22"/>
    </row>
    <row r="292" spans="1:34" x14ac:dyDescent="0.25">
      <c r="A292" s="112"/>
      <c r="B292" s="69" t="s">
        <v>289</v>
      </c>
      <c r="C292" s="133" t="s">
        <v>59</v>
      </c>
      <c r="D292" s="125">
        <f>IF('Quant. mod. (oc)'!D292&lt;0,0,ROUND('Quant. mod. (oc)'!D292,0))</f>
        <v>2</v>
      </c>
      <c r="E292" s="125">
        <f>IF('Quant. mod. (oc)'!E292&lt;0,0,ROUND('Quant. mod. (oc)'!E292,0))</f>
        <v>2</v>
      </c>
      <c r="F292" s="125">
        <f>IF('Quant. mod. (oc)'!F292&lt;0,0,ROUND('Quant. mod. (oc)'!F292,0))</f>
        <v>2</v>
      </c>
      <c r="G292" s="125">
        <f>IF('Quant. mod. (oc)'!G292&lt;0,0,ROUND('Quant. mod. (oc)'!G292,0))</f>
        <v>2</v>
      </c>
      <c r="H292" s="125">
        <f>IF('Quant. mod. (oc)'!H292&lt;0,0,ROUND('Quant. mod. (oc)'!H292,0))</f>
        <v>2</v>
      </c>
      <c r="I292" s="125">
        <f>IF('Quant. mod. (oc)'!I292&lt;0,0,ROUND('Quant. mod. (oc)'!I292,0))</f>
        <v>2</v>
      </c>
      <c r="J292" s="125">
        <f>IF('Quant. mod. (oc)'!J292&lt;0,0,ROUND('Quant. mod. (oc)'!J292,0))</f>
        <v>2</v>
      </c>
      <c r="K292" s="125">
        <f>IF('Quant. mod. (oc)'!K292&lt;0,0,ROUND('Quant. mod. (oc)'!K292,0))</f>
        <v>2</v>
      </c>
      <c r="L292" s="125">
        <f>IF('Quant. mod. (oc)'!L292&lt;0,0,ROUND('Quant. mod. (oc)'!L292,0))</f>
        <v>2</v>
      </c>
      <c r="M292" s="125">
        <f>IF('Quant. mod. (oc)'!M292&lt;0,0,ROUND('Quant. mod. (oc)'!M292,0))</f>
        <v>2</v>
      </c>
      <c r="N292" s="125">
        <f>IF('Quant. mod. (oc)'!N292&lt;0,0,ROUND('Quant. mod. (oc)'!N292,0))</f>
        <v>2</v>
      </c>
      <c r="O292" s="125">
        <f>IF('Quant. mod. (oc)'!O292&lt;0,0,ROUND('Quant. mod. (oc)'!O292,0))</f>
        <v>2</v>
      </c>
      <c r="P292" s="125">
        <f>IF('Quant. mod. (oc)'!P292&lt;0,0,ROUND('Quant. mod. (oc)'!P292,0))</f>
        <v>2</v>
      </c>
      <c r="Q292" s="125">
        <f>IF('Quant. mod. (oc)'!Q292&lt;0,0,ROUND('Quant. mod. (oc)'!Q292,0))</f>
        <v>2</v>
      </c>
      <c r="R292" s="125">
        <f>IF('Quant. mod. (oc)'!R292&lt;0,0,ROUND('Quant. mod. (oc)'!R292,0))</f>
        <v>2</v>
      </c>
      <c r="S292" s="125">
        <f>IF('Quant. mod. (oc)'!S292&lt;0,0,ROUND('Quant. mod. (oc)'!S292,0))</f>
        <v>2</v>
      </c>
      <c r="T292" s="125">
        <f>IF('Quant. mod. (oc)'!T292&lt;0,0,ROUND('Quant. mod. (oc)'!T292,0))</f>
        <v>2</v>
      </c>
      <c r="U292" s="125">
        <f>IF('Quant. mod. (oc)'!U292&lt;0,0,ROUND('Quant. mod. (oc)'!U292,0))</f>
        <v>2</v>
      </c>
      <c r="V292" s="125">
        <f>IF('Quant. mod. (oc)'!V292&lt;0,0,ROUND('Quant. mod. (oc)'!V292,0))</f>
        <v>2</v>
      </c>
      <c r="W292" s="125">
        <f>IF('Quant. mod. (oc)'!W292&lt;0,0,ROUND('Quant. mod. (oc)'!W292,0))</f>
        <v>2</v>
      </c>
      <c r="X292" s="125">
        <f>IF('Quant. mod. (oc)'!X292&lt;0,0,ROUND('Quant. mod. (oc)'!X292,0))</f>
        <v>2</v>
      </c>
      <c r="Y292" s="125">
        <f>IF('Quant. mod. (oc)'!Y292&lt;0,0,ROUND('Quant. mod. (oc)'!Y292,0))</f>
        <v>2</v>
      </c>
      <c r="Z292" s="125">
        <f>IF('Quant. mod. (oc)'!Z292&lt;0,0,ROUND('Quant. mod. (oc)'!Z292,0))</f>
        <v>2</v>
      </c>
      <c r="AA292" s="125">
        <f>IF('Quant. mod. (oc)'!AA292&lt;0,0,ROUND('Quant. mod. (oc)'!AA292,0))</f>
        <v>2</v>
      </c>
      <c r="AB292" s="125">
        <f>IF('Quant. mod. (oc)'!AB292&lt;0,0,ROUND('Quant. mod. (oc)'!AB292,0))</f>
        <v>2</v>
      </c>
      <c r="AC292" s="125">
        <f>IF('Quant. mod. (oc)'!AC292&lt;0,0,ROUND('Quant. mod. (oc)'!AC292,0))</f>
        <v>2</v>
      </c>
      <c r="AD292" s="125">
        <f>IF('Quant. mod. (oc)'!AD292&lt;0,0,ROUND('Quant. mod. (oc)'!AD292,0))</f>
        <v>2</v>
      </c>
      <c r="AE292" s="125">
        <f>IF('Quant. mod. (oc)'!AE292&lt;0,0,ROUND('Quant. mod. (oc)'!AE292,0))</f>
        <v>2</v>
      </c>
      <c r="AF292" s="125">
        <f>IF('Quant. mod. (oc)'!AF292&lt;0,0,ROUND('Quant. mod. (oc)'!AF292,0))</f>
        <v>2</v>
      </c>
      <c r="AG292" s="126">
        <f>IF('Quant. mod. (oc)'!AG292&lt;0,0,ROUND('Quant. mod. (oc)'!AG292,0))</f>
        <v>2</v>
      </c>
      <c r="AH292" s="22"/>
    </row>
    <row r="293" spans="1:34" x14ac:dyDescent="0.25">
      <c r="A293" s="112"/>
      <c r="B293" s="120" t="s">
        <v>561</v>
      </c>
      <c r="C293" s="121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8"/>
      <c r="AH293" s="22"/>
    </row>
    <row r="294" spans="1:34" x14ac:dyDescent="0.25">
      <c r="A294" s="112"/>
      <c r="B294" s="120" t="s">
        <v>562</v>
      </c>
      <c r="C294" s="121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8"/>
      <c r="AH294" s="22"/>
    </row>
    <row r="295" spans="1:34" ht="38.25" x14ac:dyDescent="0.25">
      <c r="A295" s="112"/>
      <c r="B295" s="69" t="s">
        <v>310</v>
      </c>
      <c r="C295" s="133" t="s">
        <v>64</v>
      </c>
      <c r="D295" s="125">
        <f>IF('Quant. mod. (oc)'!D295&lt;0,0,CEILING('Quant. mod. (oc)'!D295,6))</f>
        <v>30</v>
      </c>
      <c r="E295" s="125">
        <f>IF('Quant. mod. (oc)'!E295&lt;0,0,CEILING('Quant. mod. (oc)'!E295,6))</f>
        <v>0</v>
      </c>
      <c r="F295" s="125">
        <f>IF('Quant. mod. (oc)'!F295&lt;0,0,CEILING('Quant. mod. (oc)'!F295,6))</f>
        <v>0</v>
      </c>
      <c r="G295" s="125">
        <f>IF('Quant. mod. (oc)'!G295&lt;0,0,CEILING('Quant. mod. (oc)'!G295,6))</f>
        <v>30</v>
      </c>
      <c r="H295" s="125">
        <f>IF('Quant. mod. (oc)'!H295&lt;0,0,CEILING('Quant. mod. (oc)'!H295,6))</f>
        <v>0</v>
      </c>
      <c r="I295" s="125">
        <f>IF('Quant. mod. (oc)'!I295&lt;0,0,CEILING('Quant. mod. (oc)'!I295,6))</f>
        <v>0</v>
      </c>
      <c r="J295" s="125">
        <f>IF('Quant. mod. (oc)'!J295&lt;0,0,CEILING('Quant. mod. (oc)'!J295,6))</f>
        <v>30</v>
      </c>
      <c r="K295" s="125">
        <f>IF('Quant. mod. (oc)'!K295&lt;0,0,CEILING('Quant. mod. (oc)'!K295,6))</f>
        <v>0</v>
      </c>
      <c r="L295" s="125">
        <f>IF('Quant. mod. (oc)'!L295&lt;0,0,CEILING('Quant. mod. (oc)'!L295,6))</f>
        <v>30</v>
      </c>
      <c r="M295" s="125">
        <f>IF('Quant. mod. (oc)'!M295&lt;0,0,CEILING('Quant. mod. (oc)'!M295,6))</f>
        <v>0</v>
      </c>
      <c r="N295" s="125">
        <f>IF('Quant. mod. (oc)'!N295&lt;0,0,CEILING('Quant. mod. (oc)'!N295,6))</f>
        <v>30</v>
      </c>
      <c r="O295" s="125">
        <f>IF('Quant. mod. (oc)'!O295&lt;0,0,CEILING('Quant. mod. (oc)'!O295,6))</f>
        <v>0</v>
      </c>
      <c r="P295" s="125">
        <f>IF('Quant. mod. (oc)'!P295&lt;0,0,CEILING('Quant. mod. (oc)'!P295,6))</f>
        <v>0</v>
      </c>
      <c r="Q295" s="125">
        <f>IF('Quant. mod. (oc)'!Q295&lt;0,0,CEILING('Quant. mod. (oc)'!Q295,6))</f>
        <v>30</v>
      </c>
      <c r="R295" s="125">
        <f>IF('Quant. mod. (oc)'!R295&lt;0,0,CEILING('Quant. mod. (oc)'!R295,6))</f>
        <v>0</v>
      </c>
      <c r="S295" s="125">
        <f>IF('Quant. mod. (oc)'!S295&lt;0,0,CEILING('Quant. mod. (oc)'!S295,6))</f>
        <v>0</v>
      </c>
      <c r="T295" s="125">
        <f>IF('Quant. mod. (oc)'!T295&lt;0,0,CEILING('Quant. mod. (oc)'!T295,6))</f>
        <v>30</v>
      </c>
      <c r="U295" s="125">
        <f>IF('Quant. mod. (oc)'!U295&lt;0,0,CEILING('Quant. mod. (oc)'!U295,6))</f>
        <v>0</v>
      </c>
      <c r="V295" s="125">
        <f>IF('Quant. mod. (oc)'!V295&lt;0,0,CEILING('Quant. mod. (oc)'!V295,6))</f>
        <v>30</v>
      </c>
      <c r="W295" s="125">
        <f>IF('Quant. mod. (oc)'!W295&lt;0,0,CEILING('Quant. mod. (oc)'!W295,6))</f>
        <v>0</v>
      </c>
      <c r="X295" s="125">
        <f>IF('Quant. mod. (oc)'!X295&lt;0,0,CEILING('Quant. mod. (oc)'!X295,6))</f>
        <v>30</v>
      </c>
      <c r="Y295" s="125">
        <f>IF('Quant. mod. (oc)'!Y295&lt;0,0,CEILING('Quant. mod. (oc)'!Y295,6))</f>
        <v>0</v>
      </c>
      <c r="Z295" s="125">
        <f>IF('Quant. mod. (oc)'!Z295&lt;0,0,CEILING('Quant. mod. (oc)'!Z295,6))</f>
        <v>0</v>
      </c>
      <c r="AA295" s="125">
        <f>IF('Quant. mod. (oc)'!AA295&lt;0,0,CEILING('Quant. mod. (oc)'!AA295,6))</f>
        <v>30</v>
      </c>
      <c r="AB295" s="125">
        <f>IF('Quant. mod. (oc)'!AB295&lt;0,0,CEILING('Quant. mod. (oc)'!AB295,6))</f>
        <v>0</v>
      </c>
      <c r="AC295" s="125">
        <f>IF('Quant. mod. (oc)'!AC295&lt;0,0,CEILING('Quant. mod. (oc)'!AC295,6))</f>
        <v>0</v>
      </c>
      <c r="AD295" s="125">
        <f>IF('Quant. mod. (oc)'!AD295&lt;0,0,CEILING('Quant. mod. (oc)'!AD295,6))</f>
        <v>30</v>
      </c>
      <c r="AE295" s="125">
        <f>IF('Quant. mod. (oc)'!AE295&lt;0,0,CEILING('Quant. mod. (oc)'!AE295,6))</f>
        <v>0</v>
      </c>
      <c r="AF295" s="125">
        <f>IF('Quant. mod. (oc)'!AF295&lt;0,0,CEILING('Quant. mod. (oc)'!AF295,6))</f>
        <v>30</v>
      </c>
      <c r="AG295" s="126">
        <f>IF('Quant. mod. (oc)'!AG295&lt;0,0,CEILING('Quant. mod. (oc)'!AG295,6))</f>
        <v>0</v>
      </c>
      <c r="AH295" s="22"/>
    </row>
    <row r="296" spans="1:34" ht="38.25" x14ac:dyDescent="0.25">
      <c r="A296" s="112"/>
      <c r="B296" s="69" t="s">
        <v>313</v>
      </c>
      <c r="C296" s="133" t="s">
        <v>64</v>
      </c>
      <c r="D296" s="125">
        <f>IF('Quant. mod. (oc)'!D296&lt;0,0,CEILING('Quant. mod. (oc)'!D296,6))</f>
        <v>24</v>
      </c>
      <c r="E296" s="125">
        <f>IF('Quant. mod. (oc)'!E296&lt;0,0,CEILING('Quant. mod. (oc)'!E296,6))</f>
        <v>36</v>
      </c>
      <c r="F296" s="125">
        <f>IF('Quant. mod. (oc)'!F296&lt;0,0,CEILING('Quant. mod. (oc)'!F296,6))</f>
        <v>18</v>
      </c>
      <c r="G296" s="125">
        <f>IF('Quant. mod. (oc)'!G296&lt;0,0,CEILING('Quant. mod. (oc)'!G296,6))</f>
        <v>24</v>
      </c>
      <c r="H296" s="125">
        <f>IF('Quant. mod. (oc)'!H296&lt;0,0,CEILING('Quant. mod. (oc)'!H296,6))</f>
        <v>36</v>
      </c>
      <c r="I296" s="125">
        <f>IF('Quant. mod. (oc)'!I296&lt;0,0,CEILING('Quant. mod. (oc)'!I296,6))</f>
        <v>18</v>
      </c>
      <c r="J296" s="125">
        <f>IF('Quant. mod. (oc)'!J296&lt;0,0,CEILING('Quant. mod. (oc)'!J296,6))</f>
        <v>24</v>
      </c>
      <c r="K296" s="125">
        <f>IF('Quant. mod. (oc)'!K296&lt;0,0,CEILING('Quant. mod. (oc)'!K296,6))</f>
        <v>18</v>
      </c>
      <c r="L296" s="125">
        <f>IF('Quant. mod. (oc)'!L296&lt;0,0,CEILING('Quant. mod. (oc)'!L296,6))</f>
        <v>24</v>
      </c>
      <c r="M296" s="125">
        <f>IF('Quant. mod. (oc)'!M296&lt;0,0,CEILING('Quant. mod. (oc)'!M296,6))</f>
        <v>18</v>
      </c>
      <c r="N296" s="125">
        <f>IF('Quant. mod. (oc)'!N296&lt;0,0,CEILING('Quant. mod. (oc)'!N296,6))</f>
        <v>18</v>
      </c>
      <c r="O296" s="125">
        <f>IF('Quant. mod. (oc)'!O296&lt;0,0,CEILING('Quant. mod. (oc)'!O296,6))</f>
        <v>24</v>
      </c>
      <c r="P296" s="125">
        <f>IF('Quant. mod. (oc)'!P296&lt;0,0,CEILING('Quant. mod. (oc)'!P296,6))</f>
        <v>18</v>
      </c>
      <c r="Q296" s="125">
        <f>IF('Quant. mod. (oc)'!Q296&lt;0,0,CEILING('Quant. mod. (oc)'!Q296,6))</f>
        <v>18</v>
      </c>
      <c r="R296" s="125">
        <f>IF('Quant. mod. (oc)'!R296&lt;0,0,CEILING('Quant. mod. (oc)'!R296,6))</f>
        <v>30</v>
      </c>
      <c r="S296" s="125">
        <f>IF('Quant. mod. (oc)'!S296&lt;0,0,CEILING('Quant. mod. (oc)'!S296,6))</f>
        <v>18</v>
      </c>
      <c r="T296" s="125">
        <f>IF('Quant. mod. (oc)'!T296&lt;0,0,CEILING('Quant. mod. (oc)'!T296,6))</f>
        <v>18</v>
      </c>
      <c r="U296" s="125">
        <f>IF('Quant. mod. (oc)'!U296&lt;0,0,CEILING('Quant. mod. (oc)'!U296,6))</f>
        <v>18</v>
      </c>
      <c r="V296" s="125">
        <f>IF('Quant. mod. (oc)'!V296&lt;0,0,CEILING('Quant. mod. (oc)'!V296,6))</f>
        <v>18</v>
      </c>
      <c r="W296" s="125">
        <f>IF('Quant. mod. (oc)'!W296&lt;0,0,CEILING('Quant. mod. (oc)'!W296,6))</f>
        <v>18</v>
      </c>
      <c r="X296" s="125">
        <f>IF('Quant. mod. (oc)'!X296&lt;0,0,CEILING('Quant. mod. (oc)'!X296,6))</f>
        <v>18</v>
      </c>
      <c r="Y296" s="125">
        <f>IF('Quant. mod. (oc)'!Y296&lt;0,0,CEILING('Quant. mod. (oc)'!Y296,6))</f>
        <v>24</v>
      </c>
      <c r="Z296" s="125">
        <f>IF('Quant. mod. (oc)'!Z296&lt;0,0,CEILING('Quant. mod. (oc)'!Z296,6))</f>
        <v>12</v>
      </c>
      <c r="AA296" s="125">
        <f>IF('Quant. mod. (oc)'!AA296&lt;0,0,CEILING('Quant. mod. (oc)'!AA296,6))</f>
        <v>18</v>
      </c>
      <c r="AB296" s="125">
        <f>IF('Quant. mod. (oc)'!AB296&lt;0,0,CEILING('Quant. mod. (oc)'!AB296,6))</f>
        <v>24</v>
      </c>
      <c r="AC296" s="125">
        <f>IF('Quant. mod. (oc)'!AC296&lt;0,0,CEILING('Quant. mod. (oc)'!AC296,6))</f>
        <v>12</v>
      </c>
      <c r="AD296" s="125">
        <f>IF('Quant. mod. (oc)'!AD296&lt;0,0,CEILING('Quant. mod. (oc)'!AD296,6))</f>
        <v>18</v>
      </c>
      <c r="AE296" s="125">
        <f>IF('Quant. mod. (oc)'!AE296&lt;0,0,CEILING('Quant. mod. (oc)'!AE296,6))</f>
        <v>12</v>
      </c>
      <c r="AF296" s="125">
        <f>IF('Quant. mod. (oc)'!AF296&lt;0,0,CEILING('Quant. mod. (oc)'!AF296,6))</f>
        <v>18</v>
      </c>
      <c r="AG296" s="126">
        <f>IF('Quant. mod. (oc)'!AG296&lt;0,0,CEILING('Quant. mod. (oc)'!AG296,6))</f>
        <v>12</v>
      </c>
      <c r="AH296" s="22"/>
    </row>
    <row r="297" spans="1:34" ht="38.25" x14ac:dyDescent="0.25">
      <c r="A297" s="112"/>
      <c r="B297" s="69" t="s">
        <v>315</v>
      </c>
      <c r="C297" s="133" t="s">
        <v>64</v>
      </c>
      <c r="D297" s="125">
        <f>IF('Quant. mod. (oc)'!D297&lt;0,0,CEILING('Quant. mod. (oc)'!D297,6))</f>
        <v>0</v>
      </c>
      <c r="E297" s="125">
        <f>IF('Quant. mod. (oc)'!E297&lt;0,0,CEILING('Quant. mod. (oc)'!E297,6))</f>
        <v>0</v>
      </c>
      <c r="F297" s="125">
        <f>IF('Quant. mod. (oc)'!F297&lt;0,0,CEILING('Quant. mod. (oc)'!F297,6))</f>
        <v>0</v>
      </c>
      <c r="G297" s="125">
        <f>IF('Quant. mod. (oc)'!G297&lt;0,0,CEILING('Quant. mod. (oc)'!G297,6))</f>
        <v>0</v>
      </c>
      <c r="H297" s="125">
        <f>IF('Quant. mod. (oc)'!H297&lt;0,0,CEILING('Quant. mod. (oc)'!H297,6))</f>
        <v>0</v>
      </c>
      <c r="I297" s="125">
        <f>IF('Quant. mod. (oc)'!I297&lt;0,0,CEILING('Quant. mod. (oc)'!I297,6))</f>
        <v>0</v>
      </c>
      <c r="J297" s="125">
        <f>IF('Quant. mod. (oc)'!J297&lt;0,0,CEILING('Quant. mod. (oc)'!J297,6))</f>
        <v>0</v>
      </c>
      <c r="K297" s="125">
        <f>IF('Quant. mod. (oc)'!K297&lt;0,0,CEILING('Quant. mod. (oc)'!K297,6))</f>
        <v>0</v>
      </c>
      <c r="L297" s="125">
        <f>IF('Quant. mod. (oc)'!L297&lt;0,0,CEILING('Quant. mod. (oc)'!L297,6))</f>
        <v>0</v>
      </c>
      <c r="M297" s="125">
        <f>IF('Quant. mod. (oc)'!M297&lt;0,0,CEILING('Quant. mod. (oc)'!M297,6))</f>
        <v>0</v>
      </c>
      <c r="N297" s="125">
        <f>IF('Quant. mod. (oc)'!N297&lt;0,0,CEILING('Quant. mod. (oc)'!N297,6))</f>
        <v>0</v>
      </c>
      <c r="O297" s="125">
        <f>IF('Quant. mod. (oc)'!O297&lt;0,0,CEILING('Quant. mod. (oc)'!O297,6))</f>
        <v>0</v>
      </c>
      <c r="P297" s="125">
        <f>IF('Quant. mod. (oc)'!P297&lt;0,0,CEILING('Quant. mod. (oc)'!P297,6))</f>
        <v>0</v>
      </c>
      <c r="Q297" s="125">
        <f>IF('Quant. mod. (oc)'!Q297&lt;0,0,CEILING('Quant. mod. (oc)'!Q297,6))</f>
        <v>0</v>
      </c>
      <c r="R297" s="125">
        <f>IF('Quant. mod. (oc)'!R297&lt;0,0,CEILING('Quant. mod. (oc)'!R297,6))</f>
        <v>0</v>
      </c>
      <c r="S297" s="125">
        <f>IF('Quant. mod. (oc)'!S297&lt;0,0,CEILING('Quant. mod. (oc)'!S297,6))</f>
        <v>0</v>
      </c>
      <c r="T297" s="125">
        <f>IF('Quant. mod. (oc)'!T297&lt;0,0,CEILING('Quant. mod. (oc)'!T297,6))</f>
        <v>0</v>
      </c>
      <c r="U297" s="125">
        <f>IF('Quant. mod. (oc)'!U297&lt;0,0,CEILING('Quant. mod. (oc)'!U297,6))</f>
        <v>0</v>
      </c>
      <c r="V297" s="125">
        <f>IF('Quant. mod. (oc)'!V297&lt;0,0,CEILING('Quant. mod. (oc)'!V297,6))</f>
        <v>0</v>
      </c>
      <c r="W297" s="125">
        <f>IF('Quant. mod. (oc)'!W297&lt;0,0,CEILING('Quant. mod. (oc)'!W297,6))</f>
        <v>0</v>
      </c>
      <c r="X297" s="125">
        <f>IF('Quant. mod. (oc)'!X297&lt;0,0,CEILING('Quant. mod. (oc)'!X297,6))</f>
        <v>0</v>
      </c>
      <c r="Y297" s="125">
        <f>IF('Quant. mod. (oc)'!Y297&lt;0,0,CEILING('Quant. mod. (oc)'!Y297,6))</f>
        <v>0</v>
      </c>
      <c r="Z297" s="125">
        <f>IF('Quant. mod. (oc)'!Z297&lt;0,0,CEILING('Quant. mod. (oc)'!Z297,6))</f>
        <v>0</v>
      </c>
      <c r="AA297" s="125">
        <f>IF('Quant. mod. (oc)'!AA297&lt;0,0,CEILING('Quant. mod. (oc)'!AA297,6))</f>
        <v>0</v>
      </c>
      <c r="AB297" s="125">
        <f>IF('Quant. mod. (oc)'!AB297&lt;0,0,CEILING('Quant. mod. (oc)'!AB297,6))</f>
        <v>0</v>
      </c>
      <c r="AC297" s="125">
        <f>IF('Quant. mod. (oc)'!AC297&lt;0,0,CEILING('Quant. mod. (oc)'!AC297,6))</f>
        <v>0</v>
      </c>
      <c r="AD297" s="125">
        <f>IF('Quant. mod. (oc)'!AD297&lt;0,0,CEILING('Quant. mod. (oc)'!AD297,6))</f>
        <v>0</v>
      </c>
      <c r="AE297" s="125">
        <f>IF('Quant. mod. (oc)'!AE297&lt;0,0,CEILING('Quant. mod. (oc)'!AE297,6))</f>
        <v>0</v>
      </c>
      <c r="AF297" s="125">
        <f>IF('Quant. mod. (oc)'!AF297&lt;0,0,CEILING('Quant. mod. (oc)'!AF297,6))</f>
        <v>0</v>
      </c>
      <c r="AG297" s="126">
        <f>IF('Quant. mod. (oc)'!AG297&lt;0,0,CEILING('Quant. mod. (oc)'!AG297,6))</f>
        <v>0</v>
      </c>
      <c r="AH297" s="22"/>
    </row>
    <row r="298" spans="1:34" x14ac:dyDescent="0.25">
      <c r="A298" s="112"/>
      <c r="B298" s="69" t="s">
        <v>234</v>
      </c>
      <c r="C298" s="133" t="s">
        <v>64</v>
      </c>
      <c r="D298" s="125">
        <f>IF('Quant. mod. (oc)'!D298&lt;0,0,CEILING('Quant. mod. (oc)'!D298,6))</f>
        <v>30</v>
      </c>
      <c r="E298" s="125">
        <f>IF('Quant. mod. (oc)'!E298&lt;0,0,CEILING('Quant. mod. (oc)'!E298,6))</f>
        <v>0</v>
      </c>
      <c r="F298" s="125">
        <f>IF('Quant. mod. (oc)'!F298&lt;0,0,CEILING('Quant. mod. (oc)'!F298,6))</f>
        <v>0</v>
      </c>
      <c r="G298" s="125">
        <f>IF('Quant. mod. (oc)'!G298&lt;0,0,CEILING('Quant. mod. (oc)'!G298,6))</f>
        <v>30</v>
      </c>
      <c r="H298" s="125">
        <f>IF('Quant. mod. (oc)'!H298&lt;0,0,CEILING('Quant. mod. (oc)'!H298,6))</f>
        <v>0</v>
      </c>
      <c r="I298" s="125">
        <f>IF('Quant. mod. (oc)'!I298&lt;0,0,CEILING('Quant. mod. (oc)'!I298,6))</f>
        <v>0</v>
      </c>
      <c r="J298" s="125">
        <f>IF('Quant. mod. (oc)'!J298&lt;0,0,CEILING('Quant. mod. (oc)'!J298,6))</f>
        <v>30</v>
      </c>
      <c r="K298" s="125">
        <f>IF('Quant. mod. (oc)'!K298&lt;0,0,CEILING('Quant. mod. (oc)'!K298,6))</f>
        <v>0</v>
      </c>
      <c r="L298" s="125">
        <f>IF('Quant. mod. (oc)'!L298&lt;0,0,CEILING('Quant. mod. (oc)'!L298,6))</f>
        <v>30</v>
      </c>
      <c r="M298" s="125">
        <f>IF('Quant. mod. (oc)'!M298&lt;0,0,CEILING('Quant. mod. (oc)'!M298,6))</f>
        <v>0</v>
      </c>
      <c r="N298" s="125">
        <f>IF('Quant. mod. (oc)'!N298&lt;0,0,CEILING('Quant. mod. (oc)'!N298,6))</f>
        <v>30</v>
      </c>
      <c r="O298" s="125">
        <f>IF('Quant. mod. (oc)'!O298&lt;0,0,CEILING('Quant. mod. (oc)'!O298,6))</f>
        <v>0</v>
      </c>
      <c r="P298" s="125">
        <f>IF('Quant. mod. (oc)'!P298&lt;0,0,CEILING('Quant. mod. (oc)'!P298,6))</f>
        <v>0</v>
      </c>
      <c r="Q298" s="125">
        <f>IF('Quant. mod. (oc)'!Q298&lt;0,0,CEILING('Quant. mod. (oc)'!Q298,6))</f>
        <v>30</v>
      </c>
      <c r="R298" s="125">
        <f>IF('Quant. mod. (oc)'!R298&lt;0,0,CEILING('Quant. mod. (oc)'!R298,6))</f>
        <v>0</v>
      </c>
      <c r="S298" s="125">
        <f>IF('Quant. mod. (oc)'!S298&lt;0,0,CEILING('Quant. mod. (oc)'!S298,6))</f>
        <v>0</v>
      </c>
      <c r="T298" s="125">
        <f>IF('Quant. mod. (oc)'!T298&lt;0,0,CEILING('Quant. mod. (oc)'!T298,6))</f>
        <v>30</v>
      </c>
      <c r="U298" s="125">
        <f>IF('Quant. mod. (oc)'!U298&lt;0,0,CEILING('Quant. mod. (oc)'!U298,6))</f>
        <v>0</v>
      </c>
      <c r="V298" s="125">
        <f>IF('Quant. mod. (oc)'!V298&lt;0,0,CEILING('Quant. mod. (oc)'!V298,6))</f>
        <v>30</v>
      </c>
      <c r="W298" s="125">
        <f>IF('Quant. mod. (oc)'!W298&lt;0,0,CEILING('Quant. mod. (oc)'!W298,6))</f>
        <v>0</v>
      </c>
      <c r="X298" s="125">
        <f>IF('Quant. mod. (oc)'!X298&lt;0,0,CEILING('Quant. mod. (oc)'!X298,6))</f>
        <v>30</v>
      </c>
      <c r="Y298" s="125">
        <f>IF('Quant. mod. (oc)'!Y298&lt;0,0,CEILING('Quant. mod. (oc)'!Y298,6))</f>
        <v>0</v>
      </c>
      <c r="Z298" s="125">
        <f>IF('Quant. mod. (oc)'!Z298&lt;0,0,CEILING('Quant. mod. (oc)'!Z298,6))</f>
        <v>0</v>
      </c>
      <c r="AA298" s="125">
        <f>IF('Quant. mod. (oc)'!AA298&lt;0,0,CEILING('Quant. mod. (oc)'!AA298,6))</f>
        <v>30</v>
      </c>
      <c r="AB298" s="125">
        <f>IF('Quant. mod. (oc)'!AB298&lt;0,0,CEILING('Quant. mod. (oc)'!AB298,6))</f>
        <v>0</v>
      </c>
      <c r="AC298" s="125">
        <f>IF('Quant. mod. (oc)'!AC298&lt;0,0,CEILING('Quant. mod. (oc)'!AC298,6))</f>
        <v>0</v>
      </c>
      <c r="AD298" s="125">
        <f>IF('Quant. mod. (oc)'!AD298&lt;0,0,CEILING('Quant. mod. (oc)'!AD298,6))</f>
        <v>30</v>
      </c>
      <c r="AE298" s="125">
        <f>IF('Quant. mod. (oc)'!AE298&lt;0,0,CEILING('Quant. mod. (oc)'!AE298,6))</f>
        <v>0</v>
      </c>
      <c r="AF298" s="125">
        <f>IF('Quant. mod. (oc)'!AF298&lt;0,0,CEILING('Quant. mod. (oc)'!AF298,6))</f>
        <v>30</v>
      </c>
      <c r="AG298" s="126">
        <f>IF('Quant. mod. (oc)'!AG298&lt;0,0,CEILING('Quant. mod. (oc)'!AG298,6))</f>
        <v>0</v>
      </c>
      <c r="AH298" s="22"/>
    </row>
    <row r="299" spans="1:34" x14ac:dyDescent="0.25">
      <c r="A299" s="112"/>
      <c r="B299" s="69" t="s">
        <v>237</v>
      </c>
      <c r="C299" s="133" t="s">
        <v>64</v>
      </c>
      <c r="D299" s="125">
        <f>IF('Quant. mod. (oc)'!D299&lt;0,0,CEILING('Quant. mod. (oc)'!D299,6))</f>
        <v>24</v>
      </c>
      <c r="E299" s="125">
        <f>IF('Quant. mod. (oc)'!E299&lt;0,0,CEILING('Quant. mod. (oc)'!E299,6))</f>
        <v>36</v>
      </c>
      <c r="F299" s="125">
        <f>IF('Quant. mod. (oc)'!F299&lt;0,0,CEILING('Quant. mod. (oc)'!F299,6))</f>
        <v>18</v>
      </c>
      <c r="G299" s="125">
        <f>IF('Quant. mod. (oc)'!G299&lt;0,0,CEILING('Quant. mod. (oc)'!G299,6))</f>
        <v>24</v>
      </c>
      <c r="H299" s="125">
        <f>IF('Quant. mod. (oc)'!H299&lt;0,0,CEILING('Quant. mod. (oc)'!H299,6))</f>
        <v>36</v>
      </c>
      <c r="I299" s="125">
        <f>IF('Quant. mod. (oc)'!I299&lt;0,0,CEILING('Quant. mod. (oc)'!I299,6))</f>
        <v>18</v>
      </c>
      <c r="J299" s="125">
        <f>IF('Quant. mod. (oc)'!J299&lt;0,0,CEILING('Quant. mod. (oc)'!J299,6))</f>
        <v>24</v>
      </c>
      <c r="K299" s="125">
        <f>IF('Quant. mod. (oc)'!K299&lt;0,0,CEILING('Quant. mod. (oc)'!K299,6))</f>
        <v>18</v>
      </c>
      <c r="L299" s="125">
        <f>IF('Quant. mod. (oc)'!L299&lt;0,0,CEILING('Quant. mod. (oc)'!L299,6))</f>
        <v>24</v>
      </c>
      <c r="M299" s="125">
        <f>IF('Quant. mod. (oc)'!M299&lt;0,0,CEILING('Quant. mod. (oc)'!M299,6))</f>
        <v>18</v>
      </c>
      <c r="N299" s="125">
        <f>IF('Quant. mod. (oc)'!N299&lt;0,0,CEILING('Quant. mod. (oc)'!N299,6))</f>
        <v>18</v>
      </c>
      <c r="O299" s="125">
        <f>IF('Quant. mod. (oc)'!O299&lt;0,0,CEILING('Quant. mod. (oc)'!O299,6))</f>
        <v>24</v>
      </c>
      <c r="P299" s="125">
        <f>IF('Quant. mod. (oc)'!P299&lt;0,0,CEILING('Quant. mod. (oc)'!P299,6))</f>
        <v>18</v>
      </c>
      <c r="Q299" s="125">
        <f>IF('Quant. mod. (oc)'!Q299&lt;0,0,CEILING('Quant. mod. (oc)'!Q299,6))</f>
        <v>18</v>
      </c>
      <c r="R299" s="125">
        <f>IF('Quant. mod. (oc)'!R299&lt;0,0,CEILING('Quant. mod. (oc)'!R299,6))</f>
        <v>30</v>
      </c>
      <c r="S299" s="125">
        <f>IF('Quant. mod. (oc)'!S299&lt;0,0,CEILING('Quant. mod. (oc)'!S299,6))</f>
        <v>18</v>
      </c>
      <c r="T299" s="125">
        <f>IF('Quant. mod. (oc)'!T299&lt;0,0,CEILING('Quant. mod. (oc)'!T299,6))</f>
        <v>18</v>
      </c>
      <c r="U299" s="125">
        <f>IF('Quant. mod. (oc)'!U299&lt;0,0,CEILING('Quant. mod. (oc)'!U299,6))</f>
        <v>18</v>
      </c>
      <c r="V299" s="125">
        <f>IF('Quant. mod. (oc)'!V299&lt;0,0,CEILING('Quant. mod. (oc)'!V299,6))</f>
        <v>18</v>
      </c>
      <c r="W299" s="125">
        <f>IF('Quant. mod. (oc)'!W299&lt;0,0,CEILING('Quant. mod. (oc)'!W299,6))</f>
        <v>18</v>
      </c>
      <c r="X299" s="125">
        <f>IF('Quant. mod. (oc)'!X299&lt;0,0,CEILING('Quant. mod. (oc)'!X299,6))</f>
        <v>18</v>
      </c>
      <c r="Y299" s="125">
        <f>IF('Quant. mod. (oc)'!Y299&lt;0,0,CEILING('Quant. mod. (oc)'!Y299,6))</f>
        <v>24</v>
      </c>
      <c r="Z299" s="125">
        <f>IF('Quant. mod. (oc)'!Z299&lt;0,0,CEILING('Quant. mod. (oc)'!Z299,6))</f>
        <v>12</v>
      </c>
      <c r="AA299" s="125">
        <f>IF('Quant. mod. (oc)'!AA299&lt;0,0,CEILING('Quant. mod. (oc)'!AA299,6))</f>
        <v>18</v>
      </c>
      <c r="AB299" s="125">
        <f>IF('Quant. mod. (oc)'!AB299&lt;0,0,CEILING('Quant. mod. (oc)'!AB299,6))</f>
        <v>24</v>
      </c>
      <c r="AC299" s="125">
        <f>IF('Quant. mod. (oc)'!AC299&lt;0,0,CEILING('Quant. mod. (oc)'!AC299,6))</f>
        <v>12</v>
      </c>
      <c r="AD299" s="125">
        <f>IF('Quant. mod. (oc)'!AD299&lt;0,0,CEILING('Quant. mod. (oc)'!AD299,6))</f>
        <v>18</v>
      </c>
      <c r="AE299" s="125">
        <f>IF('Quant. mod. (oc)'!AE299&lt;0,0,CEILING('Quant. mod. (oc)'!AE299,6))</f>
        <v>12</v>
      </c>
      <c r="AF299" s="125">
        <f>IF('Quant. mod. (oc)'!AF299&lt;0,0,CEILING('Quant. mod. (oc)'!AF299,6))</f>
        <v>18</v>
      </c>
      <c r="AG299" s="126">
        <f>IF('Quant. mod. (oc)'!AG299&lt;0,0,CEILING('Quant. mod. (oc)'!AG299,6))</f>
        <v>12</v>
      </c>
      <c r="AH299" s="22"/>
    </row>
    <row r="300" spans="1:34" x14ac:dyDescent="0.25">
      <c r="A300" s="112"/>
      <c r="B300" s="69" t="s">
        <v>239</v>
      </c>
      <c r="C300" s="133" t="s">
        <v>64</v>
      </c>
      <c r="D300" s="125">
        <f>IF('Quant. mod. (oc)'!D300&lt;0,0,CEILING('Quant. mod. (oc)'!D300,6))</f>
        <v>0</v>
      </c>
      <c r="E300" s="125">
        <f>IF('Quant. mod. (oc)'!E300&lt;0,0,CEILING('Quant. mod. (oc)'!E300,6))</f>
        <v>0</v>
      </c>
      <c r="F300" s="125">
        <f>IF('Quant. mod. (oc)'!F300&lt;0,0,CEILING('Quant. mod. (oc)'!F300,6))</f>
        <v>0</v>
      </c>
      <c r="G300" s="125">
        <f>IF('Quant. mod. (oc)'!G300&lt;0,0,CEILING('Quant. mod. (oc)'!G300,6))</f>
        <v>0</v>
      </c>
      <c r="H300" s="125">
        <f>IF('Quant. mod. (oc)'!H300&lt;0,0,CEILING('Quant. mod. (oc)'!H300,6))</f>
        <v>0</v>
      </c>
      <c r="I300" s="125">
        <f>IF('Quant. mod. (oc)'!I300&lt;0,0,CEILING('Quant. mod. (oc)'!I300,6))</f>
        <v>0</v>
      </c>
      <c r="J300" s="125">
        <f>IF('Quant. mod. (oc)'!J300&lt;0,0,CEILING('Quant. mod. (oc)'!J300,6))</f>
        <v>0</v>
      </c>
      <c r="K300" s="125">
        <f>IF('Quant. mod. (oc)'!K300&lt;0,0,CEILING('Quant. mod. (oc)'!K300,6))</f>
        <v>0</v>
      </c>
      <c r="L300" s="125">
        <f>IF('Quant. mod. (oc)'!L300&lt;0,0,CEILING('Quant. mod. (oc)'!L300,6))</f>
        <v>0</v>
      </c>
      <c r="M300" s="125">
        <f>IF('Quant. mod. (oc)'!M300&lt;0,0,CEILING('Quant. mod. (oc)'!M300,6))</f>
        <v>0</v>
      </c>
      <c r="N300" s="125">
        <f>IF('Quant. mod. (oc)'!N300&lt;0,0,CEILING('Quant. mod. (oc)'!N300,6))</f>
        <v>0</v>
      </c>
      <c r="O300" s="125">
        <f>IF('Quant. mod. (oc)'!O300&lt;0,0,CEILING('Quant. mod. (oc)'!O300,6))</f>
        <v>0</v>
      </c>
      <c r="P300" s="125">
        <f>IF('Quant. mod. (oc)'!P300&lt;0,0,CEILING('Quant. mod. (oc)'!P300,6))</f>
        <v>0</v>
      </c>
      <c r="Q300" s="125">
        <f>IF('Quant. mod. (oc)'!Q300&lt;0,0,CEILING('Quant. mod. (oc)'!Q300,6))</f>
        <v>0</v>
      </c>
      <c r="R300" s="125">
        <f>IF('Quant. mod. (oc)'!R300&lt;0,0,CEILING('Quant. mod. (oc)'!R300,6))</f>
        <v>0</v>
      </c>
      <c r="S300" s="125">
        <f>IF('Quant. mod. (oc)'!S300&lt;0,0,CEILING('Quant. mod. (oc)'!S300,6))</f>
        <v>0</v>
      </c>
      <c r="T300" s="125">
        <f>IF('Quant. mod. (oc)'!T300&lt;0,0,CEILING('Quant. mod. (oc)'!T300,6))</f>
        <v>0</v>
      </c>
      <c r="U300" s="125">
        <f>IF('Quant. mod. (oc)'!U300&lt;0,0,CEILING('Quant. mod. (oc)'!U300,6))</f>
        <v>0</v>
      </c>
      <c r="V300" s="125">
        <f>IF('Quant. mod. (oc)'!V300&lt;0,0,CEILING('Quant. mod. (oc)'!V300,6))</f>
        <v>0</v>
      </c>
      <c r="W300" s="125">
        <f>IF('Quant. mod. (oc)'!W300&lt;0,0,CEILING('Quant. mod. (oc)'!W300,6))</f>
        <v>0</v>
      </c>
      <c r="X300" s="125">
        <f>IF('Quant. mod. (oc)'!X300&lt;0,0,CEILING('Quant. mod. (oc)'!X300,6))</f>
        <v>0</v>
      </c>
      <c r="Y300" s="125">
        <f>IF('Quant. mod. (oc)'!Y300&lt;0,0,CEILING('Quant. mod. (oc)'!Y300,6))</f>
        <v>0</v>
      </c>
      <c r="Z300" s="125">
        <f>IF('Quant. mod. (oc)'!Z300&lt;0,0,CEILING('Quant. mod. (oc)'!Z300,6))</f>
        <v>0</v>
      </c>
      <c r="AA300" s="125">
        <f>IF('Quant. mod. (oc)'!AA300&lt;0,0,CEILING('Quant. mod. (oc)'!AA300,6))</f>
        <v>0</v>
      </c>
      <c r="AB300" s="125">
        <f>IF('Quant. mod. (oc)'!AB300&lt;0,0,CEILING('Quant. mod. (oc)'!AB300,6))</f>
        <v>0</v>
      </c>
      <c r="AC300" s="125">
        <f>IF('Quant. mod. (oc)'!AC300&lt;0,0,CEILING('Quant. mod. (oc)'!AC300,6))</f>
        <v>0</v>
      </c>
      <c r="AD300" s="125">
        <f>IF('Quant. mod. (oc)'!AD300&lt;0,0,CEILING('Quant. mod. (oc)'!AD300,6))</f>
        <v>0</v>
      </c>
      <c r="AE300" s="125">
        <f>IF('Quant. mod. (oc)'!AE300&lt;0,0,CEILING('Quant. mod. (oc)'!AE300,6))</f>
        <v>0</v>
      </c>
      <c r="AF300" s="125">
        <f>IF('Quant. mod. (oc)'!AF300&lt;0,0,CEILING('Quant. mod. (oc)'!AF300,6))</f>
        <v>0</v>
      </c>
      <c r="AG300" s="126">
        <f>IF('Quant. mod. (oc)'!AG300&lt;0,0,CEILING('Quant. mod. (oc)'!AG300,6))</f>
        <v>0</v>
      </c>
      <c r="AH300" s="22"/>
    </row>
    <row r="301" spans="1:34" x14ac:dyDescent="0.25">
      <c r="A301" s="112"/>
      <c r="B301" s="69" t="s">
        <v>193</v>
      </c>
      <c r="C301" s="133" t="s">
        <v>59</v>
      </c>
      <c r="D301" s="125">
        <f>IF('Quant. mod. (oc)'!D301&lt;0,0,ROUND('Quant. mod. (oc)'!D301,0))</f>
        <v>1</v>
      </c>
      <c r="E301" s="125">
        <f>IF('Quant. mod. (oc)'!E301&lt;0,0,ROUND('Quant. mod. (oc)'!E301,0))</f>
        <v>0</v>
      </c>
      <c r="F301" s="125">
        <f>IF('Quant. mod. (oc)'!F301&lt;0,0,ROUND('Quant. mod. (oc)'!F301,0))</f>
        <v>0</v>
      </c>
      <c r="G301" s="125">
        <f>IF('Quant. mod. (oc)'!G301&lt;0,0,ROUND('Quant. mod. (oc)'!G301,0))</f>
        <v>1</v>
      </c>
      <c r="H301" s="125">
        <f>IF('Quant. mod. (oc)'!H301&lt;0,0,ROUND('Quant. mod. (oc)'!H301,0))</f>
        <v>0</v>
      </c>
      <c r="I301" s="125">
        <f>IF('Quant. mod. (oc)'!I301&lt;0,0,ROUND('Quant. mod. (oc)'!I301,0))</f>
        <v>0</v>
      </c>
      <c r="J301" s="125">
        <f>IF('Quant. mod. (oc)'!J301&lt;0,0,ROUND('Quant. mod. (oc)'!J301,0))</f>
        <v>1</v>
      </c>
      <c r="K301" s="125">
        <f>IF('Quant. mod. (oc)'!K301&lt;0,0,ROUND('Quant. mod. (oc)'!K301,0))</f>
        <v>0</v>
      </c>
      <c r="L301" s="125">
        <f>IF('Quant. mod. (oc)'!L301&lt;0,0,ROUND('Quant. mod. (oc)'!L301,0))</f>
        <v>1</v>
      </c>
      <c r="M301" s="125">
        <f>IF('Quant. mod. (oc)'!M301&lt;0,0,ROUND('Quant. mod. (oc)'!M301,0))</f>
        <v>0</v>
      </c>
      <c r="N301" s="125">
        <f>IF('Quant. mod. (oc)'!N301&lt;0,0,ROUND('Quant. mod. (oc)'!N301,0))</f>
        <v>1</v>
      </c>
      <c r="O301" s="125">
        <f>IF('Quant. mod. (oc)'!O301&lt;0,0,ROUND('Quant. mod. (oc)'!O301,0))</f>
        <v>0</v>
      </c>
      <c r="P301" s="125">
        <f>IF('Quant. mod. (oc)'!P301&lt;0,0,ROUND('Quant. mod. (oc)'!P301,0))</f>
        <v>0</v>
      </c>
      <c r="Q301" s="125">
        <f>IF('Quant. mod. (oc)'!Q301&lt;0,0,ROUND('Quant. mod. (oc)'!Q301,0))</f>
        <v>1</v>
      </c>
      <c r="R301" s="125">
        <f>IF('Quant. mod. (oc)'!R301&lt;0,0,ROUND('Quant. mod. (oc)'!R301,0))</f>
        <v>0</v>
      </c>
      <c r="S301" s="125">
        <f>IF('Quant. mod. (oc)'!S301&lt;0,0,ROUND('Quant. mod. (oc)'!S301,0))</f>
        <v>0</v>
      </c>
      <c r="T301" s="125">
        <f>IF('Quant. mod. (oc)'!T301&lt;0,0,ROUND('Quant. mod. (oc)'!T301,0))</f>
        <v>1</v>
      </c>
      <c r="U301" s="125">
        <f>IF('Quant. mod. (oc)'!U301&lt;0,0,ROUND('Quant. mod. (oc)'!U301,0))</f>
        <v>0</v>
      </c>
      <c r="V301" s="125">
        <f>IF('Quant. mod. (oc)'!V301&lt;0,0,ROUND('Quant. mod. (oc)'!V301,0))</f>
        <v>1</v>
      </c>
      <c r="W301" s="125">
        <f>IF('Quant. mod. (oc)'!W301&lt;0,0,ROUND('Quant. mod. (oc)'!W301,0))</f>
        <v>0</v>
      </c>
      <c r="X301" s="125">
        <f>IF('Quant. mod. (oc)'!X301&lt;0,0,ROUND('Quant. mod. (oc)'!X301,0))</f>
        <v>2</v>
      </c>
      <c r="Y301" s="125">
        <f>IF('Quant. mod. (oc)'!Y301&lt;0,0,ROUND('Quant. mod. (oc)'!Y301,0))</f>
        <v>0</v>
      </c>
      <c r="Z301" s="125">
        <f>IF('Quant. mod. (oc)'!Z301&lt;0,0,ROUND('Quant. mod. (oc)'!Z301,0))</f>
        <v>0</v>
      </c>
      <c r="AA301" s="125">
        <f>IF('Quant. mod. (oc)'!AA301&lt;0,0,ROUND('Quant. mod. (oc)'!AA301,0))</f>
        <v>2</v>
      </c>
      <c r="AB301" s="125">
        <f>IF('Quant. mod. (oc)'!AB301&lt;0,0,ROUND('Quant. mod. (oc)'!AB301,0))</f>
        <v>0</v>
      </c>
      <c r="AC301" s="125">
        <f>IF('Quant. mod. (oc)'!AC301&lt;0,0,ROUND('Quant. mod. (oc)'!AC301,0))</f>
        <v>0</v>
      </c>
      <c r="AD301" s="125">
        <f>IF('Quant. mod. (oc)'!AD301&lt;0,0,ROUND('Quant. mod. (oc)'!AD301,0))</f>
        <v>2</v>
      </c>
      <c r="AE301" s="125">
        <f>IF('Quant. mod. (oc)'!AE301&lt;0,0,ROUND('Quant. mod. (oc)'!AE301,0))</f>
        <v>0</v>
      </c>
      <c r="AF301" s="125">
        <f>IF('Quant. mod. (oc)'!AF301&lt;0,0,ROUND('Quant. mod. (oc)'!AF301,0))</f>
        <v>2</v>
      </c>
      <c r="AG301" s="126">
        <f>IF('Quant. mod. (oc)'!AG301&lt;0,0,ROUND('Quant. mod. (oc)'!AG301,0))</f>
        <v>0</v>
      </c>
      <c r="AH301" s="22"/>
    </row>
    <row r="302" spans="1:34" x14ac:dyDescent="0.25">
      <c r="A302" s="112"/>
      <c r="B302" s="69" t="s">
        <v>194</v>
      </c>
      <c r="C302" s="133" t="s">
        <v>59</v>
      </c>
      <c r="D302" s="125">
        <f>IF('Quant. mod. (oc)'!D302&lt;0,0,ROUND('Quant. mod. (oc)'!D302,0))</f>
        <v>2</v>
      </c>
      <c r="E302" s="125">
        <f>IF('Quant. mod. (oc)'!E302&lt;0,0,ROUND('Quant. mod. (oc)'!E302,0))</f>
        <v>0</v>
      </c>
      <c r="F302" s="125">
        <f>IF('Quant. mod. (oc)'!F302&lt;0,0,ROUND('Quant. mod. (oc)'!F302,0))</f>
        <v>0</v>
      </c>
      <c r="G302" s="125">
        <f>IF('Quant. mod. (oc)'!G302&lt;0,0,ROUND('Quant. mod. (oc)'!G302,0))</f>
        <v>2</v>
      </c>
      <c r="H302" s="125">
        <f>IF('Quant. mod. (oc)'!H302&lt;0,0,ROUND('Quant. mod. (oc)'!H302,0))</f>
        <v>0</v>
      </c>
      <c r="I302" s="125">
        <f>IF('Quant. mod. (oc)'!I302&lt;0,0,ROUND('Quant. mod. (oc)'!I302,0))</f>
        <v>0</v>
      </c>
      <c r="J302" s="125">
        <f>IF('Quant. mod. (oc)'!J302&lt;0,0,ROUND('Quant. mod. (oc)'!J302,0))</f>
        <v>2</v>
      </c>
      <c r="K302" s="125">
        <f>IF('Quant. mod. (oc)'!K302&lt;0,0,ROUND('Quant. mod. (oc)'!K302,0))</f>
        <v>0</v>
      </c>
      <c r="L302" s="125">
        <f>IF('Quant. mod. (oc)'!L302&lt;0,0,ROUND('Quant. mod. (oc)'!L302,0))</f>
        <v>2</v>
      </c>
      <c r="M302" s="125">
        <f>IF('Quant. mod. (oc)'!M302&lt;0,0,ROUND('Quant. mod. (oc)'!M302,0))</f>
        <v>0</v>
      </c>
      <c r="N302" s="125">
        <f>IF('Quant. mod. (oc)'!N302&lt;0,0,ROUND('Quant. mod. (oc)'!N302,0))</f>
        <v>2</v>
      </c>
      <c r="O302" s="125">
        <f>IF('Quant. mod. (oc)'!O302&lt;0,0,ROUND('Quant. mod. (oc)'!O302,0))</f>
        <v>0</v>
      </c>
      <c r="P302" s="125">
        <f>IF('Quant. mod. (oc)'!P302&lt;0,0,ROUND('Quant. mod. (oc)'!P302,0))</f>
        <v>0</v>
      </c>
      <c r="Q302" s="125">
        <f>IF('Quant. mod. (oc)'!Q302&lt;0,0,ROUND('Quant. mod. (oc)'!Q302,0))</f>
        <v>2</v>
      </c>
      <c r="R302" s="125">
        <f>IF('Quant. mod. (oc)'!R302&lt;0,0,ROUND('Quant. mod. (oc)'!R302,0))</f>
        <v>0</v>
      </c>
      <c r="S302" s="125">
        <f>IF('Quant. mod. (oc)'!S302&lt;0,0,ROUND('Quant. mod. (oc)'!S302,0))</f>
        <v>0</v>
      </c>
      <c r="T302" s="125">
        <f>IF('Quant. mod. (oc)'!T302&lt;0,0,ROUND('Quant. mod. (oc)'!T302,0))</f>
        <v>2</v>
      </c>
      <c r="U302" s="125">
        <f>IF('Quant. mod. (oc)'!U302&lt;0,0,ROUND('Quant. mod. (oc)'!U302,0))</f>
        <v>0</v>
      </c>
      <c r="V302" s="125">
        <f>IF('Quant. mod. (oc)'!V302&lt;0,0,ROUND('Quant. mod. (oc)'!V302,0))</f>
        <v>2</v>
      </c>
      <c r="W302" s="125">
        <f>IF('Quant. mod. (oc)'!W302&lt;0,0,ROUND('Quant. mod. (oc)'!W302,0))</f>
        <v>0</v>
      </c>
      <c r="X302" s="125">
        <f>IF('Quant. mod. (oc)'!X302&lt;0,0,ROUND('Quant. mod. (oc)'!X302,0))</f>
        <v>2</v>
      </c>
      <c r="Y302" s="125">
        <f>IF('Quant. mod. (oc)'!Y302&lt;0,0,ROUND('Quant. mod. (oc)'!Y302,0))</f>
        <v>0</v>
      </c>
      <c r="Z302" s="125">
        <f>IF('Quant. mod. (oc)'!Z302&lt;0,0,ROUND('Quant. mod. (oc)'!Z302,0))</f>
        <v>0</v>
      </c>
      <c r="AA302" s="125">
        <f>IF('Quant. mod. (oc)'!AA302&lt;0,0,ROUND('Quant. mod. (oc)'!AA302,0))</f>
        <v>2</v>
      </c>
      <c r="AB302" s="125">
        <f>IF('Quant. mod. (oc)'!AB302&lt;0,0,ROUND('Quant. mod. (oc)'!AB302,0))</f>
        <v>0</v>
      </c>
      <c r="AC302" s="125">
        <f>IF('Quant. mod. (oc)'!AC302&lt;0,0,ROUND('Quant. mod. (oc)'!AC302,0))</f>
        <v>0</v>
      </c>
      <c r="AD302" s="125">
        <f>IF('Quant. mod. (oc)'!AD302&lt;0,0,ROUND('Quant. mod. (oc)'!AD302,0))</f>
        <v>2</v>
      </c>
      <c r="AE302" s="125">
        <f>IF('Quant. mod. (oc)'!AE302&lt;0,0,ROUND('Quant. mod. (oc)'!AE302,0))</f>
        <v>0</v>
      </c>
      <c r="AF302" s="125">
        <f>IF('Quant. mod. (oc)'!AF302&lt;0,0,ROUND('Quant. mod. (oc)'!AF302,0))</f>
        <v>2</v>
      </c>
      <c r="AG302" s="126">
        <f>IF('Quant. mod. (oc)'!AG302&lt;0,0,ROUND('Quant. mod. (oc)'!AG302,0))</f>
        <v>0</v>
      </c>
      <c r="AH302" s="22"/>
    </row>
    <row r="303" spans="1:34" x14ac:dyDescent="0.25">
      <c r="A303" s="112"/>
      <c r="B303" s="69" t="s">
        <v>197</v>
      </c>
      <c r="C303" s="133" t="s">
        <v>59</v>
      </c>
      <c r="D303" s="125">
        <f>IF('Quant. mod. (oc)'!D303&lt;0,0,ROUND('Quant. mod. (oc)'!D303,0))</f>
        <v>3</v>
      </c>
      <c r="E303" s="125">
        <f>IF('Quant. mod. (oc)'!E303&lt;0,0,ROUND('Quant. mod. (oc)'!E303,0))</f>
        <v>3</v>
      </c>
      <c r="F303" s="125">
        <f>IF('Quant. mod. (oc)'!F303&lt;0,0,ROUND('Quant. mod. (oc)'!F303,0))</f>
        <v>2</v>
      </c>
      <c r="G303" s="125">
        <f>IF('Quant. mod. (oc)'!G303&lt;0,0,ROUND('Quant. mod. (oc)'!G303,0))</f>
        <v>3</v>
      </c>
      <c r="H303" s="125">
        <f>IF('Quant. mod. (oc)'!H303&lt;0,0,ROUND('Quant. mod. (oc)'!H303,0))</f>
        <v>3</v>
      </c>
      <c r="I303" s="125">
        <f>IF('Quant. mod. (oc)'!I303&lt;0,0,ROUND('Quant. mod. (oc)'!I303,0))</f>
        <v>2</v>
      </c>
      <c r="J303" s="125">
        <f>IF('Quant. mod. (oc)'!J303&lt;0,0,ROUND('Quant. mod. (oc)'!J303,0))</f>
        <v>3</v>
      </c>
      <c r="K303" s="125">
        <f>IF('Quant. mod. (oc)'!K303&lt;0,0,ROUND('Quant. mod. (oc)'!K303,0))</f>
        <v>2</v>
      </c>
      <c r="L303" s="125">
        <f>IF('Quant. mod. (oc)'!L303&lt;0,0,ROUND('Quant. mod. (oc)'!L303,0))</f>
        <v>3</v>
      </c>
      <c r="M303" s="125">
        <f>IF('Quant. mod. (oc)'!M303&lt;0,0,ROUND('Quant. mod. (oc)'!M303,0))</f>
        <v>2</v>
      </c>
      <c r="N303" s="125">
        <f>IF('Quant. mod. (oc)'!N303&lt;0,0,ROUND('Quant. mod. (oc)'!N303,0))</f>
        <v>1</v>
      </c>
      <c r="O303" s="125">
        <f>IF('Quant. mod. (oc)'!O303&lt;0,0,ROUND('Quant. mod. (oc)'!O303,0))</f>
        <v>3</v>
      </c>
      <c r="P303" s="125">
        <f>IF('Quant. mod. (oc)'!P303&lt;0,0,ROUND('Quant. mod. (oc)'!P303,0))</f>
        <v>2</v>
      </c>
      <c r="Q303" s="125">
        <f>IF('Quant. mod. (oc)'!Q303&lt;0,0,ROUND('Quant. mod. (oc)'!Q303,0))</f>
        <v>1</v>
      </c>
      <c r="R303" s="125">
        <f>IF('Quant. mod. (oc)'!R303&lt;0,0,ROUND('Quant. mod. (oc)'!R303,0))</f>
        <v>3</v>
      </c>
      <c r="S303" s="125">
        <f>IF('Quant. mod. (oc)'!S303&lt;0,0,ROUND('Quant. mod. (oc)'!S303,0))</f>
        <v>2</v>
      </c>
      <c r="T303" s="125">
        <f>IF('Quant. mod. (oc)'!T303&lt;0,0,ROUND('Quant. mod. (oc)'!T303,0))</f>
        <v>1</v>
      </c>
      <c r="U303" s="125">
        <f>IF('Quant. mod. (oc)'!U303&lt;0,0,ROUND('Quant. mod. (oc)'!U303,0))</f>
        <v>2</v>
      </c>
      <c r="V303" s="125">
        <f>IF('Quant. mod. (oc)'!V303&lt;0,0,ROUND('Quant. mod. (oc)'!V303,0))</f>
        <v>1</v>
      </c>
      <c r="W303" s="125">
        <f>IF('Quant. mod. (oc)'!W303&lt;0,0,ROUND('Quant. mod. (oc)'!W303,0))</f>
        <v>2</v>
      </c>
      <c r="X303" s="125">
        <f>IF('Quant. mod. (oc)'!X303&lt;0,0,ROUND('Quant. mod. (oc)'!X303,0))</f>
        <v>1</v>
      </c>
      <c r="Y303" s="125">
        <f>IF('Quant. mod. (oc)'!Y303&lt;0,0,ROUND('Quant. mod. (oc)'!Y303,0))</f>
        <v>1</v>
      </c>
      <c r="Z303" s="125">
        <f>IF('Quant. mod. (oc)'!Z303&lt;0,0,ROUND('Quant. mod. (oc)'!Z303,0))</f>
        <v>0</v>
      </c>
      <c r="AA303" s="125">
        <f>IF('Quant. mod. (oc)'!AA303&lt;0,0,ROUND('Quant. mod. (oc)'!AA303,0))</f>
        <v>1</v>
      </c>
      <c r="AB303" s="125">
        <f>IF('Quant. mod. (oc)'!AB303&lt;0,0,ROUND('Quant. mod. (oc)'!AB303,0))</f>
        <v>1</v>
      </c>
      <c r="AC303" s="125">
        <f>IF('Quant. mod. (oc)'!AC303&lt;0,0,ROUND('Quant. mod. (oc)'!AC303,0))</f>
        <v>0</v>
      </c>
      <c r="AD303" s="125">
        <f>IF('Quant. mod. (oc)'!AD303&lt;0,0,ROUND('Quant. mod. (oc)'!AD303,0))</f>
        <v>1</v>
      </c>
      <c r="AE303" s="125">
        <f>IF('Quant. mod. (oc)'!AE303&lt;0,0,ROUND('Quant. mod. (oc)'!AE303,0))</f>
        <v>0</v>
      </c>
      <c r="AF303" s="125">
        <f>IF('Quant. mod. (oc)'!AF303&lt;0,0,ROUND('Quant. mod. (oc)'!AF303,0))</f>
        <v>1</v>
      </c>
      <c r="AG303" s="126">
        <f>IF('Quant. mod. (oc)'!AG303&lt;0,0,ROUND('Quant. mod. (oc)'!AG303,0))</f>
        <v>0</v>
      </c>
      <c r="AH303" s="22"/>
    </row>
    <row r="304" spans="1:34" x14ac:dyDescent="0.25">
      <c r="A304" s="112"/>
      <c r="B304" s="69" t="s">
        <v>199</v>
      </c>
      <c r="C304" s="133" t="s">
        <v>59</v>
      </c>
      <c r="D304" s="125">
        <f>IF('Quant. mod. (oc)'!D304&lt;0,0,ROUND('Quant. mod. (oc)'!D304,0))</f>
        <v>0</v>
      </c>
      <c r="E304" s="125">
        <f>IF('Quant. mod. (oc)'!E304&lt;0,0,ROUND('Quant. mod. (oc)'!E304,0))</f>
        <v>0</v>
      </c>
      <c r="F304" s="125">
        <f>IF('Quant. mod. (oc)'!F304&lt;0,0,ROUND('Quant. mod. (oc)'!F304,0))</f>
        <v>0</v>
      </c>
      <c r="G304" s="125">
        <f>IF('Quant. mod. (oc)'!G304&lt;0,0,ROUND('Quant. mod. (oc)'!G304,0))</f>
        <v>0</v>
      </c>
      <c r="H304" s="125">
        <f>IF('Quant. mod. (oc)'!H304&lt;0,0,ROUND('Quant. mod. (oc)'!H304,0))</f>
        <v>0</v>
      </c>
      <c r="I304" s="125">
        <f>IF('Quant. mod. (oc)'!I304&lt;0,0,ROUND('Quant. mod. (oc)'!I304,0))</f>
        <v>0</v>
      </c>
      <c r="J304" s="125">
        <f>IF('Quant. mod. (oc)'!J304&lt;0,0,ROUND('Quant. mod. (oc)'!J304,0))</f>
        <v>0</v>
      </c>
      <c r="K304" s="125">
        <f>IF('Quant. mod. (oc)'!K304&lt;0,0,ROUND('Quant. mod. (oc)'!K304,0))</f>
        <v>0</v>
      </c>
      <c r="L304" s="125">
        <f>IF('Quant. mod. (oc)'!L304&lt;0,0,ROUND('Quant. mod. (oc)'!L304,0))</f>
        <v>0</v>
      </c>
      <c r="M304" s="125">
        <f>IF('Quant. mod. (oc)'!M304&lt;0,0,ROUND('Quant. mod. (oc)'!M304,0))</f>
        <v>0</v>
      </c>
      <c r="N304" s="125">
        <f>IF('Quant. mod. (oc)'!N304&lt;0,0,ROUND('Quant. mod. (oc)'!N304,0))</f>
        <v>0</v>
      </c>
      <c r="O304" s="125">
        <f>IF('Quant. mod. (oc)'!O304&lt;0,0,ROUND('Quant. mod. (oc)'!O304,0))</f>
        <v>0</v>
      </c>
      <c r="P304" s="125">
        <f>IF('Quant. mod. (oc)'!P304&lt;0,0,ROUND('Quant. mod. (oc)'!P304,0))</f>
        <v>0</v>
      </c>
      <c r="Q304" s="125">
        <f>IF('Quant. mod. (oc)'!Q304&lt;0,0,ROUND('Quant. mod. (oc)'!Q304,0))</f>
        <v>0</v>
      </c>
      <c r="R304" s="125">
        <f>IF('Quant. mod. (oc)'!R304&lt;0,0,ROUND('Quant. mod. (oc)'!R304,0))</f>
        <v>0</v>
      </c>
      <c r="S304" s="125">
        <f>IF('Quant. mod. (oc)'!S304&lt;0,0,ROUND('Quant. mod. (oc)'!S304,0))</f>
        <v>0</v>
      </c>
      <c r="T304" s="125">
        <f>IF('Quant. mod. (oc)'!T304&lt;0,0,ROUND('Quant. mod. (oc)'!T304,0))</f>
        <v>0</v>
      </c>
      <c r="U304" s="125">
        <f>IF('Quant. mod. (oc)'!U304&lt;0,0,ROUND('Quant. mod. (oc)'!U304,0))</f>
        <v>0</v>
      </c>
      <c r="V304" s="125">
        <f>IF('Quant. mod. (oc)'!V304&lt;0,0,ROUND('Quant. mod. (oc)'!V304,0))</f>
        <v>0</v>
      </c>
      <c r="W304" s="125">
        <f>IF('Quant. mod. (oc)'!W304&lt;0,0,ROUND('Quant. mod. (oc)'!W304,0))</f>
        <v>0</v>
      </c>
      <c r="X304" s="125">
        <f>IF('Quant. mod. (oc)'!X304&lt;0,0,ROUND('Quant. mod. (oc)'!X304,0))</f>
        <v>0</v>
      </c>
      <c r="Y304" s="125">
        <f>IF('Quant. mod. (oc)'!Y304&lt;0,0,ROUND('Quant. mod. (oc)'!Y304,0))</f>
        <v>0</v>
      </c>
      <c r="Z304" s="125">
        <f>IF('Quant. mod. (oc)'!Z304&lt;0,0,ROUND('Quant. mod. (oc)'!Z304,0))</f>
        <v>0</v>
      </c>
      <c r="AA304" s="125">
        <f>IF('Quant. mod. (oc)'!AA304&lt;0,0,ROUND('Quant. mod. (oc)'!AA304,0))</f>
        <v>0</v>
      </c>
      <c r="AB304" s="125">
        <f>IF('Quant. mod. (oc)'!AB304&lt;0,0,ROUND('Quant. mod. (oc)'!AB304,0))</f>
        <v>0</v>
      </c>
      <c r="AC304" s="125">
        <f>IF('Quant. mod. (oc)'!AC304&lt;0,0,ROUND('Quant. mod. (oc)'!AC304,0))</f>
        <v>0</v>
      </c>
      <c r="AD304" s="125">
        <f>IF('Quant. mod. (oc)'!AD304&lt;0,0,ROUND('Quant. mod. (oc)'!AD304,0))</f>
        <v>0</v>
      </c>
      <c r="AE304" s="125">
        <f>IF('Quant. mod. (oc)'!AE304&lt;0,0,ROUND('Quant. mod. (oc)'!AE304,0))</f>
        <v>0</v>
      </c>
      <c r="AF304" s="125">
        <f>IF('Quant. mod. (oc)'!AF304&lt;0,0,ROUND('Quant. mod. (oc)'!AF304,0))</f>
        <v>0</v>
      </c>
      <c r="AG304" s="126">
        <f>IF('Quant. mod. (oc)'!AG304&lt;0,0,ROUND('Quant. mod. (oc)'!AG304,0))</f>
        <v>0</v>
      </c>
      <c r="AH304" s="22"/>
    </row>
    <row r="305" spans="1:34" x14ac:dyDescent="0.25">
      <c r="A305" s="112"/>
      <c r="B305" s="69" t="s">
        <v>204</v>
      </c>
      <c r="C305" s="133" t="s">
        <v>59</v>
      </c>
      <c r="D305" s="125">
        <f>IF('Quant. mod. (oc)'!D305&lt;0,0,ROUND('Quant. mod. (oc)'!D305,0))</f>
        <v>0</v>
      </c>
      <c r="E305" s="125">
        <f>IF('Quant. mod. (oc)'!E305&lt;0,0,ROUND('Quant. mod. (oc)'!E305,0))</f>
        <v>0</v>
      </c>
      <c r="F305" s="125">
        <f>IF('Quant. mod. (oc)'!F305&lt;0,0,ROUND('Quant. mod. (oc)'!F305,0))</f>
        <v>0</v>
      </c>
      <c r="G305" s="125">
        <f>IF('Quant. mod. (oc)'!G305&lt;0,0,ROUND('Quant. mod. (oc)'!G305,0))</f>
        <v>0</v>
      </c>
      <c r="H305" s="125">
        <f>IF('Quant. mod. (oc)'!H305&lt;0,0,ROUND('Quant. mod. (oc)'!H305,0))</f>
        <v>0</v>
      </c>
      <c r="I305" s="125">
        <f>IF('Quant. mod. (oc)'!I305&lt;0,0,ROUND('Quant. mod. (oc)'!I305,0))</f>
        <v>0</v>
      </c>
      <c r="J305" s="125">
        <f>IF('Quant. mod. (oc)'!J305&lt;0,0,ROUND('Quant. mod. (oc)'!J305,0))</f>
        <v>0</v>
      </c>
      <c r="K305" s="125">
        <f>IF('Quant. mod. (oc)'!K305&lt;0,0,ROUND('Quant. mod. (oc)'!K305,0))</f>
        <v>0</v>
      </c>
      <c r="L305" s="125">
        <f>IF('Quant. mod. (oc)'!L305&lt;0,0,ROUND('Quant. mod. (oc)'!L305,0))</f>
        <v>0</v>
      </c>
      <c r="M305" s="125">
        <f>IF('Quant. mod. (oc)'!M305&lt;0,0,ROUND('Quant. mod. (oc)'!M305,0))</f>
        <v>0</v>
      </c>
      <c r="N305" s="125">
        <f>IF('Quant. mod. (oc)'!N305&lt;0,0,ROUND('Quant. mod. (oc)'!N305,0))</f>
        <v>0</v>
      </c>
      <c r="O305" s="125">
        <f>IF('Quant. mod. (oc)'!O305&lt;0,0,ROUND('Quant. mod. (oc)'!O305,0))</f>
        <v>0</v>
      </c>
      <c r="P305" s="125">
        <f>IF('Quant. mod. (oc)'!P305&lt;0,0,ROUND('Quant. mod. (oc)'!P305,0))</f>
        <v>0</v>
      </c>
      <c r="Q305" s="125">
        <f>IF('Quant. mod. (oc)'!Q305&lt;0,0,ROUND('Quant. mod. (oc)'!Q305,0))</f>
        <v>0</v>
      </c>
      <c r="R305" s="125">
        <f>IF('Quant. mod. (oc)'!R305&lt;0,0,ROUND('Quant. mod. (oc)'!R305,0))</f>
        <v>0</v>
      </c>
      <c r="S305" s="125">
        <f>IF('Quant. mod. (oc)'!S305&lt;0,0,ROUND('Quant. mod. (oc)'!S305,0))</f>
        <v>0</v>
      </c>
      <c r="T305" s="125">
        <f>IF('Quant. mod. (oc)'!T305&lt;0,0,ROUND('Quant. mod. (oc)'!T305,0))</f>
        <v>0</v>
      </c>
      <c r="U305" s="125">
        <f>IF('Quant. mod. (oc)'!U305&lt;0,0,ROUND('Quant. mod. (oc)'!U305,0))</f>
        <v>0</v>
      </c>
      <c r="V305" s="125">
        <f>IF('Quant. mod. (oc)'!V305&lt;0,0,ROUND('Quant. mod. (oc)'!V305,0))</f>
        <v>0</v>
      </c>
      <c r="W305" s="125">
        <f>IF('Quant. mod. (oc)'!W305&lt;0,0,ROUND('Quant. mod. (oc)'!W305,0))</f>
        <v>0</v>
      </c>
      <c r="X305" s="125">
        <f>IF('Quant. mod. (oc)'!X305&lt;0,0,ROUND('Quant. mod. (oc)'!X305,0))</f>
        <v>0</v>
      </c>
      <c r="Y305" s="125">
        <f>IF('Quant. mod. (oc)'!Y305&lt;0,0,ROUND('Quant. mod. (oc)'!Y305,0))</f>
        <v>0</v>
      </c>
      <c r="Z305" s="125">
        <f>IF('Quant. mod. (oc)'!Z305&lt;0,0,ROUND('Quant. mod. (oc)'!Z305,0))</f>
        <v>1</v>
      </c>
      <c r="AA305" s="125">
        <f>IF('Quant. mod. (oc)'!AA305&lt;0,0,ROUND('Quant. mod. (oc)'!AA305,0))</f>
        <v>0</v>
      </c>
      <c r="AB305" s="125">
        <f>IF('Quant. mod. (oc)'!AB305&lt;0,0,ROUND('Quant. mod. (oc)'!AB305,0))</f>
        <v>0</v>
      </c>
      <c r="AC305" s="125">
        <f>IF('Quant. mod. (oc)'!AC305&lt;0,0,ROUND('Quant. mod. (oc)'!AC305,0))</f>
        <v>1</v>
      </c>
      <c r="AD305" s="125">
        <f>IF('Quant. mod. (oc)'!AD305&lt;0,0,ROUND('Quant. mod. (oc)'!AD305,0))</f>
        <v>0</v>
      </c>
      <c r="AE305" s="125">
        <f>IF('Quant. mod. (oc)'!AE305&lt;0,0,ROUND('Quant. mod. (oc)'!AE305,0))</f>
        <v>1</v>
      </c>
      <c r="AF305" s="125">
        <f>IF('Quant. mod. (oc)'!AF305&lt;0,0,ROUND('Quant. mod. (oc)'!AF305,0))</f>
        <v>0</v>
      </c>
      <c r="AG305" s="126">
        <f>IF('Quant. mod. (oc)'!AG305&lt;0,0,ROUND('Quant. mod. (oc)'!AG305,0))</f>
        <v>1</v>
      </c>
      <c r="AH305" s="22"/>
    </row>
    <row r="306" spans="1:34" x14ac:dyDescent="0.25">
      <c r="A306" s="112"/>
      <c r="B306" s="69" t="s">
        <v>320</v>
      </c>
      <c r="C306" s="133" t="s">
        <v>59</v>
      </c>
      <c r="D306" s="125">
        <f>IF('Quant. mod. (oc)'!D306&lt;0,0,ROUND('Quant. mod. (oc)'!D306,0))</f>
        <v>0</v>
      </c>
      <c r="E306" s="125">
        <f>IF('Quant. mod. (oc)'!E306&lt;0,0,ROUND('Quant. mod. (oc)'!E306,0))</f>
        <v>0</v>
      </c>
      <c r="F306" s="125">
        <f>IF('Quant. mod. (oc)'!F306&lt;0,0,ROUND('Quant. mod. (oc)'!F306,0))</f>
        <v>0</v>
      </c>
      <c r="G306" s="125">
        <f>IF('Quant. mod. (oc)'!G306&lt;0,0,ROUND('Quant. mod. (oc)'!G306,0))</f>
        <v>0</v>
      </c>
      <c r="H306" s="125">
        <f>IF('Quant. mod. (oc)'!H306&lt;0,0,ROUND('Quant. mod. (oc)'!H306,0))</f>
        <v>0</v>
      </c>
      <c r="I306" s="125">
        <f>IF('Quant. mod. (oc)'!I306&lt;0,0,ROUND('Quant. mod. (oc)'!I306,0))</f>
        <v>0</v>
      </c>
      <c r="J306" s="125">
        <f>IF('Quant. mod. (oc)'!J306&lt;0,0,ROUND('Quant. mod. (oc)'!J306,0))</f>
        <v>0</v>
      </c>
      <c r="K306" s="125">
        <f>IF('Quant. mod. (oc)'!K306&lt;0,0,ROUND('Quant. mod. (oc)'!K306,0))</f>
        <v>0</v>
      </c>
      <c r="L306" s="125">
        <f>IF('Quant. mod. (oc)'!L306&lt;0,0,ROUND('Quant. mod. (oc)'!L306,0))</f>
        <v>0</v>
      </c>
      <c r="M306" s="125">
        <f>IF('Quant. mod. (oc)'!M306&lt;0,0,ROUND('Quant. mod. (oc)'!M306,0))</f>
        <v>0</v>
      </c>
      <c r="N306" s="125">
        <f>IF('Quant. mod. (oc)'!N306&lt;0,0,ROUND('Quant. mod. (oc)'!N306,0))</f>
        <v>0</v>
      </c>
      <c r="O306" s="125">
        <f>IF('Quant. mod. (oc)'!O306&lt;0,0,ROUND('Quant. mod. (oc)'!O306,0))</f>
        <v>0</v>
      </c>
      <c r="P306" s="125">
        <f>IF('Quant. mod. (oc)'!P306&lt;0,0,ROUND('Quant. mod. (oc)'!P306,0))</f>
        <v>0</v>
      </c>
      <c r="Q306" s="125">
        <f>IF('Quant. mod. (oc)'!Q306&lt;0,0,ROUND('Quant. mod. (oc)'!Q306,0))</f>
        <v>0</v>
      </c>
      <c r="R306" s="125">
        <f>IF('Quant. mod. (oc)'!R306&lt;0,0,ROUND('Quant. mod. (oc)'!R306,0))</f>
        <v>0</v>
      </c>
      <c r="S306" s="125">
        <f>IF('Quant. mod. (oc)'!S306&lt;0,0,ROUND('Quant. mod. (oc)'!S306,0))</f>
        <v>0</v>
      </c>
      <c r="T306" s="125">
        <f>IF('Quant. mod. (oc)'!T306&lt;0,0,ROUND('Quant. mod. (oc)'!T306,0))</f>
        <v>0</v>
      </c>
      <c r="U306" s="125">
        <f>IF('Quant. mod. (oc)'!U306&lt;0,0,ROUND('Quant. mod. (oc)'!U306,0))</f>
        <v>0</v>
      </c>
      <c r="V306" s="125">
        <f>IF('Quant. mod. (oc)'!V306&lt;0,0,ROUND('Quant. mod. (oc)'!V306,0))</f>
        <v>0</v>
      </c>
      <c r="W306" s="125">
        <f>IF('Quant. mod. (oc)'!W306&lt;0,0,ROUND('Quant. mod. (oc)'!W306,0))</f>
        <v>0</v>
      </c>
      <c r="X306" s="125">
        <f>IF('Quant. mod. (oc)'!X306&lt;0,0,ROUND('Quant. mod. (oc)'!X306,0))</f>
        <v>0</v>
      </c>
      <c r="Y306" s="125">
        <f>IF('Quant. mod. (oc)'!Y306&lt;0,0,ROUND('Quant. mod. (oc)'!Y306,0))</f>
        <v>0</v>
      </c>
      <c r="Z306" s="125">
        <f>IF('Quant. mod. (oc)'!Z306&lt;0,0,ROUND('Quant. mod. (oc)'!Z306,0))</f>
        <v>0</v>
      </c>
      <c r="AA306" s="125">
        <f>IF('Quant. mod. (oc)'!AA306&lt;0,0,ROUND('Quant. mod. (oc)'!AA306,0))</f>
        <v>0</v>
      </c>
      <c r="AB306" s="125">
        <f>IF('Quant. mod. (oc)'!AB306&lt;0,0,ROUND('Quant. mod. (oc)'!AB306,0))</f>
        <v>0</v>
      </c>
      <c r="AC306" s="125">
        <f>IF('Quant. mod. (oc)'!AC306&lt;0,0,ROUND('Quant. mod. (oc)'!AC306,0))</f>
        <v>0</v>
      </c>
      <c r="AD306" s="125">
        <f>IF('Quant. mod. (oc)'!AD306&lt;0,0,ROUND('Quant. mod. (oc)'!AD306,0))</f>
        <v>0</v>
      </c>
      <c r="AE306" s="125">
        <f>IF('Quant. mod. (oc)'!AE306&lt;0,0,ROUND('Quant. mod. (oc)'!AE306,0))</f>
        <v>0</v>
      </c>
      <c r="AF306" s="125">
        <f>IF('Quant. mod. (oc)'!AF306&lt;0,0,ROUND('Quant. mod. (oc)'!AF306,0))</f>
        <v>0</v>
      </c>
      <c r="AG306" s="126">
        <f>IF('Quant. mod. (oc)'!AG306&lt;0,0,ROUND('Quant. mod. (oc)'!AG306,0))</f>
        <v>0</v>
      </c>
      <c r="AH306" s="22"/>
    </row>
    <row r="307" spans="1:34" x14ac:dyDescent="0.25">
      <c r="A307" s="112"/>
      <c r="B307" s="69" t="s">
        <v>210</v>
      </c>
      <c r="C307" s="133" t="s">
        <v>59</v>
      </c>
      <c r="D307" s="125">
        <f>IF('Quant. mod. (oc)'!D307&lt;0,0,ROUND('Quant. mod. (oc)'!D307,0))</f>
        <v>2</v>
      </c>
      <c r="E307" s="125">
        <f>IF('Quant. mod. (oc)'!E307&lt;0,0,ROUND('Quant. mod. (oc)'!E307,0))</f>
        <v>0</v>
      </c>
      <c r="F307" s="125">
        <f>IF('Quant. mod. (oc)'!F307&lt;0,0,ROUND('Quant. mod. (oc)'!F307,0))</f>
        <v>0</v>
      </c>
      <c r="G307" s="125">
        <f>IF('Quant. mod. (oc)'!G307&lt;0,0,ROUND('Quant. mod. (oc)'!G307,0))</f>
        <v>2</v>
      </c>
      <c r="H307" s="125">
        <f>IF('Quant. mod. (oc)'!H307&lt;0,0,ROUND('Quant. mod. (oc)'!H307,0))</f>
        <v>0</v>
      </c>
      <c r="I307" s="125">
        <f>IF('Quant. mod. (oc)'!I307&lt;0,0,ROUND('Quant. mod. (oc)'!I307,0))</f>
        <v>0</v>
      </c>
      <c r="J307" s="125">
        <f>IF('Quant. mod. (oc)'!J307&lt;0,0,ROUND('Quant. mod. (oc)'!J307,0))</f>
        <v>2</v>
      </c>
      <c r="K307" s="125">
        <f>IF('Quant. mod. (oc)'!K307&lt;0,0,ROUND('Quant. mod. (oc)'!K307,0))</f>
        <v>0</v>
      </c>
      <c r="L307" s="125">
        <f>IF('Quant. mod. (oc)'!L307&lt;0,0,ROUND('Quant. mod. (oc)'!L307,0))</f>
        <v>2</v>
      </c>
      <c r="M307" s="125">
        <f>IF('Quant. mod. (oc)'!M307&lt;0,0,ROUND('Quant. mod. (oc)'!M307,0))</f>
        <v>0</v>
      </c>
      <c r="N307" s="125">
        <f>IF('Quant. mod. (oc)'!N307&lt;0,0,ROUND('Quant. mod. (oc)'!N307,0))</f>
        <v>2</v>
      </c>
      <c r="O307" s="125">
        <f>IF('Quant. mod. (oc)'!O307&lt;0,0,ROUND('Quant. mod. (oc)'!O307,0))</f>
        <v>0</v>
      </c>
      <c r="P307" s="125">
        <f>IF('Quant. mod. (oc)'!P307&lt;0,0,ROUND('Quant. mod. (oc)'!P307,0))</f>
        <v>0</v>
      </c>
      <c r="Q307" s="125">
        <f>IF('Quant. mod. (oc)'!Q307&lt;0,0,ROUND('Quant. mod. (oc)'!Q307,0))</f>
        <v>2</v>
      </c>
      <c r="R307" s="125">
        <f>IF('Quant. mod. (oc)'!R307&lt;0,0,ROUND('Quant. mod. (oc)'!R307,0))</f>
        <v>0</v>
      </c>
      <c r="S307" s="125">
        <f>IF('Quant. mod. (oc)'!S307&lt;0,0,ROUND('Quant. mod. (oc)'!S307,0))</f>
        <v>0</v>
      </c>
      <c r="T307" s="125">
        <f>IF('Quant. mod. (oc)'!T307&lt;0,0,ROUND('Quant. mod. (oc)'!T307,0))</f>
        <v>2</v>
      </c>
      <c r="U307" s="125">
        <f>IF('Quant. mod. (oc)'!U307&lt;0,0,ROUND('Quant. mod. (oc)'!U307,0))</f>
        <v>0</v>
      </c>
      <c r="V307" s="125">
        <f>IF('Quant. mod. (oc)'!V307&lt;0,0,ROUND('Quant. mod. (oc)'!V307,0))</f>
        <v>2</v>
      </c>
      <c r="W307" s="125">
        <f>IF('Quant. mod. (oc)'!W307&lt;0,0,ROUND('Quant. mod. (oc)'!W307,0))</f>
        <v>0</v>
      </c>
      <c r="X307" s="125">
        <f>IF('Quant. mod. (oc)'!X307&lt;0,0,ROUND('Quant. mod. (oc)'!X307,0))</f>
        <v>2</v>
      </c>
      <c r="Y307" s="125">
        <f>IF('Quant. mod. (oc)'!Y307&lt;0,0,ROUND('Quant. mod. (oc)'!Y307,0))</f>
        <v>0</v>
      </c>
      <c r="Z307" s="125">
        <f>IF('Quant. mod. (oc)'!Z307&lt;0,0,ROUND('Quant. mod. (oc)'!Z307,0))</f>
        <v>0</v>
      </c>
      <c r="AA307" s="125">
        <f>IF('Quant. mod. (oc)'!AA307&lt;0,0,ROUND('Quant. mod. (oc)'!AA307,0))</f>
        <v>2</v>
      </c>
      <c r="AB307" s="125">
        <f>IF('Quant. mod. (oc)'!AB307&lt;0,0,ROUND('Quant. mod. (oc)'!AB307,0))</f>
        <v>0</v>
      </c>
      <c r="AC307" s="125">
        <f>IF('Quant. mod. (oc)'!AC307&lt;0,0,ROUND('Quant. mod. (oc)'!AC307,0))</f>
        <v>0</v>
      </c>
      <c r="AD307" s="125">
        <f>IF('Quant. mod. (oc)'!AD307&lt;0,0,ROUND('Quant. mod. (oc)'!AD307,0))</f>
        <v>2</v>
      </c>
      <c r="AE307" s="125">
        <f>IF('Quant. mod. (oc)'!AE307&lt;0,0,ROUND('Quant. mod. (oc)'!AE307,0))</f>
        <v>0</v>
      </c>
      <c r="AF307" s="125">
        <f>IF('Quant. mod. (oc)'!AF307&lt;0,0,ROUND('Quant. mod. (oc)'!AF307,0))</f>
        <v>2</v>
      </c>
      <c r="AG307" s="126">
        <f>IF('Quant. mod. (oc)'!AG307&lt;0,0,ROUND('Quant. mod. (oc)'!AG307,0))</f>
        <v>0</v>
      </c>
      <c r="AH307" s="22"/>
    </row>
    <row r="308" spans="1:34" x14ac:dyDescent="0.25">
      <c r="A308" s="112"/>
      <c r="B308" s="69" t="s">
        <v>219</v>
      </c>
      <c r="C308" s="133" t="s">
        <v>59</v>
      </c>
      <c r="D308" s="125">
        <f>IF('Quant. mod. (oc)'!D308&lt;0,0,ROUND('Quant. mod. (oc)'!D308,0))</f>
        <v>2</v>
      </c>
      <c r="E308" s="125">
        <f>IF('Quant. mod. (oc)'!E308&lt;0,0,ROUND('Quant. mod. (oc)'!E308,0))</f>
        <v>0</v>
      </c>
      <c r="F308" s="125">
        <f>IF('Quant. mod. (oc)'!F308&lt;0,0,ROUND('Quant. mod. (oc)'!F308,0))</f>
        <v>0</v>
      </c>
      <c r="G308" s="125">
        <f>IF('Quant. mod. (oc)'!G308&lt;0,0,ROUND('Quant. mod. (oc)'!G308,0))</f>
        <v>2</v>
      </c>
      <c r="H308" s="125">
        <f>IF('Quant. mod. (oc)'!H308&lt;0,0,ROUND('Quant. mod. (oc)'!H308,0))</f>
        <v>0</v>
      </c>
      <c r="I308" s="125">
        <f>IF('Quant. mod. (oc)'!I308&lt;0,0,ROUND('Quant. mod. (oc)'!I308,0))</f>
        <v>0</v>
      </c>
      <c r="J308" s="125">
        <f>IF('Quant. mod. (oc)'!J308&lt;0,0,ROUND('Quant. mod. (oc)'!J308,0))</f>
        <v>2</v>
      </c>
      <c r="K308" s="125">
        <f>IF('Quant. mod. (oc)'!K308&lt;0,0,ROUND('Quant. mod. (oc)'!K308,0))</f>
        <v>0</v>
      </c>
      <c r="L308" s="125">
        <f>IF('Quant. mod. (oc)'!L308&lt;0,0,ROUND('Quant. mod. (oc)'!L308,0))</f>
        <v>2</v>
      </c>
      <c r="M308" s="125">
        <f>IF('Quant. mod. (oc)'!M308&lt;0,0,ROUND('Quant. mod. (oc)'!M308,0))</f>
        <v>0</v>
      </c>
      <c r="N308" s="125">
        <f>IF('Quant. mod. (oc)'!N308&lt;0,0,ROUND('Quant. mod. (oc)'!N308,0))</f>
        <v>2</v>
      </c>
      <c r="O308" s="125">
        <f>IF('Quant. mod. (oc)'!O308&lt;0,0,ROUND('Quant. mod. (oc)'!O308,0))</f>
        <v>0</v>
      </c>
      <c r="P308" s="125">
        <f>IF('Quant. mod. (oc)'!P308&lt;0,0,ROUND('Quant. mod. (oc)'!P308,0))</f>
        <v>0</v>
      </c>
      <c r="Q308" s="125">
        <f>IF('Quant. mod. (oc)'!Q308&lt;0,0,ROUND('Quant. mod. (oc)'!Q308,0))</f>
        <v>2</v>
      </c>
      <c r="R308" s="125">
        <f>IF('Quant. mod. (oc)'!R308&lt;0,0,ROUND('Quant. mod. (oc)'!R308,0))</f>
        <v>0</v>
      </c>
      <c r="S308" s="125">
        <f>IF('Quant. mod. (oc)'!S308&lt;0,0,ROUND('Quant. mod. (oc)'!S308,0))</f>
        <v>0</v>
      </c>
      <c r="T308" s="125">
        <f>IF('Quant. mod. (oc)'!T308&lt;0,0,ROUND('Quant. mod. (oc)'!T308,0))</f>
        <v>2</v>
      </c>
      <c r="U308" s="125">
        <f>IF('Quant. mod. (oc)'!U308&lt;0,0,ROUND('Quant. mod. (oc)'!U308,0))</f>
        <v>0</v>
      </c>
      <c r="V308" s="125">
        <f>IF('Quant. mod. (oc)'!V308&lt;0,0,ROUND('Quant. mod. (oc)'!V308,0))</f>
        <v>2</v>
      </c>
      <c r="W308" s="125">
        <f>IF('Quant. mod. (oc)'!W308&lt;0,0,ROUND('Quant. mod. (oc)'!W308,0))</f>
        <v>0</v>
      </c>
      <c r="X308" s="125">
        <f>IF('Quant. mod. (oc)'!X308&lt;0,0,ROUND('Quant. mod. (oc)'!X308,0))</f>
        <v>2</v>
      </c>
      <c r="Y308" s="125">
        <f>IF('Quant. mod. (oc)'!Y308&lt;0,0,ROUND('Quant. mod. (oc)'!Y308,0))</f>
        <v>2</v>
      </c>
      <c r="Z308" s="125">
        <f>IF('Quant. mod. (oc)'!Z308&lt;0,0,ROUND('Quant. mod. (oc)'!Z308,0))</f>
        <v>0</v>
      </c>
      <c r="AA308" s="125">
        <f>IF('Quant. mod. (oc)'!AA308&lt;0,0,ROUND('Quant. mod. (oc)'!AA308,0))</f>
        <v>2</v>
      </c>
      <c r="AB308" s="125">
        <f>IF('Quant. mod. (oc)'!AB308&lt;0,0,ROUND('Quant. mod. (oc)'!AB308,0))</f>
        <v>2</v>
      </c>
      <c r="AC308" s="125">
        <f>IF('Quant. mod. (oc)'!AC308&lt;0,0,ROUND('Quant. mod. (oc)'!AC308,0))</f>
        <v>0</v>
      </c>
      <c r="AD308" s="125">
        <f>IF('Quant. mod. (oc)'!AD308&lt;0,0,ROUND('Quant. mod. (oc)'!AD308,0))</f>
        <v>2</v>
      </c>
      <c r="AE308" s="125">
        <f>IF('Quant. mod. (oc)'!AE308&lt;0,0,ROUND('Quant. mod. (oc)'!AE308,0))</f>
        <v>0</v>
      </c>
      <c r="AF308" s="125">
        <f>IF('Quant. mod. (oc)'!AF308&lt;0,0,ROUND('Quant. mod. (oc)'!AF308,0))</f>
        <v>2</v>
      </c>
      <c r="AG308" s="126">
        <f>IF('Quant. mod. (oc)'!AG308&lt;0,0,ROUND('Quant. mod. (oc)'!AG308,0))</f>
        <v>0</v>
      </c>
      <c r="AH308" s="22"/>
    </row>
    <row r="309" spans="1:34" x14ac:dyDescent="0.25">
      <c r="A309" s="112"/>
      <c r="B309" s="69" t="s">
        <v>220</v>
      </c>
      <c r="C309" s="133" t="s">
        <v>59</v>
      </c>
      <c r="D309" s="125">
        <f>IF('Quant. mod. (oc)'!D309&lt;0,0,ROUND('Quant. mod. (oc)'!D309,0))</f>
        <v>0</v>
      </c>
      <c r="E309" s="125">
        <f>IF('Quant. mod. (oc)'!E309&lt;0,0,ROUND('Quant. mod. (oc)'!E309,0))</f>
        <v>0</v>
      </c>
      <c r="F309" s="125">
        <f>IF('Quant. mod. (oc)'!F309&lt;0,0,ROUND('Quant. mod. (oc)'!F309,0))</f>
        <v>0</v>
      </c>
      <c r="G309" s="125">
        <f>IF('Quant. mod. (oc)'!G309&lt;0,0,ROUND('Quant. mod. (oc)'!G309,0))</f>
        <v>0</v>
      </c>
      <c r="H309" s="125">
        <f>IF('Quant. mod. (oc)'!H309&lt;0,0,ROUND('Quant. mod. (oc)'!H309,0))</f>
        <v>0</v>
      </c>
      <c r="I309" s="125">
        <f>IF('Quant. mod. (oc)'!I309&lt;0,0,ROUND('Quant. mod. (oc)'!I309,0))</f>
        <v>0</v>
      </c>
      <c r="J309" s="125">
        <f>IF('Quant. mod. (oc)'!J309&lt;0,0,ROUND('Quant. mod. (oc)'!J309,0))</f>
        <v>0</v>
      </c>
      <c r="K309" s="125">
        <f>IF('Quant. mod. (oc)'!K309&lt;0,0,ROUND('Quant. mod. (oc)'!K309,0))</f>
        <v>0</v>
      </c>
      <c r="L309" s="125">
        <f>IF('Quant. mod. (oc)'!L309&lt;0,0,ROUND('Quant. mod. (oc)'!L309,0))</f>
        <v>0</v>
      </c>
      <c r="M309" s="125">
        <f>IF('Quant. mod. (oc)'!M309&lt;0,0,ROUND('Quant. mod. (oc)'!M309,0))</f>
        <v>0</v>
      </c>
      <c r="N309" s="125">
        <f>IF('Quant. mod. (oc)'!N309&lt;0,0,ROUND('Quant. mod. (oc)'!N309,0))</f>
        <v>0</v>
      </c>
      <c r="O309" s="125">
        <f>IF('Quant. mod. (oc)'!O309&lt;0,0,ROUND('Quant. mod. (oc)'!O309,0))</f>
        <v>0</v>
      </c>
      <c r="P309" s="125">
        <f>IF('Quant. mod. (oc)'!P309&lt;0,0,ROUND('Quant. mod. (oc)'!P309,0))</f>
        <v>0</v>
      </c>
      <c r="Q309" s="125">
        <f>IF('Quant. mod. (oc)'!Q309&lt;0,0,ROUND('Quant. mod. (oc)'!Q309,0))</f>
        <v>0</v>
      </c>
      <c r="R309" s="125">
        <f>IF('Quant. mod. (oc)'!R309&lt;0,0,ROUND('Quant. mod. (oc)'!R309,0))</f>
        <v>0</v>
      </c>
      <c r="S309" s="125">
        <f>IF('Quant. mod. (oc)'!S309&lt;0,0,ROUND('Quant. mod. (oc)'!S309,0))</f>
        <v>0</v>
      </c>
      <c r="T309" s="125">
        <f>IF('Quant. mod. (oc)'!T309&lt;0,0,ROUND('Quant. mod. (oc)'!T309,0))</f>
        <v>0</v>
      </c>
      <c r="U309" s="125">
        <f>IF('Quant. mod. (oc)'!U309&lt;0,0,ROUND('Quant. mod. (oc)'!U309,0))</f>
        <v>0</v>
      </c>
      <c r="V309" s="125">
        <f>IF('Quant. mod. (oc)'!V309&lt;0,0,ROUND('Quant. mod. (oc)'!V309,0))</f>
        <v>0</v>
      </c>
      <c r="W309" s="125">
        <f>IF('Quant. mod. (oc)'!W309&lt;0,0,ROUND('Quant. mod. (oc)'!W309,0))</f>
        <v>0</v>
      </c>
      <c r="X309" s="125">
        <f>IF('Quant. mod. (oc)'!X309&lt;0,0,ROUND('Quant. mod. (oc)'!X309,0))</f>
        <v>0</v>
      </c>
      <c r="Y309" s="125">
        <f>IF('Quant. mod. (oc)'!Y309&lt;0,0,ROUND('Quant. mod. (oc)'!Y309,0))</f>
        <v>0</v>
      </c>
      <c r="Z309" s="125">
        <f>IF('Quant. mod. (oc)'!Z309&lt;0,0,ROUND('Quant. mod. (oc)'!Z309,0))</f>
        <v>0</v>
      </c>
      <c r="AA309" s="125">
        <f>IF('Quant. mod. (oc)'!AA309&lt;0,0,ROUND('Quant. mod. (oc)'!AA309,0))</f>
        <v>0</v>
      </c>
      <c r="AB309" s="125">
        <f>IF('Quant. mod. (oc)'!AB309&lt;0,0,ROUND('Quant. mod. (oc)'!AB309,0))</f>
        <v>0</v>
      </c>
      <c r="AC309" s="125">
        <f>IF('Quant. mod. (oc)'!AC309&lt;0,0,ROUND('Quant. mod. (oc)'!AC309,0))</f>
        <v>0</v>
      </c>
      <c r="AD309" s="125">
        <f>IF('Quant. mod. (oc)'!AD309&lt;0,0,ROUND('Quant. mod. (oc)'!AD309,0))</f>
        <v>0</v>
      </c>
      <c r="AE309" s="125">
        <f>IF('Quant. mod. (oc)'!AE309&lt;0,0,ROUND('Quant. mod. (oc)'!AE309,0))</f>
        <v>0</v>
      </c>
      <c r="AF309" s="125">
        <f>IF('Quant. mod. (oc)'!AF309&lt;0,0,ROUND('Quant. mod. (oc)'!AF309,0))</f>
        <v>0</v>
      </c>
      <c r="AG309" s="126">
        <f>IF('Quant. mod. (oc)'!AG309&lt;0,0,ROUND('Quant. mod. (oc)'!AG309,0))</f>
        <v>0</v>
      </c>
      <c r="AH309" s="22"/>
    </row>
    <row r="310" spans="1:34" x14ac:dyDescent="0.25">
      <c r="A310" s="112"/>
      <c r="B310" s="69" t="s">
        <v>221</v>
      </c>
      <c r="C310" s="133" t="s">
        <v>59</v>
      </c>
      <c r="D310" s="125">
        <f>IF('Quant. mod. (oc)'!D310&lt;0,0,ROUND('Quant. mod. (oc)'!D310,0))</f>
        <v>8</v>
      </c>
      <c r="E310" s="125">
        <f>IF('Quant. mod. (oc)'!E310&lt;0,0,ROUND('Quant. mod. (oc)'!E310,0))</f>
        <v>0</v>
      </c>
      <c r="F310" s="125">
        <f>IF('Quant. mod. (oc)'!F310&lt;0,0,ROUND('Quant. mod. (oc)'!F310,0))</f>
        <v>3</v>
      </c>
      <c r="G310" s="125">
        <f>IF('Quant. mod. (oc)'!G310&lt;0,0,ROUND('Quant. mod. (oc)'!G310,0))</f>
        <v>8</v>
      </c>
      <c r="H310" s="125">
        <f>IF('Quant. mod. (oc)'!H310&lt;0,0,ROUND('Quant. mod. (oc)'!H310,0))</f>
        <v>0</v>
      </c>
      <c r="I310" s="125">
        <f>IF('Quant. mod. (oc)'!I310&lt;0,0,ROUND('Quant. mod. (oc)'!I310,0))</f>
        <v>3</v>
      </c>
      <c r="J310" s="125">
        <f>IF('Quant. mod. (oc)'!J310&lt;0,0,ROUND('Quant. mod. (oc)'!J310,0))</f>
        <v>8</v>
      </c>
      <c r="K310" s="125">
        <f>IF('Quant. mod. (oc)'!K310&lt;0,0,ROUND('Quant. mod. (oc)'!K310,0))</f>
        <v>3</v>
      </c>
      <c r="L310" s="125">
        <f>IF('Quant. mod. (oc)'!L310&lt;0,0,ROUND('Quant. mod. (oc)'!L310,0))</f>
        <v>8</v>
      </c>
      <c r="M310" s="125">
        <f>IF('Quant. mod. (oc)'!M310&lt;0,0,ROUND('Quant. mod. (oc)'!M310,0))</f>
        <v>3</v>
      </c>
      <c r="N310" s="125">
        <f>IF('Quant. mod. (oc)'!N310&lt;0,0,ROUND('Quant. mod. (oc)'!N310,0))</f>
        <v>8</v>
      </c>
      <c r="O310" s="125">
        <f>IF('Quant. mod. (oc)'!O310&lt;0,0,ROUND('Quant. mod. (oc)'!O310,0))</f>
        <v>0</v>
      </c>
      <c r="P310" s="125">
        <f>IF('Quant. mod. (oc)'!P310&lt;0,0,ROUND('Quant. mod. (oc)'!P310,0))</f>
        <v>3</v>
      </c>
      <c r="Q310" s="125">
        <f>IF('Quant. mod. (oc)'!Q310&lt;0,0,ROUND('Quant. mod. (oc)'!Q310,0))</f>
        <v>8</v>
      </c>
      <c r="R310" s="125">
        <f>IF('Quant. mod. (oc)'!R310&lt;0,0,ROUND('Quant. mod. (oc)'!R310,0))</f>
        <v>0</v>
      </c>
      <c r="S310" s="125">
        <f>IF('Quant. mod. (oc)'!S310&lt;0,0,ROUND('Quant. mod. (oc)'!S310,0))</f>
        <v>3</v>
      </c>
      <c r="T310" s="125">
        <f>IF('Quant. mod. (oc)'!T310&lt;0,0,ROUND('Quant. mod. (oc)'!T310,0))</f>
        <v>8</v>
      </c>
      <c r="U310" s="125">
        <f>IF('Quant. mod. (oc)'!U310&lt;0,0,ROUND('Quant. mod. (oc)'!U310,0))</f>
        <v>3</v>
      </c>
      <c r="V310" s="125">
        <f>IF('Quant. mod. (oc)'!V310&lt;0,0,ROUND('Quant. mod. (oc)'!V310,0))</f>
        <v>8</v>
      </c>
      <c r="W310" s="125">
        <f>IF('Quant. mod. (oc)'!W310&lt;0,0,ROUND('Quant. mod. (oc)'!W310,0))</f>
        <v>3</v>
      </c>
      <c r="X310" s="125">
        <f>IF('Quant. mod. (oc)'!X310&lt;0,0,ROUND('Quant. mod. (oc)'!X310,0))</f>
        <v>8</v>
      </c>
      <c r="Y310" s="125">
        <f>IF('Quant. mod. (oc)'!Y310&lt;0,0,ROUND('Quant. mod. (oc)'!Y310,0))</f>
        <v>0</v>
      </c>
      <c r="Z310" s="125">
        <f>IF('Quant. mod. (oc)'!Z310&lt;0,0,ROUND('Quant. mod. (oc)'!Z310,0))</f>
        <v>0</v>
      </c>
      <c r="AA310" s="125">
        <f>IF('Quant. mod. (oc)'!AA310&lt;0,0,ROUND('Quant. mod. (oc)'!AA310,0))</f>
        <v>8</v>
      </c>
      <c r="AB310" s="125">
        <f>IF('Quant. mod. (oc)'!AB310&lt;0,0,ROUND('Quant. mod. (oc)'!AB310,0))</f>
        <v>0</v>
      </c>
      <c r="AC310" s="125">
        <f>IF('Quant. mod. (oc)'!AC310&lt;0,0,ROUND('Quant. mod. (oc)'!AC310,0))</f>
        <v>0</v>
      </c>
      <c r="AD310" s="125">
        <f>IF('Quant. mod. (oc)'!AD310&lt;0,0,ROUND('Quant. mod. (oc)'!AD310,0))</f>
        <v>8</v>
      </c>
      <c r="AE310" s="125">
        <f>IF('Quant. mod. (oc)'!AE310&lt;0,0,ROUND('Quant. mod. (oc)'!AE310,0))</f>
        <v>0</v>
      </c>
      <c r="AF310" s="125">
        <f>IF('Quant. mod. (oc)'!AF310&lt;0,0,ROUND('Quant. mod. (oc)'!AF310,0))</f>
        <v>8</v>
      </c>
      <c r="AG310" s="126">
        <f>IF('Quant. mod. (oc)'!AG310&lt;0,0,ROUND('Quant. mod. (oc)'!AG310,0))</f>
        <v>0</v>
      </c>
      <c r="AH310" s="22"/>
    </row>
    <row r="311" spans="1:34" x14ac:dyDescent="0.25">
      <c r="A311" s="112"/>
      <c r="B311" s="69" t="s">
        <v>224</v>
      </c>
      <c r="C311" s="133" t="s">
        <v>59</v>
      </c>
      <c r="D311" s="125">
        <f>IF('Quant. mod. (oc)'!D311&lt;0,0,ROUND('Quant. mod. (oc)'!D311,0))</f>
        <v>0</v>
      </c>
      <c r="E311" s="125">
        <f>IF('Quant. mod. (oc)'!E311&lt;0,0,ROUND('Quant. mod. (oc)'!E311,0))</f>
        <v>3</v>
      </c>
      <c r="F311" s="125">
        <f>IF('Quant. mod. (oc)'!F311&lt;0,0,ROUND('Quant. mod. (oc)'!F311,0))</f>
        <v>0</v>
      </c>
      <c r="G311" s="125">
        <f>IF('Quant. mod. (oc)'!G311&lt;0,0,ROUND('Quant. mod. (oc)'!G311,0))</f>
        <v>0</v>
      </c>
      <c r="H311" s="125">
        <f>IF('Quant. mod. (oc)'!H311&lt;0,0,ROUND('Quant. mod. (oc)'!H311,0))</f>
        <v>3</v>
      </c>
      <c r="I311" s="125">
        <f>IF('Quant. mod. (oc)'!I311&lt;0,0,ROUND('Quant. mod. (oc)'!I311,0))</f>
        <v>0</v>
      </c>
      <c r="J311" s="125">
        <f>IF('Quant. mod. (oc)'!J311&lt;0,0,ROUND('Quant. mod. (oc)'!J311,0))</f>
        <v>0</v>
      </c>
      <c r="K311" s="125">
        <f>IF('Quant. mod. (oc)'!K311&lt;0,0,ROUND('Quant. mod. (oc)'!K311,0))</f>
        <v>0</v>
      </c>
      <c r="L311" s="125">
        <f>IF('Quant. mod. (oc)'!L311&lt;0,0,ROUND('Quant. mod. (oc)'!L311,0))</f>
        <v>0</v>
      </c>
      <c r="M311" s="125">
        <f>IF('Quant. mod. (oc)'!M311&lt;0,0,ROUND('Quant. mod. (oc)'!M311,0))</f>
        <v>0</v>
      </c>
      <c r="N311" s="125">
        <f>IF('Quant. mod. (oc)'!N311&lt;0,0,ROUND('Quant. mod. (oc)'!N311,0))</f>
        <v>0</v>
      </c>
      <c r="O311" s="125">
        <f>IF('Quant. mod. (oc)'!O311&lt;0,0,ROUND('Quant. mod. (oc)'!O311,0))</f>
        <v>3</v>
      </c>
      <c r="P311" s="125">
        <f>IF('Quant. mod. (oc)'!P311&lt;0,0,ROUND('Quant. mod. (oc)'!P311,0))</f>
        <v>0</v>
      </c>
      <c r="Q311" s="125">
        <f>IF('Quant. mod. (oc)'!Q311&lt;0,0,ROUND('Quant. mod. (oc)'!Q311,0))</f>
        <v>0</v>
      </c>
      <c r="R311" s="125">
        <f>IF('Quant. mod. (oc)'!R311&lt;0,0,ROUND('Quant. mod. (oc)'!R311,0))</f>
        <v>3</v>
      </c>
      <c r="S311" s="125">
        <f>IF('Quant. mod. (oc)'!S311&lt;0,0,ROUND('Quant. mod. (oc)'!S311,0))</f>
        <v>0</v>
      </c>
      <c r="T311" s="125">
        <f>IF('Quant. mod. (oc)'!T311&lt;0,0,ROUND('Quant. mod. (oc)'!T311,0))</f>
        <v>0</v>
      </c>
      <c r="U311" s="125">
        <f>IF('Quant. mod. (oc)'!U311&lt;0,0,ROUND('Quant. mod. (oc)'!U311,0))</f>
        <v>0</v>
      </c>
      <c r="V311" s="125">
        <f>IF('Quant. mod. (oc)'!V311&lt;0,0,ROUND('Quant. mod. (oc)'!V311,0))</f>
        <v>0</v>
      </c>
      <c r="W311" s="125">
        <f>IF('Quant. mod. (oc)'!W311&lt;0,0,ROUND('Quant. mod. (oc)'!W311,0))</f>
        <v>0</v>
      </c>
      <c r="X311" s="125">
        <f>IF('Quant. mod. (oc)'!X311&lt;0,0,ROUND('Quant. mod. (oc)'!X311,0))</f>
        <v>0</v>
      </c>
      <c r="Y311" s="125">
        <f>IF('Quant. mod. (oc)'!Y311&lt;0,0,ROUND('Quant. mod. (oc)'!Y311,0))</f>
        <v>1</v>
      </c>
      <c r="Z311" s="125">
        <f>IF('Quant. mod. (oc)'!Z311&lt;0,0,ROUND('Quant. mod. (oc)'!Z311,0))</f>
        <v>2</v>
      </c>
      <c r="AA311" s="125">
        <f>IF('Quant. mod. (oc)'!AA311&lt;0,0,ROUND('Quant. mod. (oc)'!AA311,0))</f>
        <v>0</v>
      </c>
      <c r="AB311" s="125">
        <f>IF('Quant. mod. (oc)'!AB311&lt;0,0,ROUND('Quant. mod. (oc)'!AB311,0))</f>
        <v>1</v>
      </c>
      <c r="AC311" s="125">
        <f>IF('Quant. mod. (oc)'!AC311&lt;0,0,ROUND('Quant. mod. (oc)'!AC311,0))</f>
        <v>2</v>
      </c>
      <c r="AD311" s="125">
        <f>IF('Quant. mod. (oc)'!AD311&lt;0,0,ROUND('Quant. mod. (oc)'!AD311,0))</f>
        <v>0</v>
      </c>
      <c r="AE311" s="125">
        <f>IF('Quant. mod. (oc)'!AE311&lt;0,0,ROUND('Quant. mod. (oc)'!AE311,0))</f>
        <v>2</v>
      </c>
      <c r="AF311" s="125">
        <f>IF('Quant. mod. (oc)'!AF311&lt;0,0,ROUND('Quant. mod. (oc)'!AF311,0))</f>
        <v>0</v>
      </c>
      <c r="AG311" s="126">
        <f>IF('Quant. mod. (oc)'!AG311&lt;0,0,ROUND('Quant. mod. (oc)'!AG311,0))</f>
        <v>2</v>
      </c>
      <c r="AH311" s="22"/>
    </row>
    <row r="312" spans="1:34" x14ac:dyDescent="0.25">
      <c r="A312" s="112"/>
      <c r="B312" s="69" t="s">
        <v>226</v>
      </c>
      <c r="C312" s="133" t="s">
        <v>59</v>
      </c>
      <c r="D312" s="125">
        <f>IF('Quant. mod. (oc)'!D312&lt;0,0,ROUND('Quant. mod. (oc)'!D312,0))</f>
        <v>0</v>
      </c>
      <c r="E312" s="125">
        <f>IF('Quant. mod. (oc)'!E312&lt;0,0,ROUND('Quant. mod. (oc)'!E312,0))</f>
        <v>0</v>
      </c>
      <c r="F312" s="125">
        <f>IF('Quant. mod. (oc)'!F312&lt;0,0,ROUND('Quant. mod. (oc)'!F312,0))</f>
        <v>0</v>
      </c>
      <c r="G312" s="125">
        <f>IF('Quant. mod. (oc)'!G312&lt;0,0,ROUND('Quant. mod. (oc)'!G312,0))</f>
        <v>0</v>
      </c>
      <c r="H312" s="125">
        <f>IF('Quant. mod. (oc)'!H312&lt;0,0,ROUND('Quant. mod. (oc)'!H312,0))</f>
        <v>0</v>
      </c>
      <c r="I312" s="125">
        <f>IF('Quant. mod. (oc)'!I312&lt;0,0,ROUND('Quant. mod. (oc)'!I312,0))</f>
        <v>0</v>
      </c>
      <c r="J312" s="125">
        <f>IF('Quant. mod. (oc)'!J312&lt;0,0,ROUND('Quant. mod. (oc)'!J312,0))</f>
        <v>0</v>
      </c>
      <c r="K312" s="125">
        <f>IF('Quant. mod. (oc)'!K312&lt;0,0,ROUND('Quant. mod. (oc)'!K312,0))</f>
        <v>0</v>
      </c>
      <c r="L312" s="125">
        <f>IF('Quant. mod. (oc)'!L312&lt;0,0,ROUND('Quant. mod. (oc)'!L312,0))</f>
        <v>0</v>
      </c>
      <c r="M312" s="125">
        <f>IF('Quant. mod. (oc)'!M312&lt;0,0,ROUND('Quant. mod. (oc)'!M312,0))</f>
        <v>0</v>
      </c>
      <c r="N312" s="125">
        <f>IF('Quant. mod. (oc)'!N312&lt;0,0,ROUND('Quant. mod. (oc)'!N312,0))</f>
        <v>0</v>
      </c>
      <c r="O312" s="125">
        <f>IF('Quant. mod. (oc)'!O312&lt;0,0,ROUND('Quant. mod. (oc)'!O312,0))</f>
        <v>0</v>
      </c>
      <c r="P312" s="125">
        <f>IF('Quant. mod. (oc)'!P312&lt;0,0,ROUND('Quant. mod. (oc)'!P312,0))</f>
        <v>0</v>
      </c>
      <c r="Q312" s="125">
        <f>IF('Quant. mod. (oc)'!Q312&lt;0,0,ROUND('Quant. mod. (oc)'!Q312,0))</f>
        <v>0</v>
      </c>
      <c r="R312" s="125">
        <f>IF('Quant. mod. (oc)'!R312&lt;0,0,ROUND('Quant. mod. (oc)'!R312,0))</f>
        <v>0</v>
      </c>
      <c r="S312" s="125">
        <f>IF('Quant. mod. (oc)'!S312&lt;0,0,ROUND('Quant. mod. (oc)'!S312,0))</f>
        <v>0</v>
      </c>
      <c r="T312" s="125">
        <f>IF('Quant. mod. (oc)'!T312&lt;0,0,ROUND('Quant. mod. (oc)'!T312,0))</f>
        <v>0</v>
      </c>
      <c r="U312" s="125">
        <f>IF('Quant. mod. (oc)'!U312&lt;0,0,ROUND('Quant. mod. (oc)'!U312,0))</f>
        <v>0</v>
      </c>
      <c r="V312" s="125">
        <f>IF('Quant. mod. (oc)'!V312&lt;0,0,ROUND('Quant. mod. (oc)'!V312,0))</f>
        <v>0</v>
      </c>
      <c r="W312" s="125">
        <f>IF('Quant. mod. (oc)'!W312&lt;0,0,ROUND('Quant. mod. (oc)'!W312,0))</f>
        <v>0</v>
      </c>
      <c r="X312" s="125">
        <f>IF('Quant. mod. (oc)'!X312&lt;0,0,ROUND('Quant. mod. (oc)'!X312,0))</f>
        <v>0</v>
      </c>
      <c r="Y312" s="125">
        <f>IF('Quant. mod. (oc)'!Y312&lt;0,0,ROUND('Quant. mod. (oc)'!Y312,0))</f>
        <v>0</v>
      </c>
      <c r="Z312" s="125">
        <f>IF('Quant. mod. (oc)'!Z312&lt;0,0,ROUND('Quant. mod. (oc)'!Z312,0))</f>
        <v>0</v>
      </c>
      <c r="AA312" s="125">
        <f>IF('Quant. mod. (oc)'!AA312&lt;0,0,ROUND('Quant. mod. (oc)'!AA312,0))</f>
        <v>0</v>
      </c>
      <c r="AB312" s="125">
        <f>IF('Quant. mod. (oc)'!AB312&lt;0,0,ROUND('Quant. mod. (oc)'!AB312,0))</f>
        <v>0</v>
      </c>
      <c r="AC312" s="125">
        <f>IF('Quant. mod. (oc)'!AC312&lt;0,0,ROUND('Quant. mod. (oc)'!AC312,0))</f>
        <v>0</v>
      </c>
      <c r="AD312" s="125">
        <f>IF('Quant. mod. (oc)'!AD312&lt;0,0,ROUND('Quant. mod. (oc)'!AD312,0))</f>
        <v>0</v>
      </c>
      <c r="AE312" s="125">
        <f>IF('Quant. mod. (oc)'!AE312&lt;0,0,ROUND('Quant. mod. (oc)'!AE312,0))</f>
        <v>0</v>
      </c>
      <c r="AF312" s="125">
        <f>IF('Quant. mod. (oc)'!AF312&lt;0,0,ROUND('Quant. mod. (oc)'!AF312,0))</f>
        <v>0</v>
      </c>
      <c r="AG312" s="126">
        <f>IF('Quant. mod. (oc)'!AG312&lt;0,0,ROUND('Quant. mod. (oc)'!AG312,0))</f>
        <v>0</v>
      </c>
      <c r="AH312" s="22"/>
    </row>
    <row r="313" spans="1:34" x14ac:dyDescent="0.25">
      <c r="A313" s="112"/>
      <c r="B313" s="69" t="s">
        <v>227</v>
      </c>
      <c r="C313" s="133" t="s">
        <v>59</v>
      </c>
      <c r="D313" s="125">
        <f>IF('Quant. mod. (oc)'!D313&lt;0,0,ROUND('Quant. mod. (oc)'!D313,0))</f>
        <v>2</v>
      </c>
      <c r="E313" s="125">
        <f>IF('Quant. mod. (oc)'!E313&lt;0,0,ROUND('Quant. mod. (oc)'!E313,0))</f>
        <v>0</v>
      </c>
      <c r="F313" s="125">
        <f>IF('Quant. mod. (oc)'!F313&lt;0,0,ROUND('Quant. mod. (oc)'!F313,0))</f>
        <v>0</v>
      </c>
      <c r="G313" s="125">
        <f>IF('Quant. mod. (oc)'!G313&lt;0,0,ROUND('Quant. mod. (oc)'!G313,0))</f>
        <v>2</v>
      </c>
      <c r="H313" s="125">
        <f>IF('Quant. mod. (oc)'!H313&lt;0,0,ROUND('Quant. mod. (oc)'!H313,0))</f>
        <v>0</v>
      </c>
      <c r="I313" s="125">
        <f>IF('Quant. mod. (oc)'!I313&lt;0,0,ROUND('Quant. mod. (oc)'!I313,0))</f>
        <v>0</v>
      </c>
      <c r="J313" s="125">
        <f>IF('Quant. mod. (oc)'!J313&lt;0,0,ROUND('Quant. mod. (oc)'!J313,0))</f>
        <v>2</v>
      </c>
      <c r="K313" s="125">
        <f>IF('Quant. mod. (oc)'!K313&lt;0,0,ROUND('Quant. mod. (oc)'!K313,0))</f>
        <v>0</v>
      </c>
      <c r="L313" s="125">
        <f>IF('Quant. mod. (oc)'!L313&lt;0,0,ROUND('Quant. mod. (oc)'!L313,0))</f>
        <v>2</v>
      </c>
      <c r="M313" s="125">
        <f>IF('Quant. mod. (oc)'!M313&lt;0,0,ROUND('Quant. mod. (oc)'!M313,0))</f>
        <v>0</v>
      </c>
      <c r="N313" s="125">
        <f>IF('Quant. mod. (oc)'!N313&lt;0,0,ROUND('Quant. mod. (oc)'!N313,0))</f>
        <v>2</v>
      </c>
      <c r="O313" s="125">
        <f>IF('Quant. mod. (oc)'!O313&lt;0,0,ROUND('Quant. mod. (oc)'!O313,0))</f>
        <v>0</v>
      </c>
      <c r="P313" s="125">
        <f>IF('Quant. mod. (oc)'!P313&lt;0,0,ROUND('Quant. mod. (oc)'!P313,0))</f>
        <v>0</v>
      </c>
      <c r="Q313" s="125">
        <f>IF('Quant. mod. (oc)'!Q313&lt;0,0,ROUND('Quant. mod. (oc)'!Q313,0))</f>
        <v>2</v>
      </c>
      <c r="R313" s="125">
        <f>IF('Quant. mod. (oc)'!R313&lt;0,0,ROUND('Quant. mod. (oc)'!R313,0))</f>
        <v>0</v>
      </c>
      <c r="S313" s="125">
        <f>IF('Quant. mod. (oc)'!S313&lt;0,0,ROUND('Quant. mod. (oc)'!S313,0))</f>
        <v>0</v>
      </c>
      <c r="T313" s="125">
        <f>IF('Quant. mod. (oc)'!T313&lt;0,0,ROUND('Quant. mod. (oc)'!T313,0))</f>
        <v>2</v>
      </c>
      <c r="U313" s="125">
        <f>IF('Quant. mod. (oc)'!U313&lt;0,0,ROUND('Quant. mod. (oc)'!U313,0))</f>
        <v>0</v>
      </c>
      <c r="V313" s="125">
        <f>IF('Quant. mod. (oc)'!V313&lt;0,0,ROUND('Quant. mod. (oc)'!V313,0))</f>
        <v>2</v>
      </c>
      <c r="W313" s="125">
        <f>IF('Quant. mod. (oc)'!W313&lt;0,0,ROUND('Quant. mod. (oc)'!W313,0))</f>
        <v>0</v>
      </c>
      <c r="X313" s="125">
        <f>IF('Quant. mod. (oc)'!X313&lt;0,0,ROUND('Quant. mod. (oc)'!X313,0))</f>
        <v>2</v>
      </c>
      <c r="Y313" s="125">
        <f>IF('Quant. mod. (oc)'!Y313&lt;0,0,ROUND('Quant. mod. (oc)'!Y313,0))</f>
        <v>0</v>
      </c>
      <c r="Z313" s="125">
        <f>IF('Quant. mod. (oc)'!Z313&lt;0,0,ROUND('Quant. mod. (oc)'!Z313,0))</f>
        <v>0</v>
      </c>
      <c r="AA313" s="125">
        <f>IF('Quant. mod. (oc)'!AA313&lt;0,0,ROUND('Quant. mod. (oc)'!AA313,0))</f>
        <v>2</v>
      </c>
      <c r="AB313" s="125">
        <f>IF('Quant. mod. (oc)'!AB313&lt;0,0,ROUND('Quant. mod. (oc)'!AB313,0))</f>
        <v>0</v>
      </c>
      <c r="AC313" s="125">
        <f>IF('Quant. mod. (oc)'!AC313&lt;0,0,ROUND('Quant. mod. (oc)'!AC313,0))</f>
        <v>0</v>
      </c>
      <c r="AD313" s="125">
        <f>IF('Quant. mod. (oc)'!AD313&lt;0,0,ROUND('Quant. mod. (oc)'!AD313,0))</f>
        <v>2</v>
      </c>
      <c r="AE313" s="125">
        <f>IF('Quant. mod. (oc)'!AE313&lt;0,0,ROUND('Quant. mod. (oc)'!AE313,0))</f>
        <v>0</v>
      </c>
      <c r="AF313" s="125">
        <f>IF('Quant. mod. (oc)'!AF313&lt;0,0,ROUND('Quant. mod. (oc)'!AF313,0))</f>
        <v>2</v>
      </c>
      <c r="AG313" s="126">
        <f>IF('Quant. mod. (oc)'!AG313&lt;0,0,ROUND('Quant. mod. (oc)'!AG313,0))</f>
        <v>0</v>
      </c>
      <c r="AH313" s="22"/>
    </row>
    <row r="314" spans="1:34" x14ac:dyDescent="0.25">
      <c r="A314" s="112"/>
      <c r="B314" s="69" t="s">
        <v>228</v>
      </c>
      <c r="C314" s="133" t="s">
        <v>59</v>
      </c>
      <c r="D314" s="125">
        <f>IF('Quant. mod. (oc)'!D314&lt;0,0,ROUND('Quant. mod. (oc)'!D314,0))</f>
        <v>6</v>
      </c>
      <c r="E314" s="125">
        <f>IF('Quant. mod. (oc)'!E314&lt;0,0,ROUND('Quant. mod. (oc)'!E314,0))</f>
        <v>0</v>
      </c>
      <c r="F314" s="125">
        <f>IF('Quant. mod. (oc)'!F314&lt;0,0,ROUND('Quant. mod. (oc)'!F314,0))</f>
        <v>0</v>
      </c>
      <c r="G314" s="125">
        <f>IF('Quant. mod. (oc)'!G314&lt;0,0,ROUND('Quant. mod. (oc)'!G314,0))</f>
        <v>6</v>
      </c>
      <c r="H314" s="125">
        <f>IF('Quant. mod. (oc)'!H314&lt;0,0,ROUND('Quant. mod. (oc)'!H314,0))</f>
        <v>0</v>
      </c>
      <c r="I314" s="125">
        <f>IF('Quant. mod. (oc)'!I314&lt;0,0,ROUND('Quant. mod. (oc)'!I314,0))</f>
        <v>0</v>
      </c>
      <c r="J314" s="125">
        <f>IF('Quant. mod. (oc)'!J314&lt;0,0,ROUND('Quant. mod. (oc)'!J314,0))</f>
        <v>6</v>
      </c>
      <c r="K314" s="125">
        <f>IF('Quant. mod. (oc)'!K314&lt;0,0,ROUND('Quant. mod. (oc)'!K314,0))</f>
        <v>0</v>
      </c>
      <c r="L314" s="125">
        <f>IF('Quant. mod. (oc)'!L314&lt;0,0,ROUND('Quant. mod. (oc)'!L314,0))</f>
        <v>6</v>
      </c>
      <c r="M314" s="125">
        <f>IF('Quant. mod. (oc)'!M314&lt;0,0,ROUND('Quant. mod. (oc)'!M314,0))</f>
        <v>0</v>
      </c>
      <c r="N314" s="125">
        <f>IF('Quant. mod. (oc)'!N314&lt;0,0,ROUND('Quant. mod. (oc)'!N314,0))</f>
        <v>8</v>
      </c>
      <c r="O314" s="125">
        <f>IF('Quant. mod. (oc)'!O314&lt;0,0,ROUND('Quant. mod. (oc)'!O314,0))</f>
        <v>0</v>
      </c>
      <c r="P314" s="125">
        <f>IF('Quant. mod. (oc)'!P314&lt;0,0,ROUND('Quant. mod. (oc)'!P314,0))</f>
        <v>0</v>
      </c>
      <c r="Q314" s="125">
        <f>IF('Quant. mod. (oc)'!Q314&lt;0,0,ROUND('Quant. mod. (oc)'!Q314,0))</f>
        <v>8</v>
      </c>
      <c r="R314" s="125">
        <f>IF('Quant. mod. (oc)'!R314&lt;0,0,ROUND('Quant. mod. (oc)'!R314,0))</f>
        <v>0</v>
      </c>
      <c r="S314" s="125">
        <f>IF('Quant. mod. (oc)'!S314&lt;0,0,ROUND('Quant. mod. (oc)'!S314,0))</f>
        <v>0</v>
      </c>
      <c r="T314" s="125">
        <f>IF('Quant. mod. (oc)'!T314&lt;0,0,ROUND('Quant. mod. (oc)'!T314,0))</f>
        <v>8</v>
      </c>
      <c r="U314" s="125">
        <f>IF('Quant. mod. (oc)'!U314&lt;0,0,ROUND('Quant. mod. (oc)'!U314,0))</f>
        <v>0</v>
      </c>
      <c r="V314" s="125">
        <f>IF('Quant. mod. (oc)'!V314&lt;0,0,ROUND('Quant. mod. (oc)'!V314,0))</f>
        <v>8</v>
      </c>
      <c r="W314" s="125">
        <f>IF('Quant. mod. (oc)'!W314&lt;0,0,ROUND('Quant. mod. (oc)'!W314,0))</f>
        <v>0</v>
      </c>
      <c r="X314" s="125">
        <f>IF('Quant. mod. (oc)'!X314&lt;0,0,ROUND('Quant. mod. (oc)'!X314,0))</f>
        <v>8</v>
      </c>
      <c r="Y314" s="125">
        <f>IF('Quant. mod. (oc)'!Y314&lt;0,0,ROUND('Quant. mod. (oc)'!Y314,0))</f>
        <v>0</v>
      </c>
      <c r="Z314" s="125">
        <f>IF('Quant. mod. (oc)'!Z314&lt;0,0,ROUND('Quant. mod. (oc)'!Z314,0))</f>
        <v>0</v>
      </c>
      <c r="AA314" s="125">
        <f>IF('Quant. mod. (oc)'!AA314&lt;0,0,ROUND('Quant. mod. (oc)'!AA314,0))</f>
        <v>8</v>
      </c>
      <c r="AB314" s="125">
        <f>IF('Quant. mod. (oc)'!AB314&lt;0,0,ROUND('Quant. mod. (oc)'!AB314,0))</f>
        <v>0</v>
      </c>
      <c r="AC314" s="125">
        <f>IF('Quant. mod. (oc)'!AC314&lt;0,0,ROUND('Quant. mod. (oc)'!AC314,0))</f>
        <v>0</v>
      </c>
      <c r="AD314" s="125">
        <f>IF('Quant. mod. (oc)'!AD314&lt;0,0,ROUND('Quant. mod. (oc)'!AD314,0))</f>
        <v>8</v>
      </c>
      <c r="AE314" s="125">
        <f>IF('Quant. mod. (oc)'!AE314&lt;0,0,ROUND('Quant. mod. (oc)'!AE314,0))</f>
        <v>0</v>
      </c>
      <c r="AF314" s="125">
        <f>IF('Quant. mod. (oc)'!AF314&lt;0,0,ROUND('Quant. mod. (oc)'!AF314,0))</f>
        <v>8</v>
      </c>
      <c r="AG314" s="126">
        <f>IF('Quant. mod. (oc)'!AG314&lt;0,0,ROUND('Quant. mod. (oc)'!AG314,0))</f>
        <v>0</v>
      </c>
      <c r="AH314" s="22"/>
    </row>
    <row r="315" spans="1:34" x14ac:dyDescent="0.25">
      <c r="A315" s="112"/>
      <c r="B315" s="69" t="s">
        <v>231</v>
      </c>
      <c r="C315" s="133" t="s">
        <v>59</v>
      </c>
      <c r="D315" s="125">
        <f>IF('Quant. mod. (oc)'!D315&lt;0,0,ROUND('Quant. mod. (oc)'!D315,0))</f>
        <v>8</v>
      </c>
      <c r="E315" s="125">
        <f>IF('Quant. mod. (oc)'!E315&lt;0,0,ROUND('Quant. mod. (oc)'!E315,0))</f>
        <v>8</v>
      </c>
      <c r="F315" s="125">
        <f>IF('Quant. mod. (oc)'!F315&lt;0,0,ROUND('Quant. mod. (oc)'!F315,0))</f>
        <v>6</v>
      </c>
      <c r="G315" s="125">
        <f>IF('Quant. mod. (oc)'!G315&lt;0,0,ROUND('Quant. mod. (oc)'!G315,0))</f>
        <v>8</v>
      </c>
      <c r="H315" s="125">
        <f>IF('Quant. mod. (oc)'!H315&lt;0,0,ROUND('Quant. mod. (oc)'!H315,0))</f>
        <v>8</v>
      </c>
      <c r="I315" s="125">
        <f>IF('Quant. mod. (oc)'!I315&lt;0,0,ROUND('Quant. mod. (oc)'!I315,0))</f>
        <v>6</v>
      </c>
      <c r="J315" s="125">
        <f>IF('Quant. mod. (oc)'!J315&lt;0,0,ROUND('Quant. mod. (oc)'!J315,0))</f>
        <v>8</v>
      </c>
      <c r="K315" s="125">
        <f>IF('Quant. mod. (oc)'!K315&lt;0,0,ROUND('Quant. mod. (oc)'!K315,0))</f>
        <v>6</v>
      </c>
      <c r="L315" s="125">
        <f>IF('Quant. mod. (oc)'!L315&lt;0,0,ROUND('Quant. mod. (oc)'!L315,0))</f>
        <v>8</v>
      </c>
      <c r="M315" s="125">
        <f>IF('Quant. mod. (oc)'!M315&lt;0,0,ROUND('Quant. mod. (oc)'!M315,0))</f>
        <v>6</v>
      </c>
      <c r="N315" s="125">
        <f>IF('Quant. mod. (oc)'!N315&lt;0,0,ROUND('Quant. mod. (oc)'!N315,0))</f>
        <v>6</v>
      </c>
      <c r="O315" s="125">
        <f>IF('Quant. mod. (oc)'!O315&lt;0,0,ROUND('Quant. mod. (oc)'!O315,0))</f>
        <v>6</v>
      </c>
      <c r="P315" s="125">
        <f>IF('Quant. mod. (oc)'!P315&lt;0,0,ROUND('Quant. mod. (oc)'!P315,0))</f>
        <v>6</v>
      </c>
      <c r="Q315" s="125">
        <f>IF('Quant. mod. (oc)'!Q315&lt;0,0,ROUND('Quant. mod. (oc)'!Q315,0))</f>
        <v>6</v>
      </c>
      <c r="R315" s="125">
        <f>IF('Quant. mod. (oc)'!R315&lt;0,0,ROUND('Quant. mod. (oc)'!R315,0))</f>
        <v>6</v>
      </c>
      <c r="S315" s="125">
        <f>IF('Quant. mod. (oc)'!S315&lt;0,0,ROUND('Quant. mod. (oc)'!S315,0))</f>
        <v>6</v>
      </c>
      <c r="T315" s="125">
        <f>IF('Quant. mod. (oc)'!T315&lt;0,0,ROUND('Quant. mod. (oc)'!T315,0))</f>
        <v>6</v>
      </c>
      <c r="U315" s="125">
        <f>IF('Quant. mod. (oc)'!U315&lt;0,0,ROUND('Quant. mod. (oc)'!U315,0))</f>
        <v>6</v>
      </c>
      <c r="V315" s="125">
        <f>IF('Quant. mod. (oc)'!V315&lt;0,0,ROUND('Quant. mod. (oc)'!V315,0))</f>
        <v>6</v>
      </c>
      <c r="W315" s="125">
        <f>IF('Quant. mod. (oc)'!W315&lt;0,0,ROUND('Quant. mod. (oc)'!W315,0))</f>
        <v>6</v>
      </c>
      <c r="X315" s="125">
        <f>IF('Quant. mod. (oc)'!X315&lt;0,0,ROUND('Quant. mod. (oc)'!X315,0))</f>
        <v>6</v>
      </c>
      <c r="Y315" s="125">
        <f>IF('Quant. mod. (oc)'!Y315&lt;0,0,ROUND('Quant. mod. (oc)'!Y315,0))</f>
        <v>6</v>
      </c>
      <c r="Z315" s="125">
        <f>IF('Quant. mod. (oc)'!Z315&lt;0,0,ROUND('Quant. mod. (oc)'!Z315,0))</f>
        <v>6</v>
      </c>
      <c r="AA315" s="125">
        <f>IF('Quant. mod. (oc)'!AA315&lt;0,0,ROUND('Quant. mod. (oc)'!AA315,0))</f>
        <v>6</v>
      </c>
      <c r="AB315" s="125">
        <f>IF('Quant. mod. (oc)'!AB315&lt;0,0,ROUND('Quant. mod. (oc)'!AB315,0))</f>
        <v>6</v>
      </c>
      <c r="AC315" s="125">
        <f>IF('Quant. mod. (oc)'!AC315&lt;0,0,ROUND('Quant. mod. (oc)'!AC315,0))</f>
        <v>6</v>
      </c>
      <c r="AD315" s="125">
        <f>IF('Quant. mod. (oc)'!AD315&lt;0,0,ROUND('Quant. mod. (oc)'!AD315,0))</f>
        <v>6</v>
      </c>
      <c r="AE315" s="125">
        <f>IF('Quant. mod. (oc)'!AE315&lt;0,0,ROUND('Quant. mod. (oc)'!AE315,0))</f>
        <v>6</v>
      </c>
      <c r="AF315" s="125">
        <f>IF('Quant. mod. (oc)'!AF315&lt;0,0,ROUND('Quant. mod. (oc)'!AF315,0))</f>
        <v>6</v>
      </c>
      <c r="AG315" s="126">
        <f>IF('Quant. mod. (oc)'!AG315&lt;0,0,ROUND('Quant. mod. (oc)'!AG315,0))</f>
        <v>6</v>
      </c>
      <c r="AH315" s="22"/>
    </row>
    <row r="316" spans="1:34" x14ac:dyDescent="0.25">
      <c r="A316" s="112"/>
      <c r="B316" s="69" t="s">
        <v>233</v>
      </c>
      <c r="C316" s="133" t="s">
        <v>59</v>
      </c>
      <c r="D316" s="125">
        <f>IF('Quant. mod. (oc)'!D316&lt;0,0,ROUND('Quant. mod. (oc)'!D316,0))</f>
        <v>0</v>
      </c>
      <c r="E316" s="125">
        <f>IF('Quant. mod. (oc)'!E316&lt;0,0,ROUND('Quant. mod. (oc)'!E316,0))</f>
        <v>0</v>
      </c>
      <c r="F316" s="125">
        <f>IF('Quant. mod. (oc)'!F316&lt;0,0,ROUND('Quant. mod. (oc)'!F316,0))</f>
        <v>0</v>
      </c>
      <c r="G316" s="125">
        <f>IF('Quant. mod. (oc)'!G316&lt;0,0,ROUND('Quant. mod. (oc)'!G316,0))</f>
        <v>0</v>
      </c>
      <c r="H316" s="125">
        <f>IF('Quant. mod. (oc)'!H316&lt;0,0,ROUND('Quant. mod. (oc)'!H316,0))</f>
        <v>0</v>
      </c>
      <c r="I316" s="125">
        <f>IF('Quant. mod. (oc)'!I316&lt;0,0,ROUND('Quant. mod. (oc)'!I316,0))</f>
        <v>0</v>
      </c>
      <c r="J316" s="125">
        <f>IF('Quant. mod. (oc)'!J316&lt;0,0,ROUND('Quant. mod. (oc)'!J316,0))</f>
        <v>0</v>
      </c>
      <c r="K316" s="125">
        <f>IF('Quant. mod. (oc)'!K316&lt;0,0,ROUND('Quant. mod. (oc)'!K316,0))</f>
        <v>0</v>
      </c>
      <c r="L316" s="125">
        <f>IF('Quant. mod. (oc)'!L316&lt;0,0,ROUND('Quant. mod. (oc)'!L316,0))</f>
        <v>0</v>
      </c>
      <c r="M316" s="125">
        <f>IF('Quant. mod. (oc)'!M316&lt;0,0,ROUND('Quant. mod. (oc)'!M316,0))</f>
        <v>0</v>
      </c>
      <c r="N316" s="125">
        <f>IF('Quant. mod. (oc)'!N316&lt;0,0,ROUND('Quant. mod. (oc)'!N316,0))</f>
        <v>0</v>
      </c>
      <c r="O316" s="125">
        <f>IF('Quant. mod. (oc)'!O316&lt;0,0,ROUND('Quant. mod. (oc)'!O316,0))</f>
        <v>0</v>
      </c>
      <c r="P316" s="125">
        <f>IF('Quant. mod. (oc)'!P316&lt;0,0,ROUND('Quant. mod. (oc)'!P316,0))</f>
        <v>0</v>
      </c>
      <c r="Q316" s="125">
        <f>IF('Quant. mod. (oc)'!Q316&lt;0,0,ROUND('Quant. mod. (oc)'!Q316,0))</f>
        <v>0</v>
      </c>
      <c r="R316" s="125">
        <f>IF('Quant. mod. (oc)'!R316&lt;0,0,ROUND('Quant. mod. (oc)'!R316,0))</f>
        <v>0</v>
      </c>
      <c r="S316" s="125">
        <f>IF('Quant. mod. (oc)'!S316&lt;0,0,ROUND('Quant. mod. (oc)'!S316,0))</f>
        <v>0</v>
      </c>
      <c r="T316" s="125">
        <f>IF('Quant. mod. (oc)'!T316&lt;0,0,ROUND('Quant. mod. (oc)'!T316,0))</f>
        <v>0</v>
      </c>
      <c r="U316" s="125">
        <f>IF('Quant. mod. (oc)'!U316&lt;0,0,ROUND('Quant. mod. (oc)'!U316,0))</f>
        <v>0</v>
      </c>
      <c r="V316" s="125">
        <f>IF('Quant. mod. (oc)'!V316&lt;0,0,ROUND('Quant. mod. (oc)'!V316,0))</f>
        <v>0</v>
      </c>
      <c r="W316" s="125">
        <f>IF('Quant. mod. (oc)'!W316&lt;0,0,ROUND('Quant. mod. (oc)'!W316,0))</f>
        <v>0</v>
      </c>
      <c r="X316" s="125">
        <f>IF('Quant. mod. (oc)'!X316&lt;0,0,ROUND('Quant. mod. (oc)'!X316,0))</f>
        <v>0</v>
      </c>
      <c r="Y316" s="125">
        <f>IF('Quant. mod. (oc)'!Y316&lt;0,0,ROUND('Quant. mod. (oc)'!Y316,0))</f>
        <v>0</v>
      </c>
      <c r="Z316" s="125">
        <f>IF('Quant. mod. (oc)'!Z316&lt;0,0,ROUND('Quant. mod. (oc)'!Z316,0))</f>
        <v>0</v>
      </c>
      <c r="AA316" s="125">
        <f>IF('Quant. mod. (oc)'!AA316&lt;0,0,ROUND('Quant. mod. (oc)'!AA316,0))</f>
        <v>0</v>
      </c>
      <c r="AB316" s="125">
        <f>IF('Quant. mod. (oc)'!AB316&lt;0,0,ROUND('Quant. mod. (oc)'!AB316,0))</f>
        <v>0</v>
      </c>
      <c r="AC316" s="125">
        <f>IF('Quant. mod. (oc)'!AC316&lt;0,0,ROUND('Quant. mod. (oc)'!AC316,0))</f>
        <v>0</v>
      </c>
      <c r="AD316" s="125">
        <f>IF('Quant. mod. (oc)'!AD316&lt;0,0,ROUND('Quant. mod. (oc)'!AD316,0))</f>
        <v>0</v>
      </c>
      <c r="AE316" s="125">
        <f>IF('Quant. mod. (oc)'!AE316&lt;0,0,ROUND('Quant. mod. (oc)'!AE316,0))</f>
        <v>0</v>
      </c>
      <c r="AF316" s="125">
        <f>IF('Quant. mod. (oc)'!AF316&lt;0,0,ROUND('Quant. mod. (oc)'!AF316,0))</f>
        <v>0</v>
      </c>
      <c r="AG316" s="126">
        <f>IF('Quant. mod. (oc)'!AG316&lt;0,0,ROUND('Quant. mod. (oc)'!AG316,0))</f>
        <v>0</v>
      </c>
      <c r="AH316" s="22"/>
    </row>
    <row r="317" spans="1:34" x14ac:dyDescent="0.25">
      <c r="A317" s="112"/>
      <c r="B317" s="120" t="s">
        <v>563</v>
      </c>
      <c r="C317" s="121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8"/>
      <c r="AH317" s="22"/>
    </row>
    <row r="318" spans="1:34" x14ac:dyDescent="0.25">
      <c r="A318" s="112"/>
      <c r="B318" s="69" t="s">
        <v>241</v>
      </c>
      <c r="C318" s="133" t="s">
        <v>64</v>
      </c>
      <c r="D318" s="125">
        <f>IF('Quant. mod. (oc)'!D318&lt;0,0,CEILING('Quant. mod. (oc)'!D318,6))</f>
        <v>18</v>
      </c>
      <c r="E318" s="125">
        <f>IF('Quant. mod. (oc)'!E318&lt;0,0,CEILING('Quant. mod. (oc)'!E318,6))</f>
        <v>0</v>
      </c>
      <c r="F318" s="125">
        <f>IF('Quant. mod. (oc)'!F318&lt;0,0,CEILING('Quant. mod. (oc)'!F318,6))</f>
        <v>0</v>
      </c>
      <c r="G318" s="125">
        <f>IF('Quant. mod. (oc)'!G318&lt;0,0,CEILING('Quant. mod. (oc)'!G318,6))</f>
        <v>18</v>
      </c>
      <c r="H318" s="125">
        <f>IF('Quant. mod. (oc)'!H318&lt;0,0,CEILING('Quant. mod. (oc)'!H318,6))</f>
        <v>0</v>
      </c>
      <c r="I318" s="125">
        <f>IF('Quant. mod. (oc)'!I318&lt;0,0,CEILING('Quant. mod. (oc)'!I318,6))</f>
        <v>0</v>
      </c>
      <c r="J318" s="125">
        <f>IF('Quant. mod. (oc)'!J318&lt;0,0,CEILING('Quant. mod. (oc)'!J318,6))</f>
        <v>18</v>
      </c>
      <c r="K318" s="125">
        <f>IF('Quant. mod. (oc)'!K318&lt;0,0,CEILING('Quant. mod. (oc)'!K318,6))</f>
        <v>0</v>
      </c>
      <c r="L318" s="125">
        <f>IF('Quant. mod. (oc)'!L318&lt;0,0,CEILING('Quant. mod. (oc)'!L318,6))</f>
        <v>18</v>
      </c>
      <c r="M318" s="125">
        <f>IF('Quant. mod. (oc)'!M318&lt;0,0,CEILING('Quant. mod. (oc)'!M318,6))</f>
        <v>0</v>
      </c>
      <c r="N318" s="125">
        <f>IF('Quant. mod. (oc)'!N318&lt;0,0,CEILING('Quant. mod. (oc)'!N318,6))</f>
        <v>18</v>
      </c>
      <c r="O318" s="125">
        <f>IF('Quant. mod. (oc)'!O318&lt;0,0,CEILING('Quant. mod. (oc)'!O318,6))</f>
        <v>0</v>
      </c>
      <c r="P318" s="125">
        <f>IF('Quant. mod. (oc)'!P318&lt;0,0,CEILING('Quant. mod. (oc)'!P318,6))</f>
        <v>0</v>
      </c>
      <c r="Q318" s="125">
        <f>IF('Quant. mod. (oc)'!Q318&lt;0,0,CEILING('Quant. mod. (oc)'!Q318,6))</f>
        <v>18</v>
      </c>
      <c r="R318" s="125">
        <f>IF('Quant. mod. (oc)'!R318&lt;0,0,CEILING('Quant. mod. (oc)'!R318,6))</f>
        <v>0</v>
      </c>
      <c r="S318" s="125">
        <f>IF('Quant. mod. (oc)'!S318&lt;0,0,CEILING('Quant. mod. (oc)'!S318,6))</f>
        <v>0</v>
      </c>
      <c r="T318" s="125">
        <f>IF('Quant. mod. (oc)'!T318&lt;0,0,CEILING('Quant. mod. (oc)'!T318,6))</f>
        <v>18</v>
      </c>
      <c r="U318" s="125">
        <f>IF('Quant. mod. (oc)'!U318&lt;0,0,CEILING('Quant. mod. (oc)'!U318,6))</f>
        <v>0</v>
      </c>
      <c r="V318" s="125">
        <f>IF('Quant. mod. (oc)'!V318&lt;0,0,CEILING('Quant. mod. (oc)'!V318,6))</f>
        <v>18</v>
      </c>
      <c r="W318" s="125">
        <f>IF('Quant. mod. (oc)'!W318&lt;0,0,CEILING('Quant. mod. (oc)'!W318,6))</f>
        <v>0</v>
      </c>
      <c r="X318" s="125">
        <f>IF('Quant. mod. (oc)'!X318&lt;0,0,CEILING('Quant. mod. (oc)'!X318,6))</f>
        <v>18</v>
      </c>
      <c r="Y318" s="125">
        <f>IF('Quant. mod. (oc)'!Y318&lt;0,0,CEILING('Quant. mod. (oc)'!Y318,6))</f>
        <v>0</v>
      </c>
      <c r="Z318" s="125">
        <f>IF('Quant. mod. (oc)'!Z318&lt;0,0,CEILING('Quant. mod. (oc)'!Z318,6))</f>
        <v>0</v>
      </c>
      <c r="AA318" s="125">
        <f>IF('Quant. mod. (oc)'!AA318&lt;0,0,CEILING('Quant. mod. (oc)'!AA318,6))</f>
        <v>18</v>
      </c>
      <c r="AB318" s="125">
        <f>IF('Quant. mod. (oc)'!AB318&lt;0,0,CEILING('Quant. mod. (oc)'!AB318,6))</f>
        <v>0</v>
      </c>
      <c r="AC318" s="125">
        <f>IF('Quant. mod. (oc)'!AC318&lt;0,0,CEILING('Quant. mod. (oc)'!AC318,6))</f>
        <v>0</v>
      </c>
      <c r="AD318" s="125">
        <f>IF('Quant. mod. (oc)'!AD318&lt;0,0,CEILING('Quant. mod. (oc)'!AD318,6))</f>
        <v>18</v>
      </c>
      <c r="AE318" s="125">
        <f>IF('Quant. mod. (oc)'!AE318&lt;0,0,CEILING('Quant. mod. (oc)'!AE318,6))</f>
        <v>0</v>
      </c>
      <c r="AF318" s="125">
        <f>IF('Quant. mod. (oc)'!AF318&lt;0,0,CEILING('Quant. mod. (oc)'!AF318,6))</f>
        <v>18</v>
      </c>
      <c r="AG318" s="126">
        <f>IF('Quant. mod. (oc)'!AG318&lt;0,0,CEILING('Quant. mod. (oc)'!AG318,6))</f>
        <v>0</v>
      </c>
      <c r="AH318" s="22"/>
    </row>
    <row r="319" spans="1:34" x14ac:dyDescent="0.25">
      <c r="A319" s="112"/>
      <c r="B319" s="69" t="s">
        <v>242</v>
      </c>
      <c r="C319" s="133" t="s">
        <v>64</v>
      </c>
      <c r="D319" s="125">
        <f>IF('Quant. mod. (oc)'!D319&lt;0,0,CEILING('Quant. mod. (oc)'!D319,6))</f>
        <v>0</v>
      </c>
      <c r="E319" s="125">
        <f>IF('Quant. mod. (oc)'!E319&lt;0,0,CEILING('Quant. mod. (oc)'!E319,6))</f>
        <v>0</v>
      </c>
      <c r="F319" s="125">
        <f>IF('Quant. mod. (oc)'!F319&lt;0,0,CEILING('Quant. mod. (oc)'!F319,6))</f>
        <v>12</v>
      </c>
      <c r="G319" s="125">
        <f>IF('Quant. mod. (oc)'!G319&lt;0,0,CEILING('Quant. mod. (oc)'!G319,6))</f>
        <v>0</v>
      </c>
      <c r="H319" s="125">
        <f>IF('Quant. mod. (oc)'!H319&lt;0,0,CEILING('Quant. mod. (oc)'!H319,6))</f>
        <v>0</v>
      </c>
      <c r="I319" s="125">
        <f>IF('Quant. mod. (oc)'!I319&lt;0,0,CEILING('Quant. mod. (oc)'!I319,6))</f>
        <v>12</v>
      </c>
      <c r="J319" s="125">
        <f>IF('Quant. mod. (oc)'!J319&lt;0,0,CEILING('Quant. mod. (oc)'!J319,6))</f>
        <v>0</v>
      </c>
      <c r="K319" s="125">
        <f>IF('Quant. mod. (oc)'!K319&lt;0,0,CEILING('Quant. mod. (oc)'!K319,6))</f>
        <v>12</v>
      </c>
      <c r="L319" s="125">
        <f>IF('Quant. mod. (oc)'!L319&lt;0,0,CEILING('Quant. mod. (oc)'!L319,6))</f>
        <v>0</v>
      </c>
      <c r="M319" s="125">
        <f>IF('Quant. mod. (oc)'!M319&lt;0,0,CEILING('Quant. mod. (oc)'!M319,6))</f>
        <v>12</v>
      </c>
      <c r="N319" s="125">
        <f>IF('Quant. mod. (oc)'!N319&lt;0,0,CEILING('Quant. mod. (oc)'!N319,6))</f>
        <v>0</v>
      </c>
      <c r="O319" s="125">
        <f>IF('Quant. mod. (oc)'!O319&lt;0,0,CEILING('Quant. mod. (oc)'!O319,6))</f>
        <v>0</v>
      </c>
      <c r="P319" s="125">
        <f>IF('Quant. mod. (oc)'!P319&lt;0,0,CEILING('Quant. mod. (oc)'!P319,6))</f>
        <v>18</v>
      </c>
      <c r="Q319" s="125">
        <f>IF('Quant. mod. (oc)'!Q319&lt;0,0,CEILING('Quant. mod. (oc)'!Q319,6))</f>
        <v>0</v>
      </c>
      <c r="R319" s="125">
        <f>IF('Quant. mod. (oc)'!R319&lt;0,0,CEILING('Quant. mod. (oc)'!R319,6))</f>
        <v>0</v>
      </c>
      <c r="S319" s="125">
        <f>IF('Quant. mod. (oc)'!S319&lt;0,0,CEILING('Quant. mod. (oc)'!S319,6))</f>
        <v>18</v>
      </c>
      <c r="T319" s="125">
        <f>IF('Quant. mod. (oc)'!T319&lt;0,0,CEILING('Quant. mod. (oc)'!T319,6))</f>
        <v>0</v>
      </c>
      <c r="U319" s="125">
        <f>IF('Quant. mod. (oc)'!U319&lt;0,0,CEILING('Quant. mod. (oc)'!U319,6))</f>
        <v>18</v>
      </c>
      <c r="V319" s="125">
        <f>IF('Quant. mod. (oc)'!V319&lt;0,0,CEILING('Quant. mod. (oc)'!V319,6))</f>
        <v>0</v>
      </c>
      <c r="W319" s="125">
        <f>IF('Quant. mod. (oc)'!W319&lt;0,0,CEILING('Quant. mod. (oc)'!W319,6))</f>
        <v>18</v>
      </c>
      <c r="X319" s="125">
        <f>IF('Quant. mod. (oc)'!X319&lt;0,0,CEILING('Quant. mod. (oc)'!X319,6))</f>
        <v>0</v>
      </c>
      <c r="Y319" s="125">
        <f>IF('Quant. mod. (oc)'!Y319&lt;0,0,CEILING('Quant. mod. (oc)'!Y319,6))</f>
        <v>0</v>
      </c>
      <c r="Z319" s="125">
        <f>IF('Quant. mod. (oc)'!Z319&lt;0,0,CEILING('Quant. mod. (oc)'!Z319,6))</f>
        <v>12</v>
      </c>
      <c r="AA319" s="125">
        <f>IF('Quant. mod. (oc)'!AA319&lt;0,0,CEILING('Quant. mod. (oc)'!AA319,6))</f>
        <v>0</v>
      </c>
      <c r="AB319" s="125">
        <f>IF('Quant. mod. (oc)'!AB319&lt;0,0,CEILING('Quant. mod. (oc)'!AB319,6))</f>
        <v>0</v>
      </c>
      <c r="AC319" s="125">
        <f>IF('Quant. mod. (oc)'!AC319&lt;0,0,CEILING('Quant. mod. (oc)'!AC319,6))</f>
        <v>12</v>
      </c>
      <c r="AD319" s="125">
        <f>IF('Quant. mod. (oc)'!AD319&lt;0,0,CEILING('Quant. mod. (oc)'!AD319,6))</f>
        <v>0</v>
      </c>
      <c r="AE319" s="125">
        <f>IF('Quant. mod. (oc)'!AE319&lt;0,0,CEILING('Quant. mod. (oc)'!AE319,6))</f>
        <v>12</v>
      </c>
      <c r="AF319" s="125">
        <f>IF('Quant. mod. (oc)'!AF319&lt;0,0,CEILING('Quant. mod. (oc)'!AF319,6))</f>
        <v>0</v>
      </c>
      <c r="AG319" s="126">
        <f>IF('Quant. mod. (oc)'!AG319&lt;0,0,CEILING('Quant. mod. (oc)'!AG319,6))</f>
        <v>12</v>
      </c>
      <c r="AH319" s="22"/>
    </row>
    <row r="320" spans="1:34" x14ac:dyDescent="0.25">
      <c r="A320" s="112"/>
      <c r="B320" s="69" t="s">
        <v>243</v>
      </c>
      <c r="C320" s="133" t="s">
        <v>64</v>
      </c>
      <c r="D320" s="125">
        <f>IF('Quant. mod. (oc)'!D320&lt;0,0,CEILING('Quant. mod. (oc)'!D320,6))</f>
        <v>66</v>
      </c>
      <c r="E320" s="125">
        <f>IF('Quant. mod. (oc)'!E320&lt;0,0,CEILING('Quant. mod. (oc)'!E320,6))</f>
        <v>0</v>
      </c>
      <c r="F320" s="125">
        <f>IF('Quant. mod. (oc)'!F320&lt;0,0,CEILING('Quant. mod. (oc)'!F320,6))</f>
        <v>0</v>
      </c>
      <c r="G320" s="125">
        <f>IF('Quant. mod. (oc)'!G320&lt;0,0,CEILING('Quant. mod. (oc)'!G320,6))</f>
        <v>66</v>
      </c>
      <c r="H320" s="125">
        <f>IF('Quant. mod. (oc)'!H320&lt;0,0,CEILING('Quant. mod. (oc)'!H320,6))</f>
        <v>0</v>
      </c>
      <c r="I320" s="125">
        <f>IF('Quant. mod. (oc)'!I320&lt;0,0,CEILING('Quant. mod. (oc)'!I320,6))</f>
        <v>0</v>
      </c>
      <c r="J320" s="125">
        <f>IF('Quant. mod. (oc)'!J320&lt;0,0,CEILING('Quant. mod. (oc)'!J320,6))</f>
        <v>66</v>
      </c>
      <c r="K320" s="125">
        <f>IF('Quant. mod. (oc)'!K320&lt;0,0,CEILING('Quant. mod. (oc)'!K320,6))</f>
        <v>0</v>
      </c>
      <c r="L320" s="125">
        <f>IF('Quant. mod. (oc)'!L320&lt;0,0,CEILING('Quant. mod. (oc)'!L320,6))</f>
        <v>66</v>
      </c>
      <c r="M320" s="125">
        <f>IF('Quant. mod. (oc)'!M320&lt;0,0,CEILING('Quant. mod. (oc)'!M320,6))</f>
        <v>0</v>
      </c>
      <c r="N320" s="125">
        <f>IF('Quant. mod. (oc)'!N320&lt;0,0,CEILING('Quant. mod. (oc)'!N320,6))</f>
        <v>0</v>
      </c>
      <c r="O320" s="125">
        <f>IF('Quant. mod. (oc)'!O320&lt;0,0,CEILING('Quant. mod. (oc)'!O320,6))</f>
        <v>0</v>
      </c>
      <c r="P320" s="125">
        <f>IF('Quant. mod. (oc)'!P320&lt;0,0,CEILING('Quant. mod. (oc)'!P320,6))</f>
        <v>0</v>
      </c>
      <c r="Q320" s="125">
        <f>IF('Quant. mod. (oc)'!Q320&lt;0,0,CEILING('Quant. mod. (oc)'!Q320,6))</f>
        <v>0</v>
      </c>
      <c r="R320" s="125">
        <f>IF('Quant. mod. (oc)'!R320&lt;0,0,CEILING('Quant. mod. (oc)'!R320,6))</f>
        <v>0</v>
      </c>
      <c r="S320" s="125">
        <f>IF('Quant. mod. (oc)'!S320&lt;0,0,CEILING('Quant. mod. (oc)'!S320,6))</f>
        <v>0</v>
      </c>
      <c r="T320" s="125">
        <f>IF('Quant. mod. (oc)'!T320&lt;0,0,CEILING('Quant. mod. (oc)'!T320,6))</f>
        <v>0</v>
      </c>
      <c r="U320" s="125">
        <f>IF('Quant. mod. (oc)'!U320&lt;0,0,CEILING('Quant. mod. (oc)'!U320,6))</f>
        <v>0</v>
      </c>
      <c r="V320" s="125">
        <f>IF('Quant. mod. (oc)'!V320&lt;0,0,CEILING('Quant. mod. (oc)'!V320,6))</f>
        <v>0</v>
      </c>
      <c r="W320" s="125">
        <f>IF('Quant. mod. (oc)'!W320&lt;0,0,CEILING('Quant. mod. (oc)'!W320,6))</f>
        <v>0</v>
      </c>
      <c r="X320" s="125">
        <f>IF('Quant. mod. (oc)'!X320&lt;0,0,CEILING('Quant. mod. (oc)'!X320,6))</f>
        <v>48</v>
      </c>
      <c r="Y320" s="125">
        <f>IF('Quant. mod. (oc)'!Y320&lt;0,0,CEILING('Quant. mod. (oc)'!Y320,6))</f>
        <v>0</v>
      </c>
      <c r="Z320" s="125">
        <f>IF('Quant. mod. (oc)'!Z320&lt;0,0,CEILING('Quant. mod. (oc)'!Z320,6))</f>
        <v>0</v>
      </c>
      <c r="AA320" s="125">
        <f>IF('Quant. mod. (oc)'!AA320&lt;0,0,CEILING('Quant. mod. (oc)'!AA320,6))</f>
        <v>48</v>
      </c>
      <c r="AB320" s="125">
        <f>IF('Quant. mod. (oc)'!AB320&lt;0,0,CEILING('Quant. mod. (oc)'!AB320,6))</f>
        <v>0</v>
      </c>
      <c r="AC320" s="125">
        <f>IF('Quant. mod. (oc)'!AC320&lt;0,0,CEILING('Quant. mod. (oc)'!AC320,6))</f>
        <v>0</v>
      </c>
      <c r="AD320" s="125">
        <f>IF('Quant. mod. (oc)'!AD320&lt;0,0,CEILING('Quant. mod. (oc)'!AD320,6))</f>
        <v>48</v>
      </c>
      <c r="AE320" s="125">
        <f>IF('Quant. mod. (oc)'!AE320&lt;0,0,CEILING('Quant. mod. (oc)'!AE320,6))</f>
        <v>0</v>
      </c>
      <c r="AF320" s="125">
        <f>IF('Quant. mod. (oc)'!AF320&lt;0,0,CEILING('Quant. mod. (oc)'!AF320,6))</f>
        <v>48</v>
      </c>
      <c r="AG320" s="126">
        <f>IF('Quant. mod. (oc)'!AG320&lt;0,0,CEILING('Quant. mod. (oc)'!AG320,6))</f>
        <v>0</v>
      </c>
      <c r="AH320" s="22"/>
    </row>
    <row r="321" spans="1:34" x14ac:dyDescent="0.25">
      <c r="A321" s="112"/>
      <c r="B321" s="69" t="s">
        <v>244</v>
      </c>
      <c r="C321" s="133" t="s">
        <v>64</v>
      </c>
      <c r="D321" s="125">
        <f>IF('Quant. mod. (oc)'!D321&lt;0,0,CEILING('Quant. mod. (oc)'!D321,6))</f>
        <v>0</v>
      </c>
      <c r="E321" s="125">
        <f>IF('Quant. mod. (oc)'!E321&lt;0,0,CEILING('Quant. mod. (oc)'!E321,6))</f>
        <v>30</v>
      </c>
      <c r="F321" s="125">
        <f>IF('Quant. mod. (oc)'!F321&lt;0,0,CEILING('Quant. mod. (oc)'!F321,6))</f>
        <v>0</v>
      </c>
      <c r="G321" s="125">
        <f>IF('Quant. mod. (oc)'!G321&lt;0,0,CEILING('Quant. mod. (oc)'!G321,6))</f>
        <v>0</v>
      </c>
      <c r="H321" s="125">
        <f>IF('Quant. mod. (oc)'!H321&lt;0,0,CEILING('Quant. mod. (oc)'!H321,6))</f>
        <v>30</v>
      </c>
      <c r="I321" s="125">
        <f>IF('Quant. mod. (oc)'!I321&lt;0,0,CEILING('Quant. mod. (oc)'!I321,6))</f>
        <v>0</v>
      </c>
      <c r="J321" s="125">
        <f>IF('Quant. mod. (oc)'!J321&lt;0,0,CEILING('Quant. mod. (oc)'!J321,6))</f>
        <v>0</v>
      </c>
      <c r="K321" s="125">
        <f>IF('Quant. mod. (oc)'!K321&lt;0,0,CEILING('Quant. mod. (oc)'!K321,6))</f>
        <v>0</v>
      </c>
      <c r="L321" s="125">
        <f>IF('Quant. mod. (oc)'!L321&lt;0,0,CEILING('Quant. mod. (oc)'!L321,6))</f>
        <v>0</v>
      </c>
      <c r="M321" s="125">
        <f>IF('Quant. mod. (oc)'!M321&lt;0,0,CEILING('Quant. mod. (oc)'!M321,6))</f>
        <v>0</v>
      </c>
      <c r="N321" s="125">
        <f>IF('Quant. mod. (oc)'!N321&lt;0,0,CEILING('Quant. mod. (oc)'!N321,6))</f>
        <v>48</v>
      </c>
      <c r="O321" s="125">
        <f>IF('Quant. mod. (oc)'!O321&lt;0,0,CEILING('Quant. mod. (oc)'!O321,6))</f>
        <v>30</v>
      </c>
      <c r="P321" s="125">
        <f>IF('Quant. mod. (oc)'!P321&lt;0,0,CEILING('Quant. mod. (oc)'!P321,6))</f>
        <v>0</v>
      </c>
      <c r="Q321" s="125">
        <f>IF('Quant. mod. (oc)'!Q321&lt;0,0,CEILING('Quant. mod. (oc)'!Q321,6))</f>
        <v>48</v>
      </c>
      <c r="R321" s="125">
        <f>IF('Quant. mod. (oc)'!R321&lt;0,0,CEILING('Quant. mod. (oc)'!R321,6))</f>
        <v>30</v>
      </c>
      <c r="S321" s="125">
        <f>IF('Quant. mod. (oc)'!S321&lt;0,0,CEILING('Quant. mod. (oc)'!S321,6))</f>
        <v>0</v>
      </c>
      <c r="T321" s="125">
        <f>IF('Quant. mod. (oc)'!T321&lt;0,0,CEILING('Quant. mod. (oc)'!T321,6))</f>
        <v>48</v>
      </c>
      <c r="U321" s="125">
        <f>IF('Quant. mod. (oc)'!U321&lt;0,0,CEILING('Quant. mod. (oc)'!U321,6))</f>
        <v>0</v>
      </c>
      <c r="V321" s="125">
        <f>IF('Quant. mod. (oc)'!V321&lt;0,0,CEILING('Quant. mod. (oc)'!V321,6))</f>
        <v>48</v>
      </c>
      <c r="W321" s="125">
        <f>IF('Quant. mod. (oc)'!W321&lt;0,0,CEILING('Quant. mod. (oc)'!W321,6))</f>
        <v>0</v>
      </c>
      <c r="X321" s="125">
        <f>IF('Quant. mod. (oc)'!X321&lt;0,0,CEILING('Quant. mod. (oc)'!X321,6))</f>
        <v>0</v>
      </c>
      <c r="Y321" s="125">
        <f>IF('Quant. mod. (oc)'!Y321&lt;0,0,CEILING('Quant. mod. (oc)'!Y321,6))</f>
        <v>24</v>
      </c>
      <c r="Z321" s="125">
        <f>IF('Quant. mod. (oc)'!Z321&lt;0,0,CEILING('Quant. mod. (oc)'!Z321,6))</f>
        <v>0</v>
      </c>
      <c r="AA321" s="125">
        <f>IF('Quant. mod. (oc)'!AA321&lt;0,0,CEILING('Quant. mod. (oc)'!AA321,6))</f>
        <v>0</v>
      </c>
      <c r="AB321" s="125">
        <f>IF('Quant. mod. (oc)'!AB321&lt;0,0,CEILING('Quant. mod. (oc)'!AB321,6))</f>
        <v>24</v>
      </c>
      <c r="AC321" s="125">
        <f>IF('Quant. mod. (oc)'!AC321&lt;0,0,CEILING('Quant. mod. (oc)'!AC321,6))</f>
        <v>0</v>
      </c>
      <c r="AD321" s="125">
        <f>IF('Quant. mod. (oc)'!AD321&lt;0,0,CEILING('Quant. mod. (oc)'!AD321,6))</f>
        <v>0</v>
      </c>
      <c r="AE321" s="125">
        <f>IF('Quant. mod. (oc)'!AE321&lt;0,0,CEILING('Quant. mod. (oc)'!AE321,6))</f>
        <v>0</v>
      </c>
      <c r="AF321" s="125">
        <f>IF('Quant. mod. (oc)'!AF321&lt;0,0,CEILING('Quant. mod. (oc)'!AF321,6))</f>
        <v>0</v>
      </c>
      <c r="AG321" s="126">
        <f>IF('Quant. mod. (oc)'!AG321&lt;0,0,CEILING('Quant. mod. (oc)'!AG321,6))</f>
        <v>0</v>
      </c>
      <c r="AH321" s="22"/>
    </row>
    <row r="322" spans="1:34" x14ac:dyDescent="0.25">
      <c r="A322" s="112"/>
      <c r="B322" s="69" t="s">
        <v>245</v>
      </c>
      <c r="C322" s="133" t="s">
        <v>64</v>
      </c>
      <c r="D322" s="125">
        <f>IF('Quant. mod. (oc)'!D322&lt;0,0,CEILING('Quant. mod. (oc)'!D322,6))</f>
        <v>0</v>
      </c>
      <c r="E322" s="125">
        <f>IF('Quant. mod. (oc)'!E322&lt;0,0,CEILING('Quant. mod. (oc)'!E322,6))</f>
        <v>0</v>
      </c>
      <c r="F322" s="125">
        <f>IF('Quant. mod. (oc)'!F322&lt;0,0,CEILING('Quant. mod. (oc)'!F322,6))</f>
        <v>0</v>
      </c>
      <c r="G322" s="125">
        <f>IF('Quant. mod. (oc)'!G322&lt;0,0,CEILING('Quant. mod. (oc)'!G322,6))</f>
        <v>0</v>
      </c>
      <c r="H322" s="125">
        <f>IF('Quant. mod. (oc)'!H322&lt;0,0,CEILING('Quant. mod. (oc)'!H322,6))</f>
        <v>0</v>
      </c>
      <c r="I322" s="125">
        <f>IF('Quant. mod. (oc)'!I322&lt;0,0,CEILING('Quant. mod. (oc)'!I322,6))</f>
        <v>0</v>
      </c>
      <c r="J322" s="125">
        <f>IF('Quant. mod. (oc)'!J322&lt;0,0,CEILING('Quant. mod. (oc)'!J322,6))</f>
        <v>0</v>
      </c>
      <c r="K322" s="125">
        <f>IF('Quant. mod. (oc)'!K322&lt;0,0,CEILING('Quant. mod. (oc)'!K322,6))</f>
        <v>0</v>
      </c>
      <c r="L322" s="125">
        <f>IF('Quant. mod. (oc)'!L322&lt;0,0,CEILING('Quant. mod. (oc)'!L322,6))</f>
        <v>0</v>
      </c>
      <c r="M322" s="125">
        <f>IF('Quant. mod. (oc)'!M322&lt;0,0,CEILING('Quant. mod. (oc)'!M322,6))</f>
        <v>0</v>
      </c>
      <c r="N322" s="125">
        <f>IF('Quant. mod. (oc)'!N322&lt;0,0,CEILING('Quant. mod. (oc)'!N322,6))</f>
        <v>0</v>
      </c>
      <c r="O322" s="125">
        <f>IF('Quant. mod. (oc)'!O322&lt;0,0,CEILING('Quant. mod. (oc)'!O322,6))</f>
        <v>0</v>
      </c>
      <c r="P322" s="125">
        <f>IF('Quant. mod. (oc)'!P322&lt;0,0,CEILING('Quant. mod. (oc)'!P322,6))</f>
        <v>0</v>
      </c>
      <c r="Q322" s="125">
        <f>IF('Quant. mod. (oc)'!Q322&lt;0,0,CEILING('Quant. mod. (oc)'!Q322,6))</f>
        <v>0</v>
      </c>
      <c r="R322" s="125">
        <f>IF('Quant. mod. (oc)'!R322&lt;0,0,CEILING('Quant. mod. (oc)'!R322,6))</f>
        <v>0</v>
      </c>
      <c r="S322" s="125">
        <f>IF('Quant. mod. (oc)'!S322&lt;0,0,CEILING('Quant. mod. (oc)'!S322,6))</f>
        <v>0</v>
      </c>
      <c r="T322" s="125">
        <f>IF('Quant. mod. (oc)'!T322&lt;0,0,CEILING('Quant. mod. (oc)'!T322,6))</f>
        <v>0</v>
      </c>
      <c r="U322" s="125">
        <f>IF('Quant. mod. (oc)'!U322&lt;0,0,CEILING('Quant. mod. (oc)'!U322,6))</f>
        <v>0</v>
      </c>
      <c r="V322" s="125">
        <f>IF('Quant. mod. (oc)'!V322&lt;0,0,CEILING('Quant. mod. (oc)'!V322,6))</f>
        <v>0</v>
      </c>
      <c r="W322" s="125">
        <f>IF('Quant. mod. (oc)'!W322&lt;0,0,CEILING('Quant. mod. (oc)'!W322,6))</f>
        <v>0</v>
      </c>
      <c r="X322" s="125">
        <f>IF('Quant. mod. (oc)'!X322&lt;0,0,CEILING('Quant. mod. (oc)'!X322,6))</f>
        <v>0</v>
      </c>
      <c r="Y322" s="125">
        <f>IF('Quant. mod. (oc)'!Y322&lt;0,0,CEILING('Quant. mod. (oc)'!Y322,6))</f>
        <v>0</v>
      </c>
      <c r="Z322" s="125">
        <f>IF('Quant. mod. (oc)'!Z322&lt;0,0,CEILING('Quant. mod. (oc)'!Z322,6))</f>
        <v>0</v>
      </c>
      <c r="AA322" s="125">
        <f>IF('Quant. mod. (oc)'!AA322&lt;0,0,CEILING('Quant. mod. (oc)'!AA322,6))</f>
        <v>0</v>
      </c>
      <c r="AB322" s="125">
        <f>IF('Quant. mod. (oc)'!AB322&lt;0,0,CEILING('Quant. mod. (oc)'!AB322,6))</f>
        <v>0</v>
      </c>
      <c r="AC322" s="125">
        <f>IF('Quant. mod. (oc)'!AC322&lt;0,0,CEILING('Quant. mod. (oc)'!AC322,6))</f>
        <v>0</v>
      </c>
      <c r="AD322" s="125">
        <f>IF('Quant. mod. (oc)'!AD322&lt;0,0,CEILING('Quant. mod. (oc)'!AD322,6))</f>
        <v>0</v>
      </c>
      <c r="AE322" s="125">
        <f>IF('Quant. mod. (oc)'!AE322&lt;0,0,CEILING('Quant. mod. (oc)'!AE322,6))</f>
        <v>0</v>
      </c>
      <c r="AF322" s="125">
        <f>IF('Quant. mod. (oc)'!AF322&lt;0,0,CEILING('Quant. mod. (oc)'!AF322,6))</f>
        <v>0</v>
      </c>
      <c r="AG322" s="126">
        <f>IF('Quant. mod. (oc)'!AG322&lt;0,0,CEILING('Quant. mod. (oc)'!AG322,6))</f>
        <v>0</v>
      </c>
      <c r="AH322" s="22"/>
    </row>
    <row r="323" spans="1:34" x14ac:dyDescent="0.25">
      <c r="A323" s="112"/>
      <c r="B323" s="69" t="s">
        <v>246</v>
      </c>
      <c r="C323" s="133" t="s">
        <v>59</v>
      </c>
      <c r="D323" s="125">
        <f>IF('Quant. mod. (oc)'!D323&lt;0,0,ROUND('Quant. mod. (oc)'!D323,0))</f>
        <v>0</v>
      </c>
      <c r="E323" s="125">
        <f>IF('Quant. mod. (oc)'!E323&lt;0,0,ROUND('Quant. mod. (oc)'!E323,0))</f>
        <v>0</v>
      </c>
      <c r="F323" s="125">
        <f>IF('Quant. mod. (oc)'!F323&lt;0,0,ROUND('Quant. mod. (oc)'!F323,0))</f>
        <v>1</v>
      </c>
      <c r="G323" s="125">
        <f>IF('Quant. mod. (oc)'!G323&lt;0,0,ROUND('Quant. mod. (oc)'!G323,0))</f>
        <v>0</v>
      </c>
      <c r="H323" s="125">
        <f>IF('Quant. mod. (oc)'!H323&lt;0,0,ROUND('Quant. mod. (oc)'!H323,0))</f>
        <v>0</v>
      </c>
      <c r="I323" s="125">
        <f>IF('Quant. mod. (oc)'!I323&lt;0,0,ROUND('Quant. mod. (oc)'!I323,0))</f>
        <v>1</v>
      </c>
      <c r="J323" s="125">
        <f>IF('Quant. mod. (oc)'!J323&lt;0,0,ROUND('Quant. mod. (oc)'!J323,0))</f>
        <v>0</v>
      </c>
      <c r="K323" s="125">
        <f>IF('Quant. mod. (oc)'!K323&lt;0,0,ROUND('Quant. mod. (oc)'!K323,0))</f>
        <v>1</v>
      </c>
      <c r="L323" s="125">
        <f>IF('Quant. mod. (oc)'!L323&lt;0,0,ROUND('Quant. mod. (oc)'!L323,0))</f>
        <v>0</v>
      </c>
      <c r="M323" s="125">
        <f>IF('Quant. mod. (oc)'!M323&lt;0,0,ROUND('Quant. mod. (oc)'!M323,0))</f>
        <v>1</v>
      </c>
      <c r="N323" s="125">
        <f>IF('Quant. mod. (oc)'!N323&lt;0,0,ROUND('Quant. mod. (oc)'!N323,0))</f>
        <v>0</v>
      </c>
      <c r="O323" s="125">
        <f>IF('Quant. mod. (oc)'!O323&lt;0,0,ROUND('Quant. mod. (oc)'!O323,0))</f>
        <v>0</v>
      </c>
      <c r="P323" s="125">
        <f>IF('Quant. mod. (oc)'!P323&lt;0,0,ROUND('Quant. mod. (oc)'!P323,0))</f>
        <v>12</v>
      </c>
      <c r="Q323" s="125">
        <f>IF('Quant. mod. (oc)'!Q323&lt;0,0,ROUND('Quant. mod. (oc)'!Q323,0))</f>
        <v>0</v>
      </c>
      <c r="R323" s="125">
        <f>IF('Quant. mod. (oc)'!R323&lt;0,0,ROUND('Quant. mod. (oc)'!R323,0))</f>
        <v>0</v>
      </c>
      <c r="S323" s="125">
        <f>IF('Quant. mod. (oc)'!S323&lt;0,0,ROUND('Quant. mod. (oc)'!S323,0))</f>
        <v>12</v>
      </c>
      <c r="T323" s="125">
        <f>IF('Quant. mod. (oc)'!T323&lt;0,0,ROUND('Quant. mod. (oc)'!T323,0))</f>
        <v>0</v>
      </c>
      <c r="U323" s="125">
        <f>IF('Quant. mod. (oc)'!U323&lt;0,0,ROUND('Quant. mod. (oc)'!U323,0))</f>
        <v>12</v>
      </c>
      <c r="V323" s="125">
        <f>IF('Quant. mod. (oc)'!V323&lt;0,0,ROUND('Quant. mod. (oc)'!V323,0))</f>
        <v>0</v>
      </c>
      <c r="W323" s="125">
        <f>IF('Quant. mod. (oc)'!W323&lt;0,0,ROUND('Quant. mod. (oc)'!W323,0))</f>
        <v>12</v>
      </c>
      <c r="X323" s="125">
        <f>IF('Quant. mod. (oc)'!X323&lt;0,0,ROUND('Quant. mod. (oc)'!X323,0))</f>
        <v>0</v>
      </c>
      <c r="Y323" s="125">
        <f>IF('Quant. mod. (oc)'!Y323&lt;0,0,ROUND('Quant. mod. (oc)'!Y323,0))</f>
        <v>0</v>
      </c>
      <c r="Z323" s="125">
        <f>IF('Quant. mod. (oc)'!Z323&lt;0,0,ROUND('Quant. mod. (oc)'!Z323,0))</f>
        <v>1</v>
      </c>
      <c r="AA323" s="125">
        <f>IF('Quant. mod. (oc)'!AA323&lt;0,0,ROUND('Quant. mod. (oc)'!AA323,0))</f>
        <v>0</v>
      </c>
      <c r="AB323" s="125">
        <f>IF('Quant. mod. (oc)'!AB323&lt;0,0,ROUND('Quant. mod. (oc)'!AB323,0))</f>
        <v>0</v>
      </c>
      <c r="AC323" s="125">
        <f>IF('Quant. mod. (oc)'!AC323&lt;0,0,ROUND('Quant. mod. (oc)'!AC323,0))</f>
        <v>1</v>
      </c>
      <c r="AD323" s="125">
        <f>IF('Quant. mod. (oc)'!AD323&lt;0,0,ROUND('Quant. mod. (oc)'!AD323,0))</f>
        <v>0</v>
      </c>
      <c r="AE323" s="125">
        <f>IF('Quant. mod. (oc)'!AE323&lt;0,0,ROUND('Quant. mod. (oc)'!AE323,0))</f>
        <v>1</v>
      </c>
      <c r="AF323" s="125">
        <f>IF('Quant. mod. (oc)'!AF323&lt;0,0,ROUND('Quant. mod. (oc)'!AF323,0))</f>
        <v>0</v>
      </c>
      <c r="AG323" s="126">
        <f>IF('Quant. mod. (oc)'!AG323&lt;0,0,ROUND('Quant. mod. (oc)'!AG323,0))</f>
        <v>1</v>
      </c>
      <c r="AH323" s="22"/>
    </row>
    <row r="324" spans="1:34" x14ac:dyDescent="0.25">
      <c r="A324" s="112"/>
      <c r="B324" s="69" t="s">
        <v>247</v>
      </c>
      <c r="C324" s="133" t="s">
        <v>59</v>
      </c>
      <c r="D324" s="125">
        <f>IF('Quant. mod. (oc)'!D324&lt;0,0,ROUND('Quant. mod. (oc)'!D324,0))</f>
        <v>12</v>
      </c>
      <c r="E324" s="125">
        <f>IF('Quant. mod. (oc)'!E324&lt;0,0,ROUND('Quant. mod. (oc)'!E324,0))</f>
        <v>0</v>
      </c>
      <c r="F324" s="125">
        <f>IF('Quant. mod. (oc)'!F324&lt;0,0,ROUND('Quant. mod. (oc)'!F324,0))</f>
        <v>0</v>
      </c>
      <c r="G324" s="125">
        <f>IF('Quant. mod. (oc)'!G324&lt;0,0,ROUND('Quant. mod. (oc)'!G324,0))</f>
        <v>12</v>
      </c>
      <c r="H324" s="125">
        <f>IF('Quant. mod. (oc)'!H324&lt;0,0,ROUND('Quant. mod. (oc)'!H324,0))</f>
        <v>0</v>
      </c>
      <c r="I324" s="125">
        <f>IF('Quant. mod. (oc)'!I324&lt;0,0,ROUND('Quant. mod. (oc)'!I324,0))</f>
        <v>0</v>
      </c>
      <c r="J324" s="125">
        <f>IF('Quant. mod. (oc)'!J324&lt;0,0,ROUND('Quant. mod. (oc)'!J324,0))</f>
        <v>12</v>
      </c>
      <c r="K324" s="125">
        <f>IF('Quant. mod. (oc)'!K324&lt;0,0,ROUND('Quant. mod. (oc)'!K324,0))</f>
        <v>0</v>
      </c>
      <c r="L324" s="125">
        <f>IF('Quant. mod. (oc)'!L324&lt;0,0,ROUND('Quant. mod. (oc)'!L324,0))</f>
        <v>12</v>
      </c>
      <c r="M324" s="125">
        <f>IF('Quant. mod. (oc)'!M324&lt;0,0,ROUND('Quant. mod. (oc)'!M324,0))</f>
        <v>0</v>
      </c>
      <c r="N324" s="125">
        <f>IF('Quant. mod. (oc)'!N324&lt;0,0,ROUND('Quant. mod. (oc)'!N324,0))</f>
        <v>0</v>
      </c>
      <c r="O324" s="125">
        <f>IF('Quant. mod. (oc)'!O324&lt;0,0,ROUND('Quant. mod. (oc)'!O324,0))</f>
        <v>0</v>
      </c>
      <c r="P324" s="125">
        <f>IF('Quant. mod. (oc)'!P324&lt;0,0,ROUND('Quant. mod. (oc)'!P324,0))</f>
        <v>0</v>
      </c>
      <c r="Q324" s="125">
        <f>IF('Quant. mod. (oc)'!Q324&lt;0,0,ROUND('Quant. mod. (oc)'!Q324,0))</f>
        <v>0</v>
      </c>
      <c r="R324" s="125">
        <f>IF('Quant. mod. (oc)'!R324&lt;0,0,ROUND('Quant. mod. (oc)'!R324,0))</f>
        <v>0</v>
      </c>
      <c r="S324" s="125">
        <f>IF('Quant. mod. (oc)'!S324&lt;0,0,ROUND('Quant. mod. (oc)'!S324,0))</f>
        <v>0</v>
      </c>
      <c r="T324" s="125">
        <f>IF('Quant. mod. (oc)'!T324&lt;0,0,ROUND('Quant. mod. (oc)'!T324,0))</f>
        <v>0</v>
      </c>
      <c r="U324" s="125">
        <f>IF('Quant. mod. (oc)'!U324&lt;0,0,ROUND('Quant. mod. (oc)'!U324,0))</f>
        <v>0</v>
      </c>
      <c r="V324" s="125">
        <f>IF('Quant. mod. (oc)'!V324&lt;0,0,ROUND('Quant. mod. (oc)'!V324,0))</f>
        <v>0</v>
      </c>
      <c r="W324" s="125">
        <f>IF('Quant. mod. (oc)'!W324&lt;0,0,ROUND('Quant. mod. (oc)'!W324,0))</f>
        <v>0</v>
      </c>
      <c r="X324" s="125">
        <f>IF('Quant. mod. (oc)'!X324&lt;0,0,ROUND('Quant. mod. (oc)'!X324,0))</f>
        <v>8</v>
      </c>
      <c r="Y324" s="125">
        <f>IF('Quant. mod. (oc)'!Y324&lt;0,0,ROUND('Quant. mod. (oc)'!Y324,0))</f>
        <v>0</v>
      </c>
      <c r="Z324" s="125">
        <f>IF('Quant. mod. (oc)'!Z324&lt;0,0,ROUND('Quant. mod. (oc)'!Z324,0))</f>
        <v>0</v>
      </c>
      <c r="AA324" s="125">
        <f>IF('Quant. mod. (oc)'!AA324&lt;0,0,ROUND('Quant. mod. (oc)'!AA324,0))</f>
        <v>8</v>
      </c>
      <c r="AB324" s="125">
        <f>IF('Quant. mod. (oc)'!AB324&lt;0,0,ROUND('Quant. mod. (oc)'!AB324,0))</f>
        <v>0</v>
      </c>
      <c r="AC324" s="125">
        <f>IF('Quant. mod. (oc)'!AC324&lt;0,0,ROUND('Quant. mod. (oc)'!AC324,0))</f>
        <v>0</v>
      </c>
      <c r="AD324" s="125">
        <f>IF('Quant. mod. (oc)'!AD324&lt;0,0,ROUND('Quant. mod. (oc)'!AD324,0))</f>
        <v>8</v>
      </c>
      <c r="AE324" s="125">
        <f>IF('Quant. mod. (oc)'!AE324&lt;0,0,ROUND('Quant. mod. (oc)'!AE324,0))</f>
        <v>0</v>
      </c>
      <c r="AF324" s="125">
        <f>IF('Quant. mod. (oc)'!AF324&lt;0,0,ROUND('Quant. mod. (oc)'!AF324,0))</f>
        <v>8</v>
      </c>
      <c r="AG324" s="126">
        <f>IF('Quant. mod. (oc)'!AG324&lt;0,0,ROUND('Quant. mod. (oc)'!AG324,0))</f>
        <v>0</v>
      </c>
      <c r="AH324" s="22"/>
    </row>
    <row r="325" spans="1:34" x14ac:dyDescent="0.25">
      <c r="A325" s="112"/>
      <c r="B325" s="69" t="s">
        <v>248</v>
      </c>
      <c r="C325" s="133" t="s">
        <v>59</v>
      </c>
      <c r="D325" s="125">
        <f>IF('Quant. mod. (oc)'!D325&lt;0,0,ROUND('Quant. mod. (oc)'!D325,0))</f>
        <v>0</v>
      </c>
      <c r="E325" s="125">
        <f>IF('Quant. mod. (oc)'!E325&lt;0,0,ROUND('Quant. mod. (oc)'!E325,0))</f>
        <v>2</v>
      </c>
      <c r="F325" s="125">
        <f>IF('Quant. mod. (oc)'!F325&lt;0,0,ROUND('Quant. mod. (oc)'!F325,0))</f>
        <v>0</v>
      </c>
      <c r="G325" s="125">
        <f>IF('Quant. mod. (oc)'!G325&lt;0,0,ROUND('Quant. mod. (oc)'!G325,0))</f>
        <v>0</v>
      </c>
      <c r="H325" s="125">
        <f>IF('Quant. mod. (oc)'!H325&lt;0,0,ROUND('Quant. mod. (oc)'!H325,0))</f>
        <v>2</v>
      </c>
      <c r="I325" s="125">
        <f>IF('Quant. mod. (oc)'!I325&lt;0,0,ROUND('Quant. mod. (oc)'!I325,0))</f>
        <v>0</v>
      </c>
      <c r="J325" s="125">
        <f>IF('Quant. mod. (oc)'!J325&lt;0,0,ROUND('Quant. mod. (oc)'!J325,0))</f>
        <v>0</v>
      </c>
      <c r="K325" s="125">
        <f>IF('Quant. mod. (oc)'!K325&lt;0,0,ROUND('Quant. mod. (oc)'!K325,0))</f>
        <v>0</v>
      </c>
      <c r="L325" s="125">
        <f>IF('Quant. mod. (oc)'!L325&lt;0,0,ROUND('Quant. mod. (oc)'!L325,0))</f>
        <v>0</v>
      </c>
      <c r="M325" s="125">
        <f>IF('Quant. mod. (oc)'!M325&lt;0,0,ROUND('Quant. mod. (oc)'!M325,0))</f>
        <v>0</v>
      </c>
      <c r="N325" s="125">
        <f>IF('Quant. mod. (oc)'!N325&lt;0,0,ROUND('Quant. mod. (oc)'!N325,0))</f>
        <v>12</v>
      </c>
      <c r="O325" s="125">
        <f>IF('Quant. mod. (oc)'!O325&lt;0,0,ROUND('Quant. mod. (oc)'!O325,0))</f>
        <v>2</v>
      </c>
      <c r="P325" s="125">
        <f>IF('Quant. mod. (oc)'!P325&lt;0,0,ROUND('Quant. mod. (oc)'!P325,0))</f>
        <v>0</v>
      </c>
      <c r="Q325" s="125">
        <f>IF('Quant. mod. (oc)'!Q325&lt;0,0,ROUND('Quant. mod. (oc)'!Q325,0))</f>
        <v>12</v>
      </c>
      <c r="R325" s="125">
        <f>IF('Quant. mod. (oc)'!R325&lt;0,0,ROUND('Quant. mod. (oc)'!R325,0))</f>
        <v>2</v>
      </c>
      <c r="S325" s="125">
        <f>IF('Quant. mod. (oc)'!S325&lt;0,0,ROUND('Quant. mod. (oc)'!S325,0))</f>
        <v>0</v>
      </c>
      <c r="T325" s="125">
        <f>IF('Quant. mod. (oc)'!T325&lt;0,0,ROUND('Quant. mod. (oc)'!T325,0))</f>
        <v>12</v>
      </c>
      <c r="U325" s="125">
        <f>IF('Quant. mod. (oc)'!U325&lt;0,0,ROUND('Quant. mod. (oc)'!U325,0))</f>
        <v>0</v>
      </c>
      <c r="V325" s="125">
        <f>IF('Quant. mod. (oc)'!V325&lt;0,0,ROUND('Quant. mod. (oc)'!V325,0))</f>
        <v>12</v>
      </c>
      <c r="W325" s="125">
        <f>IF('Quant. mod. (oc)'!W325&lt;0,0,ROUND('Quant. mod. (oc)'!W325,0))</f>
        <v>0</v>
      </c>
      <c r="X325" s="125">
        <f>IF('Quant. mod. (oc)'!X325&lt;0,0,ROUND('Quant. mod. (oc)'!X325,0))</f>
        <v>0</v>
      </c>
      <c r="Y325" s="125">
        <f>IF('Quant. mod. (oc)'!Y325&lt;0,0,ROUND('Quant. mod. (oc)'!Y325,0))</f>
        <v>2</v>
      </c>
      <c r="Z325" s="125">
        <f>IF('Quant. mod. (oc)'!Z325&lt;0,0,ROUND('Quant. mod. (oc)'!Z325,0))</f>
        <v>0</v>
      </c>
      <c r="AA325" s="125">
        <f>IF('Quant. mod. (oc)'!AA325&lt;0,0,ROUND('Quant. mod. (oc)'!AA325,0))</f>
        <v>0</v>
      </c>
      <c r="AB325" s="125">
        <f>IF('Quant. mod. (oc)'!AB325&lt;0,0,ROUND('Quant. mod. (oc)'!AB325,0))</f>
        <v>2</v>
      </c>
      <c r="AC325" s="125">
        <f>IF('Quant. mod. (oc)'!AC325&lt;0,0,ROUND('Quant. mod. (oc)'!AC325,0))</f>
        <v>0</v>
      </c>
      <c r="AD325" s="125">
        <f>IF('Quant. mod. (oc)'!AD325&lt;0,0,ROUND('Quant. mod. (oc)'!AD325,0))</f>
        <v>0</v>
      </c>
      <c r="AE325" s="125">
        <f>IF('Quant. mod. (oc)'!AE325&lt;0,0,ROUND('Quant. mod. (oc)'!AE325,0))</f>
        <v>0</v>
      </c>
      <c r="AF325" s="125">
        <f>IF('Quant. mod. (oc)'!AF325&lt;0,0,ROUND('Quant. mod. (oc)'!AF325,0))</f>
        <v>0</v>
      </c>
      <c r="AG325" s="126">
        <f>IF('Quant. mod. (oc)'!AG325&lt;0,0,ROUND('Quant. mod. (oc)'!AG325,0))</f>
        <v>0</v>
      </c>
      <c r="AH325" s="22"/>
    </row>
    <row r="326" spans="1:34" x14ac:dyDescent="0.25">
      <c r="A326" s="112"/>
      <c r="B326" s="69" t="s">
        <v>249</v>
      </c>
      <c r="C326" s="133" t="s">
        <v>59</v>
      </c>
      <c r="D326" s="125">
        <f>IF('Quant. mod. (oc)'!D326&lt;0,0,ROUND('Quant. mod. (oc)'!D326,0))</f>
        <v>0</v>
      </c>
      <c r="E326" s="125">
        <f>IF('Quant. mod. (oc)'!E326&lt;0,0,ROUND('Quant. mod. (oc)'!E326,0))</f>
        <v>0</v>
      </c>
      <c r="F326" s="125">
        <f>IF('Quant. mod. (oc)'!F326&lt;0,0,ROUND('Quant. mod. (oc)'!F326,0))</f>
        <v>0</v>
      </c>
      <c r="G326" s="125">
        <f>IF('Quant. mod. (oc)'!G326&lt;0,0,ROUND('Quant. mod. (oc)'!G326,0))</f>
        <v>0</v>
      </c>
      <c r="H326" s="125">
        <f>IF('Quant. mod. (oc)'!H326&lt;0,0,ROUND('Quant. mod. (oc)'!H326,0))</f>
        <v>0</v>
      </c>
      <c r="I326" s="125">
        <f>IF('Quant. mod. (oc)'!I326&lt;0,0,ROUND('Quant. mod. (oc)'!I326,0))</f>
        <v>0</v>
      </c>
      <c r="J326" s="125">
        <f>IF('Quant. mod. (oc)'!J326&lt;0,0,ROUND('Quant. mod. (oc)'!J326,0))</f>
        <v>0</v>
      </c>
      <c r="K326" s="125">
        <f>IF('Quant. mod. (oc)'!K326&lt;0,0,ROUND('Quant. mod. (oc)'!K326,0))</f>
        <v>0</v>
      </c>
      <c r="L326" s="125">
        <f>IF('Quant. mod. (oc)'!L326&lt;0,0,ROUND('Quant. mod. (oc)'!L326,0))</f>
        <v>0</v>
      </c>
      <c r="M326" s="125">
        <f>IF('Quant. mod. (oc)'!M326&lt;0,0,ROUND('Quant. mod. (oc)'!M326,0))</f>
        <v>0</v>
      </c>
      <c r="N326" s="125">
        <f>IF('Quant. mod. (oc)'!N326&lt;0,0,ROUND('Quant. mod. (oc)'!N326,0))</f>
        <v>0</v>
      </c>
      <c r="O326" s="125">
        <f>IF('Quant. mod. (oc)'!O326&lt;0,0,ROUND('Quant. mod. (oc)'!O326,0))</f>
        <v>0</v>
      </c>
      <c r="P326" s="125">
        <f>IF('Quant. mod. (oc)'!P326&lt;0,0,ROUND('Quant. mod. (oc)'!P326,0))</f>
        <v>0</v>
      </c>
      <c r="Q326" s="125">
        <f>IF('Quant. mod. (oc)'!Q326&lt;0,0,ROUND('Quant. mod. (oc)'!Q326,0))</f>
        <v>0</v>
      </c>
      <c r="R326" s="125">
        <f>IF('Quant. mod. (oc)'!R326&lt;0,0,ROUND('Quant. mod. (oc)'!R326,0))</f>
        <v>0</v>
      </c>
      <c r="S326" s="125">
        <f>IF('Quant. mod. (oc)'!S326&lt;0,0,ROUND('Quant. mod. (oc)'!S326,0))</f>
        <v>0</v>
      </c>
      <c r="T326" s="125">
        <f>IF('Quant. mod. (oc)'!T326&lt;0,0,ROUND('Quant. mod. (oc)'!T326,0))</f>
        <v>0</v>
      </c>
      <c r="U326" s="125">
        <f>IF('Quant. mod. (oc)'!U326&lt;0,0,ROUND('Quant. mod. (oc)'!U326,0))</f>
        <v>0</v>
      </c>
      <c r="V326" s="125">
        <f>IF('Quant. mod. (oc)'!V326&lt;0,0,ROUND('Quant. mod. (oc)'!V326,0))</f>
        <v>0</v>
      </c>
      <c r="W326" s="125">
        <f>IF('Quant. mod. (oc)'!W326&lt;0,0,ROUND('Quant. mod. (oc)'!W326,0))</f>
        <v>0</v>
      </c>
      <c r="X326" s="125">
        <f>IF('Quant. mod. (oc)'!X326&lt;0,0,ROUND('Quant. mod. (oc)'!X326,0))</f>
        <v>0</v>
      </c>
      <c r="Y326" s="125">
        <f>IF('Quant. mod. (oc)'!Y326&lt;0,0,ROUND('Quant. mod. (oc)'!Y326,0))</f>
        <v>0</v>
      </c>
      <c r="Z326" s="125">
        <f>IF('Quant. mod. (oc)'!Z326&lt;0,0,ROUND('Quant. mod. (oc)'!Z326,0))</f>
        <v>0</v>
      </c>
      <c r="AA326" s="125">
        <f>IF('Quant. mod. (oc)'!AA326&lt;0,0,ROUND('Quant. mod. (oc)'!AA326,0))</f>
        <v>0</v>
      </c>
      <c r="AB326" s="125">
        <f>IF('Quant. mod. (oc)'!AB326&lt;0,0,ROUND('Quant. mod. (oc)'!AB326,0))</f>
        <v>0</v>
      </c>
      <c r="AC326" s="125">
        <f>IF('Quant. mod. (oc)'!AC326&lt;0,0,ROUND('Quant. mod. (oc)'!AC326,0))</f>
        <v>0</v>
      </c>
      <c r="AD326" s="125">
        <f>IF('Quant. mod. (oc)'!AD326&lt;0,0,ROUND('Quant. mod. (oc)'!AD326,0))</f>
        <v>0</v>
      </c>
      <c r="AE326" s="125">
        <f>IF('Quant. mod. (oc)'!AE326&lt;0,0,ROUND('Quant. mod. (oc)'!AE326,0))</f>
        <v>0</v>
      </c>
      <c r="AF326" s="125">
        <f>IF('Quant. mod. (oc)'!AF326&lt;0,0,ROUND('Quant. mod. (oc)'!AF326,0))</f>
        <v>0</v>
      </c>
      <c r="AG326" s="126">
        <f>IF('Quant. mod. (oc)'!AG326&lt;0,0,ROUND('Quant. mod. (oc)'!AG326,0))</f>
        <v>0</v>
      </c>
      <c r="AH326" s="22"/>
    </row>
    <row r="327" spans="1:34" x14ac:dyDescent="0.25">
      <c r="A327" s="112"/>
      <c r="B327" s="69" t="s">
        <v>251</v>
      </c>
      <c r="C327" s="133" t="s">
        <v>59</v>
      </c>
      <c r="D327" s="125">
        <f>IF('Quant. mod. (oc)'!D327&lt;0,0,ROUND('Quant. mod. (oc)'!D327,0))</f>
        <v>0</v>
      </c>
      <c r="E327" s="125">
        <f>IF('Quant. mod. (oc)'!E327&lt;0,0,ROUND('Quant. mod. (oc)'!E327,0))</f>
        <v>0</v>
      </c>
      <c r="F327" s="125">
        <f>IF('Quant. mod. (oc)'!F327&lt;0,0,ROUND('Quant. mod. (oc)'!F327,0))</f>
        <v>0</v>
      </c>
      <c r="G327" s="125">
        <f>IF('Quant. mod. (oc)'!G327&lt;0,0,ROUND('Quant. mod. (oc)'!G327,0))</f>
        <v>0</v>
      </c>
      <c r="H327" s="125">
        <f>IF('Quant. mod. (oc)'!H327&lt;0,0,ROUND('Quant. mod. (oc)'!H327,0))</f>
        <v>0</v>
      </c>
      <c r="I327" s="125">
        <f>IF('Quant. mod. (oc)'!I327&lt;0,0,ROUND('Quant. mod. (oc)'!I327,0))</f>
        <v>0</v>
      </c>
      <c r="J327" s="125">
        <f>IF('Quant. mod. (oc)'!J327&lt;0,0,ROUND('Quant. mod. (oc)'!J327,0))</f>
        <v>0</v>
      </c>
      <c r="K327" s="125">
        <f>IF('Quant. mod. (oc)'!K327&lt;0,0,ROUND('Quant. mod. (oc)'!K327,0))</f>
        <v>0</v>
      </c>
      <c r="L327" s="125">
        <f>IF('Quant. mod. (oc)'!L327&lt;0,0,ROUND('Quant. mod. (oc)'!L327,0))</f>
        <v>0</v>
      </c>
      <c r="M327" s="125">
        <f>IF('Quant. mod. (oc)'!M327&lt;0,0,ROUND('Quant. mod. (oc)'!M327,0))</f>
        <v>0</v>
      </c>
      <c r="N327" s="125">
        <f>IF('Quant. mod. (oc)'!N327&lt;0,0,ROUND('Quant. mod. (oc)'!N327,0))</f>
        <v>0</v>
      </c>
      <c r="O327" s="125">
        <f>IF('Quant. mod. (oc)'!O327&lt;0,0,ROUND('Quant. mod. (oc)'!O327,0))</f>
        <v>0</v>
      </c>
      <c r="P327" s="125">
        <f>IF('Quant. mod. (oc)'!P327&lt;0,0,ROUND('Quant. mod. (oc)'!P327,0))</f>
        <v>0</v>
      </c>
      <c r="Q327" s="125">
        <f>IF('Quant. mod. (oc)'!Q327&lt;0,0,ROUND('Quant. mod. (oc)'!Q327,0))</f>
        <v>0</v>
      </c>
      <c r="R327" s="125">
        <f>IF('Quant. mod. (oc)'!R327&lt;0,0,ROUND('Quant. mod. (oc)'!R327,0))</f>
        <v>0</v>
      </c>
      <c r="S327" s="125">
        <f>IF('Quant. mod. (oc)'!S327&lt;0,0,ROUND('Quant. mod. (oc)'!S327,0))</f>
        <v>0</v>
      </c>
      <c r="T327" s="125">
        <f>IF('Quant. mod. (oc)'!T327&lt;0,0,ROUND('Quant. mod. (oc)'!T327,0))</f>
        <v>0</v>
      </c>
      <c r="U327" s="125">
        <f>IF('Quant. mod. (oc)'!U327&lt;0,0,ROUND('Quant. mod. (oc)'!U327,0))</f>
        <v>0</v>
      </c>
      <c r="V327" s="125">
        <f>IF('Quant. mod. (oc)'!V327&lt;0,0,ROUND('Quant. mod. (oc)'!V327,0))</f>
        <v>0</v>
      </c>
      <c r="W327" s="125">
        <f>IF('Quant. mod. (oc)'!W327&lt;0,0,ROUND('Quant. mod. (oc)'!W327,0))</f>
        <v>0</v>
      </c>
      <c r="X327" s="125">
        <f>IF('Quant. mod. (oc)'!X327&lt;0,0,ROUND('Quant. mod. (oc)'!X327,0))</f>
        <v>1</v>
      </c>
      <c r="Y327" s="125">
        <f>IF('Quant. mod. (oc)'!Y327&lt;0,0,ROUND('Quant. mod. (oc)'!Y327,0))</f>
        <v>0</v>
      </c>
      <c r="Z327" s="125">
        <f>IF('Quant. mod. (oc)'!Z327&lt;0,0,ROUND('Quant. mod. (oc)'!Z327,0))</f>
        <v>0</v>
      </c>
      <c r="AA327" s="125">
        <f>IF('Quant. mod. (oc)'!AA327&lt;0,0,ROUND('Quant. mod. (oc)'!AA327,0))</f>
        <v>1</v>
      </c>
      <c r="AB327" s="125">
        <f>IF('Quant. mod. (oc)'!AB327&lt;0,0,ROUND('Quant. mod. (oc)'!AB327,0))</f>
        <v>0</v>
      </c>
      <c r="AC327" s="125">
        <f>IF('Quant. mod. (oc)'!AC327&lt;0,0,ROUND('Quant. mod. (oc)'!AC327,0))</f>
        <v>0</v>
      </c>
      <c r="AD327" s="125">
        <f>IF('Quant. mod. (oc)'!AD327&lt;0,0,ROUND('Quant. mod. (oc)'!AD327,0))</f>
        <v>1</v>
      </c>
      <c r="AE327" s="125">
        <f>IF('Quant. mod. (oc)'!AE327&lt;0,0,ROUND('Quant. mod. (oc)'!AE327,0))</f>
        <v>0</v>
      </c>
      <c r="AF327" s="125">
        <f>IF('Quant. mod. (oc)'!AF327&lt;0,0,ROUND('Quant. mod. (oc)'!AF327,0))</f>
        <v>1</v>
      </c>
      <c r="AG327" s="126">
        <f>IF('Quant. mod. (oc)'!AG327&lt;0,0,ROUND('Quant. mod. (oc)'!AG327,0))</f>
        <v>0</v>
      </c>
      <c r="AH327" s="22"/>
    </row>
    <row r="328" spans="1:34" x14ac:dyDescent="0.25">
      <c r="A328" s="112"/>
      <c r="B328" s="69" t="s">
        <v>253</v>
      </c>
      <c r="C328" s="133" t="s">
        <v>59</v>
      </c>
      <c r="D328" s="125">
        <f>IF('Quant. mod. (oc)'!D328&lt;0,0,ROUND('Quant. mod. (oc)'!D328,0))</f>
        <v>0</v>
      </c>
      <c r="E328" s="125">
        <f>IF('Quant. mod. (oc)'!E328&lt;0,0,ROUND('Quant. mod. (oc)'!E328,0))</f>
        <v>0</v>
      </c>
      <c r="F328" s="125">
        <f>IF('Quant. mod. (oc)'!F328&lt;0,0,ROUND('Quant. mod. (oc)'!F328,0))</f>
        <v>1</v>
      </c>
      <c r="G328" s="125">
        <f>IF('Quant. mod. (oc)'!G328&lt;0,0,ROUND('Quant. mod. (oc)'!G328,0))</f>
        <v>0</v>
      </c>
      <c r="H328" s="125">
        <f>IF('Quant. mod. (oc)'!H328&lt;0,0,ROUND('Quant. mod. (oc)'!H328,0))</f>
        <v>0</v>
      </c>
      <c r="I328" s="125">
        <f>IF('Quant. mod. (oc)'!I328&lt;0,0,ROUND('Quant. mod. (oc)'!I328,0))</f>
        <v>1</v>
      </c>
      <c r="J328" s="125">
        <f>IF('Quant. mod. (oc)'!J328&lt;0,0,ROUND('Quant. mod. (oc)'!J328,0))</f>
        <v>0</v>
      </c>
      <c r="K328" s="125">
        <f>IF('Quant. mod. (oc)'!K328&lt;0,0,ROUND('Quant. mod. (oc)'!K328,0))</f>
        <v>1</v>
      </c>
      <c r="L328" s="125">
        <f>IF('Quant. mod. (oc)'!L328&lt;0,0,ROUND('Quant. mod. (oc)'!L328,0))</f>
        <v>0</v>
      </c>
      <c r="M328" s="125">
        <f>IF('Quant. mod. (oc)'!M328&lt;0,0,ROUND('Quant. mod. (oc)'!M328,0))</f>
        <v>1</v>
      </c>
      <c r="N328" s="125">
        <f>IF('Quant. mod. (oc)'!N328&lt;0,0,ROUND('Quant. mod. (oc)'!N328,0))</f>
        <v>0</v>
      </c>
      <c r="O328" s="125">
        <f>IF('Quant. mod. (oc)'!O328&lt;0,0,ROUND('Quant. mod. (oc)'!O328,0))</f>
        <v>0</v>
      </c>
      <c r="P328" s="125">
        <f>IF('Quant. mod. (oc)'!P328&lt;0,0,ROUND('Quant. mod. (oc)'!P328,0))</f>
        <v>1</v>
      </c>
      <c r="Q328" s="125">
        <f>IF('Quant. mod. (oc)'!Q328&lt;0,0,ROUND('Quant. mod. (oc)'!Q328,0))</f>
        <v>0</v>
      </c>
      <c r="R328" s="125">
        <f>IF('Quant. mod. (oc)'!R328&lt;0,0,ROUND('Quant. mod. (oc)'!R328,0))</f>
        <v>0</v>
      </c>
      <c r="S328" s="125">
        <f>IF('Quant. mod. (oc)'!S328&lt;0,0,ROUND('Quant. mod. (oc)'!S328,0))</f>
        <v>1</v>
      </c>
      <c r="T328" s="125">
        <f>IF('Quant. mod. (oc)'!T328&lt;0,0,ROUND('Quant. mod. (oc)'!T328,0))</f>
        <v>0</v>
      </c>
      <c r="U328" s="125">
        <f>IF('Quant. mod. (oc)'!U328&lt;0,0,ROUND('Quant. mod. (oc)'!U328,0))</f>
        <v>1</v>
      </c>
      <c r="V328" s="125">
        <f>IF('Quant. mod. (oc)'!V328&lt;0,0,ROUND('Quant. mod. (oc)'!V328,0))</f>
        <v>0</v>
      </c>
      <c r="W328" s="125">
        <f>IF('Quant. mod. (oc)'!W328&lt;0,0,ROUND('Quant. mod. (oc)'!W328,0))</f>
        <v>1</v>
      </c>
      <c r="X328" s="125">
        <f>IF('Quant. mod. (oc)'!X328&lt;0,0,ROUND('Quant. mod. (oc)'!X328,0))</f>
        <v>0</v>
      </c>
      <c r="Y328" s="125">
        <f>IF('Quant. mod. (oc)'!Y328&lt;0,0,ROUND('Quant. mod. (oc)'!Y328,0))</f>
        <v>0</v>
      </c>
      <c r="Z328" s="125">
        <f>IF('Quant. mod. (oc)'!Z328&lt;0,0,ROUND('Quant. mod. (oc)'!Z328,0))</f>
        <v>1</v>
      </c>
      <c r="AA328" s="125">
        <f>IF('Quant. mod. (oc)'!AA328&lt;0,0,ROUND('Quant. mod. (oc)'!AA328,0))</f>
        <v>0</v>
      </c>
      <c r="AB328" s="125">
        <f>IF('Quant. mod. (oc)'!AB328&lt;0,0,ROUND('Quant. mod. (oc)'!AB328,0))</f>
        <v>0</v>
      </c>
      <c r="AC328" s="125">
        <f>IF('Quant. mod. (oc)'!AC328&lt;0,0,ROUND('Quant. mod. (oc)'!AC328,0))</f>
        <v>1</v>
      </c>
      <c r="AD328" s="125">
        <f>IF('Quant. mod. (oc)'!AD328&lt;0,0,ROUND('Quant. mod. (oc)'!AD328,0))</f>
        <v>0</v>
      </c>
      <c r="AE328" s="125">
        <f>IF('Quant. mod. (oc)'!AE328&lt;0,0,ROUND('Quant. mod. (oc)'!AE328,0))</f>
        <v>1</v>
      </c>
      <c r="AF328" s="125">
        <f>IF('Quant. mod. (oc)'!AF328&lt;0,0,ROUND('Quant. mod. (oc)'!AF328,0))</f>
        <v>0</v>
      </c>
      <c r="AG328" s="126">
        <f>IF('Quant. mod. (oc)'!AG328&lt;0,0,ROUND('Quant. mod. (oc)'!AG328,0))</f>
        <v>1</v>
      </c>
      <c r="AH328" s="22"/>
    </row>
    <row r="329" spans="1:34" x14ac:dyDescent="0.25">
      <c r="A329" s="112"/>
      <c r="B329" s="69" t="s">
        <v>252</v>
      </c>
      <c r="C329" s="133" t="s">
        <v>59</v>
      </c>
      <c r="D329" s="125">
        <f>IF('Quant. mod. (oc)'!D329&lt;0,0,ROUND('Quant. mod. (oc)'!D329,0))</f>
        <v>0</v>
      </c>
      <c r="E329" s="125">
        <f>IF('Quant. mod. (oc)'!E329&lt;0,0,ROUND('Quant. mod. (oc)'!E329,0))</f>
        <v>0</v>
      </c>
      <c r="F329" s="125">
        <f>IF('Quant. mod. (oc)'!F329&lt;0,0,ROUND('Quant. mod. (oc)'!F329,0))</f>
        <v>0</v>
      </c>
      <c r="G329" s="125">
        <f>IF('Quant. mod. (oc)'!G329&lt;0,0,ROUND('Quant. mod. (oc)'!G329,0))</f>
        <v>0</v>
      </c>
      <c r="H329" s="125">
        <f>IF('Quant. mod. (oc)'!H329&lt;0,0,ROUND('Quant. mod. (oc)'!H329,0))</f>
        <v>0</v>
      </c>
      <c r="I329" s="125">
        <f>IF('Quant. mod. (oc)'!I329&lt;0,0,ROUND('Quant. mod. (oc)'!I329,0))</f>
        <v>0</v>
      </c>
      <c r="J329" s="125">
        <f>IF('Quant. mod. (oc)'!J329&lt;0,0,ROUND('Quant. mod. (oc)'!J329,0))</f>
        <v>0</v>
      </c>
      <c r="K329" s="125">
        <f>IF('Quant. mod. (oc)'!K329&lt;0,0,ROUND('Quant. mod. (oc)'!K329,0))</f>
        <v>0</v>
      </c>
      <c r="L329" s="125">
        <f>IF('Quant. mod. (oc)'!L329&lt;0,0,ROUND('Quant. mod. (oc)'!L329,0))</f>
        <v>0</v>
      </c>
      <c r="M329" s="125">
        <f>IF('Quant. mod. (oc)'!M329&lt;0,0,ROUND('Quant. mod. (oc)'!M329,0))</f>
        <v>0</v>
      </c>
      <c r="N329" s="125">
        <f>IF('Quant. mod. (oc)'!N329&lt;0,0,ROUND('Quant. mod. (oc)'!N329,0))</f>
        <v>0</v>
      </c>
      <c r="O329" s="125">
        <f>IF('Quant. mod. (oc)'!O329&lt;0,0,ROUND('Quant. mod. (oc)'!O329,0))</f>
        <v>0</v>
      </c>
      <c r="P329" s="125">
        <f>IF('Quant. mod. (oc)'!P329&lt;0,0,ROUND('Quant. mod. (oc)'!P329,0))</f>
        <v>0</v>
      </c>
      <c r="Q329" s="125">
        <f>IF('Quant. mod. (oc)'!Q329&lt;0,0,ROUND('Quant. mod. (oc)'!Q329,0))</f>
        <v>0</v>
      </c>
      <c r="R329" s="125">
        <f>IF('Quant. mod. (oc)'!R329&lt;0,0,ROUND('Quant. mod. (oc)'!R329,0))</f>
        <v>0</v>
      </c>
      <c r="S329" s="125">
        <f>IF('Quant. mod. (oc)'!S329&lt;0,0,ROUND('Quant. mod. (oc)'!S329,0))</f>
        <v>0</v>
      </c>
      <c r="T329" s="125">
        <f>IF('Quant. mod. (oc)'!T329&lt;0,0,ROUND('Quant. mod. (oc)'!T329,0))</f>
        <v>0</v>
      </c>
      <c r="U329" s="125">
        <f>IF('Quant. mod. (oc)'!U329&lt;0,0,ROUND('Quant. mod. (oc)'!U329,0))</f>
        <v>0</v>
      </c>
      <c r="V329" s="125">
        <f>IF('Quant. mod. (oc)'!V329&lt;0,0,ROUND('Quant. mod. (oc)'!V329,0))</f>
        <v>0</v>
      </c>
      <c r="W329" s="125">
        <f>IF('Quant. mod. (oc)'!W329&lt;0,0,ROUND('Quant. mod. (oc)'!W329,0))</f>
        <v>0</v>
      </c>
      <c r="X329" s="125">
        <f>IF('Quant. mod. (oc)'!X329&lt;0,0,ROUND('Quant. mod. (oc)'!X329,0))</f>
        <v>0</v>
      </c>
      <c r="Y329" s="125">
        <f>IF('Quant. mod. (oc)'!Y329&lt;0,0,ROUND('Quant. mod. (oc)'!Y329,0))</f>
        <v>1</v>
      </c>
      <c r="Z329" s="125">
        <f>IF('Quant. mod. (oc)'!Z329&lt;0,0,ROUND('Quant. mod. (oc)'!Z329,0))</f>
        <v>0</v>
      </c>
      <c r="AA329" s="125">
        <f>IF('Quant. mod. (oc)'!AA329&lt;0,0,ROUND('Quant. mod. (oc)'!AA329,0))</f>
        <v>0</v>
      </c>
      <c r="AB329" s="125">
        <f>IF('Quant. mod. (oc)'!AB329&lt;0,0,ROUND('Quant. mod. (oc)'!AB329,0))</f>
        <v>1</v>
      </c>
      <c r="AC329" s="125">
        <f>IF('Quant. mod. (oc)'!AC329&lt;0,0,ROUND('Quant. mod. (oc)'!AC329,0))</f>
        <v>0</v>
      </c>
      <c r="AD329" s="125">
        <f>IF('Quant. mod. (oc)'!AD329&lt;0,0,ROUND('Quant. mod. (oc)'!AD329,0))</f>
        <v>0</v>
      </c>
      <c r="AE329" s="125">
        <f>IF('Quant. mod. (oc)'!AE329&lt;0,0,ROUND('Quant. mod. (oc)'!AE329,0))</f>
        <v>0</v>
      </c>
      <c r="AF329" s="125">
        <f>IF('Quant. mod. (oc)'!AF329&lt;0,0,ROUND('Quant. mod. (oc)'!AF329,0))</f>
        <v>0</v>
      </c>
      <c r="AG329" s="126">
        <f>IF('Quant. mod. (oc)'!AG329&lt;0,0,ROUND('Quant. mod. (oc)'!AG329,0))</f>
        <v>0</v>
      </c>
      <c r="AH329" s="22"/>
    </row>
    <row r="330" spans="1:34" x14ac:dyDescent="0.25">
      <c r="A330" s="112"/>
      <c r="B330" s="69" t="s">
        <v>254</v>
      </c>
      <c r="C330" s="133" t="s">
        <v>59</v>
      </c>
      <c r="D330" s="125">
        <f>IF('Quant. mod. (oc)'!D330&lt;0,0,ROUND('Quant. mod. (oc)'!D330,0))</f>
        <v>0</v>
      </c>
      <c r="E330" s="125">
        <f>IF('Quant. mod. (oc)'!E330&lt;0,0,ROUND('Quant. mod. (oc)'!E330,0))</f>
        <v>0</v>
      </c>
      <c r="F330" s="125">
        <f>IF('Quant. mod. (oc)'!F330&lt;0,0,ROUND('Quant. mod. (oc)'!F330,0))</f>
        <v>0</v>
      </c>
      <c r="G330" s="125">
        <f>IF('Quant. mod. (oc)'!G330&lt;0,0,ROUND('Quant. mod. (oc)'!G330,0))</f>
        <v>0</v>
      </c>
      <c r="H330" s="125">
        <f>IF('Quant. mod. (oc)'!H330&lt;0,0,ROUND('Quant. mod. (oc)'!H330,0))</f>
        <v>0</v>
      </c>
      <c r="I330" s="125">
        <f>IF('Quant. mod. (oc)'!I330&lt;0,0,ROUND('Quant. mod. (oc)'!I330,0))</f>
        <v>0</v>
      </c>
      <c r="J330" s="125">
        <f>IF('Quant. mod. (oc)'!J330&lt;0,0,ROUND('Quant. mod. (oc)'!J330,0))</f>
        <v>0</v>
      </c>
      <c r="K330" s="125">
        <f>IF('Quant. mod. (oc)'!K330&lt;0,0,ROUND('Quant. mod. (oc)'!K330,0))</f>
        <v>0</v>
      </c>
      <c r="L330" s="125">
        <f>IF('Quant. mod. (oc)'!L330&lt;0,0,ROUND('Quant. mod. (oc)'!L330,0))</f>
        <v>0</v>
      </c>
      <c r="M330" s="125">
        <f>IF('Quant. mod. (oc)'!M330&lt;0,0,ROUND('Quant. mod. (oc)'!M330,0))</f>
        <v>0</v>
      </c>
      <c r="N330" s="125">
        <f>IF('Quant. mod. (oc)'!N330&lt;0,0,ROUND('Quant. mod. (oc)'!N330,0))</f>
        <v>0</v>
      </c>
      <c r="O330" s="125">
        <f>IF('Quant. mod. (oc)'!O330&lt;0,0,ROUND('Quant. mod. (oc)'!O330,0))</f>
        <v>1</v>
      </c>
      <c r="P330" s="125">
        <f>IF('Quant. mod. (oc)'!P330&lt;0,0,ROUND('Quant. mod. (oc)'!P330,0))</f>
        <v>0</v>
      </c>
      <c r="Q330" s="125">
        <f>IF('Quant. mod. (oc)'!Q330&lt;0,0,ROUND('Quant. mod. (oc)'!Q330,0))</f>
        <v>0</v>
      </c>
      <c r="R330" s="125">
        <f>IF('Quant. mod. (oc)'!R330&lt;0,0,ROUND('Quant. mod. (oc)'!R330,0))</f>
        <v>1</v>
      </c>
      <c r="S330" s="125">
        <f>IF('Quant. mod. (oc)'!S330&lt;0,0,ROUND('Quant. mod. (oc)'!S330,0))</f>
        <v>0</v>
      </c>
      <c r="T330" s="125">
        <f>IF('Quant. mod. (oc)'!T330&lt;0,0,ROUND('Quant. mod. (oc)'!T330,0))</f>
        <v>0</v>
      </c>
      <c r="U330" s="125">
        <f>IF('Quant. mod. (oc)'!U330&lt;0,0,ROUND('Quant. mod. (oc)'!U330,0))</f>
        <v>0</v>
      </c>
      <c r="V330" s="125">
        <f>IF('Quant. mod. (oc)'!V330&lt;0,0,ROUND('Quant. mod. (oc)'!V330,0))</f>
        <v>0</v>
      </c>
      <c r="W330" s="125">
        <f>IF('Quant. mod. (oc)'!W330&lt;0,0,ROUND('Quant. mod. (oc)'!W330,0))</f>
        <v>0</v>
      </c>
      <c r="X330" s="125">
        <f>IF('Quant. mod. (oc)'!X330&lt;0,0,ROUND('Quant. mod. (oc)'!X330,0))</f>
        <v>0</v>
      </c>
      <c r="Y330" s="125">
        <f>IF('Quant. mod. (oc)'!Y330&lt;0,0,ROUND('Quant. mod. (oc)'!Y330,0))</f>
        <v>0</v>
      </c>
      <c r="Z330" s="125">
        <f>IF('Quant. mod. (oc)'!Z330&lt;0,0,ROUND('Quant. mod. (oc)'!Z330,0))</f>
        <v>0</v>
      </c>
      <c r="AA330" s="125">
        <f>IF('Quant. mod. (oc)'!AA330&lt;0,0,ROUND('Quant. mod. (oc)'!AA330,0))</f>
        <v>0</v>
      </c>
      <c r="AB330" s="125">
        <f>IF('Quant. mod. (oc)'!AB330&lt;0,0,ROUND('Quant. mod. (oc)'!AB330,0))</f>
        <v>0</v>
      </c>
      <c r="AC330" s="125">
        <f>IF('Quant. mod. (oc)'!AC330&lt;0,0,ROUND('Quant. mod. (oc)'!AC330,0))</f>
        <v>0</v>
      </c>
      <c r="AD330" s="125">
        <f>IF('Quant. mod. (oc)'!AD330&lt;0,0,ROUND('Quant. mod. (oc)'!AD330,0))</f>
        <v>0</v>
      </c>
      <c r="AE330" s="125">
        <f>IF('Quant. mod. (oc)'!AE330&lt;0,0,ROUND('Quant. mod. (oc)'!AE330,0))</f>
        <v>0</v>
      </c>
      <c r="AF330" s="125">
        <f>IF('Quant. mod. (oc)'!AF330&lt;0,0,ROUND('Quant. mod. (oc)'!AF330,0))</f>
        <v>0</v>
      </c>
      <c r="AG330" s="126">
        <f>IF('Quant. mod. (oc)'!AG330&lt;0,0,ROUND('Quant. mod. (oc)'!AG330,0))</f>
        <v>0</v>
      </c>
      <c r="AH330" s="22"/>
    </row>
    <row r="331" spans="1:34" x14ac:dyDescent="0.25">
      <c r="A331" s="112"/>
      <c r="B331" s="69" t="s">
        <v>255</v>
      </c>
      <c r="C331" s="133" t="s">
        <v>59</v>
      </c>
      <c r="D331" s="125">
        <f>IF('Quant. mod. (oc)'!D331&lt;0,0,ROUND('Quant. mod. (oc)'!D331,0))</f>
        <v>0</v>
      </c>
      <c r="E331" s="125">
        <f>IF('Quant. mod. (oc)'!E331&lt;0,0,ROUND('Quant. mod. (oc)'!E331,0))</f>
        <v>1</v>
      </c>
      <c r="F331" s="125">
        <f>IF('Quant. mod. (oc)'!F331&lt;0,0,ROUND('Quant. mod. (oc)'!F331,0))</f>
        <v>0</v>
      </c>
      <c r="G331" s="125">
        <f>IF('Quant. mod. (oc)'!G331&lt;0,0,ROUND('Quant. mod. (oc)'!G331,0))</f>
        <v>0</v>
      </c>
      <c r="H331" s="125">
        <f>IF('Quant. mod. (oc)'!H331&lt;0,0,ROUND('Quant. mod. (oc)'!H331,0))</f>
        <v>1</v>
      </c>
      <c r="I331" s="125">
        <f>IF('Quant. mod. (oc)'!I331&lt;0,0,ROUND('Quant. mod. (oc)'!I331,0))</f>
        <v>0</v>
      </c>
      <c r="J331" s="125">
        <f>IF('Quant. mod. (oc)'!J331&lt;0,0,ROUND('Quant. mod. (oc)'!J331,0))</f>
        <v>0</v>
      </c>
      <c r="K331" s="125">
        <f>IF('Quant. mod. (oc)'!K331&lt;0,0,ROUND('Quant. mod. (oc)'!K331,0))</f>
        <v>0</v>
      </c>
      <c r="L331" s="125">
        <f>IF('Quant. mod. (oc)'!L331&lt;0,0,ROUND('Quant. mod. (oc)'!L331,0))</f>
        <v>0</v>
      </c>
      <c r="M331" s="125">
        <f>IF('Quant. mod. (oc)'!M331&lt;0,0,ROUND('Quant. mod. (oc)'!M331,0))</f>
        <v>0</v>
      </c>
      <c r="N331" s="125">
        <f>IF('Quant. mod. (oc)'!N331&lt;0,0,ROUND('Quant. mod. (oc)'!N331,0))</f>
        <v>0</v>
      </c>
      <c r="O331" s="125">
        <f>IF('Quant. mod. (oc)'!O331&lt;0,0,ROUND('Quant. mod. (oc)'!O331,0))</f>
        <v>0</v>
      </c>
      <c r="P331" s="125">
        <f>IF('Quant. mod. (oc)'!P331&lt;0,0,ROUND('Quant. mod. (oc)'!P331,0))</f>
        <v>0</v>
      </c>
      <c r="Q331" s="125">
        <f>IF('Quant. mod. (oc)'!Q331&lt;0,0,ROUND('Quant. mod. (oc)'!Q331,0))</f>
        <v>0</v>
      </c>
      <c r="R331" s="125">
        <f>IF('Quant. mod. (oc)'!R331&lt;0,0,ROUND('Quant. mod. (oc)'!R331,0))</f>
        <v>0</v>
      </c>
      <c r="S331" s="125">
        <f>IF('Quant. mod. (oc)'!S331&lt;0,0,ROUND('Quant. mod. (oc)'!S331,0))</f>
        <v>0</v>
      </c>
      <c r="T331" s="125">
        <f>IF('Quant. mod. (oc)'!T331&lt;0,0,ROUND('Quant. mod. (oc)'!T331,0))</f>
        <v>0</v>
      </c>
      <c r="U331" s="125">
        <f>IF('Quant. mod. (oc)'!U331&lt;0,0,ROUND('Quant. mod. (oc)'!U331,0))</f>
        <v>0</v>
      </c>
      <c r="V331" s="125">
        <f>IF('Quant. mod. (oc)'!V331&lt;0,0,ROUND('Quant. mod. (oc)'!V331,0))</f>
        <v>0</v>
      </c>
      <c r="W331" s="125">
        <f>IF('Quant. mod. (oc)'!W331&lt;0,0,ROUND('Quant. mod. (oc)'!W331,0))</f>
        <v>0</v>
      </c>
      <c r="X331" s="125">
        <f>IF('Quant. mod. (oc)'!X331&lt;0,0,ROUND('Quant. mod. (oc)'!X331,0))</f>
        <v>0</v>
      </c>
      <c r="Y331" s="125">
        <f>IF('Quant. mod. (oc)'!Y331&lt;0,0,ROUND('Quant. mod. (oc)'!Y331,0))</f>
        <v>0</v>
      </c>
      <c r="Z331" s="125">
        <f>IF('Quant. mod. (oc)'!Z331&lt;0,0,ROUND('Quant. mod. (oc)'!Z331,0))</f>
        <v>0</v>
      </c>
      <c r="AA331" s="125">
        <f>IF('Quant. mod. (oc)'!AA331&lt;0,0,ROUND('Quant. mod. (oc)'!AA331,0))</f>
        <v>0</v>
      </c>
      <c r="AB331" s="125">
        <f>IF('Quant. mod. (oc)'!AB331&lt;0,0,ROUND('Quant. mod. (oc)'!AB331,0))</f>
        <v>0</v>
      </c>
      <c r="AC331" s="125">
        <f>IF('Quant. mod. (oc)'!AC331&lt;0,0,ROUND('Quant. mod. (oc)'!AC331,0))</f>
        <v>0</v>
      </c>
      <c r="AD331" s="125">
        <f>IF('Quant. mod. (oc)'!AD331&lt;0,0,ROUND('Quant. mod. (oc)'!AD331,0))</f>
        <v>0</v>
      </c>
      <c r="AE331" s="125">
        <f>IF('Quant. mod. (oc)'!AE331&lt;0,0,ROUND('Quant. mod. (oc)'!AE331,0))</f>
        <v>0</v>
      </c>
      <c r="AF331" s="125">
        <f>IF('Quant. mod. (oc)'!AF331&lt;0,0,ROUND('Quant. mod. (oc)'!AF331,0))</f>
        <v>0</v>
      </c>
      <c r="AG331" s="126">
        <f>IF('Quant. mod. (oc)'!AG331&lt;0,0,ROUND('Quant. mod. (oc)'!AG331,0))</f>
        <v>0</v>
      </c>
      <c r="AH331" s="22"/>
    </row>
    <row r="332" spans="1:34" x14ac:dyDescent="0.25">
      <c r="A332" s="112"/>
      <c r="B332" s="69" t="s">
        <v>257</v>
      </c>
      <c r="C332" s="133" t="s">
        <v>59</v>
      </c>
      <c r="D332" s="125">
        <f>IF('Quant. mod. (oc)'!D332&lt;0,0,ROUND('Quant. mod. (oc)'!D332,0))</f>
        <v>2</v>
      </c>
      <c r="E332" s="125">
        <f>IF('Quant. mod. (oc)'!E332&lt;0,0,ROUND('Quant. mod. (oc)'!E332,0))</f>
        <v>0</v>
      </c>
      <c r="F332" s="125">
        <f>IF('Quant. mod. (oc)'!F332&lt;0,0,ROUND('Quant. mod. (oc)'!F332,0))</f>
        <v>0</v>
      </c>
      <c r="G332" s="125">
        <f>IF('Quant. mod. (oc)'!G332&lt;0,0,ROUND('Quant. mod. (oc)'!G332,0))</f>
        <v>2</v>
      </c>
      <c r="H332" s="125">
        <f>IF('Quant. mod. (oc)'!H332&lt;0,0,ROUND('Quant. mod. (oc)'!H332,0))</f>
        <v>0</v>
      </c>
      <c r="I332" s="125">
        <f>IF('Quant. mod. (oc)'!I332&lt;0,0,ROUND('Quant. mod. (oc)'!I332,0))</f>
        <v>0</v>
      </c>
      <c r="J332" s="125">
        <f>IF('Quant. mod. (oc)'!J332&lt;0,0,ROUND('Quant. mod. (oc)'!J332,0))</f>
        <v>2</v>
      </c>
      <c r="K332" s="125">
        <f>IF('Quant. mod. (oc)'!K332&lt;0,0,ROUND('Quant. mod. (oc)'!K332,0))</f>
        <v>0</v>
      </c>
      <c r="L332" s="125">
        <f>IF('Quant. mod. (oc)'!L332&lt;0,0,ROUND('Quant. mod. (oc)'!L332,0))</f>
        <v>2</v>
      </c>
      <c r="M332" s="125">
        <f>IF('Quant. mod. (oc)'!M332&lt;0,0,ROUND('Quant. mod. (oc)'!M332,0))</f>
        <v>0</v>
      </c>
      <c r="N332" s="125">
        <f>IF('Quant. mod. (oc)'!N332&lt;0,0,ROUND('Quant. mod. (oc)'!N332,0))</f>
        <v>0</v>
      </c>
      <c r="O332" s="125">
        <f>IF('Quant. mod. (oc)'!O332&lt;0,0,ROUND('Quant. mod. (oc)'!O332,0))</f>
        <v>0</v>
      </c>
      <c r="P332" s="125">
        <f>IF('Quant. mod. (oc)'!P332&lt;0,0,ROUND('Quant. mod. (oc)'!P332,0))</f>
        <v>0</v>
      </c>
      <c r="Q332" s="125">
        <f>IF('Quant. mod. (oc)'!Q332&lt;0,0,ROUND('Quant. mod. (oc)'!Q332,0))</f>
        <v>0</v>
      </c>
      <c r="R332" s="125">
        <f>IF('Quant. mod. (oc)'!R332&lt;0,0,ROUND('Quant. mod. (oc)'!R332,0))</f>
        <v>0</v>
      </c>
      <c r="S332" s="125">
        <f>IF('Quant. mod. (oc)'!S332&lt;0,0,ROUND('Quant. mod. (oc)'!S332,0))</f>
        <v>0</v>
      </c>
      <c r="T332" s="125">
        <f>IF('Quant. mod. (oc)'!T332&lt;0,0,ROUND('Quant. mod. (oc)'!T332,0))</f>
        <v>0</v>
      </c>
      <c r="U332" s="125">
        <f>IF('Quant. mod. (oc)'!U332&lt;0,0,ROUND('Quant. mod. (oc)'!U332,0))</f>
        <v>0</v>
      </c>
      <c r="V332" s="125">
        <f>IF('Quant. mod. (oc)'!V332&lt;0,0,ROUND('Quant. mod. (oc)'!V332,0))</f>
        <v>0</v>
      </c>
      <c r="W332" s="125">
        <f>IF('Quant. mod. (oc)'!W332&lt;0,0,ROUND('Quant. mod. (oc)'!W332,0))</f>
        <v>0</v>
      </c>
      <c r="X332" s="125">
        <f>IF('Quant. mod. (oc)'!X332&lt;0,0,ROUND('Quant. mod. (oc)'!X332,0))</f>
        <v>3</v>
      </c>
      <c r="Y332" s="125">
        <f>IF('Quant. mod. (oc)'!Y332&lt;0,0,ROUND('Quant. mod. (oc)'!Y332,0))</f>
        <v>0</v>
      </c>
      <c r="Z332" s="125">
        <f>IF('Quant. mod. (oc)'!Z332&lt;0,0,ROUND('Quant. mod. (oc)'!Z332,0))</f>
        <v>0</v>
      </c>
      <c r="AA332" s="125">
        <f>IF('Quant. mod. (oc)'!AA332&lt;0,0,ROUND('Quant. mod. (oc)'!AA332,0))</f>
        <v>3</v>
      </c>
      <c r="AB332" s="125">
        <f>IF('Quant. mod. (oc)'!AB332&lt;0,0,ROUND('Quant. mod. (oc)'!AB332,0))</f>
        <v>0</v>
      </c>
      <c r="AC332" s="125">
        <f>IF('Quant. mod. (oc)'!AC332&lt;0,0,ROUND('Quant. mod. (oc)'!AC332,0))</f>
        <v>0</v>
      </c>
      <c r="AD332" s="125">
        <f>IF('Quant. mod. (oc)'!AD332&lt;0,0,ROUND('Quant. mod. (oc)'!AD332,0))</f>
        <v>3</v>
      </c>
      <c r="AE332" s="125">
        <f>IF('Quant. mod. (oc)'!AE332&lt;0,0,ROUND('Quant. mod. (oc)'!AE332,0))</f>
        <v>0</v>
      </c>
      <c r="AF332" s="125">
        <f>IF('Quant. mod. (oc)'!AF332&lt;0,0,ROUND('Quant. mod. (oc)'!AF332,0))</f>
        <v>3</v>
      </c>
      <c r="AG332" s="126">
        <f>IF('Quant. mod. (oc)'!AG332&lt;0,0,ROUND('Quant. mod. (oc)'!AG332,0))</f>
        <v>0</v>
      </c>
      <c r="AH332" s="22"/>
    </row>
    <row r="333" spans="1:34" x14ac:dyDescent="0.25">
      <c r="A333" s="112"/>
      <c r="B333" s="69" t="s">
        <v>258</v>
      </c>
      <c r="C333" s="133" t="s">
        <v>59</v>
      </c>
      <c r="D333" s="125">
        <f>IF('Quant. mod. (oc)'!D333&lt;0,0,ROUND('Quant. mod. (oc)'!D333,0))</f>
        <v>0</v>
      </c>
      <c r="E333" s="125">
        <f>IF('Quant. mod. (oc)'!E333&lt;0,0,ROUND('Quant. mod. (oc)'!E333,0))</f>
        <v>2</v>
      </c>
      <c r="F333" s="125">
        <f>IF('Quant. mod. (oc)'!F333&lt;0,0,ROUND('Quant. mod. (oc)'!F333,0))</f>
        <v>0</v>
      </c>
      <c r="G333" s="125">
        <f>IF('Quant. mod. (oc)'!G333&lt;0,0,ROUND('Quant. mod. (oc)'!G333,0))</f>
        <v>0</v>
      </c>
      <c r="H333" s="125">
        <f>IF('Quant. mod. (oc)'!H333&lt;0,0,ROUND('Quant. mod. (oc)'!H333,0))</f>
        <v>2</v>
      </c>
      <c r="I333" s="125">
        <f>IF('Quant. mod. (oc)'!I333&lt;0,0,ROUND('Quant. mod. (oc)'!I333,0))</f>
        <v>0</v>
      </c>
      <c r="J333" s="125">
        <f>IF('Quant. mod. (oc)'!J333&lt;0,0,ROUND('Quant. mod. (oc)'!J333,0))</f>
        <v>0</v>
      </c>
      <c r="K333" s="125">
        <f>IF('Quant. mod. (oc)'!K333&lt;0,0,ROUND('Quant. mod. (oc)'!K333,0))</f>
        <v>0</v>
      </c>
      <c r="L333" s="125">
        <f>IF('Quant. mod. (oc)'!L333&lt;0,0,ROUND('Quant. mod. (oc)'!L333,0))</f>
        <v>0</v>
      </c>
      <c r="M333" s="125">
        <f>IF('Quant. mod. (oc)'!M333&lt;0,0,ROUND('Quant. mod. (oc)'!M333,0))</f>
        <v>0</v>
      </c>
      <c r="N333" s="125">
        <f>IF('Quant. mod. (oc)'!N333&lt;0,0,ROUND('Quant. mod. (oc)'!N333,0))</f>
        <v>2</v>
      </c>
      <c r="O333" s="125">
        <f>IF('Quant. mod. (oc)'!O333&lt;0,0,ROUND('Quant. mod. (oc)'!O333,0))</f>
        <v>3</v>
      </c>
      <c r="P333" s="125">
        <f>IF('Quant. mod. (oc)'!P333&lt;0,0,ROUND('Quant. mod. (oc)'!P333,0))</f>
        <v>0</v>
      </c>
      <c r="Q333" s="125">
        <f>IF('Quant. mod. (oc)'!Q333&lt;0,0,ROUND('Quant. mod. (oc)'!Q333,0))</f>
        <v>2</v>
      </c>
      <c r="R333" s="125">
        <f>IF('Quant. mod. (oc)'!R333&lt;0,0,ROUND('Quant. mod. (oc)'!R333,0))</f>
        <v>3</v>
      </c>
      <c r="S333" s="125">
        <f>IF('Quant. mod. (oc)'!S333&lt;0,0,ROUND('Quant. mod. (oc)'!S333,0))</f>
        <v>0</v>
      </c>
      <c r="T333" s="125">
        <f>IF('Quant. mod. (oc)'!T333&lt;0,0,ROUND('Quant. mod. (oc)'!T333,0))</f>
        <v>2</v>
      </c>
      <c r="U333" s="125">
        <f>IF('Quant. mod. (oc)'!U333&lt;0,0,ROUND('Quant. mod. (oc)'!U333,0))</f>
        <v>0</v>
      </c>
      <c r="V333" s="125">
        <f>IF('Quant. mod. (oc)'!V333&lt;0,0,ROUND('Quant. mod. (oc)'!V333,0))</f>
        <v>2</v>
      </c>
      <c r="W333" s="125">
        <f>IF('Quant. mod. (oc)'!W333&lt;0,0,ROUND('Quant. mod. (oc)'!W333,0))</f>
        <v>0</v>
      </c>
      <c r="X333" s="125">
        <f>IF('Quant. mod. (oc)'!X333&lt;0,0,ROUND('Quant. mod. (oc)'!X333,0))</f>
        <v>0</v>
      </c>
      <c r="Y333" s="125">
        <f>IF('Quant. mod. (oc)'!Y333&lt;0,0,ROUND('Quant. mod. (oc)'!Y333,0))</f>
        <v>3</v>
      </c>
      <c r="Z333" s="125">
        <f>IF('Quant. mod. (oc)'!Z333&lt;0,0,ROUND('Quant. mod. (oc)'!Z333,0))</f>
        <v>0</v>
      </c>
      <c r="AA333" s="125">
        <f>IF('Quant. mod. (oc)'!AA333&lt;0,0,ROUND('Quant. mod. (oc)'!AA333,0))</f>
        <v>0</v>
      </c>
      <c r="AB333" s="125">
        <f>IF('Quant. mod. (oc)'!AB333&lt;0,0,ROUND('Quant. mod. (oc)'!AB333,0))</f>
        <v>3</v>
      </c>
      <c r="AC333" s="125">
        <f>IF('Quant. mod. (oc)'!AC333&lt;0,0,ROUND('Quant. mod. (oc)'!AC333,0))</f>
        <v>0</v>
      </c>
      <c r="AD333" s="125">
        <f>IF('Quant. mod. (oc)'!AD333&lt;0,0,ROUND('Quant. mod. (oc)'!AD333,0))</f>
        <v>0</v>
      </c>
      <c r="AE333" s="125">
        <f>IF('Quant. mod. (oc)'!AE333&lt;0,0,ROUND('Quant. mod. (oc)'!AE333,0))</f>
        <v>0</v>
      </c>
      <c r="AF333" s="125">
        <f>IF('Quant. mod. (oc)'!AF333&lt;0,0,ROUND('Quant. mod. (oc)'!AF333,0))</f>
        <v>0</v>
      </c>
      <c r="AG333" s="126">
        <f>IF('Quant. mod. (oc)'!AG333&lt;0,0,ROUND('Quant. mod. (oc)'!AG333,0))</f>
        <v>0</v>
      </c>
      <c r="AH333" s="22"/>
    </row>
    <row r="334" spans="1:34" x14ac:dyDescent="0.25">
      <c r="A334" s="112"/>
      <c r="B334" s="69" t="s">
        <v>259</v>
      </c>
      <c r="C334" s="133" t="s">
        <v>59</v>
      </c>
      <c r="D334" s="125">
        <f>IF('Quant. mod. (oc)'!D334&lt;0,0,ROUND('Quant. mod. (oc)'!D334,0))</f>
        <v>0</v>
      </c>
      <c r="E334" s="125">
        <f>IF('Quant. mod. (oc)'!E334&lt;0,0,ROUND('Quant. mod. (oc)'!E334,0))</f>
        <v>0</v>
      </c>
      <c r="F334" s="125">
        <f>IF('Quant. mod. (oc)'!F334&lt;0,0,ROUND('Quant. mod. (oc)'!F334,0))</f>
        <v>0</v>
      </c>
      <c r="G334" s="125">
        <f>IF('Quant. mod. (oc)'!G334&lt;0,0,ROUND('Quant. mod. (oc)'!G334,0))</f>
        <v>0</v>
      </c>
      <c r="H334" s="125">
        <f>IF('Quant. mod. (oc)'!H334&lt;0,0,ROUND('Quant. mod. (oc)'!H334,0))</f>
        <v>0</v>
      </c>
      <c r="I334" s="125">
        <f>IF('Quant. mod. (oc)'!I334&lt;0,0,ROUND('Quant. mod. (oc)'!I334,0))</f>
        <v>0</v>
      </c>
      <c r="J334" s="125">
        <f>IF('Quant. mod. (oc)'!J334&lt;0,0,ROUND('Quant. mod. (oc)'!J334,0))</f>
        <v>0</v>
      </c>
      <c r="K334" s="125">
        <f>IF('Quant. mod. (oc)'!K334&lt;0,0,ROUND('Quant. mod. (oc)'!K334,0))</f>
        <v>0</v>
      </c>
      <c r="L334" s="125">
        <f>IF('Quant. mod. (oc)'!L334&lt;0,0,ROUND('Quant. mod. (oc)'!L334,0))</f>
        <v>0</v>
      </c>
      <c r="M334" s="125">
        <f>IF('Quant. mod. (oc)'!M334&lt;0,0,ROUND('Quant. mod. (oc)'!M334,0))</f>
        <v>0</v>
      </c>
      <c r="N334" s="125">
        <f>IF('Quant. mod. (oc)'!N334&lt;0,0,ROUND('Quant. mod. (oc)'!N334,0))</f>
        <v>0</v>
      </c>
      <c r="O334" s="125">
        <f>IF('Quant. mod. (oc)'!O334&lt;0,0,ROUND('Quant. mod. (oc)'!O334,0))</f>
        <v>0</v>
      </c>
      <c r="P334" s="125">
        <f>IF('Quant. mod. (oc)'!P334&lt;0,0,ROUND('Quant. mod. (oc)'!P334,0))</f>
        <v>0</v>
      </c>
      <c r="Q334" s="125">
        <f>IF('Quant. mod. (oc)'!Q334&lt;0,0,ROUND('Quant. mod. (oc)'!Q334,0))</f>
        <v>0</v>
      </c>
      <c r="R334" s="125">
        <f>IF('Quant. mod. (oc)'!R334&lt;0,0,ROUND('Quant. mod. (oc)'!R334,0))</f>
        <v>0</v>
      </c>
      <c r="S334" s="125">
        <f>IF('Quant. mod. (oc)'!S334&lt;0,0,ROUND('Quant. mod. (oc)'!S334,0))</f>
        <v>0</v>
      </c>
      <c r="T334" s="125">
        <f>IF('Quant. mod. (oc)'!T334&lt;0,0,ROUND('Quant. mod. (oc)'!T334,0))</f>
        <v>0</v>
      </c>
      <c r="U334" s="125">
        <f>IF('Quant. mod. (oc)'!U334&lt;0,0,ROUND('Quant. mod. (oc)'!U334,0))</f>
        <v>0</v>
      </c>
      <c r="V334" s="125">
        <f>IF('Quant. mod. (oc)'!V334&lt;0,0,ROUND('Quant. mod. (oc)'!V334,0))</f>
        <v>0</v>
      </c>
      <c r="W334" s="125">
        <f>IF('Quant. mod. (oc)'!W334&lt;0,0,ROUND('Quant. mod. (oc)'!W334,0))</f>
        <v>0</v>
      </c>
      <c r="X334" s="125">
        <f>IF('Quant. mod. (oc)'!X334&lt;0,0,ROUND('Quant. mod. (oc)'!X334,0))</f>
        <v>0</v>
      </c>
      <c r="Y334" s="125">
        <f>IF('Quant. mod. (oc)'!Y334&lt;0,0,ROUND('Quant. mod. (oc)'!Y334,0))</f>
        <v>0</v>
      </c>
      <c r="Z334" s="125">
        <f>IF('Quant. mod. (oc)'!Z334&lt;0,0,ROUND('Quant. mod. (oc)'!Z334,0))</f>
        <v>0</v>
      </c>
      <c r="AA334" s="125">
        <f>IF('Quant. mod. (oc)'!AA334&lt;0,0,ROUND('Quant. mod. (oc)'!AA334,0))</f>
        <v>0</v>
      </c>
      <c r="AB334" s="125">
        <f>IF('Quant. mod. (oc)'!AB334&lt;0,0,ROUND('Quant. mod. (oc)'!AB334,0))</f>
        <v>0</v>
      </c>
      <c r="AC334" s="125">
        <f>IF('Quant. mod. (oc)'!AC334&lt;0,0,ROUND('Quant. mod. (oc)'!AC334,0))</f>
        <v>0</v>
      </c>
      <c r="AD334" s="125">
        <f>IF('Quant. mod. (oc)'!AD334&lt;0,0,ROUND('Quant. mod. (oc)'!AD334,0))</f>
        <v>0</v>
      </c>
      <c r="AE334" s="125">
        <f>IF('Quant. mod. (oc)'!AE334&lt;0,0,ROUND('Quant. mod. (oc)'!AE334,0))</f>
        <v>0</v>
      </c>
      <c r="AF334" s="125">
        <f>IF('Quant. mod. (oc)'!AF334&lt;0,0,ROUND('Quant. mod. (oc)'!AF334,0))</f>
        <v>0</v>
      </c>
      <c r="AG334" s="126">
        <f>IF('Quant. mod. (oc)'!AG334&lt;0,0,ROUND('Quant. mod. (oc)'!AG334,0))</f>
        <v>0</v>
      </c>
      <c r="AH334" s="22"/>
    </row>
    <row r="335" spans="1:34" x14ac:dyDescent="0.25">
      <c r="A335" s="112"/>
      <c r="B335" s="69" t="s">
        <v>260</v>
      </c>
      <c r="C335" s="133" t="s">
        <v>59</v>
      </c>
      <c r="D335" s="125">
        <f>IF('Quant. mod. (oc)'!D335&lt;0,0,ROUND('Quant. mod. (oc)'!D335,0))</f>
        <v>1</v>
      </c>
      <c r="E335" s="125">
        <f>IF('Quant. mod. (oc)'!E335&lt;0,0,ROUND('Quant. mod. (oc)'!E335,0))</f>
        <v>0</v>
      </c>
      <c r="F335" s="125">
        <f>IF('Quant. mod. (oc)'!F335&lt;0,0,ROUND('Quant. mod. (oc)'!F335,0))</f>
        <v>0</v>
      </c>
      <c r="G335" s="125">
        <f>IF('Quant. mod. (oc)'!G335&lt;0,0,ROUND('Quant. mod. (oc)'!G335,0))</f>
        <v>1</v>
      </c>
      <c r="H335" s="125">
        <f>IF('Quant. mod. (oc)'!H335&lt;0,0,ROUND('Quant. mod. (oc)'!H335,0))</f>
        <v>0</v>
      </c>
      <c r="I335" s="125">
        <f>IF('Quant. mod. (oc)'!I335&lt;0,0,ROUND('Quant. mod. (oc)'!I335,0))</f>
        <v>0</v>
      </c>
      <c r="J335" s="125">
        <f>IF('Quant. mod. (oc)'!J335&lt;0,0,ROUND('Quant. mod. (oc)'!J335,0))</f>
        <v>1</v>
      </c>
      <c r="K335" s="125">
        <f>IF('Quant. mod. (oc)'!K335&lt;0,0,ROUND('Quant. mod. (oc)'!K335,0))</f>
        <v>0</v>
      </c>
      <c r="L335" s="125">
        <f>IF('Quant. mod. (oc)'!L335&lt;0,0,ROUND('Quant. mod. (oc)'!L335,0))</f>
        <v>1</v>
      </c>
      <c r="M335" s="125">
        <f>IF('Quant. mod. (oc)'!M335&lt;0,0,ROUND('Quant. mod. (oc)'!M335,0))</f>
        <v>0</v>
      </c>
      <c r="N335" s="125">
        <f>IF('Quant. mod. (oc)'!N335&lt;0,0,ROUND('Quant. mod. (oc)'!N335,0))</f>
        <v>1</v>
      </c>
      <c r="O335" s="125">
        <f>IF('Quant. mod. (oc)'!O335&lt;0,0,ROUND('Quant. mod. (oc)'!O335,0))</f>
        <v>0</v>
      </c>
      <c r="P335" s="125">
        <f>IF('Quant. mod. (oc)'!P335&lt;0,0,ROUND('Quant. mod. (oc)'!P335,0))</f>
        <v>0</v>
      </c>
      <c r="Q335" s="125">
        <f>IF('Quant. mod. (oc)'!Q335&lt;0,0,ROUND('Quant. mod. (oc)'!Q335,0))</f>
        <v>1</v>
      </c>
      <c r="R335" s="125">
        <f>IF('Quant. mod. (oc)'!R335&lt;0,0,ROUND('Quant. mod. (oc)'!R335,0))</f>
        <v>0</v>
      </c>
      <c r="S335" s="125">
        <f>IF('Quant. mod. (oc)'!S335&lt;0,0,ROUND('Quant. mod. (oc)'!S335,0))</f>
        <v>0</v>
      </c>
      <c r="T335" s="125">
        <f>IF('Quant. mod. (oc)'!T335&lt;0,0,ROUND('Quant. mod. (oc)'!T335,0))</f>
        <v>1</v>
      </c>
      <c r="U335" s="125">
        <f>IF('Quant. mod. (oc)'!U335&lt;0,0,ROUND('Quant. mod. (oc)'!U335,0))</f>
        <v>0</v>
      </c>
      <c r="V335" s="125">
        <f>IF('Quant. mod. (oc)'!V335&lt;0,0,ROUND('Quant. mod. (oc)'!V335,0))</f>
        <v>1</v>
      </c>
      <c r="W335" s="125">
        <f>IF('Quant. mod. (oc)'!W335&lt;0,0,ROUND('Quant. mod. (oc)'!W335,0))</f>
        <v>0</v>
      </c>
      <c r="X335" s="125">
        <f>IF('Quant. mod. (oc)'!X335&lt;0,0,ROUND('Quant. mod. (oc)'!X335,0))</f>
        <v>2</v>
      </c>
      <c r="Y335" s="125">
        <f>IF('Quant. mod. (oc)'!Y335&lt;0,0,ROUND('Quant. mod. (oc)'!Y335,0))</f>
        <v>0</v>
      </c>
      <c r="Z335" s="125">
        <f>IF('Quant. mod. (oc)'!Z335&lt;0,0,ROUND('Quant. mod. (oc)'!Z335,0))</f>
        <v>0</v>
      </c>
      <c r="AA335" s="125">
        <f>IF('Quant. mod. (oc)'!AA335&lt;0,0,ROUND('Quant. mod. (oc)'!AA335,0))</f>
        <v>2</v>
      </c>
      <c r="AB335" s="125">
        <f>IF('Quant. mod. (oc)'!AB335&lt;0,0,ROUND('Quant. mod. (oc)'!AB335,0))</f>
        <v>0</v>
      </c>
      <c r="AC335" s="125">
        <f>IF('Quant. mod. (oc)'!AC335&lt;0,0,ROUND('Quant. mod. (oc)'!AC335,0))</f>
        <v>0</v>
      </c>
      <c r="AD335" s="125">
        <f>IF('Quant. mod. (oc)'!AD335&lt;0,0,ROUND('Quant. mod. (oc)'!AD335,0))</f>
        <v>2</v>
      </c>
      <c r="AE335" s="125">
        <f>IF('Quant. mod. (oc)'!AE335&lt;0,0,ROUND('Quant. mod. (oc)'!AE335,0))</f>
        <v>0</v>
      </c>
      <c r="AF335" s="125">
        <f>IF('Quant. mod. (oc)'!AF335&lt;0,0,ROUND('Quant. mod. (oc)'!AF335,0))</f>
        <v>2</v>
      </c>
      <c r="AG335" s="126">
        <f>IF('Quant. mod. (oc)'!AG335&lt;0,0,ROUND('Quant. mod. (oc)'!AG335,0))</f>
        <v>0</v>
      </c>
      <c r="AH335" s="22"/>
    </row>
    <row r="336" spans="1:34" x14ac:dyDescent="0.25">
      <c r="A336" s="112"/>
      <c r="B336" s="69" t="s">
        <v>261</v>
      </c>
      <c r="C336" s="133" t="s">
        <v>59</v>
      </c>
      <c r="D336" s="125">
        <f>IF('Quant. mod. (oc)'!D336&lt;0,0,ROUND('Quant. mod. (oc)'!D336,0))</f>
        <v>0</v>
      </c>
      <c r="E336" s="125">
        <f>IF('Quant. mod. (oc)'!E336&lt;0,0,ROUND('Quant. mod. (oc)'!E336,0))</f>
        <v>0</v>
      </c>
      <c r="F336" s="125">
        <f>IF('Quant. mod. (oc)'!F336&lt;0,0,ROUND('Quant. mod. (oc)'!F336,0))</f>
        <v>3</v>
      </c>
      <c r="G336" s="125">
        <f>IF('Quant. mod. (oc)'!G336&lt;0,0,ROUND('Quant. mod. (oc)'!G336,0))</f>
        <v>0</v>
      </c>
      <c r="H336" s="125">
        <f>IF('Quant. mod. (oc)'!H336&lt;0,0,ROUND('Quant. mod. (oc)'!H336,0))</f>
        <v>0</v>
      </c>
      <c r="I336" s="125">
        <f>IF('Quant. mod. (oc)'!I336&lt;0,0,ROUND('Quant. mod. (oc)'!I336,0))</f>
        <v>3</v>
      </c>
      <c r="J336" s="125">
        <f>IF('Quant. mod. (oc)'!J336&lt;0,0,ROUND('Quant. mod. (oc)'!J336,0))</f>
        <v>0</v>
      </c>
      <c r="K336" s="125">
        <f>IF('Quant. mod. (oc)'!K336&lt;0,0,ROUND('Quant. mod. (oc)'!K336,0))</f>
        <v>3</v>
      </c>
      <c r="L336" s="125">
        <f>IF('Quant. mod. (oc)'!L336&lt;0,0,ROUND('Quant. mod. (oc)'!L336,0))</f>
        <v>0</v>
      </c>
      <c r="M336" s="125">
        <f>IF('Quant. mod. (oc)'!M336&lt;0,0,ROUND('Quant. mod. (oc)'!M336,0))</f>
        <v>3</v>
      </c>
      <c r="N336" s="125">
        <f>IF('Quant. mod. (oc)'!N336&lt;0,0,ROUND('Quant. mod. (oc)'!N336,0))</f>
        <v>0</v>
      </c>
      <c r="O336" s="125">
        <f>IF('Quant. mod. (oc)'!O336&lt;0,0,ROUND('Quant. mod. (oc)'!O336,0))</f>
        <v>0</v>
      </c>
      <c r="P336" s="125">
        <f>IF('Quant. mod. (oc)'!P336&lt;0,0,ROUND('Quant. mod. (oc)'!P336,0))</f>
        <v>1</v>
      </c>
      <c r="Q336" s="125">
        <f>IF('Quant. mod. (oc)'!Q336&lt;0,0,ROUND('Quant. mod. (oc)'!Q336,0))</f>
        <v>0</v>
      </c>
      <c r="R336" s="125">
        <f>IF('Quant. mod. (oc)'!R336&lt;0,0,ROUND('Quant. mod. (oc)'!R336,0))</f>
        <v>0</v>
      </c>
      <c r="S336" s="125">
        <f>IF('Quant. mod. (oc)'!S336&lt;0,0,ROUND('Quant. mod. (oc)'!S336,0))</f>
        <v>1</v>
      </c>
      <c r="T336" s="125">
        <f>IF('Quant. mod. (oc)'!T336&lt;0,0,ROUND('Quant. mod. (oc)'!T336,0))</f>
        <v>0</v>
      </c>
      <c r="U336" s="125">
        <f>IF('Quant. mod. (oc)'!U336&lt;0,0,ROUND('Quant. mod. (oc)'!U336,0))</f>
        <v>1</v>
      </c>
      <c r="V336" s="125">
        <f>IF('Quant. mod. (oc)'!V336&lt;0,0,ROUND('Quant. mod. (oc)'!V336,0))</f>
        <v>0</v>
      </c>
      <c r="W336" s="125">
        <f>IF('Quant. mod. (oc)'!W336&lt;0,0,ROUND('Quant. mod. (oc)'!W336,0))</f>
        <v>1</v>
      </c>
      <c r="X336" s="125">
        <f>IF('Quant. mod. (oc)'!X336&lt;0,0,ROUND('Quant. mod. (oc)'!X336,0))</f>
        <v>0</v>
      </c>
      <c r="Y336" s="125">
        <f>IF('Quant. mod. (oc)'!Y336&lt;0,0,ROUND('Quant. mod. (oc)'!Y336,0))</f>
        <v>0</v>
      </c>
      <c r="Z336" s="125">
        <f>IF('Quant. mod. (oc)'!Z336&lt;0,0,ROUND('Quant. mod. (oc)'!Z336,0))</f>
        <v>1</v>
      </c>
      <c r="AA336" s="125">
        <f>IF('Quant. mod. (oc)'!AA336&lt;0,0,ROUND('Quant. mod. (oc)'!AA336,0))</f>
        <v>0</v>
      </c>
      <c r="AB336" s="125">
        <f>IF('Quant. mod. (oc)'!AB336&lt;0,0,ROUND('Quant. mod. (oc)'!AB336,0))</f>
        <v>0</v>
      </c>
      <c r="AC336" s="125">
        <f>IF('Quant. mod. (oc)'!AC336&lt;0,0,ROUND('Quant. mod. (oc)'!AC336,0))</f>
        <v>1</v>
      </c>
      <c r="AD336" s="125">
        <f>IF('Quant. mod. (oc)'!AD336&lt;0,0,ROUND('Quant. mod. (oc)'!AD336,0))</f>
        <v>0</v>
      </c>
      <c r="AE336" s="125">
        <f>IF('Quant. mod. (oc)'!AE336&lt;0,0,ROUND('Quant. mod. (oc)'!AE336,0))</f>
        <v>1</v>
      </c>
      <c r="AF336" s="125">
        <f>IF('Quant. mod. (oc)'!AF336&lt;0,0,ROUND('Quant. mod. (oc)'!AF336,0))</f>
        <v>0</v>
      </c>
      <c r="AG336" s="126">
        <f>IF('Quant. mod. (oc)'!AG336&lt;0,0,ROUND('Quant. mod. (oc)'!AG336,0))</f>
        <v>1</v>
      </c>
      <c r="AH336" s="22"/>
    </row>
    <row r="337" spans="1:34" x14ac:dyDescent="0.25">
      <c r="A337" s="112"/>
      <c r="B337" s="69" t="s">
        <v>262</v>
      </c>
      <c r="C337" s="133" t="s">
        <v>59</v>
      </c>
      <c r="D337" s="125">
        <f>IF('Quant. mod. (oc)'!D337&lt;0,0,ROUND('Quant. mod. (oc)'!D337,0))</f>
        <v>18</v>
      </c>
      <c r="E337" s="125">
        <f>IF('Quant. mod. (oc)'!E337&lt;0,0,ROUND('Quant. mod. (oc)'!E337,0))</f>
        <v>0</v>
      </c>
      <c r="F337" s="125">
        <f>IF('Quant. mod. (oc)'!F337&lt;0,0,ROUND('Quant. mod. (oc)'!F337,0))</f>
        <v>0</v>
      </c>
      <c r="G337" s="125">
        <f>IF('Quant. mod. (oc)'!G337&lt;0,0,ROUND('Quant. mod. (oc)'!G337,0))</f>
        <v>18</v>
      </c>
      <c r="H337" s="125">
        <f>IF('Quant. mod. (oc)'!H337&lt;0,0,ROUND('Quant. mod. (oc)'!H337,0))</f>
        <v>0</v>
      </c>
      <c r="I337" s="125">
        <f>IF('Quant. mod. (oc)'!I337&lt;0,0,ROUND('Quant. mod. (oc)'!I337,0))</f>
        <v>0</v>
      </c>
      <c r="J337" s="125">
        <f>IF('Quant. mod. (oc)'!J337&lt;0,0,ROUND('Quant. mod. (oc)'!J337,0))</f>
        <v>18</v>
      </c>
      <c r="K337" s="125">
        <f>IF('Quant. mod. (oc)'!K337&lt;0,0,ROUND('Quant. mod. (oc)'!K337,0))</f>
        <v>0</v>
      </c>
      <c r="L337" s="125">
        <f>IF('Quant. mod. (oc)'!L337&lt;0,0,ROUND('Quant. mod. (oc)'!L337,0))</f>
        <v>18</v>
      </c>
      <c r="M337" s="125">
        <f>IF('Quant. mod. (oc)'!M337&lt;0,0,ROUND('Quant. mod. (oc)'!M337,0))</f>
        <v>0</v>
      </c>
      <c r="N337" s="125">
        <f>IF('Quant. mod. (oc)'!N337&lt;0,0,ROUND('Quant. mod. (oc)'!N337,0))</f>
        <v>0</v>
      </c>
      <c r="O337" s="125">
        <f>IF('Quant. mod. (oc)'!O337&lt;0,0,ROUND('Quant. mod. (oc)'!O337,0))</f>
        <v>0</v>
      </c>
      <c r="P337" s="125">
        <f>IF('Quant. mod. (oc)'!P337&lt;0,0,ROUND('Quant. mod. (oc)'!P337,0))</f>
        <v>0</v>
      </c>
      <c r="Q337" s="125">
        <f>IF('Quant. mod. (oc)'!Q337&lt;0,0,ROUND('Quant. mod. (oc)'!Q337,0))</f>
        <v>0</v>
      </c>
      <c r="R337" s="125">
        <f>IF('Quant. mod. (oc)'!R337&lt;0,0,ROUND('Quant. mod. (oc)'!R337,0))</f>
        <v>0</v>
      </c>
      <c r="S337" s="125">
        <f>IF('Quant. mod. (oc)'!S337&lt;0,0,ROUND('Quant. mod. (oc)'!S337,0))</f>
        <v>0</v>
      </c>
      <c r="T337" s="125">
        <f>IF('Quant. mod. (oc)'!T337&lt;0,0,ROUND('Quant. mod. (oc)'!T337,0))</f>
        <v>0</v>
      </c>
      <c r="U337" s="125">
        <f>IF('Quant. mod. (oc)'!U337&lt;0,0,ROUND('Quant. mod. (oc)'!U337,0))</f>
        <v>0</v>
      </c>
      <c r="V337" s="125">
        <f>IF('Quant. mod. (oc)'!V337&lt;0,0,ROUND('Quant. mod. (oc)'!V337,0))</f>
        <v>0</v>
      </c>
      <c r="W337" s="125">
        <f>IF('Quant. mod. (oc)'!W337&lt;0,0,ROUND('Quant. mod. (oc)'!W337,0))</f>
        <v>0</v>
      </c>
      <c r="X337" s="125">
        <f>IF('Quant. mod. (oc)'!X337&lt;0,0,ROUND('Quant. mod. (oc)'!X337,0))</f>
        <v>4</v>
      </c>
      <c r="Y337" s="125">
        <f>IF('Quant. mod. (oc)'!Y337&lt;0,0,ROUND('Quant. mod. (oc)'!Y337,0))</f>
        <v>0</v>
      </c>
      <c r="Z337" s="125">
        <f>IF('Quant. mod. (oc)'!Z337&lt;0,0,ROUND('Quant. mod. (oc)'!Z337,0))</f>
        <v>0</v>
      </c>
      <c r="AA337" s="125">
        <f>IF('Quant. mod. (oc)'!AA337&lt;0,0,ROUND('Quant. mod. (oc)'!AA337,0))</f>
        <v>4</v>
      </c>
      <c r="AB337" s="125">
        <f>IF('Quant. mod. (oc)'!AB337&lt;0,0,ROUND('Quant. mod. (oc)'!AB337,0))</f>
        <v>0</v>
      </c>
      <c r="AC337" s="125">
        <f>IF('Quant. mod. (oc)'!AC337&lt;0,0,ROUND('Quant. mod. (oc)'!AC337,0))</f>
        <v>0</v>
      </c>
      <c r="AD337" s="125">
        <f>IF('Quant. mod. (oc)'!AD337&lt;0,0,ROUND('Quant. mod. (oc)'!AD337,0))</f>
        <v>4</v>
      </c>
      <c r="AE337" s="125">
        <f>IF('Quant. mod. (oc)'!AE337&lt;0,0,ROUND('Quant. mod. (oc)'!AE337,0))</f>
        <v>0</v>
      </c>
      <c r="AF337" s="125">
        <f>IF('Quant. mod. (oc)'!AF337&lt;0,0,ROUND('Quant. mod. (oc)'!AF337,0))</f>
        <v>4</v>
      </c>
      <c r="AG337" s="126">
        <f>IF('Quant. mod. (oc)'!AG337&lt;0,0,ROUND('Quant. mod. (oc)'!AG337,0))</f>
        <v>0</v>
      </c>
      <c r="AH337" s="22"/>
    </row>
    <row r="338" spans="1:34" x14ac:dyDescent="0.25">
      <c r="A338" s="112"/>
      <c r="B338" s="69" t="s">
        <v>263</v>
      </c>
      <c r="C338" s="133" t="s">
        <v>59</v>
      </c>
      <c r="D338" s="125">
        <f>IF('Quant. mod. (oc)'!D338&lt;0,0,ROUND('Quant. mod. (oc)'!D338,0))</f>
        <v>0</v>
      </c>
      <c r="E338" s="125">
        <f>IF('Quant. mod. (oc)'!E338&lt;0,0,ROUND('Quant. mod. (oc)'!E338,0))</f>
        <v>4</v>
      </c>
      <c r="F338" s="125">
        <f>IF('Quant. mod. (oc)'!F338&lt;0,0,ROUND('Quant. mod. (oc)'!F338,0))</f>
        <v>0</v>
      </c>
      <c r="G338" s="125">
        <f>IF('Quant. mod. (oc)'!G338&lt;0,0,ROUND('Quant. mod. (oc)'!G338,0))</f>
        <v>0</v>
      </c>
      <c r="H338" s="125">
        <f>IF('Quant. mod. (oc)'!H338&lt;0,0,ROUND('Quant. mod. (oc)'!H338,0))</f>
        <v>4</v>
      </c>
      <c r="I338" s="125">
        <f>IF('Quant. mod. (oc)'!I338&lt;0,0,ROUND('Quant. mod. (oc)'!I338,0))</f>
        <v>0</v>
      </c>
      <c r="J338" s="125">
        <f>IF('Quant. mod. (oc)'!J338&lt;0,0,ROUND('Quant. mod. (oc)'!J338,0))</f>
        <v>0</v>
      </c>
      <c r="K338" s="125">
        <f>IF('Quant. mod. (oc)'!K338&lt;0,0,ROUND('Quant. mod. (oc)'!K338,0))</f>
        <v>0</v>
      </c>
      <c r="L338" s="125">
        <f>IF('Quant. mod. (oc)'!L338&lt;0,0,ROUND('Quant. mod. (oc)'!L338,0))</f>
        <v>0</v>
      </c>
      <c r="M338" s="125">
        <f>IF('Quant. mod. (oc)'!M338&lt;0,0,ROUND('Quant. mod. (oc)'!M338,0))</f>
        <v>0</v>
      </c>
      <c r="N338" s="125">
        <f>IF('Quant. mod. (oc)'!N338&lt;0,0,ROUND('Quant. mod. (oc)'!N338,0))</f>
        <v>18</v>
      </c>
      <c r="O338" s="125">
        <f>IF('Quant. mod. (oc)'!O338&lt;0,0,ROUND('Quant. mod. (oc)'!O338,0))</f>
        <v>2</v>
      </c>
      <c r="P338" s="125">
        <f>IF('Quant. mod. (oc)'!P338&lt;0,0,ROUND('Quant. mod. (oc)'!P338,0))</f>
        <v>0</v>
      </c>
      <c r="Q338" s="125">
        <f>IF('Quant. mod. (oc)'!Q338&lt;0,0,ROUND('Quant. mod. (oc)'!Q338,0))</f>
        <v>18</v>
      </c>
      <c r="R338" s="125">
        <f>IF('Quant. mod. (oc)'!R338&lt;0,0,ROUND('Quant. mod. (oc)'!R338,0))</f>
        <v>2</v>
      </c>
      <c r="S338" s="125">
        <f>IF('Quant. mod. (oc)'!S338&lt;0,0,ROUND('Quant. mod. (oc)'!S338,0))</f>
        <v>0</v>
      </c>
      <c r="T338" s="125">
        <f>IF('Quant. mod. (oc)'!T338&lt;0,0,ROUND('Quant. mod. (oc)'!T338,0))</f>
        <v>18</v>
      </c>
      <c r="U338" s="125">
        <f>IF('Quant. mod. (oc)'!U338&lt;0,0,ROUND('Quant. mod. (oc)'!U338,0))</f>
        <v>0</v>
      </c>
      <c r="V338" s="125">
        <f>IF('Quant. mod. (oc)'!V338&lt;0,0,ROUND('Quant. mod. (oc)'!V338,0))</f>
        <v>18</v>
      </c>
      <c r="W338" s="125">
        <f>IF('Quant. mod. (oc)'!W338&lt;0,0,ROUND('Quant. mod. (oc)'!W338,0))</f>
        <v>0</v>
      </c>
      <c r="X338" s="125">
        <f>IF('Quant. mod. (oc)'!X338&lt;0,0,ROUND('Quant. mod. (oc)'!X338,0))</f>
        <v>0</v>
      </c>
      <c r="Y338" s="125">
        <f>IF('Quant. mod. (oc)'!Y338&lt;0,0,ROUND('Quant. mod. (oc)'!Y338,0))</f>
        <v>2</v>
      </c>
      <c r="Z338" s="125">
        <f>IF('Quant. mod. (oc)'!Z338&lt;0,0,ROUND('Quant. mod. (oc)'!Z338,0))</f>
        <v>0</v>
      </c>
      <c r="AA338" s="125">
        <f>IF('Quant. mod. (oc)'!AA338&lt;0,0,ROUND('Quant. mod. (oc)'!AA338,0))</f>
        <v>0</v>
      </c>
      <c r="AB338" s="125">
        <f>IF('Quant. mod. (oc)'!AB338&lt;0,0,ROUND('Quant. mod. (oc)'!AB338,0))</f>
        <v>2</v>
      </c>
      <c r="AC338" s="125">
        <f>IF('Quant. mod. (oc)'!AC338&lt;0,0,ROUND('Quant. mod. (oc)'!AC338,0))</f>
        <v>0</v>
      </c>
      <c r="AD338" s="125">
        <f>IF('Quant. mod. (oc)'!AD338&lt;0,0,ROUND('Quant. mod. (oc)'!AD338,0))</f>
        <v>0</v>
      </c>
      <c r="AE338" s="125">
        <f>IF('Quant. mod. (oc)'!AE338&lt;0,0,ROUND('Quant. mod. (oc)'!AE338,0))</f>
        <v>0</v>
      </c>
      <c r="AF338" s="125">
        <f>IF('Quant. mod. (oc)'!AF338&lt;0,0,ROUND('Quant. mod. (oc)'!AF338,0))</f>
        <v>0</v>
      </c>
      <c r="AG338" s="126">
        <f>IF('Quant. mod. (oc)'!AG338&lt;0,0,ROUND('Quant. mod. (oc)'!AG338,0))</f>
        <v>0</v>
      </c>
      <c r="AH338" s="22"/>
    </row>
    <row r="339" spans="1:34" x14ac:dyDescent="0.25">
      <c r="A339" s="112"/>
      <c r="B339" s="69" t="s">
        <v>264</v>
      </c>
      <c r="C339" s="133" t="s">
        <v>59</v>
      </c>
      <c r="D339" s="125">
        <f>IF('Quant. mod. (oc)'!D339&lt;0,0,ROUND('Quant. mod. (oc)'!D339,0))</f>
        <v>0</v>
      </c>
      <c r="E339" s="125">
        <f>IF('Quant. mod. (oc)'!E339&lt;0,0,ROUND('Quant. mod. (oc)'!E339,0))</f>
        <v>0</v>
      </c>
      <c r="F339" s="125">
        <f>IF('Quant. mod. (oc)'!F339&lt;0,0,ROUND('Quant. mod. (oc)'!F339,0))</f>
        <v>0</v>
      </c>
      <c r="G339" s="125">
        <f>IF('Quant. mod. (oc)'!G339&lt;0,0,ROUND('Quant. mod. (oc)'!G339,0))</f>
        <v>0</v>
      </c>
      <c r="H339" s="125">
        <f>IF('Quant. mod. (oc)'!H339&lt;0,0,ROUND('Quant. mod. (oc)'!H339,0))</f>
        <v>0</v>
      </c>
      <c r="I339" s="125">
        <f>IF('Quant. mod. (oc)'!I339&lt;0,0,ROUND('Quant. mod. (oc)'!I339,0))</f>
        <v>0</v>
      </c>
      <c r="J339" s="125">
        <f>IF('Quant. mod. (oc)'!J339&lt;0,0,ROUND('Quant. mod. (oc)'!J339,0))</f>
        <v>0</v>
      </c>
      <c r="K339" s="125">
        <f>IF('Quant. mod. (oc)'!K339&lt;0,0,ROUND('Quant. mod. (oc)'!K339,0))</f>
        <v>0</v>
      </c>
      <c r="L339" s="125">
        <f>IF('Quant. mod. (oc)'!L339&lt;0,0,ROUND('Quant. mod. (oc)'!L339,0))</f>
        <v>0</v>
      </c>
      <c r="M339" s="125">
        <f>IF('Quant. mod. (oc)'!M339&lt;0,0,ROUND('Quant. mod. (oc)'!M339,0))</f>
        <v>0</v>
      </c>
      <c r="N339" s="125">
        <f>IF('Quant. mod. (oc)'!N339&lt;0,0,ROUND('Quant. mod. (oc)'!N339,0))</f>
        <v>0</v>
      </c>
      <c r="O339" s="125">
        <f>IF('Quant. mod. (oc)'!O339&lt;0,0,ROUND('Quant. mod. (oc)'!O339,0))</f>
        <v>0</v>
      </c>
      <c r="P339" s="125">
        <f>IF('Quant. mod. (oc)'!P339&lt;0,0,ROUND('Quant. mod. (oc)'!P339,0))</f>
        <v>0</v>
      </c>
      <c r="Q339" s="125">
        <f>IF('Quant. mod. (oc)'!Q339&lt;0,0,ROUND('Quant. mod. (oc)'!Q339,0))</f>
        <v>0</v>
      </c>
      <c r="R339" s="125">
        <f>IF('Quant. mod. (oc)'!R339&lt;0,0,ROUND('Quant. mod. (oc)'!R339,0))</f>
        <v>0</v>
      </c>
      <c r="S339" s="125">
        <f>IF('Quant. mod. (oc)'!S339&lt;0,0,ROUND('Quant. mod. (oc)'!S339,0))</f>
        <v>0</v>
      </c>
      <c r="T339" s="125">
        <f>IF('Quant. mod. (oc)'!T339&lt;0,0,ROUND('Quant. mod. (oc)'!T339,0))</f>
        <v>0</v>
      </c>
      <c r="U339" s="125">
        <f>IF('Quant. mod. (oc)'!U339&lt;0,0,ROUND('Quant. mod. (oc)'!U339,0))</f>
        <v>0</v>
      </c>
      <c r="V339" s="125">
        <f>IF('Quant. mod. (oc)'!V339&lt;0,0,ROUND('Quant. mod. (oc)'!V339,0))</f>
        <v>0</v>
      </c>
      <c r="W339" s="125">
        <f>IF('Quant. mod. (oc)'!W339&lt;0,0,ROUND('Quant. mod. (oc)'!W339,0))</f>
        <v>0</v>
      </c>
      <c r="X339" s="125">
        <f>IF('Quant. mod. (oc)'!X339&lt;0,0,ROUND('Quant. mod. (oc)'!X339,0))</f>
        <v>0</v>
      </c>
      <c r="Y339" s="125">
        <f>IF('Quant. mod. (oc)'!Y339&lt;0,0,ROUND('Quant. mod. (oc)'!Y339,0))</f>
        <v>0</v>
      </c>
      <c r="Z339" s="125">
        <f>IF('Quant. mod. (oc)'!Z339&lt;0,0,ROUND('Quant. mod. (oc)'!Z339,0))</f>
        <v>0</v>
      </c>
      <c r="AA339" s="125">
        <f>IF('Quant. mod. (oc)'!AA339&lt;0,0,ROUND('Quant. mod. (oc)'!AA339,0))</f>
        <v>0</v>
      </c>
      <c r="AB339" s="125">
        <f>IF('Quant. mod. (oc)'!AB339&lt;0,0,ROUND('Quant. mod. (oc)'!AB339,0))</f>
        <v>0</v>
      </c>
      <c r="AC339" s="125">
        <f>IF('Quant. mod. (oc)'!AC339&lt;0,0,ROUND('Quant. mod. (oc)'!AC339,0))</f>
        <v>0</v>
      </c>
      <c r="AD339" s="125">
        <f>IF('Quant. mod. (oc)'!AD339&lt;0,0,ROUND('Quant. mod. (oc)'!AD339,0))</f>
        <v>0</v>
      </c>
      <c r="AE339" s="125">
        <f>IF('Quant. mod. (oc)'!AE339&lt;0,0,ROUND('Quant. mod. (oc)'!AE339,0))</f>
        <v>0</v>
      </c>
      <c r="AF339" s="125">
        <f>IF('Quant. mod. (oc)'!AF339&lt;0,0,ROUND('Quant. mod. (oc)'!AF339,0))</f>
        <v>0</v>
      </c>
      <c r="AG339" s="126">
        <f>IF('Quant. mod. (oc)'!AG339&lt;0,0,ROUND('Quant. mod. (oc)'!AG339,0))</f>
        <v>0</v>
      </c>
      <c r="AH339" s="22"/>
    </row>
    <row r="340" spans="1:34" x14ac:dyDescent="0.25">
      <c r="A340" s="112"/>
      <c r="B340" s="120" t="s">
        <v>564</v>
      </c>
      <c r="C340" s="121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8"/>
      <c r="AH340" s="22"/>
    </row>
    <row r="341" spans="1:34" x14ac:dyDescent="0.25">
      <c r="A341" s="112"/>
      <c r="B341" s="69" t="s">
        <v>265</v>
      </c>
      <c r="C341" s="133" t="s">
        <v>64</v>
      </c>
      <c r="D341" s="125">
        <f>IF('Quant. mod. (oc)'!D341&lt;0,0,CEILING('Quant. mod. (oc)'!D341,6))</f>
        <v>36</v>
      </c>
      <c r="E341" s="125">
        <f>IF('Quant. mod. (oc)'!E341&lt;0,0,CEILING('Quant. mod. (oc)'!E341,6))</f>
        <v>18</v>
      </c>
      <c r="F341" s="125">
        <f>IF('Quant. mod. (oc)'!F341&lt;0,0,CEILING('Quant. mod. (oc)'!F341,6))</f>
        <v>6</v>
      </c>
      <c r="G341" s="125">
        <f>IF('Quant. mod. (oc)'!G341&lt;0,0,CEILING('Quant. mod. (oc)'!G341,6))</f>
        <v>36</v>
      </c>
      <c r="H341" s="125">
        <f>IF('Quant. mod. (oc)'!H341&lt;0,0,CEILING('Quant. mod. (oc)'!H341,6))</f>
        <v>18</v>
      </c>
      <c r="I341" s="125">
        <f>IF('Quant. mod. (oc)'!I341&lt;0,0,CEILING('Quant. mod. (oc)'!I341,6))</f>
        <v>6</v>
      </c>
      <c r="J341" s="125">
        <f>IF('Quant. mod. (oc)'!J341&lt;0,0,CEILING('Quant. mod. (oc)'!J341,6))</f>
        <v>36</v>
      </c>
      <c r="K341" s="125">
        <f>IF('Quant. mod. (oc)'!K341&lt;0,0,CEILING('Quant. mod. (oc)'!K341,6))</f>
        <v>6</v>
      </c>
      <c r="L341" s="125">
        <f>IF('Quant. mod. (oc)'!L341&lt;0,0,CEILING('Quant. mod. (oc)'!L341,6))</f>
        <v>36</v>
      </c>
      <c r="M341" s="125">
        <f>IF('Quant. mod. (oc)'!M341&lt;0,0,CEILING('Quant. mod. (oc)'!M341,6))</f>
        <v>6</v>
      </c>
      <c r="N341" s="125">
        <f>IF('Quant. mod. (oc)'!N341&lt;0,0,CEILING('Quant. mod. (oc)'!N341,6))</f>
        <v>36</v>
      </c>
      <c r="O341" s="125">
        <f>IF('Quant. mod. (oc)'!O341&lt;0,0,CEILING('Quant. mod. (oc)'!O341,6))</f>
        <v>36</v>
      </c>
      <c r="P341" s="125">
        <f>IF('Quant. mod. (oc)'!P341&lt;0,0,CEILING('Quant. mod. (oc)'!P341,6))</f>
        <v>24</v>
      </c>
      <c r="Q341" s="125">
        <f>IF('Quant. mod. (oc)'!Q341&lt;0,0,CEILING('Quant. mod. (oc)'!Q341,6))</f>
        <v>36</v>
      </c>
      <c r="R341" s="125">
        <f>IF('Quant. mod. (oc)'!R341&lt;0,0,CEILING('Quant. mod. (oc)'!R341,6))</f>
        <v>36</v>
      </c>
      <c r="S341" s="125">
        <f>IF('Quant. mod. (oc)'!S341&lt;0,0,CEILING('Quant. mod. (oc)'!S341,6))</f>
        <v>24</v>
      </c>
      <c r="T341" s="125">
        <f>IF('Quant. mod. (oc)'!T341&lt;0,0,CEILING('Quant. mod. (oc)'!T341,6))</f>
        <v>36</v>
      </c>
      <c r="U341" s="125">
        <f>IF('Quant. mod. (oc)'!U341&lt;0,0,CEILING('Quant. mod. (oc)'!U341,6))</f>
        <v>24</v>
      </c>
      <c r="V341" s="125">
        <f>IF('Quant. mod. (oc)'!V341&lt;0,0,CEILING('Quant. mod. (oc)'!V341,6))</f>
        <v>36</v>
      </c>
      <c r="W341" s="125">
        <f>IF('Quant. mod. (oc)'!W341&lt;0,0,CEILING('Quant. mod. (oc)'!W341,6))</f>
        <v>24</v>
      </c>
      <c r="X341" s="125">
        <f>IF('Quant. mod. (oc)'!X341&lt;0,0,CEILING('Quant. mod. (oc)'!X341,6))</f>
        <v>18</v>
      </c>
      <c r="Y341" s="125">
        <f>IF('Quant. mod. (oc)'!Y341&lt;0,0,CEILING('Quant. mod. (oc)'!Y341,6))</f>
        <v>18</v>
      </c>
      <c r="Z341" s="125">
        <f>IF('Quant. mod. (oc)'!Z341&lt;0,0,CEILING('Quant. mod. (oc)'!Z341,6))</f>
        <v>0</v>
      </c>
      <c r="AA341" s="125">
        <f>IF('Quant. mod. (oc)'!AA341&lt;0,0,CEILING('Quant. mod. (oc)'!AA341,6))</f>
        <v>18</v>
      </c>
      <c r="AB341" s="125">
        <f>IF('Quant. mod. (oc)'!AB341&lt;0,0,CEILING('Quant. mod. (oc)'!AB341,6))</f>
        <v>18</v>
      </c>
      <c r="AC341" s="125">
        <f>IF('Quant. mod. (oc)'!AC341&lt;0,0,CEILING('Quant. mod. (oc)'!AC341,6))</f>
        <v>0</v>
      </c>
      <c r="AD341" s="125">
        <f>IF('Quant. mod. (oc)'!AD341&lt;0,0,CEILING('Quant. mod. (oc)'!AD341,6))</f>
        <v>18</v>
      </c>
      <c r="AE341" s="125">
        <f>IF('Quant. mod. (oc)'!AE341&lt;0,0,CEILING('Quant. mod. (oc)'!AE341,6))</f>
        <v>0</v>
      </c>
      <c r="AF341" s="125">
        <f>IF('Quant. mod. (oc)'!AF341&lt;0,0,CEILING('Quant. mod. (oc)'!AF341,6))</f>
        <v>18</v>
      </c>
      <c r="AG341" s="126">
        <f>IF('Quant. mod. (oc)'!AG341&lt;0,0,CEILING('Quant. mod. (oc)'!AG341,6))</f>
        <v>0</v>
      </c>
      <c r="AH341" s="22"/>
    </row>
    <row r="342" spans="1:34" x14ac:dyDescent="0.25">
      <c r="A342" s="112"/>
      <c r="B342" s="120" t="s">
        <v>565</v>
      </c>
      <c r="C342" s="121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8"/>
      <c r="AH342" s="22"/>
    </row>
    <row r="343" spans="1:34" x14ac:dyDescent="0.25">
      <c r="A343" s="112"/>
      <c r="B343" s="69" t="s">
        <v>268</v>
      </c>
      <c r="C343" s="133" t="s">
        <v>59</v>
      </c>
      <c r="D343" s="125">
        <f>IF('Quant. mod. (oc)'!D343&lt;0,0,ROUND('Quant. mod. (oc)'!D343,0))</f>
        <v>2</v>
      </c>
      <c r="E343" s="125">
        <f>IF('Quant. mod. (oc)'!E343&lt;0,0,ROUND('Quant. mod. (oc)'!E343,0))</f>
        <v>0</v>
      </c>
      <c r="F343" s="125">
        <f>IF('Quant. mod. (oc)'!F343&lt;0,0,ROUND('Quant. mod. (oc)'!F343,0))</f>
        <v>0</v>
      </c>
      <c r="G343" s="125">
        <f>IF('Quant. mod. (oc)'!G343&lt;0,0,ROUND('Quant. mod. (oc)'!G343,0))</f>
        <v>2</v>
      </c>
      <c r="H343" s="125">
        <f>IF('Quant. mod. (oc)'!H343&lt;0,0,ROUND('Quant. mod. (oc)'!H343,0))</f>
        <v>0</v>
      </c>
      <c r="I343" s="125">
        <f>IF('Quant. mod. (oc)'!I343&lt;0,0,ROUND('Quant. mod. (oc)'!I343,0))</f>
        <v>0</v>
      </c>
      <c r="J343" s="125">
        <f>IF('Quant. mod. (oc)'!J343&lt;0,0,ROUND('Quant. mod. (oc)'!J343,0))</f>
        <v>2</v>
      </c>
      <c r="K343" s="125">
        <f>IF('Quant. mod. (oc)'!K343&lt;0,0,ROUND('Quant. mod. (oc)'!K343,0))</f>
        <v>0</v>
      </c>
      <c r="L343" s="125">
        <f>IF('Quant. mod. (oc)'!L343&lt;0,0,ROUND('Quant. mod. (oc)'!L343,0))</f>
        <v>2</v>
      </c>
      <c r="M343" s="125">
        <f>IF('Quant. mod. (oc)'!M343&lt;0,0,ROUND('Quant. mod. (oc)'!M343,0))</f>
        <v>0</v>
      </c>
      <c r="N343" s="125">
        <f>IF('Quant. mod. (oc)'!N343&lt;0,0,ROUND('Quant. mod. (oc)'!N343,0))</f>
        <v>2</v>
      </c>
      <c r="O343" s="125">
        <f>IF('Quant. mod. (oc)'!O343&lt;0,0,ROUND('Quant. mod. (oc)'!O343,0))</f>
        <v>0</v>
      </c>
      <c r="P343" s="125">
        <f>IF('Quant. mod. (oc)'!P343&lt;0,0,ROUND('Quant. mod. (oc)'!P343,0))</f>
        <v>0</v>
      </c>
      <c r="Q343" s="125">
        <f>IF('Quant. mod. (oc)'!Q343&lt;0,0,ROUND('Quant. mod. (oc)'!Q343,0))</f>
        <v>2</v>
      </c>
      <c r="R343" s="125">
        <f>IF('Quant. mod. (oc)'!R343&lt;0,0,ROUND('Quant. mod. (oc)'!R343,0))</f>
        <v>0</v>
      </c>
      <c r="S343" s="125">
        <f>IF('Quant. mod. (oc)'!S343&lt;0,0,ROUND('Quant. mod. (oc)'!S343,0))</f>
        <v>0</v>
      </c>
      <c r="T343" s="125">
        <f>IF('Quant. mod. (oc)'!T343&lt;0,0,ROUND('Quant. mod. (oc)'!T343,0))</f>
        <v>2</v>
      </c>
      <c r="U343" s="125">
        <f>IF('Quant. mod. (oc)'!U343&lt;0,0,ROUND('Quant. mod. (oc)'!U343,0))</f>
        <v>0</v>
      </c>
      <c r="V343" s="125">
        <f>IF('Quant. mod. (oc)'!V343&lt;0,0,ROUND('Quant. mod. (oc)'!V343,0))</f>
        <v>2</v>
      </c>
      <c r="W343" s="125">
        <f>IF('Quant. mod. (oc)'!W343&lt;0,0,ROUND('Quant. mod. (oc)'!W343,0))</f>
        <v>0</v>
      </c>
      <c r="X343" s="125">
        <f>IF('Quant. mod. (oc)'!X343&lt;0,0,ROUND('Quant. mod. (oc)'!X343,0))</f>
        <v>2</v>
      </c>
      <c r="Y343" s="125">
        <f>IF('Quant. mod. (oc)'!Y343&lt;0,0,ROUND('Quant. mod. (oc)'!Y343,0))</f>
        <v>0</v>
      </c>
      <c r="Z343" s="125">
        <f>IF('Quant. mod. (oc)'!Z343&lt;0,0,ROUND('Quant. mod. (oc)'!Z343,0))</f>
        <v>0</v>
      </c>
      <c r="AA343" s="125">
        <f>IF('Quant. mod. (oc)'!AA343&lt;0,0,ROUND('Quant. mod. (oc)'!AA343,0))</f>
        <v>2</v>
      </c>
      <c r="AB343" s="125">
        <f>IF('Quant. mod. (oc)'!AB343&lt;0,0,ROUND('Quant. mod. (oc)'!AB343,0))</f>
        <v>0</v>
      </c>
      <c r="AC343" s="125">
        <f>IF('Quant. mod. (oc)'!AC343&lt;0,0,ROUND('Quant. mod. (oc)'!AC343,0))</f>
        <v>0</v>
      </c>
      <c r="AD343" s="125">
        <f>IF('Quant. mod. (oc)'!AD343&lt;0,0,ROUND('Quant. mod. (oc)'!AD343,0))</f>
        <v>2</v>
      </c>
      <c r="AE343" s="125">
        <f>IF('Quant. mod. (oc)'!AE343&lt;0,0,ROUND('Quant. mod. (oc)'!AE343,0))</f>
        <v>0</v>
      </c>
      <c r="AF343" s="125">
        <f>IF('Quant. mod. (oc)'!AF343&lt;0,0,ROUND('Quant. mod. (oc)'!AF343,0))</f>
        <v>2</v>
      </c>
      <c r="AG343" s="126">
        <f>IF('Quant. mod. (oc)'!AG343&lt;0,0,ROUND('Quant. mod. (oc)'!AG343,0))</f>
        <v>0</v>
      </c>
      <c r="AH343" s="22"/>
    </row>
    <row r="344" spans="1:34" x14ac:dyDescent="0.25">
      <c r="A344" s="112"/>
      <c r="B344" s="69" t="s">
        <v>271</v>
      </c>
      <c r="C344" s="133" t="s">
        <v>59</v>
      </c>
      <c r="D344" s="125">
        <f>IF('Quant. mod. (oc)'!D344&lt;0,0,ROUND('Quant. mod. (oc)'!D344,0))</f>
        <v>3</v>
      </c>
      <c r="E344" s="125">
        <f>IF('Quant. mod. (oc)'!E344&lt;0,0,ROUND('Quant. mod. (oc)'!E344,0))</f>
        <v>3</v>
      </c>
      <c r="F344" s="125">
        <f>IF('Quant. mod. (oc)'!F344&lt;0,0,ROUND('Quant. mod. (oc)'!F344,0))</f>
        <v>1</v>
      </c>
      <c r="G344" s="125">
        <f>IF('Quant. mod. (oc)'!G344&lt;0,0,ROUND('Quant. mod. (oc)'!G344,0))</f>
        <v>3</v>
      </c>
      <c r="H344" s="125">
        <f>IF('Quant. mod. (oc)'!H344&lt;0,0,ROUND('Quant. mod. (oc)'!H344,0))</f>
        <v>3</v>
      </c>
      <c r="I344" s="125">
        <f>IF('Quant. mod. (oc)'!I344&lt;0,0,ROUND('Quant. mod. (oc)'!I344,0))</f>
        <v>1</v>
      </c>
      <c r="J344" s="125">
        <f>IF('Quant. mod. (oc)'!J344&lt;0,0,ROUND('Quant. mod. (oc)'!J344,0))</f>
        <v>3</v>
      </c>
      <c r="K344" s="125">
        <f>IF('Quant. mod. (oc)'!K344&lt;0,0,ROUND('Quant. mod. (oc)'!K344,0))</f>
        <v>1</v>
      </c>
      <c r="L344" s="125">
        <f>IF('Quant. mod. (oc)'!L344&lt;0,0,ROUND('Quant. mod. (oc)'!L344,0))</f>
        <v>3</v>
      </c>
      <c r="M344" s="125">
        <f>IF('Quant. mod. (oc)'!M344&lt;0,0,ROUND('Quant. mod. (oc)'!M344,0))</f>
        <v>1</v>
      </c>
      <c r="N344" s="125">
        <f>IF('Quant. mod. (oc)'!N344&lt;0,0,ROUND('Quant. mod. (oc)'!N344,0))</f>
        <v>3</v>
      </c>
      <c r="O344" s="125">
        <f>IF('Quant. mod. (oc)'!O344&lt;0,0,ROUND('Quant. mod. (oc)'!O344,0))</f>
        <v>3</v>
      </c>
      <c r="P344" s="125">
        <f>IF('Quant. mod. (oc)'!P344&lt;0,0,ROUND('Quant. mod. (oc)'!P344,0))</f>
        <v>1</v>
      </c>
      <c r="Q344" s="125">
        <f>IF('Quant. mod. (oc)'!Q344&lt;0,0,ROUND('Quant. mod. (oc)'!Q344,0))</f>
        <v>3</v>
      </c>
      <c r="R344" s="125">
        <f>IF('Quant. mod. (oc)'!R344&lt;0,0,ROUND('Quant. mod. (oc)'!R344,0))</f>
        <v>3</v>
      </c>
      <c r="S344" s="125">
        <f>IF('Quant. mod. (oc)'!S344&lt;0,0,ROUND('Quant. mod. (oc)'!S344,0))</f>
        <v>1</v>
      </c>
      <c r="T344" s="125">
        <f>IF('Quant. mod. (oc)'!T344&lt;0,0,ROUND('Quant. mod. (oc)'!T344,0))</f>
        <v>3</v>
      </c>
      <c r="U344" s="125">
        <f>IF('Quant. mod. (oc)'!U344&lt;0,0,ROUND('Quant. mod. (oc)'!U344,0))</f>
        <v>1</v>
      </c>
      <c r="V344" s="125">
        <f>IF('Quant. mod. (oc)'!V344&lt;0,0,ROUND('Quant. mod. (oc)'!V344,0))</f>
        <v>3</v>
      </c>
      <c r="W344" s="125">
        <f>IF('Quant. mod. (oc)'!W344&lt;0,0,ROUND('Quant. mod. (oc)'!W344,0))</f>
        <v>1</v>
      </c>
      <c r="X344" s="125">
        <f>IF('Quant. mod. (oc)'!X344&lt;0,0,ROUND('Quant. mod. (oc)'!X344,0))</f>
        <v>3</v>
      </c>
      <c r="Y344" s="125">
        <f>IF('Quant. mod. (oc)'!Y344&lt;0,0,ROUND('Quant. mod. (oc)'!Y344,0))</f>
        <v>2</v>
      </c>
      <c r="Z344" s="125">
        <f>IF('Quant. mod. (oc)'!Z344&lt;0,0,ROUND('Quant. mod. (oc)'!Z344,0))</f>
        <v>1</v>
      </c>
      <c r="AA344" s="125">
        <f>IF('Quant. mod. (oc)'!AA344&lt;0,0,ROUND('Quant. mod. (oc)'!AA344,0))</f>
        <v>3</v>
      </c>
      <c r="AB344" s="125">
        <f>IF('Quant. mod. (oc)'!AB344&lt;0,0,ROUND('Quant. mod. (oc)'!AB344,0))</f>
        <v>2</v>
      </c>
      <c r="AC344" s="125">
        <f>IF('Quant. mod. (oc)'!AC344&lt;0,0,ROUND('Quant. mod. (oc)'!AC344,0))</f>
        <v>1</v>
      </c>
      <c r="AD344" s="125">
        <f>IF('Quant. mod. (oc)'!AD344&lt;0,0,ROUND('Quant. mod. (oc)'!AD344,0))</f>
        <v>3</v>
      </c>
      <c r="AE344" s="125">
        <f>IF('Quant. mod. (oc)'!AE344&lt;0,0,ROUND('Quant. mod. (oc)'!AE344,0))</f>
        <v>1</v>
      </c>
      <c r="AF344" s="125">
        <f>IF('Quant. mod. (oc)'!AF344&lt;0,0,ROUND('Quant. mod. (oc)'!AF344,0))</f>
        <v>3</v>
      </c>
      <c r="AG344" s="126">
        <f>IF('Quant. mod. (oc)'!AG344&lt;0,0,ROUND('Quant. mod. (oc)'!AG344,0))</f>
        <v>1</v>
      </c>
      <c r="AH344" s="22"/>
    </row>
    <row r="345" spans="1:34" x14ac:dyDescent="0.25">
      <c r="A345" s="112"/>
      <c r="B345" s="69" t="s">
        <v>273</v>
      </c>
      <c r="C345" s="133" t="s">
        <v>59</v>
      </c>
      <c r="D345" s="125">
        <f>IF('Quant. mod. (oc)'!D345&lt;0,0,ROUND('Quant. mod. (oc)'!D345,0))</f>
        <v>0</v>
      </c>
      <c r="E345" s="125">
        <f>IF('Quant. mod. (oc)'!E345&lt;0,0,ROUND('Quant. mod. (oc)'!E345,0))</f>
        <v>0</v>
      </c>
      <c r="F345" s="125">
        <f>IF('Quant. mod. (oc)'!F345&lt;0,0,ROUND('Quant. mod. (oc)'!F345,0))</f>
        <v>0</v>
      </c>
      <c r="G345" s="125">
        <f>IF('Quant. mod. (oc)'!G345&lt;0,0,ROUND('Quant. mod. (oc)'!G345,0))</f>
        <v>0</v>
      </c>
      <c r="H345" s="125">
        <f>IF('Quant. mod. (oc)'!H345&lt;0,0,ROUND('Quant. mod. (oc)'!H345,0))</f>
        <v>0</v>
      </c>
      <c r="I345" s="125">
        <f>IF('Quant. mod. (oc)'!I345&lt;0,0,ROUND('Quant. mod. (oc)'!I345,0))</f>
        <v>0</v>
      </c>
      <c r="J345" s="125">
        <f>IF('Quant. mod. (oc)'!J345&lt;0,0,ROUND('Quant. mod. (oc)'!J345,0))</f>
        <v>0</v>
      </c>
      <c r="K345" s="125">
        <f>IF('Quant. mod. (oc)'!K345&lt;0,0,ROUND('Quant. mod. (oc)'!K345,0))</f>
        <v>0</v>
      </c>
      <c r="L345" s="125">
        <f>IF('Quant. mod. (oc)'!L345&lt;0,0,ROUND('Quant. mod. (oc)'!L345,0))</f>
        <v>0</v>
      </c>
      <c r="M345" s="125">
        <f>IF('Quant. mod. (oc)'!M345&lt;0,0,ROUND('Quant. mod. (oc)'!M345,0))</f>
        <v>0</v>
      </c>
      <c r="N345" s="125">
        <f>IF('Quant. mod. (oc)'!N345&lt;0,0,ROUND('Quant. mod. (oc)'!N345,0))</f>
        <v>0</v>
      </c>
      <c r="O345" s="125">
        <f>IF('Quant. mod. (oc)'!O345&lt;0,0,ROUND('Quant. mod. (oc)'!O345,0))</f>
        <v>0</v>
      </c>
      <c r="P345" s="125">
        <f>IF('Quant. mod. (oc)'!P345&lt;0,0,ROUND('Quant. mod. (oc)'!P345,0))</f>
        <v>0</v>
      </c>
      <c r="Q345" s="125">
        <f>IF('Quant. mod. (oc)'!Q345&lt;0,0,ROUND('Quant. mod. (oc)'!Q345,0))</f>
        <v>0</v>
      </c>
      <c r="R345" s="125">
        <f>IF('Quant. mod. (oc)'!R345&lt;0,0,ROUND('Quant. mod. (oc)'!R345,0))</f>
        <v>0</v>
      </c>
      <c r="S345" s="125">
        <f>IF('Quant. mod. (oc)'!S345&lt;0,0,ROUND('Quant. mod. (oc)'!S345,0))</f>
        <v>0</v>
      </c>
      <c r="T345" s="125">
        <f>IF('Quant. mod. (oc)'!T345&lt;0,0,ROUND('Quant. mod. (oc)'!T345,0))</f>
        <v>0</v>
      </c>
      <c r="U345" s="125">
        <f>IF('Quant. mod. (oc)'!U345&lt;0,0,ROUND('Quant. mod. (oc)'!U345,0))</f>
        <v>0</v>
      </c>
      <c r="V345" s="125">
        <f>IF('Quant. mod. (oc)'!V345&lt;0,0,ROUND('Quant. mod. (oc)'!V345,0))</f>
        <v>0</v>
      </c>
      <c r="W345" s="125">
        <f>IF('Quant. mod. (oc)'!W345&lt;0,0,ROUND('Quant. mod. (oc)'!W345,0))</f>
        <v>0</v>
      </c>
      <c r="X345" s="125">
        <f>IF('Quant. mod. (oc)'!X345&lt;0,0,ROUND('Quant. mod. (oc)'!X345,0))</f>
        <v>0</v>
      </c>
      <c r="Y345" s="125">
        <f>IF('Quant. mod. (oc)'!Y345&lt;0,0,ROUND('Quant. mod. (oc)'!Y345,0))</f>
        <v>0</v>
      </c>
      <c r="Z345" s="125">
        <f>IF('Quant. mod. (oc)'!Z345&lt;0,0,ROUND('Quant. mod. (oc)'!Z345,0))</f>
        <v>0</v>
      </c>
      <c r="AA345" s="125">
        <f>IF('Quant. mod. (oc)'!AA345&lt;0,0,ROUND('Quant. mod. (oc)'!AA345,0))</f>
        <v>0</v>
      </c>
      <c r="AB345" s="125">
        <f>IF('Quant. mod. (oc)'!AB345&lt;0,0,ROUND('Quant. mod. (oc)'!AB345,0))</f>
        <v>0</v>
      </c>
      <c r="AC345" s="125">
        <f>IF('Quant. mod. (oc)'!AC345&lt;0,0,ROUND('Quant. mod. (oc)'!AC345,0))</f>
        <v>0</v>
      </c>
      <c r="AD345" s="125">
        <f>IF('Quant. mod. (oc)'!AD345&lt;0,0,ROUND('Quant. mod. (oc)'!AD345,0))</f>
        <v>0</v>
      </c>
      <c r="AE345" s="125">
        <f>IF('Quant. mod. (oc)'!AE345&lt;0,0,ROUND('Quant. mod. (oc)'!AE345,0))</f>
        <v>0</v>
      </c>
      <c r="AF345" s="125">
        <f>IF('Quant. mod. (oc)'!AF345&lt;0,0,ROUND('Quant. mod. (oc)'!AF345,0))</f>
        <v>0</v>
      </c>
      <c r="AG345" s="126">
        <f>IF('Quant. mod. (oc)'!AG345&lt;0,0,ROUND('Quant. mod. (oc)'!AG345,0))</f>
        <v>0</v>
      </c>
      <c r="AH345" s="22"/>
    </row>
    <row r="346" spans="1:34" x14ac:dyDescent="0.25">
      <c r="A346" s="112"/>
      <c r="B346" s="120" t="s">
        <v>566</v>
      </c>
      <c r="C346" s="121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8"/>
      <c r="AH346" s="22"/>
    </row>
    <row r="347" spans="1:34" x14ac:dyDescent="0.25">
      <c r="A347" s="112"/>
      <c r="B347" s="69" t="s">
        <v>277</v>
      </c>
      <c r="C347" s="133" t="s">
        <v>59</v>
      </c>
      <c r="D347" s="125">
        <f>IF('Quant. mod. (oc)'!D347&lt;0,0,ROUND('Quant. mod. (oc)'!D347,0))</f>
        <v>0</v>
      </c>
      <c r="E347" s="125">
        <f>IF('Quant. mod. (oc)'!E347&lt;0,0,ROUND('Quant. mod. (oc)'!E347,0))</f>
        <v>0</v>
      </c>
      <c r="F347" s="125">
        <f>IF('Quant. mod. (oc)'!F347&lt;0,0,ROUND('Quant. mod. (oc)'!F347,0))</f>
        <v>0</v>
      </c>
      <c r="G347" s="125">
        <f>IF('Quant. mod. (oc)'!G347&lt;0,0,ROUND('Quant. mod. (oc)'!G347,0))</f>
        <v>0</v>
      </c>
      <c r="H347" s="125">
        <f>IF('Quant. mod. (oc)'!H347&lt;0,0,ROUND('Quant. mod. (oc)'!H347,0))</f>
        <v>0</v>
      </c>
      <c r="I347" s="125">
        <f>IF('Quant. mod. (oc)'!I347&lt;0,0,ROUND('Quant. mod. (oc)'!I347,0))</f>
        <v>0</v>
      </c>
      <c r="J347" s="125">
        <f>IF('Quant. mod. (oc)'!J347&lt;0,0,ROUND('Quant. mod. (oc)'!J347,0))</f>
        <v>0</v>
      </c>
      <c r="K347" s="125">
        <f>IF('Quant. mod. (oc)'!K347&lt;0,0,ROUND('Quant. mod. (oc)'!K347,0))</f>
        <v>0</v>
      </c>
      <c r="L347" s="125">
        <f>IF('Quant. mod. (oc)'!L347&lt;0,0,ROUND('Quant. mod. (oc)'!L347,0))</f>
        <v>0</v>
      </c>
      <c r="M347" s="125">
        <f>IF('Quant. mod. (oc)'!M347&lt;0,0,ROUND('Quant. mod. (oc)'!M347,0))</f>
        <v>0</v>
      </c>
      <c r="N347" s="125">
        <f>IF('Quant. mod. (oc)'!N347&lt;0,0,ROUND('Quant. mod. (oc)'!N347,0))</f>
        <v>0</v>
      </c>
      <c r="O347" s="125">
        <f>IF('Quant. mod. (oc)'!O347&lt;0,0,ROUND('Quant. mod. (oc)'!O347,0))</f>
        <v>0</v>
      </c>
      <c r="P347" s="125">
        <f>IF('Quant. mod. (oc)'!P347&lt;0,0,ROUND('Quant. mod. (oc)'!P347,0))</f>
        <v>0</v>
      </c>
      <c r="Q347" s="125">
        <f>IF('Quant. mod. (oc)'!Q347&lt;0,0,ROUND('Quant. mod. (oc)'!Q347,0))</f>
        <v>0</v>
      </c>
      <c r="R347" s="125">
        <f>IF('Quant. mod. (oc)'!R347&lt;0,0,ROUND('Quant. mod. (oc)'!R347,0))</f>
        <v>0</v>
      </c>
      <c r="S347" s="125">
        <f>IF('Quant. mod. (oc)'!S347&lt;0,0,ROUND('Quant. mod. (oc)'!S347,0))</f>
        <v>0</v>
      </c>
      <c r="T347" s="125">
        <f>IF('Quant. mod. (oc)'!T347&lt;0,0,ROUND('Quant. mod. (oc)'!T347,0))</f>
        <v>0</v>
      </c>
      <c r="U347" s="125">
        <f>IF('Quant. mod. (oc)'!U347&lt;0,0,ROUND('Quant. mod. (oc)'!U347,0))</f>
        <v>0</v>
      </c>
      <c r="V347" s="125">
        <f>IF('Quant. mod. (oc)'!V347&lt;0,0,ROUND('Quant. mod. (oc)'!V347,0))</f>
        <v>0</v>
      </c>
      <c r="W347" s="125">
        <f>IF('Quant. mod. (oc)'!W347&lt;0,0,ROUND('Quant. mod. (oc)'!W347,0))</f>
        <v>0</v>
      </c>
      <c r="X347" s="125">
        <f>IF('Quant. mod. (oc)'!X347&lt;0,0,ROUND('Quant. mod. (oc)'!X347,0))</f>
        <v>1</v>
      </c>
      <c r="Y347" s="125">
        <f>IF('Quant. mod. (oc)'!Y347&lt;0,0,ROUND('Quant. mod. (oc)'!Y347,0))</f>
        <v>0</v>
      </c>
      <c r="Z347" s="125">
        <f>IF('Quant. mod. (oc)'!Z347&lt;0,0,ROUND('Quant. mod. (oc)'!Z347,0))</f>
        <v>0</v>
      </c>
      <c r="AA347" s="125">
        <f>IF('Quant. mod. (oc)'!AA347&lt;0,0,ROUND('Quant. mod. (oc)'!AA347,0))</f>
        <v>1</v>
      </c>
      <c r="AB347" s="125">
        <f>IF('Quant. mod. (oc)'!AB347&lt;0,0,ROUND('Quant. mod. (oc)'!AB347,0))</f>
        <v>0</v>
      </c>
      <c r="AC347" s="125">
        <f>IF('Quant. mod. (oc)'!AC347&lt;0,0,ROUND('Quant. mod. (oc)'!AC347,0))</f>
        <v>0</v>
      </c>
      <c r="AD347" s="125">
        <f>IF('Quant. mod. (oc)'!AD347&lt;0,0,ROUND('Quant. mod. (oc)'!AD347,0))</f>
        <v>1</v>
      </c>
      <c r="AE347" s="125">
        <f>IF('Quant. mod. (oc)'!AE347&lt;0,0,ROUND('Quant. mod. (oc)'!AE347,0))</f>
        <v>0</v>
      </c>
      <c r="AF347" s="125">
        <f>IF('Quant. mod. (oc)'!AF347&lt;0,0,ROUND('Quant. mod. (oc)'!AF347,0))</f>
        <v>1</v>
      </c>
      <c r="AG347" s="126">
        <f>IF('Quant. mod. (oc)'!AG347&lt;0,0,ROUND('Quant. mod. (oc)'!AG347,0))</f>
        <v>0</v>
      </c>
      <c r="AH347" s="22"/>
    </row>
    <row r="348" spans="1:34" x14ac:dyDescent="0.25">
      <c r="A348" s="112"/>
      <c r="B348" s="69" t="s">
        <v>278</v>
      </c>
      <c r="C348" s="133" t="s">
        <v>59</v>
      </c>
      <c r="D348" s="125">
        <f>IF('Quant. mod. (oc)'!D348&lt;0,0,ROUND('Quant. mod. (oc)'!D348,0))</f>
        <v>1</v>
      </c>
      <c r="E348" s="125">
        <f>IF('Quant. mod. (oc)'!E348&lt;0,0,ROUND('Quant. mod. (oc)'!E348,0))</f>
        <v>0</v>
      </c>
      <c r="F348" s="125">
        <f>IF('Quant. mod. (oc)'!F348&lt;0,0,ROUND('Quant. mod. (oc)'!F348,0))</f>
        <v>0</v>
      </c>
      <c r="G348" s="125">
        <f>IF('Quant. mod. (oc)'!G348&lt;0,0,ROUND('Quant. mod. (oc)'!G348,0))</f>
        <v>1</v>
      </c>
      <c r="H348" s="125">
        <f>IF('Quant. mod. (oc)'!H348&lt;0,0,ROUND('Quant. mod. (oc)'!H348,0))</f>
        <v>0</v>
      </c>
      <c r="I348" s="125">
        <f>IF('Quant. mod. (oc)'!I348&lt;0,0,ROUND('Quant. mod. (oc)'!I348,0))</f>
        <v>0</v>
      </c>
      <c r="J348" s="125">
        <f>IF('Quant. mod. (oc)'!J348&lt;0,0,ROUND('Quant. mod. (oc)'!J348,0))</f>
        <v>1</v>
      </c>
      <c r="K348" s="125">
        <f>IF('Quant. mod. (oc)'!K348&lt;0,0,ROUND('Quant. mod. (oc)'!K348,0))</f>
        <v>0</v>
      </c>
      <c r="L348" s="125">
        <f>IF('Quant. mod. (oc)'!L348&lt;0,0,ROUND('Quant. mod. (oc)'!L348,0))</f>
        <v>1</v>
      </c>
      <c r="M348" s="125">
        <f>IF('Quant. mod. (oc)'!M348&lt;0,0,ROUND('Quant. mod. (oc)'!M348,0))</f>
        <v>0</v>
      </c>
      <c r="N348" s="125">
        <f>IF('Quant. mod. (oc)'!N348&lt;0,0,ROUND('Quant. mod. (oc)'!N348,0))</f>
        <v>1</v>
      </c>
      <c r="O348" s="125">
        <f>IF('Quant. mod. (oc)'!O348&lt;0,0,ROUND('Quant. mod. (oc)'!O348,0))</f>
        <v>0</v>
      </c>
      <c r="P348" s="125">
        <f>IF('Quant. mod. (oc)'!P348&lt;0,0,ROUND('Quant. mod. (oc)'!P348,0))</f>
        <v>0</v>
      </c>
      <c r="Q348" s="125">
        <f>IF('Quant. mod. (oc)'!Q348&lt;0,0,ROUND('Quant. mod. (oc)'!Q348,0))</f>
        <v>1</v>
      </c>
      <c r="R348" s="125">
        <f>IF('Quant. mod. (oc)'!R348&lt;0,0,ROUND('Quant. mod. (oc)'!R348,0))</f>
        <v>0</v>
      </c>
      <c r="S348" s="125">
        <f>IF('Quant. mod. (oc)'!S348&lt;0,0,ROUND('Quant. mod. (oc)'!S348,0))</f>
        <v>0</v>
      </c>
      <c r="T348" s="125">
        <f>IF('Quant. mod. (oc)'!T348&lt;0,0,ROUND('Quant. mod. (oc)'!T348,0))</f>
        <v>1</v>
      </c>
      <c r="U348" s="125">
        <f>IF('Quant. mod. (oc)'!U348&lt;0,0,ROUND('Quant. mod. (oc)'!U348,0))</f>
        <v>0</v>
      </c>
      <c r="V348" s="125">
        <f>IF('Quant. mod. (oc)'!V348&lt;0,0,ROUND('Quant. mod. (oc)'!V348,0))</f>
        <v>1</v>
      </c>
      <c r="W348" s="125">
        <f>IF('Quant. mod. (oc)'!W348&lt;0,0,ROUND('Quant. mod. (oc)'!W348,0))</f>
        <v>0</v>
      </c>
      <c r="X348" s="125">
        <f>IF('Quant. mod. (oc)'!X348&lt;0,0,ROUND('Quant. mod. (oc)'!X348,0))</f>
        <v>0</v>
      </c>
      <c r="Y348" s="125">
        <f>IF('Quant. mod. (oc)'!Y348&lt;0,0,ROUND('Quant. mod. (oc)'!Y348,0))</f>
        <v>0</v>
      </c>
      <c r="Z348" s="125">
        <f>IF('Quant. mod. (oc)'!Z348&lt;0,0,ROUND('Quant. mod. (oc)'!Z348,0))</f>
        <v>0</v>
      </c>
      <c r="AA348" s="125">
        <f>IF('Quant. mod. (oc)'!AA348&lt;0,0,ROUND('Quant. mod. (oc)'!AA348,0))</f>
        <v>0</v>
      </c>
      <c r="AB348" s="125">
        <f>IF('Quant. mod. (oc)'!AB348&lt;0,0,ROUND('Quant. mod. (oc)'!AB348,0))</f>
        <v>0</v>
      </c>
      <c r="AC348" s="125">
        <f>IF('Quant. mod. (oc)'!AC348&lt;0,0,ROUND('Quant. mod. (oc)'!AC348,0))</f>
        <v>0</v>
      </c>
      <c r="AD348" s="125">
        <f>IF('Quant. mod. (oc)'!AD348&lt;0,0,ROUND('Quant. mod. (oc)'!AD348,0))</f>
        <v>0</v>
      </c>
      <c r="AE348" s="125">
        <f>IF('Quant. mod. (oc)'!AE348&lt;0,0,ROUND('Quant. mod. (oc)'!AE348,0))</f>
        <v>0</v>
      </c>
      <c r="AF348" s="125">
        <f>IF('Quant. mod. (oc)'!AF348&lt;0,0,ROUND('Quant. mod. (oc)'!AF348,0))</f>
        <v>0</v>
      </c>
      <c r="AG348" s="126">
        <f>IF('Quant. mod. (oc)'!AG348&lt;0,0,ROUND('Quant. mod. (oc)'!AG348,0))</f>
        <v>0</v>
      </c>
      <c r="AH348" s="22"/>
    </row>
    <row r="349" spans="1:34" x14ac:dyDescent="0.25">
      <c r="A349" s="112"/>
      <c r="B349" s="69" t="s">
        <v>279</v>
      </c>
      <c r="C349" s="133" t="s">
        <v>59</v>
      </c>
      <c r="D349" s="125">
        <f>IF('Quant. mod. (oc)'!D349&lt;0,0,ROUND('Quant. mod. (oc)'!D349,0))</f>
        <v>0</v>
      </c>
      <c r="E349" s="125">
        <f>IF('Quant. mod. (oc)'!E349&lt;0,0,ROUND('Quant. mod. (oc)'!E349,0))</f>
        <v>0</v>
      </c>
      <c r="F349" s="125">
        <f>IF('Quant. mod. (oc)'!F349&lt;0,0,ROUND('Quant. mod. (oc)'!F349,0))</f>
        <v>0</v>
      </c>
      <c r="G349" s="125">
        <f>IF('Quant. mod. (oc)'!G349&lt;0,0,ROUND('Quant. mod. (oc)'!G349,0))</f>
        <v>0</v>
      </c>
      <c r="H349" s="125">
        <f>IF('Quant. mod. (oc)'!H349&lt;0,0,ROUND('Quant. mod. (oc)'!H349,0))</f>
        <v>0</v>
      </c>
      <c r="I349" s="125">
        <f>IF('Quant. mod. (oc)'!I349&lt;0,0,ROUND('Quant. mod. (oc)'!I349,0))</f>
        <v>0</v>
      </c>
      <c r="J349" s="125">
        <f>IF('Quant. mod. (oc)'!J349&lt;0,0,ROUND('Quant. mod. (oc)'!J349,0))</f>
        <v>0</v>
      </c>
      <c r="K349" s="125">
        <f>IF('Quant. mod. (oc)'!K349&lt;0,0,ROUND('Quant. mod. (oc)'!K349,0))</f>
        <v>0</v>
      </c>
      <c r="L349" s="125">
        <f>IF('Quant. mod. (oc)'!L349&lt;0,0,ROUND('Quant. mod. (oc)'!L349,0))</f>
        <v>0</v>
      </c>
      <c r="M349" s="125">
        <f>IF('Quant. mod. (oc)'!M349&lt;0,0,ROUND('Quant. mod. (oc)'!M349,0))</f>
        <v>0</v>
      </c>
      <c r="N349" s="125">
        <f>IF('Quant. mod. (oc)'!N349&lt;0,0,ROUND('Quant. mod. (oc)'!N349,0))</f>
        <v>0</v>
      </c>
      <c r="O349" s="125">
        <f>IF('Quant. mod. (oc)'!O349&lt;0,0,ROUND('Quant. mod. (oc)'!O349,0))</f>
        <v>0</v>
      </c>
      <c r="P349" s="125">
        <f>IF('Quant. mod. (oc)'!P349&lt;0,0,ROUND('Quant. mod. (oc)'!P349,0))</f>
        <v>0</v>
      </c>
      <c r="Q349" s="125">
        <f>IF('Quant. mod. (oc)'!Q349&lt;0,0,ROUND('Quant. mod. (oc)'!Q349,0))</f>
        <v>0</v>
      </c>
      <c r="R349" s="125">
        <f>IF('Quant. mod. (oc)'!R349&lt;0,0,ROUND('Quant. mod. (oc)'!R349,0))</f>
        <v>0</v>
      </c>
      <c r="S349" s="125">
        <f>IF('Quant. mod. (oc)'!S349&lt;0,0,ROUND('Quant. mod. (oc)'!S349,0))</f>
        <v>0</v>
      </c>
      <c r="T349" s="125">
        <f>IF('Quant. mod. (oc)'!T349&lt;0,0,ROUND('Quant. mod. (oc)'!T349,0))</f>
        <v>0</v>
      </c>
      <c r="U349" s="125">
        <f>IF('Quant. mod. (oc)'!U349&lt;0,0,ROUND('Quant. mod. (oc)'!U349,0))</f>
        <v>0</v>
      </c>
      <c r="V349" s="125">
        <f>IF('Quant. mod. (oc)'!V349&lt;0,0,ROUND('Quant. mod. (oc)'!V349,0))</f>
        <v>0</v>
      </c>
      <c r="W349" s="125">
        <f>IF('Quant. mod. (oc)'!W349&lt;0,0,ROUND('Quant. mod. (oc)'!W349,0))</f>
        <v>0</v>
      </c>
      <c r="X349" s="125">
        <f>IF('Quant. mod. (oc)'!X349&lt;0,0,ROUND('Quant. mod. (oc)'!X349,0))</f>
        <v>0</v>
      </c>
      <c r="Y349" s="125">
        <f>IF('Quant. mod. (oc)'!Y349&lt;0,0,ROUND('Quant. mod. (oc)'!Y349,0))</f>
        <v>0</v>
      </c>
      <c r="Z349" s="125">
        <f>IF('Quant. mod. (oc)'!Z349&lt;0,0,ROUND('Quant. mod. (oc)'!Z349,0))</f>
        <v>0</v>
      </c>
      <c r="AA349" s="125">
        <f>IF('Quant. mod. (oc)'!AA349&lt;0,0,ROUND('Quant. mod. (oc)'!AA349,0))</f>
        <v>0</v>
      </c>
      <c r="AB349" s="125">
        <f>IF('Quant. mod. (oc)'!AB349&lt;0,0,ROUND('Quant. mod. (oc)'!AB349,0))</f>
        <v>0</v>
      </c>
      <c r="AC349" s="125">
        <f>IF('Quant. mod. (oc)'!AC349&lt;0,0,ROUND('Quant. mod. (oc)'!AC349,0))</f>
        <v>0</v>
      </c>
      <c r="AD349" s="125">
        <f>IF('Quant. mod. (oc)'!AD349&lt;0,0,ROUND('Quant. mod. (oc)'!AD349,0))</f>
        <v>0</v>
      </c>
      <c r="AE349" s="125">
        <f>IF('Quant. mod. (oc)'!AE349&lt;0,0,ROUND('Quant. mod. (oc)'!AE349,0))</f>
        <v>0</v>
      </c>
      <c r="AF349" s="125">
        <f>IF('Quant. mod. (oc)'!AF349&lt;0,0,ROUND('Quant. mod. (oc)'!AF349,0))</f>
        <v>0</v>
      </c>
      <c r="AG349" s="126">
        <f>IF('Quant. mod. (oc)'!AG349&lt;0,0,ROUND('Quant. mod. (oc)'!AG349,0))</f>
        <v>0</v>
      </c>
      <c r="AH349" s="22"/>
    </row>
    <row r="350" spans="1:34" x14ac:dyDescent="0.25">
      <c r="A350" s="112"/>
      <c r="B350" s="69" t="s">
        <v>283</v>
      </c>
      <c r="C350" s="133" t="s">
        <v>59</v>
      </c>
      <c r="D350" s="125">
        <f>IF('Quant. mod. (oc)'!D350&lt;0,0,ROUND('Quant. mod. (oc)'!D350,0))</f>
        <v>0</v>
      </c>
      <c r="E350" s="125">
        <f>IF('Quant. mod. (oc)'!E350&lt;0,0,ROUND('Quant. mod. (oc)'!E350,0))</f>
        <v>2</v>
      </c>
      <c r="F350" s="125">
        <f>IF('Quant. mod. (oc)'!F350&lt;0,0,ROUND('Quant. mod. (oc)'!F350,0))</f>
        <v>0</v>
      </c>
      <c r="G350" s="125">
        <f>IF('Quant. mod. (oc)'!G350&lt;0,0,ROUND('Quant. mod. (oc)'!G350,0))</f>
        <v>0</v>
      </c>
      <c r="H350" s="125">
        <f>IF('Quant. mod. (oc)'!H350&lt;0,0,ROUND('Quant. mod. (oc)'!H350,0))</f>
        <v>2</v>
      </c>
      <c r="I350" s="125">
        <f>IF('Quant. mod. (oc)'!I350&lt;0,0,ROUND('Quant. mod. (oc)'!I350,0))</f>
        <v>0</v>
      </c>
      <c r="J350" s="125">
        <f>IF('Quant. mod. (oc)'!J350&lt;0,0,ROUND('Quant. mod. (oc)'!J350,0))</f>
        <v>0</v>
      </c>
      <c r="K350" s="125">
        <f>IF('Quant. mod. (oc)'!K350&lt;0,0,ROUND('Quant. mod. (oc)'!K350,0))</f>
        <v>0</v>
      </c>
      <c r="L350" s="125">
        <f>IF('Quant. mod. (oc)'!L350&lt;0,0,ROUND('Quant. mod. (oc)'!L350,0))</f>
        <v>0</v>
      </c>
      <c r="M350" s="125">
        <f>IF('Quant. mod. (oc)'!M350&lt;0,0,ROUND('Quant. mod. (oc)'!M350,0))</f>
        <v>0</v>
      </c>
      <c r="N350" s="125">
        <f>IF('Quant. mod. (oc)'!N350&lt;0,0,ROUND('Quant. mod. (oc)'!N350,0))</f>
        <v>0</v>
      </c>
      <c r="O350" s="125">
        <f>IF('Quant. mod. (oc)'!O350&lt;0,0,ROUND('Quant. mod. (oc)'!O350,0))</f>
        <v>2</v>
      </c>
      <c r="P350" s="125">
        <f>IF('Quant. mod. (oc)'!P350&lt;0,0,ROUND('Quant. mod. (oc)'!P350,0))</f>
        <v>0</v>
      </c>
      <c r="Q350" s="125">
        <f>IF('Quant. mod. (oc)'!Q350&lt;0,0,ROUND('Quant. mod. (oc)'!Q350,0))</f>
        <v>0</v>
      </c>
      <c r="R350" s="125">
        <f>IF('Quant. mod. (oc)'!R350&lt;0,0,ROUND('Quant. mod. (oc)'!R350,0))</f>
        <v>2</v>
      </c>
      <c r="S350" s="125">
        <f>IF('Quant. mod. (oc)'!S350&lt;0,0,ROUND('Quant. mod. (oc)'!S350,0))</f>
        <v>0</v>
      </c>
      <c r="T350" s="125">
        <f>IF('Quant. mod. (oc)'!T350&lt;0,0,ROUND('Quant. mod. (oc)'!T350,0))</f>
        <v>0</v>
      </c>
      <c r="U350" s="125">
        <f>IF('Quant. mod. (oc)'!U350&lt;0,0,ROUND('Quant. mod. (oc)'!U350,0))</f>
        <v>0</v>
      </c>
      <c r="V350" s="125">
        <f>IF('Quant. mod. (oc)'!V350&lt;0,0,ROUND('Quant. mod. (oc)'!V350,0))</f>
        <v>0</v>
      </c>
      <c r="W350" s="125">
        <f>IF('Quant. mod. (oc)'!W350&lt;0,0,ROUND('Quant. mod. (oc)'!W350,0))</f>
        <v>0</v>
      </c>
      <c r="X350" s="125">
        <f>IF('Quant. mod. (oc)'!X350&lt;0,0,ROUND('Quant. mod. (oc)'!X350,0))</f>
        <v>0</v>
      </c>
      <c r="Y350" s="125">
        <f>IF('Quant. mod. (oc)'!Y350&lt;0,0,ROUND('Quant. mod. (oc)'!Y350,0))</f>
        <v>2</v>
      </c>
      <c r="Z350" s="125">
        <f>IF('Quant. mod. (oc)'!Z350&lt;0,0,ROUND('Quant. mod. (oc)'!Z350,0))</f>
        <v>0</v>
      </c>
      <c r="AA350" s="125">
        <f>IF('Quant. mod. (oc)'!AA350&lt;0,0,ROUND('Quant. mod. (oc)'!AA350,0))</f>
        <v>0</v>
      </c>
      <c r="AB350" s="125">
        <f>IF('Quant. mod. (oc)'!AB350&lt;0,0,ROUND('Quant. mod. (oc)'!AB350,0))</f>
        <v>2</v>
      </c>
      <c r="AC350" s="125">
        <f>IF('Quant. mod. (oc)'!AC350&lt;0,0,ROUND('Quant. mod. (oc)'!AC350,0))</f>
        <v>0</v>
      </c>
      <c r="AD350" s="125">
        <f>IF('Quant. mod. (oc)'!AD350&lt;0,0,ROUND('Quant. mod. (oc)'!AD350,0))</f>
        <v>0</v>
      </c>
      <c r="AE350" s="125">
        <f>IF('Quant. mod. (oc)'!AE350&lt;0,0,ROUND('Quant. mod. (oc)'!AE350,0))</f>
        <v>0</v>
      </c>
      <c r="AF350" s="125">
        <f>IF('Quant. mod. (oc)'!AF350&lt;0,0,ROUND('Quant. mod. (oc)'!AF350,0))</f>
        <v>0</v>
      </c>
      <c r="AG350" s="126">
        <f>IF('Quant. mod. (oc)'!AG350&lt;0,0,ROUND('Quant. mod. (oc)'!AG350,0))</f>
        <v>0</v>
      </c>
      <c r="AH350" s="22"/>
    </row>
    <row r="351" spans="1:34" x14ac:dyDescent="0.25">
      <c r="A351" s="112"/>
      <c r="B351" s="120" t="s">
        <v>567</v>
      </c>
      <c r="C351" s="121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8"/>
      <c r="AH351" s="22"/>
    </row>
    <row r="352" spans="1:34" x14ac:dyDescent="0.25">
      <c r="A352" s="112"/>
      <c r="B352" s="69" t="s">
        <v>286</v>
      </c>
      <c r="C352" s="133" t="s">
        <v>59</v>
      </c>
      <c r="D352" s="125">
        <f>IF('Quant. mod. (oc)'!D352&lt;0,0,ROUND('Quant. mod. (oc)'!D352,0))</f>
        <v>0</v>
      </c>
      <c r="E352" s="125">
        <f>IF('Quant. mod. (oc)'!E352&lt;0,0,ROUND('Quant. mod. (oc)'!E352,0))</f>
        <v>0</v>
      </c>
      <c r="F352" s="125">
        <f>IF('Quant. mod. (oc)'!F352&lt;0,0,ROUND('Quant. mod. (oc)'!F352,0))</f>
        <v>0</v>
      </c>
      <c r="G352" s="125">
        <f>IF('Quant. mod. (oc)'!G352&lt;0,0,ROUND('Quant. mod. (oc)'!G352,0))</f>
        <v>0</v>
      </c>
      <c r="H352" s="125">
        <f>IF('Quant. mod. (oc)'!H352&lt;0,0,ROUND('Quant. mod. (oc)'!H352,0))</f>
        <v>0</v>
      </c>
      <c r="I352" s="125">
        <f>IF('Quant. mod. (oc)'!I352&lt;0,0,ROUND('Quant. mod. (oc)'!I352,0))</f>
        <v>0</v>
      </c>
      <c r="J352" s="125">
        <f>IF('Quant. mod. (oc)'!J352&lt;0,0,ROUND('Quant. mod. (oc)'!J352,0))</f>
        <v>0</v>
      </c>
      <c r="K352" s="125">
        <f>IF('Quant. mod. (oc)'!K352&lt;0,0,ROUND('Quant. mod. (oc)'!K352,0))</f>
        <v>0</v>
      </c>
      <c r="L352" s="125">
        <f>IF('Quant. mod. (oc)'!L352&lt;0,0,ROUND('Quant. mod. (oc)'!L352,0))</f>
        <v>0</v>
      </c>
      <c r="M352" s="125">
        <f>IF('Quant. mod. (oc)'!M352&lt;0,0,ROUND('Quant. mod. (oc)'!M352,0))</f>
        <v>0</v>
      </c>
      <c r="N352" s="125">
        <f>IF('Quant. mod. (oc)'!N352&lt;0,0,ROUND('Quant. mod. (oc)'!N352,0))</f>
        <v>0</v>
      </c>
      <c r="O352" s="125">
        <f>IF('Quant. mod. (oc)'!O352&lt;0,0,ROUND('Quant. mod. (oc)'!O352,0))</f>
        <v>0</v>
      </c>
      <c r="P352" s="125">
        <f>IF('Quant. mod. (oc)'!P352&lt;0,0,ROUND('Quant. mod. (oc)'!P352,0))</f>
        <v>0</v>
      </c>
      <c r="Q352" s="125">
        <f>IF('Quant. mod. (oc)'!Q352&lt;0,0,ROUND('Quant. mod. (oc)'!Q352,0))</f>
        <v>0</v>
      </c>
      <c r="R352" s="125">
        <f>IF('Quant. mod. (oc)'!R352&lt;0,0,ROUND('Quant. mod. (oc)'!R352,0))</f>
        <v>0</v>
      </c>
      <c r="S352" s="125">
        <f>IF('Quant. mod. (oc)'!S352&lt;0,0,ROUND('Quant. mod. (oc)'!S352,0))</f>
        <v>0</v>
      </c>
      <c r="T352" s="125">
        <f>IF('Quant. mod. (oc)'!T352&lt;0,0,ROUND('Quant. mod. (oc)'!T352,0))</f>
        <v>0</v>
      </c>
      <c r="U352" s="125">
        <f>IF('Quant. mod. (oc)'!U352&lt;0,0,ROUND('Quant. mod. (oc)'!U352,0))</f>
        <v>0</v>
      </c>
      <c r="V352" s="125">
        <f>IF('Quant. mod. (oc)'!V352&lt;0,0,ROUND('Quant. mod. (oc)'!V352,0))</f>
        <v>0</v>
      </c>
      <c r="W352" s="125">
        <f>IF('Quant. mod. (oc)'!W352&lt;0,0,ROUND('Quant. mod. (oc)'!W352,0))</f>
        <v>0</v>
      </c>
      <c r="X352" s="125">
        <f>IF('Quant. mod. (oc)'!X352&lt;0,0,ROUND('Quant. mod. (oc)'!X352,0))</f>
        <v>8</v>
      </c>
      <c r="Y352" s="125">
        <f>IF('Quant. mod. (oc)'!Y352&lt;0,0,ROUND('Quant. mod. (oc)'!Y352,0))</f>
        <v>0</v>
      </c>
      <c r="Z352" s="125">
        <f>IF('Quant. mod. (oc)'!Z352&lt;0,0,ROUND('Quant. mod. (oc)'!Z352,0))</f>
        <v>0</v>
      </c>
      <c r="AA352" s="125">
        <f>IF('Quant. mod. (oc)'!AA352&lt;0,0,ROUND('Quant. mod. (oc)'!AA352,0))</f>
        <v>8</v>
      </c>
      <c r="AB352" s="125">
        <f>IF('Quant. mod. (oc)'!AB352&lt;0,0,ROUND('Quant. mod. (oc)'!AB352,0))</f>
        <v>0</v>
      </c>
      <c r="AC352" s="125">
        <f>IF('Quant. mod. (oc)'!AC352&lt;0,0,ROUND('Quant. mod. (oc)'!AC352,0))</f>
        <v>0</v>
      </c>
      <c r="AD352" s="125">
        <f>IF('Quant. mod. (oc)'!AD352&lt;0,0,ROUND('Quant. mod. (oc)'!AD352,0))</f>
        <v>8</v>
      </c>
      <c r="AE352" s="125">
        <f>IF('Quant. mod. (oc)'!AE352&lt;0,0,ROUND('Quant. mod. (oc)'!AE352,0))</f>
        <v>0</v>
      </c>
      <c r="AF352" s="125">
        <f>IF('Quant. mod. (oc)'!AF352&lt;0,0,ROUND('Quant. mod. (oc)'!AF352,0))</f>
        <v>8</v>
      </c>
      <c r="AG352" s="126">
        <f>IF('Quant. mod. (oc)'!AG352&lt;0,0,ROUND('Quant. mod. (oc)'!AG352,0))</f>
        <v>0</v>
      </c>
      <c r="AH352" s="22"/>
    </row>
    <row r="353" spans="1:34" x14ac:dyDescent="0.25">
      <c r="A353" s="112"/>
      <c r="B353" s="69" t="s">
        <v>287</v>
      </c>
      <c r="C353" s="133" t="s">
        <v>59</v>
      </c>
      <c r="D353" s="125">
        <f>IF('Quant. mod. (oc)'!D353&lt;0,0,ROUND('Quant. mod. (oc)'!D353,0))</f>
        <v>12</v>
      </c>
      <c r="E353" s="125">
        <f>IF('Quant. mod. (oc)'!E353&lt;0,0,ROUND('Quant. mod. (oc)'!E353,0))</f>
        <v>2</v>
      </c>
      <c r="F353" s="125">
        <f>IF('Quant. mod. (oc)'!F353&lt;0,0,ROUND('Quant. mod. (oc)'!F353,0))</f>
        <v>0</v>
      </c>
      <c r="G353" s="125">
        <f>IF('Quant. mod. (oc)'!G353&lt;0,0,ROUND('Quant. mod. (oc)'!G353,0))</f>
        <v>12</v>
      </c>
      <c r="H353" s="125">
        <f>IF('Quant. mod. (oc)'!H353&lt;0,0,ROUND('Quant. mod. (oc)'!H353,0))</f>
        <v>2</v>
      </c>
      <c r="I353" s="125">
        <f>IF('Quant. mod. (oc)'!I353&lt;0,0,ROUND('Quant. mod. (oc)'!I353,0))</f>
        <v>0</v>
      </c>
      <c r="J353" s="125">
        <f>IF('Quant. mod. (oc)'!J353&lt;0,0,ROUND('Quant. mod. (oc)'!J353,0))</f>
        <v>12</v>
      </c>
      <c r="K353" s="125">
        <f>IF('Quant. mod. (oc)'!K353&lt;0,0,ROUND('Quant. mod. (oc)'!K353,0))</f>
        <v>0</v>
      </c>
      <c r="L353" s="125">
        <f>IF('Quant. mod. (oc)'!L353&lt;0,0,ROUND('Quant. mod. (oc)'!L353,0))</f>
        <v>12</v>
      </c>
      <c r="M353" s="125">
        <f>IF('Quant. mod. (oc)'!M353&lt;0,0,ROUND('Quant. mod. (oc)'!M353,0))</f>
        <v>0</v>
      </c>
      <c r="N353" s="125">
        <f>IF('Quant. mod. (oc)'!N353&lt;0,0,ROUND('Quant. mod. (oc)'!N353,0))</f>
        <v>12</v>
      </c>
      <c r="O353" s="125">
        <f>IF('Quant. mod. (oc)'!O353&lt;0,0,ROUND('Quant. mod. (oc)'!O353,0))</f>
        <v>1</v>
      </c>
      <c r="P353" s="125">
        <f>IF('Quant. mod. (oc)'!P353&lt;0,0,ROUND('Quant. mod. (oc)'!P353,0))</f>
        <v>0</v>
      </c>
      <c r="Q353" s="125">
        <f>IF('Quant. mod. (oc)'!Q353&lt;0,0,ROUND('Quant. mod. (oc)'!Q353,0))</f>
        <v>12</v>
      </c>
      <c r="R353" s="125">
        <f>IF('Quant. mod. (oc)'!R353&lt;0,0,ROUND('Quant. mod. (oc)'!R353,0))</f>
        <v>1</v>
      </c>
      <c r="S353" s="125">
        <f>IF('Quant. mod. (oc)'!S353&lt;0,0,ROUND('Quant. mod. (oc)'!S353,0))</f>
        <v>0</v>
      </c>
      <c r="T353" s="125">
        <f>IF('Quant. mod. (oc)'!T353&lt;0,0,ROUND('Quant. mod. (oc)'!T353,0))</f>
        <v>12</v>
      </c>
      <c r="U353" s="125">
        <f>IF('Quant. mod. (oc)'!U353&lt;0,0,ROUND('Quant. mod. (oc)'!U353,0))</f>
        <v>0</v>
      </c>
      <c r="V353" s="125">
        <f>IF('Quant. mod. (oc)'!V353&lt;0,0,ROUND('Quant. mod. (oc)'!V353,0))</f>
        <v>12</v>
      </c>
      <c r="W353" s="125">
        <f>IF('Quant. mod. (oc)'!W353&lt;0,0,ROUND('Quant. mod. (oc)'!W353,0))</f>
        <v>0</v>
      </c>
      <c r="X353" s="125">
        <f>IF('Quant. mod. (oc)'!X353&lt;0,0,ROUND('Quant. mod. (oc)'!X353,0))</f>
        <v>0</v>
      </c>
      <c r="Y353" s="125">
        <f>IF('Quant. mod. (oc)'!Y353&lt;0,0,ROUND('Quant. mod. (oc)'!Y353,0))</f>
        <v>0</v>
      </c>
      <c r="Z353" s="125">
        <f>IF('Quant. mod. (oc)'!Z353&lt;0,0,ROUND('Quant. mod. (oc)'!Z353,0))</f>
        <v>0</v>
      </c>
      <c r="AA353" s="125">
        <f>IF('Quant. mod. (oc)'!AA353&lt;0,0,ROUND('Quant. mod. (oc)'!AA353,0))</f>
        <v>0</v>
      </c>
      <c r="AB353" s="125">
        <f>IF('Quant. mod. (oc)'!AB353&lt;0,0,ROUND('Quant. mod. (oc)'!AB353,0))</f>
        <v>0</v>
      </c>
      <c r="AC353" s="125">
        <f>IF('Quant. mod. (oc)'!AC353&lt;0,0,ROUND('Quant. mod. (oc)'!AC353,0))</f>
        <v>0</v>
      </c>
      <c r="AD353" s="125">
        <f>IF('Quant. mod. (oc)'!AD353&lt;0,0,ROUND('Quant. mod. (oc)'!AD353,0))</f>
        <v>0</v>
      </c>
      <c r="AE353" s="125">
        <f>IF('Quant. mod. (oc)'!AE353&lt;0,0,ROUND('Quant. mod. (oc)'!AE353,0))</f>
        <v>0</v>
      </c>
      <c r="AF353" s="125">
        <f>IF('Quant. mod. (oc)'!AF353&lt;0,0,ROUND('Quant. mod. (oc)'!AF353,0))</f>
        <v>0</v>
      </c>
      <c r="AG353" s="126">
        <f>IF('Quant. mod. (oc)'!AG353&lt;0,0,ROUND('Quant. mod. (oc)'!AG353,0))</f>
        <v>0</v>
      </c>
      <c r="AH353" s="22"/>
    </row>
    <row r="354" spans="1:34" x14ac:dyDescent="0.25">
      <c r="A354" s="112"/>
      <c r="B354" s="69" t="s">
        <v>288</v>
      </c>
      <c r="C354" s="133" t="s">
        <v>59</v>
      </c>
      <c r="D354" s="125">
        <f>IF('Quant. mod. (oc)'!D354&lt;0,0,ROUND('Quant. mod. (oc)'!D354,0))</f>
        <v>0</v>
      </c>
      <c r="E354" s="125">
        <f>IF('Quant. mod. (oc)'!E354&lt;0,0,ROUND('Quant. mod. (oc)'!E354,0))</f>
        <v>0</v>
      </c>
      <c r="F354" s="125">
        <f>IF('Quant. mod. (oc)'!F354&lt;0,0,ROUND('Quant. mod. (oc)'!F354,0))</f>
        <v>0</v>
      </c>
      <c r="G354" s="125">
        <f>IF('Quant. mod. (oc)'!G354&lt;0,0,ROUND('Quant. mod. (oc)'!G354,0))</f>
        <v>0</v>
      </c>
      <c r="H354" s="125">
        <f>IF('Quant. mod. (oc)'!H354&lt;0,0,ROUND('Quant. mod. (oc)'!H354,0))</f>
        <v>0</v>
      </c>
      <c r="I354" s="125">
        <f>IF('Quant. mod. (oc)'!I354&lt;0,0,ROUND('Quant. mod. (oc)'!I354,0))</f>
        <v>0</v>
      </c>
      <c r="J354" s="125">
        <f>IF('Quant. mod. (oc)'!J354&lt;0,0,ROUND('Quant. mod. (oc)'!J354,0))</f>
        <v>0</v>
      </c>
      <c r="K354" s="125">
        <f>IF('Quant. mod. (oc)'!K354&lt;0,0,ROUND('Quant. mod. (oc)'!K354,0))</f>
        <v>0</v>
      </c>
      <c r="L354" s="125">
        <f>IF('Quant. mod. (oc)'!L354&lt;0,0,ROUND('Quant. mod. (oc)'!L354,0))</f>
        <v>0</v>
      </c>
      <c r="M354" s="125">
        <f>IF('Quant. mod. (oc)'!M354&lt;0,0,ROUND('Quant. mod. (oc)'!M354,0))</f>
        <v>0</v>
      </c>
      <c r="N354" s="125">
        <f>IF('Quant. mod. (oc)'!N354&lt;0,0,ROUND('Quant. mod. (oc)'!N354,0))</f>
        <v>0</v>
      </c>
      <c r="O354" s="125">
        <f>IF('Quant. mod. (oc)'!O354&lt;0,0,ROUND('Quant. mod. (oc)'!O354,0))</f>
        <v>0</v>
      </c>
      <c r="P354" s="125">
        <f>IF('Quant. mod. (oc)'!P354&lt;0,0,ROUND('Quant. mod. (oc)'!P354,0))</f>
        <v>0</v>
      </c>
      <c r="Q354" s="125">
        <f>IF('Quant. mod. (oc)'!Q354&lt;0,0,ROUND('Quant. mod. (oc)'!Q354,0))</f>
        <v>0</v>
      </c>
      <c r="R354" s="125">
        <f>IF('Quant. mod. (oc)'!R354&lt;0,0,ROUND('Quant. mod. (oc)'!R354,0))</f>
        <v>0</v>
      </c>
      <c r="S354" s="125">
        <f>IF('Quant. mod. (oc)'!S354&lt;0,0,ROUND('Quant. mod. (oc)'!S354,0))</f>
        <v>0</v>
      </c>
      <c r="T354" s="125">
        <f>IF('Quant. mod. (oc)'!T354&lt;0,0,ROUND('Quant. mod. (oc)'!T354,0))</f>
        <v>0</v>
      </c>
      <c r="U354" s="125">
        <f>IF('Quant. mod. (oc)'!U354&lt;0,0,ROUND('Quant. mod. (oc)'!U354,0))</f>
        <v>0</v>
      </c>
      <c r="V354" s="125">
        <f>IF('Quant. mod. (oc)'!V354&lt;0,0,ROUND('Quant. mod. (oc)'!V354,0))</f>
        <v>0</v>
      </c>
      <c r="W354" s="125">
        <f>IF('Quant. mod. (oc)'!W354&lt;0,0,ROUND('Quant. mod. (oc)'!W354,0))</f>
        <v>0</v>
      </c>
      <c r="X354" s="125">
        <f>IF('Quant. mod. (oc)'!X354&lt;0,0,ROUND('Quant. mod. (oc)'!X354,0))</f>
        <v>0</v>
      </c>
      <c r="Y354" s="125">
        <f>IF('Quant. mod. (oc)'!Y354&lt;0,0,ROUND('Quant. mod. (oc)'!Y354,0))</f>
        <v>0</v>
      </c>
      <c r="Z354" s="125">
        <f>IF('Quant. mod. (oc)'!Z354&lt;0,0,ROUND('Quant. mod. (oc)'!Z354,0))</f>
        <v>0</v>
      </c>
      <c r="AA354" s="125">
        <f>IF('Quant. mod. (oc)'!AA354&lt;0,0,ROUND('Quant. mod. (oc)'!AA354,0))</f>
        <v>0</v>
      </c>
      <c r="AB354" s="125">
        <f>IF('Quant. mod. (oc)'!AB354&lt;0,0,ROUND('Quant. mod. (oc)'!AB354,0))</f>
        <v>0</v>
      </c>
      <c r="AC354" s="125">
        <f>IF('Quant. mod. (oc)'!AC354&lt;0,0,ROUND('Quant. mod. (oc)'!AC354,0))</f>
        <v>0</v>
      </c>
      <c r="AD354" s="125">
        <f>IF('Quant. mod. (oc)'!AD354&lt;0,0,ROUND('Quant. mod. (oc)'!AD354,0))</f>
        <v>0</v>
      </c>
      <c r="AE354" s="125">
        <f>IF('Quant. mod. (oc)'!AE354&lt;0,0,ROUND('Quant. mod. (oc)'!AE354,0))</f>
        <v>0</v>
      </c>
      <c r="AF354" s="125">
        <f>IF('Quant. mod. (oc)'!AF354&lt;0,0,ROUND('Quant. mod. (oc)'!AF354,0))</f>
        <v>0</v>
      </c>
      <c r="AG354" s="126">
        <f>IF('Quant. mod. (oc)'!AG354&lt;0,0,ROUND('Quant. mod. (oc)'!AG354,0))</f>
        <v>0</v>
      </c>
      <c r="AH354" s="22"/>
    </row>
    <row r="355" spans="1:34" x14ac:dyDescent="0.25">
      <c r="A355" s="112"/>
      <c r="B355" s="120" t="s">
        <v>569</v>
      </c>
      <c r="C355" s="121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8"/>
      <c r="AH355" s="22"/>
    </row>
    <row r="356" spans="1:34" x14ac:dyDescent="0.25">
      <c r="A356" s="112"/>
      <c r="B356" s="120" t="s">
        <v>570</v>
      </c>
      <c r="C356" s="121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8"/>
      <c r="AH356" s="22"/>
    </row>
    <row r="357" spans="1:34" x14ac:dyDescent="0.25">
      <c r="A357" s="112"/>
      <c r="B357" s="27" t="s">
        <v>78</v>
      </c>
      <c r="C357" s="67" t="s">
        <v>59</v>
      </c>
      <c r="D357" s="125">
        <f>IF('Quant. mod. (oc)'!D357&lt;0,0,ROUND('Quant. mod. (oc)'!D357,0))</f>
        <v>1</v>
      </c>
      <c r="E357" s="125">
        <f>IF('Quant. mod. (oc)'!E357&lt;0,0,ROUND('Quant. mod. (oc)'!E357,0))</f>
        <v>1</v>
      </c>
      <c r="F357" s="125">
        <f>IF('Quant. mod. (oc)'!F357&lt;0,0,ROUND('Quant. mod. (oc)'!F357,0))</f>
        <v>1</v>
      </c>
      <c r="G357" s="125">
        <f>IF('Quant. mod. (oc)'!G357&lt;0,0,ROUND('Quant. mod. (oc)'!G357,0))</f>
        <v>1</v>
      </c>
      <c r="H357" s="125">
        <f>IF('Quant. mod. (oc)'!H357&lt;0,0,ROUND('Quant. mod. (oc)'!H357,0))</f>
        <v>1</v>
      </c>
      <c r="I357" s="125">
        <f>IF('Quant. mod. (oc)'!I357&lt;0,0,ROUND('Quant. mod. (oc)'!I357,0))</f>
        <v>1</v>
      </c>
      <c r="J357" s="125">
        <f>IF('Quant. mod. (oc)'!J357&lt;0,0,ROUND('Quant. mod. (oc)'!J357,0))</f>
        <v>1</v>
      </c>
      <c r="K357" s="125">
        <f>IF('Quant. mod. (oc)'!K357&lt;0,0,ROUND('Quant. mod. (oc)'!K357,0))</f>
        <v>1</v>
      </c>
      <c r="L357" s="125">
        <f>IF('Quant. mod. (oc)'!L357&lt;0,0,ROUND('Quant. mod. (oc)'!L357,0))</f>
        <v>1</v>
      </c>
      <c r="M357" s="125">
        <f>IF('Quant. mod. (oc)'!M357&lt;0,0,ROUND('Quant. mod. (oc)'!M357,0))</f>
        <v>1</v>
      </c>
      <c r="N357" s="125">
        <f>IF('Quant. mod. (oc)'!N357&lt;0,0,ROUND('Quant. mod. (oc)'!N357,0))</f>
        <v>1</v>
      </c>
      <c r="O357" s="125">
        <f>IF('Quant. mod. (oc)'!O357&lt;0,0,ROUND('Quant. mod. (oc)'!O357,0))</f>
        <v>1</v>
      </c>
      <c r="P357" s="125">
        <f>IF('Quant. mod. (oc)'!P357&lt;0,0,ROUND('Quant. mod. (oc)'!P357,0))</f>
        <v>1</v>
      </c>
      <c r="Q357" s="125">
        <f>IF('Quant. mod. (oc)'!Q357&lt;0,0,ROUND('Quant. mod. (oc)'!Q357,0))</f>
        <v>1</v>
      </c>
      <c r="R357" s="125">
        <f>IF('Quant. mod. (oc)'!R357&lt;0,0,ROUND('Quant. mod. (oc)'!R357,0))</f>
        <v>1</v>
      </c>
      <c r="S357" s="125">
        <f>IF('Quant. mod. (oc)'!S357&lt;0,0,ROUND('Quant. mod. (oc)'!S357,0))</f>
        <v>1</v>
      </c>
      <c r="T357" s="125">
        <f>IF('Quant. mod. (oc)'!T357&lt;0,0,ROUND('Quant. mod. (oc)'!T357,0))</f>
        <v>1</v>
      </c>
      <c r="U357" s="125">
        <f>IF('Quant. mod. (oc)'!U357&lt;0,0,ROUND('Quant. mod. (oc)'!U357,0))</f>
        <v>1</v>
      </c>
      <c r="V357" s="125">
        <f>IF('Quant. mod. (oc)'!V357&lt;0,0,ROUND('Quant. mod. (oc)'!V357,0))</f>
        <v>1</v>
      </c>
      <c r="W357" s="125">
        <f>IF('Quant. mod. (oc)'!W357&lt;0,0,ROUND('Quant. mod. (oc)'!W357,0))</f>
        <v>1</v>
      </c>
      <c r="X357" s="125">
        <f>IF('Quant. mod. (oc)'!X357&lt;0,0,ROUND('Quant. mod. (oc)'!X357,0))</f>
        <v>1</v>
      </c>
      <c r="Y357" s="125">
        <f>IF('Quant. mod. (oc)'!Y357&lt;0,0,ROUND('Quant. mod. (oc)'!Y357,0))</f>
        <v>1</v>
      </c>
      <c r="Z357" s="125">
        <f>IF('Quant. mod. (oc)'!Z357&lt;0,0,ROUND('Quant. mod. (oc)'!Z357,0))</f>
        <v>1</v>
      </c>
      <c r="AA357" s="125">
        <f>IF('Quant. mod. (oc)'!AA357&lt;0,0,ROUND('Quant. mod. (oc)'!AA357,0))</f>
        <v>1</v>
      </c>
      <c r="AB357" s="125">
        <f>IF('Quant. mod. (oc)'!AB357&lt;0,0,ROUND('Quant. mod. (oc)'!AB357,0))</f>
        <v>1</v>
      </c>
      <c r="AC357" s="125">
        <f>IF('Quant. mod. (oc)'!AC357&lt;0,0,ROUND('Quant. mod. (oc)'!AC357,0))</f>
        <v>1</v>
      </c>
      <c r="AD357" s="125">
        <f>IF('Quant. mod. (oc)'!AD357&lt;0,0,ROUND('Quant. mod. (oc)'!AD357,0))</f>
        <v>1</v>
      </c>
      <c r="AE357" s="125">
        <f>IF('Quant. mod. (oc)'!AE357&lt;0,0,ROUND('Quant. mod. (oc)'!AE357,0))</f>
        <v>1</v>
      </c>
      <c r="AF357" s="125">
        <f>IF('Quant. mod. (oc)'!AF357&lt;0,0,ROUND('Quant. mod. (oc)'!AF357,0))</f>
        <v>1</v>
      </c>
      <c r="AG357" s="126">
        <f>IF('Quant. mod. (oc)'!AG357&lt;0,0,ROUND('Quant. mod. (oc)'!AG357,0))</f>
        <v>1</v>
      </c>
      <c r="AH357" s="22"/>
    </row>
    <row r="358" spans="1:34" x14ac:dyDescent="0.25">
      <c r="A358" s="112"/>
      <c r="B358" s="27" t="s">
        <v>79</v>
      </c>
      <c r="C358" s="67" t="s">
        <v>59</v>
      </c>
      <c r="D358" s="125">
        <f>IF('Quant. mod. (oc)'!D358&lt;0,0,ROUND('Quant. mod. (oc)'!D358,0))</f>
        <v>1</v>
      </c>
      <c r="E358" s="125">
        <f>IF('Quant. mod. (oc)'!E358&lt;0,0,ROUND('Quant. mod. (oc)'!E358,0))</f>
        <v>1</v>
      </c>
      <c r="F358" s="125">
        <f>IF('Quant. mod. (oc)'!F358&lt;0,0,ROUND('Quant. mod. (oc)'!F358,0))</f>
        <v>1</v>
      </c>
      <c r="G358" s="125">
        <f>IF('Quant. mod. (oc)'!G358&lt;0,0,ROUND('Quant. mod. (oc)'!G358,0))</f>
        <v>1</v>
      </c>
      <c r="H358" s="125">
        <f>IF('Quant. mod. (oc)'!H358&lt;0,0,ROUND('Quant. mod. (oc)'!H358,0))</f>
        <v>1</v>
      </c>
      <c r="I358" s="125">
        <f>IF('Quant. mod. (oc)'!I358&lt;0,0,ROUND('Quant. mod. (oc)'!I358,0))</f>
        <v>1</v>
      </c>
      <c r="J358" s="125">
        <f>IF('Quant. mod. (oc)'!J358&lt;0,0,ROUND('Quant. mod. (oc)'!J358,0))</f>
        <v>1</v>
      </c>
      <c r="K358" s="125">
        <f>IF('Quant. mod. (oc)'!K358&lt;0,0,ROUND('Quant. mod. (oc)'!K358,0))</f>
        <v>1</v>
      </c>
      <c r="L358" s="125">
        <f>IF('Quant. mod. (oc)'!L358&lt;0,0,ROUND('Quant. mod. (oc)'!L358,0))</f>
        <v>1</v>
      </c>
      <c r="M358" s="125">
        <f>IF('Quant. mod. (oc)'!M358&lt;0,0,ROUND('Quant. mod. (oc)'!M358,0))</f>
        <v>1</v>
      </c>
      <c r="N358" s="125">
        <f>IF('Quant. mod. (oc)'!N358&lt;0,0,ROUND('Quant. mod. (oc)'!N358,0))</f>
        <v>1</v>
      </c>
      <c r="O358" s="125">
        <f>IF('Quant. mod. (oc)'!O358&lt;0,0,ROUND('Quant. mod. (oc)'!O358,0))</f>
        <v>1</v>
      </c>
      <c r="P358" s="125">
        <f>IF('Quant. mod. (oc)'!P358&lt;0,0,ROUND('Quant. mod. (oc)'!P358,0))</f>
        <v>1</v>
      </c>
      <c r="Q358" s="125">
        <f>IF('Quant. mod. (oc)'!Q358&lt;0,0,ROUND('Quant. mod. (oc)'!Q358,0))</f>
        <v>1</v>
      </c>
      <c r="R358" s="125">
        <f>IF('Quant. mod. (oc)'!R358&lt;0,0,ROUND('Quant. mod. (oc)'!R358,0))</f>
        <v>1</v>
      </c>
      <c r="S358" s="125">
        <f>IF('Quant. mod. (oc)'!S358&lt;0,0,ROUND('Quant. mod. (oc)'!S358,0))</f>
        <v>1</v>
      </c>
      <c r="T358" s="125">
        <f>IF('Quant. mod. (oc)'!T358&lt;0,0,ROUND('Quant. mod. (oc)'!T358,0))</f>
        <v>1</v>
      </c>
      <c r="U358" s="125">
        <f>IF('Quant. mod. (oc)'!U358&lt;0,0,ROUND('Quant. mod. (oc)'!U358,0))</f>
        <v>1</v>
      </c>
      <c r="V358" s="125">
        <f>IF('Quant. mod. (oc)'!V358&lt;0,0,ROUND('Quant. mod. (oc)'!V358,0))</f>
        <v>1</v>
      </c>
      <c r="W358" s="125">
        <f>IF('Quant. mod. (oc)'!W358&lt;0,0,ROUND('Quant. mod. (oc)'!W358,0))</f>
        <v>1</v>
      </c>
      <c r="X358" s="125">
        <f>IF('Quant. mod. (oc)'!X358&lt;0,0,ROUND('Quant. mod. (oc)'!X358,0))</f>
        <v>1</v>
      </c>
      <c r="Y358" s="125">
        <f>IF('Quant. mod. (oc)'!Y358&lt;0,0,ROUND('Quant. mod. (oc)'!Y358,0))</f>
        <v>1</v>
      </c>
      <c r="Z358" s="125">
        <f>IF('Quant. mod. (oc)'!Z358&lt;0,0,ROUND('Quant. mod. (oc)'!Z358,0))</f>
        <v>1</v>
      </c>
      <c r="AA358" s="125">
        <f>IF('Quant. mod. (oc)'!AA358&lt;0,0,ROUND('Quant. mod. (oc)'!AA358,0))</f>
        <v>1</v>
      </c>
      <c r="AB358" s="125">
        <f>IF('Quant. mod. (oc)'!AB358&lt;0,0,ROUND('Quant. mod. (oc)'!AB358,0))</f>
        <v>1</v>
      </c>
      <c r="AC358" s="125">
        <f>IF('Quant. mod. (oc)'!AC358&lt;0,0,ROUND('Quant. mod. (oc)'!AC358,0))</f>
        <v>1</v>
      </c>
      <c r="AD358" s="125">
        <f>IF('Quant. mod. (oc)'!AD358&lt;0,0,ROUND('Quant. mod. (oc)'!AD358,0))</f>
        <v>1</v>
      </c>
      <c r="AE358" s="125">
        <f>IF('Quant. mod. (oc)'!AE358&lt;0,0,ROUND('Quant. mod. (oc)'!AE358,0))</f>
        <v>1</v>
      </c>
      <c r="AF358" s="125">
        <f>IF('Quant. mod. (oc)'!AF358&lt;0,0,ROUND('Quant. mod. (oc)'!AF358,0))</f>
        <v>1</v>
      </c>
      <c r="AG358" s="126">
        <f>IF('Quant. mod. (oc)'!AG358&lt;0,0,ROUND('Quant. mod. (oc)'!AG358,0))</f>
        <v>1</v>
      </c>
      <c r="AH358" s="22"/>
    </row>
    <row r="359" spans="1:34" x14ac:dyDescent="0.25">
      <c r="A359" s="112"/>
      <c r="B359" s="27" t="s">
        <v>80</v>
      </c>
      <c r="C359" s="67" t="s">
        <v>59</v>
      </c>
      <c r="D359" s="125">
        <f>IF('Quant. mod. (oc)'!D359&lt;0,0,ROUND('Quant. mod. (oc)'!D359,0))</f>
        <v>1</v>
      </c>
      <c r="E359" s="125">
        <f>IF('Quant. mod. (oc)'!E359&lt;0,0,ROUND('Quant. mod. (oc)'!E359,0))</f>
        <v>1</v>
      </c>
      <c r="F359" s="125">
        <f>IF('Quant. mod. (oc)'!F359&lt;0,0,ROUND('Quant. mod. (oc)'!F359,0))</f>
        <v>1</v>
      </c>
      <c r="G359" s="125">
        <f>IF('Quant. mod. (oc)'!G359&lt;0,0,ROUND('Quant. mod. (oc)'!G359,0))</f>
        <v>1</v>
      </c>
      <c r="H359" s="125">
        <f>IF('Quant. mod. (oc)'!H359&lt;0,0,ROUND('Quant. mod. (oc)'!H359,0))</f>
        <v>1</v>
      </c>
      <c r="I359" s="125">
        <f>IF('Quant. mod. (oc)'!I359&lt;0,0,ROUND('Quant. mod. (oc)'!I359,0))</f>
        <v>1</v>
      </c>
      <c r="J359" s="125">
        <f>IF('Quant. mod. (oc)'!J359&lt;0,0,ROUND('Quant. mod. (oc)'!J359,0))</f>
        <v>1</v>
      </c>
      <c r="K359" s="125">
        <f>IF('Quant. mod. (oc)'!K359&lt;0,0,ROUND('Quant. mod. (oc)'!K359,0))</f>
        <v>1</v>
      </c>
      <c r="L359" s="125">
        <f>IF('Quant. mod. (oc)'!L359&lt;0,0,ROUND('Quant. mod. (oc)'!L359,0))</f>
        <v>1</v>
      </c>
      <c r="M359" s="125">
        <f>IF('Quant. mod. (oc)'!M359&lt;0,0,ROUND('Quant. mod. (oc)'!M359,0))</f>
        <v>1</v>
      </c>
      <c r="N359" s="125">
        <f>IF('Quant. mod. (oc)'!N359&lt;0,0,ROUND('Quant. mod. (oc)'!N359,0))</f>
        <v>1</v>
      </c>
      <c r="O359" s="125">
        <f>IF('Quant. mod. (oc)'!O359&lt;0,0,ROUND('Quant. mod. (oc)'!O359,0))</f>
        <v>1</v>
      </c>
      <c r="P359" s="125">
        <f>IF('Quant. mod. (oc)'!P359&lt;0,0,ROUND('Quant. mod. (oc)'!P359,0))</f>
        <v>1</v>
      </c>
      <c r="Q359" s="125">
        <f>IF('Quant. mod. (oc)'!Q359&lt;0,0,ROUND('Quant. mod. (oc)'!Q359,0))</f>
        <v>1</v>
      </c>
      <c r="R359" s="125">
        <f>IF('Quant. mod. (oc)'!R359&lt;0,0,ROUND('Quant. mod. (oc)'!R359,0))</f>
        <v>1</v>
      </c>
      <c r="S359" s="125">
        <f>IF('Quant. mod. (oc)'!S359&lt;0,0,ROUND('Quant. mod. (oc)'!S359,0))</f>
        <v>1</v>
      </c>
      <c r="T359" s="125">
        <f>IF('Quant. mod. (oc)'!T359&lt;0,0,ROUND('Quant. mod. (oc)'!T359,0))</f>
        <v>1</v>
      </c>
      <c r="U359" s="125">
        <f>IF('Quant. mod. (oc)'!U359&lt;0,0,ROUND('Quant. mod. (oc)'!U359,0))</f>
        <v>1</v>
      </c>
      <c r="V359" s="125">
        <f>IF('Quant. mod. (oc)'!V359&lt;0,0,ROUND('Quant. mod. (oc)'!V359,0))</f>
        <v>1</v>
      </c>
      <c r="W359" s="125">
        <f>IF('Quant. mod. (oc)'!W359&lt;0,0,ROUND('Quant. mod. (oc)'!W359,0))</f>
        <v>1</v>
      </c>
      <c r="X359" s="125">
        <f>IF('Quant. mod. (oc)'!X359&lt;0,0,ROUND('Quant. mod. (oc)'!X359,0))</f>
        <v>1</v>
      </c>
      <c r="Y359" s="125">
        <f>IF('Quant. mod. (oc)'!Y359&lt;0,0,ROUND('Quant. mod. (oc)'!Y359,0))</f>
        <v>1</v>
      </c>
      <c r="Z359" s="125">
        <f>IF('Quant. mod. (oc)'!Z359&lt;0,0,ROUND('Quant. mod. (oc)'!Z359,0))</f>
        <v>1</v>
      </c>
      <c r="AA359" s="125">
        <f>IF('Quant. mod. (oc)'!AA359&lt;0,0,ROUND('Quant. mod. (oc)'!AA359,0))</f>
        <v>1</v>
      </c>
      <c r="AB359" s="125">
        <f>IF('Quant. mod. (oc)'!AB359&lt;0,0,ROUND('Quant. mod. (oc)'!AB359,0))</f>
        <v>1</v>
      </c>
      <c r="AC359" s="125">
        <f>IF('Quant. mod. (oc)'!AC359&lt;0,0,ROUND('Quant. mod. (oc)'!AC359,0))</f>
        <v>1</v>
      </c>
      <c r="AD359" s="125">
        <f>IF('Quant. mod. (oc)'!AD359&lt;0,0,ROUND('Quant. mod. (oc)'!AD359,0))</f>
        <v>1</v>
      </c>
      <c r="AE359" s="125">
        <f>IF('Quant. mod. (oc)'!AE359&lt;0,0,ROUND('Quant. mod. (oc)'!AE359,0))</f>
        <v>1</v>
      </c>
      <c r="AF359" s="125">
        <f>IF('Quant. mod. (oc)'!AF359&lt;0,0,ROUND('Quant. mod. (oc)'!AF359,0))</f>
        <v>1</v>
      </c>
      <c r="AG359" s="126">
        <f>IF('Quant. mod. (oc)'!AG359&lt;0,0,ROUND('Quant. mod. (oc)'!AG359,0))</f>
        <v>1</v>
      </c>
      <c r="AH359" s="22"/>
    </row>
    <row r="360" spans="1:34" x14ac:dyDescent="0.25">
      <c r="A360" s="112"/>
      <c r="B360" s="27" t="s">
        <v>568</v>
      </c>
      <c r="C360" s="67" t="s">
        <v>59</v>
      </c>
      <c r="D360" s="125">
        <f>IF('Quant. mod. (oc)'!D360&lt;0,0,ROUND('Quant. mod. (oc)'!D360,0))</f>
        <v>1</v>
      </c>
      <c r="E360" s="125">
        <f>IF('Quant. mod. (oc)'!E360&lt;0,0,ROUND('Quant. mod. (oc)'!E360,0))</f>
        <v>1</v>
      </c>
      <c r="F360" s="125">
        <f>IF('Quant. mod. (oc)'!F360&lt;0,0,ROUND('Quant. mod. (oc)'!F360,0))</f>
        <v>1</v>
      </c>
      <c r="G360" s="125">
        <f>IF('Quant. mod. (oc)'!G360&lt;0,0,ROUND('Quant. mod. (oc)'!G360,0))</f>
        <v>1</v>
      </c>
      <c r="H360" s="125">
        <f>IF('Quant. mod. (oc)'!H360&lt;0,0,ROUND('Quant. mod. (oc)'!H360,0))</f>
        <v>1</v>
      </c>
      <c r="I360" s="125">
        <f>IF('Quant. mod. (oc)'!I360&lt;0,0,ROUND('Quant. mod. (oc)'!I360,0))</f>
        <v>1</v>
      </c>
      <c r="J360" s="125">
        <f>IF('Quant. mod. (oc)'!J360&lt;0,0,ROUND('Quant. mod. (oc)'!J360,0))</f>
        <v>1</v>
      </c>
      <c r="K360" s="125">
        <f>IF('Quant. mod. (oc)'!K360&lt;0,0,ROUND('Quant. mod. (oc)'!K360,0))</f>
        <v>1</v>
      </c>
      <c r="L360" s="125">
        <f>IF('Quant. mod. (oc)'!L360&lt;0,0,ROUND('Quant. mod. (oc)'!L360,0))</f>
        <v>1</v>
      </c>
      <c r="M360" s="125">
        <f>IF('Quant. mod. (oc)'!M360&lt;0,0,ROUND('Quant. mod. (oc)'!M360,0))</f>
        <v>1</v>
      </c>
      <c r="N360" s="125">
        <f>IF('Quant. mod. (oc)'!N360&lt;0,0,ROUND('Quant. mod. (oc)'!N360,0))</f>
        <v>1</v>
      </c>
      <c r="O360" s="125">
        <f>IF('Quant. mod. (oc)'!O360&lt;0,0,ROUND('Quant. mod. (oc)'!O360,0))</f>
        <v>1</v>
      </c>
      <c r="P360" s="125">
        <f>IF('Quant. mod. (oc)'!P360&lt;0,0,ROUND('Quant. mod. (oc)'!P360,0))</f>
        <v>1</v>
      </c>
      <c r="Q360" s="125">
        <f>IF('Quant. mod. (oc)'!Q360&lt;0,0,ROUND('Quant. mod. (oc)'!Q360,0))</f>
        <v>1</v>
      </c>
      <c r="R360" s="125">
        <f>IF('Quant. mod. (oc)'!R360&lt;0,0,ROUND('Quant. mod. (oc)'!R360,0))</f>
        <v>1</v>
      </c>
      <c r="S360" s="125">
        <f>IF('Quant. mod. (oc)'!S360&lt;0,0,ROUND('Quant. mod. (oc)'!S360,0))</f>
        <v>1</v>
      </c>
      <c r="T360" s="125">
        <f>IF('Quant. mod. (oc)'!T360&lt;0,0,ROUND('Quant. mod. (oc)'!T360,0))</f>
        <v>1</v>
      </c>
      <c r="U360" s="125">
        <f>IF('Quant. mod. (oc)'!U360&lt;0,0,ROUND('Quant. mod. (oc)'!U360,0))</f>
        <v>1</v>
      </c>
      <c r="V360" s="125">
        <f>IF('Quant. mod. (oc)'!V360&lt;0,0,ROUND('Quant. mod. (oc)'!V360,0))</f>
        <v>1</v>
      </c>
      <c r="W360" s="125">
        <f>IF('Quant. mod. (oc)'!W360&lt;0,0,ROUND('Quant. mod. (oc)'!W360,0))</f>
        <v>1</v>
      </c>
      <c r="X360" s="125">
        <f>IF('Quant. mod. (oc)'!X360&lt;0,0,ROUND('Quant. mod. (oc)'!X360,0))</f>
        <v>1</v>
      </c>
      <c r="Y360" s="125">
        <f>IF('Quant. mod. (oc)'!Y360&lt;0,0,ROUND('Quant. mod. (oc)'!Y360,0))</f>
        <v>1</v>
      </c>
      <c r="Z360" s="125">
        <f>IF('Quant. mod. (oc)'!Z360&lt;0,0,ROUND('Quant. mod. (oc)'!Z360,0))</f>
        <v>1</v>
      </c>
      <c r="AA360" s="125">
        <f>IF('Quant. mod. (oc)'!AA360&lt;0,0,ROUND('Quant. mod. (oc)'!AA360,0))</f>
        <v>1</v>
      </c>
      <c r="AB360" s="125">
        <f>IF('Quant. mod. (oc)'!AB360&lt;0,0,ROUND('Quant. mod. (oc)'!AB360,0))</f>
        <v>1</v>
      </c>
      <c r="AC360" s="125">
        <f>IF('Quant. mod. (oc)'!AC360&lt;0,0,ROUND('Quant. mod. (oc)'!AC360,0))</f>
        <v>1</v>
      </c>
      <c r="AD360" s="125">
        <f>IF('Quant. mod. (oc)'!AD360&lt;0,0,ROUND('Quant. mod. (oc)'!AD360,0))</f>
        <v>1</v>
      </c>
      <c r="AE360" s="125">
        <f>IF('Quant. mod. (oc)'!AE360&lt;0,0,ROUND('Quant. mod. (oc)'!AE360,0))</f>
        <v>1</v>
      </c>
      <c r="AF360" s="125">
        <f>IF('Quant. mod. (oc)'!AF360&lt;0,0,ROUND('Quant. mod. (oc)'!AF360,0))</f>
        <v>1</v>
      </c>
      <c r="AG360" s="126">
        <f>IF('Quant. mod. (oc)'!AG360&lt;0,0,ROUND('Quant. mod. (oc)'!AG360,0))</f>
        <v>1</v>
      </c>
      <c r="AH360" s="22"/>
    </row>
    <row r="361" spans="1:34" ht="25.5" x14ac:dyDescent="0.25">
      <c r="A361" s="112"/>
      <c r="B361" s="27" t="s">
        <v>81</v>
      </c>
      <c r="C361" s="67" t="s">
        <v>59</v>
      </c>
      <c r="D361" s="125">
        <f>IF('Quant. mod. (oc)'!D361&lt;0,0,ROUND('Quant. mod. (oc)'!D361,0))</f>
        <v>1</v>
      </c>
      <c r="E361" s="125">
        <f>IF('Quant. mod. (oc)'!E361&lt;0,0,ROUND('Quant. mod. (oc)'!E361,0))</f>
        <v>1</v>
      </c>
      <c r="F361" s="125">
        <f>IF('Quant. mod. (oc)'!F361&lt;0,0,ROUND('Quant. mod. (oc)'!F361,0))</f>
        <v>1</v>
      </c>
      <c r="G361" s="125">
        <f>IF('Quant. mod. (oc)'!G361&lt;0,0,ROUND('Quant. mod. (oc)'!G361,0))</f>
        <v>1</v>
      </c>
      <c r="H361" s="125">
        <f>IF('Quant. mod. (oc)'!H361&lt;0,0,ROUND('Quant. mod. (oc)'!H361,0))</f>
        <v>1</v>
      </c>
      <c r="I361" s="125">
        <f>IF('Quant. mod. (oc)'!I361&lt;0,0,ROUND('Quant. mod. (oc)'!I361,0))</f>
        <v>1</v>
      </c>
      <c r="J361" s="125">
        <f>IF('Quant. mod. (oc)'!J361&lt;0,0,ROUND('Quant. mod. (oc)'!J361,0))</f>
        <v>1</v>
      </c>
      <c r="K361" s="125">
        <f>IF('Quant. mod. (oc)'!K361&lt;0,0,ROUND('Quant. mod. (oc)'!K361,0))</f>
        <v>1</v>
      </c>
      <c r="L361" s="125">
        <f>IF('Quant. mod. (oc)'!L361&lt;0,0,ROUND('Quant. mod. (oc)'!L361,0))</f>
        <v>1</v>
      </c>
      <c r="M361" s="125">
        <f>IF('Quant. mod. (oc)'!M361&lt;0,0,ROUND('Quant. mod. (oc)'!M361,0))</f>
        <v>1</v>
      </c>
      <c r="N361" s="125">
        <f>IF('Quant. mod. (oc)'!N361&lt;0,0,ROUND('Quant. mod. (oc)'!N361,0))</f>
        <v>1</v>
      </c>
      <c r="O361" s="125">
        <f>IF('Quant. mod. (oc)'!O361&lt;0,0,ROUND('Quant. mod. (oc)'!O361,0))</f>
        <v>1</v>
      </c>
      <c r="P361" s="125">
        <f>IF('Quant. mod. (oc)'!P361&lt;0,0,ROUND('Quant. mod. (oc)'!P361,0))</f>
        <v>1</v>
      </c>
      <c r="Q361" s="125">
        <f>IF('Quant. mod. (oc)'!Q361&lt;0,0,ROUND('Quant. mod. (oc)'!Q361,0))</f>
        <v>1</v>
      </c>
      <c r="R361" s="125">
        <f>IF('Quant. mod. (oc)'!R361&lt;0,0,ROUND('Quant. mod. (oc)'!R361,0))</f>
        <v>1</v>
      </c>
      <c r="S361" s="125">
        <f>IF('Quant. mod. (oc)'!S361&lt;0,0,ROUND('Quant. mod. (oc)'!S361,0))</f>
        <v>1</v>
      </c>
      <c r="T361" s="125">
        <f>IF('Quant. mod. (oc)'!T361&lt;0,0,ROUND('Quant. mod. (oc)'!T361,0))</f>
        <v>1</v>
      </c>
      <c r="U361" s="125">
        <f>IF('Quant. mod. (oc)'!U361&lt;0,0,ROUND('Quant. mod. (oc)'!U361,0))</f>
        <v>1</v>
      </c>
      <c r="V361" s="125">
        <f>IF('Quant. mod. (oc)'!V361&lt;0,0,ROUND('Quant. mod. (oc)'!V361,0))</f>
        <v>1</v>
      </c>
      <c r="W361" s="125">
        <f>IF('Quant. mod. (oc)'!W361&lt;0,0,ROUND('Quant. mod. (oc)'!W361,0))</f>
        <v>1</v>
      </c>
      <c r="X361" s="125">
        <f>IF('Quant. mod. (oc)'!X361&lt;0,0,ROUND('Quant. mod. (oc)'!X361,0))</f>
        <v>1</v>
      </c>
      <c r="Y361" s="125">
        <f>IF('Quant. mod. (oc)'!Y361&lt;0,0,ROUND('Quant. mod. (oc)'!Y361,0))</f>
        <v>1</v>
      </c>
      <c r="Z361" s="125">
        <f>IF('Quant. mod. (oc)'!Z361&lt;0,0,ROUND('Quant. mod. (oc)'!Z361,0))</f>
        <v>1</v>
      </c>
      <c r="AA361" s="125">
        <f>IF('Quant. mod. (oc)'!AA361&lt;0,0,ROUND('Quant. mod. (oc)'!AA361,0))</f>
        <v>1</v>
      </c>
      <c r="AB361" s="125">
        <f>IF('Quant. mod. (oc)'!AB361&lt;0,0,ROUND('Quant. mod. (oc)'!AB361,0))</f>
        <v>1</v>
      </c>
      <c r="AC361" s="125">
        <f>IF('Quant. mod. (oc)'!AC361&lt;0,0,ROUND('Quant. mod. (oc)'!AC361,0))</f>
        <v>1</v>
      </c>
      <c r="AD361" s="125">
        <f>IF('Quant. mod. (oc)'!AD361&lt;0,0,ROUND('Quant. mod. (oc)'!AD361,0))</f>
        <v>1</v>
      </c>
      <c r="AE361" s="125">
        <f>IF('Quant. mod. (oc)'!AE361&lt;0,0,ROUND('Quant. mod. (oc)'!AE361,0))</f>
        <v>1</v>
      </c>
      <c r="AF361" s="125">
        <f>IF('Quant. mod. (oc)'!AF361&lt;0,0,ROUND('Quant. mod. (oc)'!AF361,0))</f>
        <v>1</v>
      </c>
      <c r="AG361" s="126">
        <f>IF('Quant. mod. (oc)'!AG361&lt;0,0,ROUND('Quant. mod. (oc)'!AG361,0))</f>
        <v>1</v>
      </c>
      <c r="AH361" s="22"/>
    </row>
    <row r="362" spans="1:34" x14ac:dyDescent="0.25">
      <c r="A362" s="112"/>
      <c r="B362" s="27" t="s">
        <v>82</v>
      </c>
      <c r="C362" s="67" t="s">
        <v>59</v>
      </c>
      <c r="D362" s="125">
        <f>IF('Quant. mod. (oc)'!D362&lt;0,0,ROUND('Quant. mod. (oc)'!D362,0))</f>
        <v>1</v>
      </c>
      <c r="E362" s="125">
        <f>IF('Quant. mod. (oc)'!E362&lt;0,0,ROUND('Quant. mod. (oc)'!E362,0))</f>
        <v>1</v>
      </c>
      <c r="F362" s="125">
        <f>IF('Quant. mod. (oc)'!F362&lt;0,0,ROUND('Quant. mod. (oc)'!F362,0))</f>
        <v>1</v>
      </c>
      <c r="G362" s="125">
        <f>IF('Quant. mod. (oc)'!G362&lt;0,0,ROUND('Quant. mod. (oc)'!G362,0))</f>
        <v>1</v>
      </c>
      <c r="H362" s="125">
        <f>IF('Quant. mod. (oc)'!H362&lt;0,0,ROUND('Quant. mod. (oc)'!H362,0))</f>
        <v>1</v>
      </c>
      <c r="I362" s="125">
        <f>IF('Quant. mod. (oc)'!I362&lt;0,0,ROUND('Quant. mod. (oc)'!I362,0))</f>
        <v>1</v>
      </c>
      <c r="J362" s="125">
        <f>IF('Quant. mod. (oc)'!J362&lt;0,0,ROUND('Quant. mod. (oc)'!J362,0))</f>
        <v>1</v>
      </c>
      <c r="K362" s="125">
        <f>IF('Quant. mod. (oc)'!K362&lt;0,0,ROUND('Quant. mod. (oc)'!K362,0))</f>
        <v>1</v>
      </c>
      <c r="L362" s="125">
        <f>IF('Quant. mod. (oc)'!L362&lt;0,0,ROUND('Quant. mod. (oc)'!L362,0))</f>
        <v>1</v>
      </c>
      <c r="M362" s="125">
        <f>IF('Quant. mod. (oc)'!M362&lt;0,0,ROUND('Quant. mod. (oc)'!M362,0))</f>
        <v>1</v>
      </c>
      <c r="N362" s="125">
        <f>IF('Quant. mod. (oc)'!N362&lt;0,0,ROUND('Quant. mod. (oc)'!N362,0))</f>
        <v>1</v>
      </c>
      <c r="O362" s="125">
        <f>IF('Quant. mod. (oc)'!O362&lt;0,0,ROUND('Quant. mod. (oc)'!O362,0))</f>
        <v>1</v>
      </c>
      <c r="P362" s="125">
        <f>IF('Quant. mod. (oc)'!P362&lt;0,0,ROUND('Quant. mod. (oc)'!P362,0))</f>
        <v>1</v>
      </c>
      <c r="Q362" s="125">
        <f>IF('Quant. mod. (oc)'!Q362&lt;0,0,ROUND('Quant. mod. (oc)'!Q362,0))</f>
        <v>1</v>
      </c>
      <c r="R362" s="125">
        <f>IF('Quant. mod. (oc)'!R362&lt;0,0,ROUND('Quant. mod. (oc)'!R362,0))</f>
        <v>1</v>
      </c>
      <c r="S362" s="125">
        <f>IF('Quant. mod. (oc)'!S362&lt;0,0,ROUND('Quant. mod. (oc)'!S362,0))</f>
        <v>1</v>
      </c>
      <c r="T362" s="125">
        <f>IF('Quant. mod. (oc)'!T362&lt;0,0,ROUND('Quant. mod. (oc)'!T362,0))</f>
        <v>1</v>
      </c>
      <c r="U362" s="125">
        <f>IF('Quant. mod. (oc)'!U362&lt;0,0,ROUND('Quant. mod. (oc)'!U362,0))</f>
        <v>1</v>
      </c>
      <c r="V362" s="125">
        <f>IF('Quant. mod. (oc)'!V362&lt;0,0,ROUND('Quant. mod. (oc)'!V362,0))</f>
        <v>1</v>
      </c>
      <c r="W362" s="125">
        <f>IF('Quant. mod. (oc)'!W362&lt;0,0,ROUND('Quant. mod. (oc)'!W362,0))</f>
        <v>1</v>
      </c>
      <c r="X362" s="125">
        <f>IF('Quant. mod. (oc)'!X362&lt;0,0,ROUND('Quant. mod. (oc)'!X362,0))</f>
        <v>1</v>
      </c>
      <c r="Y362" s="125">
        <f>IF('Quant. mod. (oc)'!Y362&lt;0,0,ROUND('Quant. mod. (oc)'!Y362,0))</f>
        <v>1</v>
      </c>
      <c r="Z362" s="125">
        <f>IF('Quant. mod. (oc)'!Z362&lt;0,0,ROUND('Quant. mod. (oc)'!Z362,0))</f>
        <v>1</v>
      </c>
      <c r="AA362" s="125">
        <f>IF('Quant. mod. (oc)'!AA362&lt;0,0,ROUND('Quant. mod. (oc)'!AA362,0))</f>
        <v>1</v>
      </c>
      <c r="AB362" s="125">
        <f>IF('Quant. mod. (oc)'!AB362&lt;0,0,ROUND('Quant. mod. (oc)'!AB362,0))</f>
        <v>1</v>
      </c>
      <c r="AC362" s="125">
        <f>IF('Quant. mod. (oc)'!AC362&lt;0,0,ROUND('Quant. mod. (oc)'!AC362,0))</f>
        <v>1</v>
      </c>
      <c r="AD362" s="125">
        <f>IF('Quant. mod. (oc)'!AD362&lt;0,0,ROUND('Quant. mod. (oc)'!AD362,0))</f>
        <v>1</v>
      </c>
      <c r="AE362" s="125">
        <f>IF('Quant. mod. (oc)'!AE362&lt;0,0,ROUND('Quant. mod. (oc)'!AE362,0))</f>
        <v>1</v>
      </c>
      <c r="AF362" s="125">
        <f>IF('Quant. mod. (oc)'!AF362&lt;0,0,ROUND('Quant. mod. (oc)'!AF362,0))</f>
        <v>1</v>
      </c>
      <c r="AG362" s="126">
        <f>IF('Quant. mod. (oc)'!AG362&lt;0,0,ROUND('Quant. mod. (oc)'!AG362,0))</f>
        <v>1</v>
      </c>
      <c r="AH362" s="22"/>
    </row>
    <row r="363" spans="1:34" ht="25.5" x14ac:dyDescent="0.25">
      <c r="A363" s="112"/>
      <c r="B363" s="27" t="s">
        <v>83</v>
      </c>
      <c r="C363" s="67" t="s">
        <v>59</v>
      </c>
      <c r="D363" s="125">
        <f>IF('Quant. mod. (oc)'!D363&lt;0,0,ROUND('Quant. mod. (oc)'!D363,0))</f>
        <v>1</v>
      </c>
      <c r="E363" s="125">
        <f>IF('Quant. mod. (oc)'!E363&lt;0,0,ROUND('Quant. mod. (oc)'!E363,0))</f>
        <v>1</v>
      </c>
      <c r="F363" s="125">
        <f>IF('Quant. mod. (oc)'!F363&lt;0,0,ROUND('Quant. mod. (oc)'!F363,0))</f>
        <v>1</v>
      </c>
      <c r="G363" s="125">
        <f>IF('Quant. mod. (oc)'!G363&lt;0,0,ROUND('Quant. mod. (oc)'!G363,0))</f>
        <v>1</v>
      </c>
      <c r="H363" s="125">
        <f>IF('Quant. mod. (oc)'!H363&lt;0,0,ROUND('Quant. mod. (oc)'!H363,0))</f>
        <v>1</v>
      </c>
      <c r="I363" s="125">
        <f>IF('Quant. mod. (oc)'!I363&lt;0,0,ROUND('Quant. mod. (oc)'!I363,0))</f>
        <v>1</v>
      </c>
      <c r="J363" s="125">
        <f>IF('Quant. mod. (oc)'!J363&lt;0,0,ROUND('Quant. mod. (oc)'!J363,0))</f>
        <v>1</v>
      </c>
      <c r="K363" s="125">
        <f>IF('Quant. mod. (oc)'!K363&lt;0,0,ROUND('Quant. mod. (oc)'!K363,0))</f>
        <v>1</v>
      </c>
      <c r="L363" s="125">
        <f>IF('Quant. mod. (oc)'!L363&lt;0,0,ROUND('Quant. mod. (oc)'!L363,0))</f>
        <v>1</v>
      </c>
      <c r="M363" s="125">
        <f>IF('Quant. mod. (oc)'!M363&lt;0,0,ROUND('Quant. mod. (oc)'!M363,0))</f>
        <v>1</v>
      </c>
      <c r="N363" s="125">
        <f>IF('Quant. mod. (oc)'!N363&lt;0,0,ROUND('Quant. mod. (oc)'!N363,0))</f>
        <v>1</v>
      </c>
      <c r="O363" s="125">
        <f>IF('Quant. mod. (oc)'!O363&lt;0,0,ROUND('Quant. mod. (oc)'!O363,0))</f>
        <v>1</v>
      </c>
      <c r="P363" s="125">
        <f>IF('Quant. mod. (oc)'!P363&lt;0,0,ROUND('Quant. mod. (oc)'!P363,0))</f>
        <v>1</v>
      </c>
      <c r="Q363" s="125">
        <f>IF('Quant. mod. (oc)'!Q363&lt;0,0,ROUND('Quant. mod. (oc)'!Q363,0))</f>
        <v>1</v>
      </c>
      <c r="R363" s="125">
        <f>IF('Quant. mod. (oc)'!R363&lt;0,0,ROUND('Quant. mod. (oc)'!R363,0))</f>
        <v>1</v>
      </c>
      <c r="S363" s="125">
        <f>IF('Quant. mod. (oc)'!S363&lt;0,0,ROUND('Quant. mod. (oc)'!S363,0))</f>
        <v>1</v>
      </c>
      <c r="T363" s="125">
        <f>IF('Quant. mod. (oc)'!T363&lt;0,0,ROUND('Quant. mod. (oc)'!T363,0))</f>
        <v>1</v>
      </c>
      <c r="U363" s="125">
        <f>IF('Quant. mod. (oc)'!U363&lt;0,0,ROUND('Quant. mod. (oc)'!U363,0))</f>
        <v>1</v>
      </c>
      <c r="V363" s="125">
        <f>IF('Quant. mod. (oc)'!V363&lt;0,0,ROUND('Quant. mod. (oc)'!V363,0))</f>
        <v>1</v>
      </c>
      <c r="W363" s="125">
        <f>IF('Quant. mod. (oc)'!W363&lt;0,0,ROUND('Quant. mod. (oc)'!W363,0))</f>
        <v>1</v>
      </c>
      <c r="X363" s="125">
        <f>IF('Quant. mod. (oc)'!X363&lt;0,0,ROUND('Quant. mod. (oc)'!X363,0))</f>
        <v>1</v>
      </c>
      <c r="Y363" s="125">
        <f>IF('Quant. mod. (oc)'!Y363&lt;0,0,ROUND('Quant. mod. (oc)'!Y363,0))</f>
        <v>1</v>
      </c>
      <c r="Z363" s="125">
        <f>IF('Quant. mod. (oc)'!Z363&lt;0,0,ROUND('Quant. mod. (oc)'!Z363,0))</f>
        <v>1</v>
      </c>
      <c r="AA363" s="125">
        <f>IF('Quant. mod. (oc)'!AA363&lt;0,0,ROUND('Quant. mod. (oc)'!AA363,0))</f>
        <v>1</v>
      </c>
      <c r="AB363" s="125">
        <f>IF('Quant. mod. (oc)'!AB363&lt;0,0,ROUND('Quant. mod. (oc)'!AB363,0))</f>
        <v>1</v>
      </c>
      <c r="AC363" s="125">
        <f>IF('Quant. mod. (oc)'!AC363&lt;0,0,ROUND('Quant. mod. (oc)'!AC363,0))</f>
        <v>1</v>
      </c>
      <c r="AD363" s="125">
        <f>IF('Quant. mod. (oc)'!AD363&lt;0,0,ROUND('Quant. mod. (oc)'!AD363,0))</f>
        <v>1</v>
      </c>
      <c r="AE363" s="125">
        <f>IF('Quant. mod. (oc)'!AE363&lt;0,0,ROUND('Quant. mod. (oc)'!AE363,0))</f>
        <v>1</v>
      </c>
      <c r="AF363" s="125">
        <f>IF('Quant. mod. (oc)'!AF363&lt;0,0,ROUND('Quant. mod. (oc)'!AF363,0))</f>
        <v>1</v>
      </c>
      <c r="AG363" s="126">
        <f>IF('Quant. mod. (oc)'!AG363&lt;0,0,ROUND('Quant. mod. (oc)'!AG363,0))</f>
        <v>1</v>
      </c>
      <c r="AH363" s="22"/>
    </row>
    <row r="364" spans="1:34" x14ac:dyDescent="0.25">
      <c r="A364" s="112"/>
      <c r="B364" s="27" t="s">
        <v>446</v>
      </c>
      <c r="C364" s="67" t="s">
        <v>59</v>
      </c>
      <c r="D364" s="125">
        <f>IF('Quant. mod. (oc)'!D364&lt;0,0,ROUND('Quant. mod. (oc)'!D364,0))</f>
        <v>1</v>
      </c>
      <c r="E364" s="125">
        <f>IF('Quant. mod. (oc)'!E364&lt;0,0,ROUND('Quant. mod. (oc)'!E364,0))</f>
        <v>1</v>
      </c>
      <c r="F364" s="125">
        <f>IF('Quant. mod. (oc)'!F364&lt;0,0,ROUND('Quant. mod. (oc)'!F364,0))</f>
        <v>1</v>
      </c>
      <c r="G364" s="125">
        <f>IF('Quant. mod. (oc)'!G364&lt;0,0,ROUND('Quant. mod. (oc)'!G364,0))</f>
        <v>1</v>
      </c>
      <c r="H364" s="125">
        <f>IF('Quant. mod. (oc)'!H364&lt;0,0,ROUND('Quant. mod. (oc)'!H364,0))</f>
        <v>1</v>
      </c>
      <c r="I364" s="125">
        <f>IF('Quant. mod. (oc)'!I364&lt;0,0,ROUND('Quant. mod. (oc)'!I364,0))</f>
        <v>1</v>
      </c>
      <c r="J364" s="125">
        <f>IF('Quant. mod. (oc)'!J364&lt;0,0,ROUND('Quant. mod. (oc)'!J364,0))</f>
        <v>1</v>
      </c>
      <c r="K364" s="125">
        <f>IF('Quant. mod. (oc)'!K364&lt;0,0,ROUND('Quant. mod. (oc)'!K364,0))</f>
        <v>1</v>
      </c>
      <c r="L364" s="125">
        <f>IF('Quant. mod. (oc)'!L364&lt;0,0,ROUND('Quant. mod. (oc)'!L364,0))</f>
        <v>1</v>
      </c>
      <c r="M364" s="125">
        <f>IF('Quant. mod. (oc)'!M364&lt;0,0,ROUND('Quant. mod. (oc)'!M364,0))</f>
        <v>1</v>
      </c>
      <c r="N364" s="125">
        <f>IF('Quant. mod. (oc)'!N364&lt;0,0,ROUND('Quant. mod. (oc)'!N364,0))</f>
        <v>1</v>
      </c>
      <c r="O364" s="125">
        <f>IF('Quant. mod. (oc)'!O364&lt;0,0,ROUND('Quant. mod. (oc)'!O364,0))</f>
        <v>1</v>
      </c>
      <c r="P364" s="125">
        <f>IF('Quant. mod. (oc)'!P364&lt;0,0,ROUND('Quant. mod. (oc)'!P364,0))</f>
        <v>1</v>
      </c>
      <c r="Q364" s="125">
        <f>IF('Quant. mod. (oc)'!Q364&lt;0,0,ROUND('Quant. mod. (oc)'!Q364,0))</f>
        <v>1</v>
      </c>
      <c r="R364" s="125">
        <f>IF('Quant. mod. (oc)'!R364&lt;0,0,ROUND('Quant. mod. (oc)'!R364,0))</f>
        <v>1</v>
      </c>
      <c r="S364" s="125">
        <f>IF('Quant. mod. (oc)'!S364&lt;0,0,ROUND('Quant. mod. (oc)'!S364,0))</f>
        <v>1</v>
      </c>
      <c r="T364" s="125">
        <f>IF('Quant. mod. (oc)'!T364&lt;0,0,ROUND('Quant. mod. (oc)'!T364,0))</f>
        <v>1</v>
      </c>
      <c r="U364" s="125">
        <f>IF('Quant. mod. (oc)'!U364&lt;0,0,ROUND('Quant. mod. (oc)'!U364,0))</f>
        <v>1</v>
      </c>
      <c r="V364" s="125">
        <f>IF('Quant. mod. (oc)'!V364&lt;0,0,ROUND('Quant. mod. (oc)'!V364,0))</f>
        <v>1</v>
      </c>
      <c r="W364" s="125">
        <f>IF('Quant. mod. (oc)'!W364&lt;0,0,ROUND('Quant. mod. (oc)'!W364,0))</f>
        <v>1</v>
      </c>
      <c r="X364" s="125">
        <f>IF('Quant. mod. (oc)'!X364&lt;0,0,ROUND('Quant. mod. (oc)'!X364,0))</f>
        <v>1</v>
      </c>
      <c r="Y364" s="125">
        <f>IF('Quant. mod. (oc)'!Y364&lt;0,0,ROUND('Quant. mod. (oc)'!Y364,0))</f>
        <v>1</v>
      </c>
      <c r="Z364" s="125">
        <f>IF('Quant. mod. (oc)'!Z364&lt;0,0,ROUND('Quant. mod. (oc)'!Z364,0))</f>
        <v>1</v>
      </c>
      <c r="AA364" s="125">
        <f>IF('Quant. mod. (oc)'!AA364&lt;0,0,ROUND('Quant. mod. (oc)'!AA364,0))</f>
        <v>1</v>
      </c>
      <c r="AB364" s="125">
        <f>IF('Quant. mod. (oc)'!AB364&lt;0,0,ROUND('Quant. mod. (oc)'!AB364,0))</f>
        <v>1</v>
      </c>
      <c r="AC364" s="125">
        <f>IF('Quant. mod. (oc)'!AC364&lt;0,0,ROUND('Quant. mod. (oc)'!AC364,0))</f>
        <v>1</v>
      </c>
      <c r="AD364" s="125">
        <f>IF('Quant. mod. (oc)'!AD364&lt;0,0,ROUND('Quant. mod. (oc)'!AD364,0))</f>
        <v>1</v>
      </c>
      <c r="AE364" s="125">
        <f>IF('Quant. mod. (oc)'!AE364&lt;0,0,ROUND('Quant. mod. (oc)'!AE364,0))</f>
        <v>1</v>
      </c>
      <c r="AF364" s="125">
        <f>IF('Quant. mod. (oc)'!AF364&lt;0,0,ROUND('Quant. mod. (oc)'!AF364,0))</f>
        <v>1</v>
      </c>
      <c r="AG364" s="126">
        <f>IF('Quant. mod. (oc)'!AG364&lt;0,0,ROUND('Quant. mod. (oc)'!AG364,0))</f>
        <v>1</v>
      </c>
      <c r="AH364" s="22"/>
    </row>
    <row r="365" spans="1:34" x14ac:dyDescent="0.25">
      <c r="A365" s="112"/>
      <c r="B365" s="27" t="s">
        <v>84</v>
      </c>
      <c r="C365" s="67" t="s">
        <v>59</v>
      </c>
      <c r="D365" s="125">
        <f>IF('Quant. mod. (oc)'!D365&lt;0,0,ROUND('Quant. mod. (oc)'!D365,0))</f>
        <v>1</v>
      </c>
      <c r="E365" s="125">
        <f>IF('Quant. mod. (oc)'!E365&lt;0,0,ROUND('Quant. mod. (oc)'!E365,0))</f>
        <v>1</v>
      </c>
      <c r="F365" s="125">
        <f>IF('Quant. mod. (oc)'!F365&lt;0,0,ROUND('Quant. mod. (oc)'!F365,0))</f>
        <v>1</v>
      </c>
      <c r="G365" s="125">
        <f>IF('Quant. mod. (oc)'!G365&lt;0,0,ROUND('Quant. mod. (oc)'!G365,0))</f>
        <v>1</v>
      </c>
      <c r="H365" s="125">
        <f>IF('Quant. mod. (oc)'!H365&lt;0,0,ROUND('Quant. mod. (oc)'!H365,0))</f>
        <v>1</v>
      </c>
      <c r="I365" s="125">
        <f>IF('Quant. mod. (oc)'!I365&lt;0,0,ROUND('Quant. mod. (oc)'!I365,0))</f>
        <v>1</v>
      </c>
      <c r="J365" s="125">
        <f>IF('Quant. mod. (oc)'!J365&lt;0,0,ROUND('Quant. mod. (oc)'!J365,0))</f>
        <v>1</v>
      </c>
      <c r="K365" s="125">
        <f>IF('Quant. mod. (oc)'!K365&lt;0,0,ROUND('Quant. mod. (oc)'!K365,0))</f>
        <v>1</v>
      </c>
      <c r="L365" s="125">
        <f>IF('Quant. mod. (oc)'!L365&lt;0,0,ROUND('Quant. mod. (oc)'!L365,0))</f>
        <v>1</v>
      </c>
      <c r="M365" s="125">
        <f>IF('Quant. mod. (oc)'!M365&lt;0,0,ROUND('Quant. mod. (oc)'!M365,0))</f>
        <v>1</v>
      </c>
      <c r="N365" s="125">
        <f>IF('Quant. mod. (oc)'!N365&lt;0,0,ROUND('Quant. mod. (oc)'!N365,0))</f>
        <v>1</v>
      </c>
      <c r="O365" s="125">
        <f>IF('Quant. mod. (oc)'!O365&lt;0,0,ROUND('Quant. mod. (oc)'!O365,0))</f>
        <v>1</v>
      </c>
      <c r="P365" s="125">
        <f>IF('Quant. mod. (oc)'!P365&lt;0,0,ROUND('Quant. mod. (oc)'!P365,0))</f>
        <v>1</v>
      </c>
      <c r="Q365" s="125">
        <f>IF('Quant. mod. (oc)'!Q365&lt;0,0,ROUND('Quant. mod. (oc)'!Q365,0))</f>
        <v>1</v>
      </c>
      <c r="R365" s="125">
        <f>IF('Quant. mod. (oc)'!R365&lt;0,0,ROUND('Quant. mod. (oc)'!R365,0))</f>
        <v>1</v>
      </c>
      <c r="S365" s="125">
        <f>IF('Quant. mod. (oc)'!S365&lt;0,0,ROUND('Quant. mod. (oc)'!S365,0))</f>
        <v>1</v>
      </c>
      <c r="T365" s="125">
        <f>IF('Quant. mod. (oc)'!T365&lt;0,0,ROUND('Quant. mod. (oc)'!T365,0))</f>
        <v>1</v>
      </c>
      <c r="U365" s="125">
        <f>IF('Quant. mod. (oc)'!U365&lt;0,0,ROUND('Quant. mod. (oc)'!U365,0))</f>
        <v>1</v>
      </c>
      <c r="V365" s="125">
        <f>IF('Quant. mod. (oc)'!V365&lt;0,0,ROUND('Quant. mod. (oc)'!V365,0))</f>
        <v>1</v>
      </c>
      <c r="W365" s="125">
        <f>IF('Quant. mod. (oc)'!W365&lt;0,0,ROUND('Quant. mod. (oc)'!W365,0))</f>
        <v>1</v>
      </c>
      <c r="X365" s="125">
        <f>IF('Quant. mod. (oc)'!X365&lt;0,0,ROUND('Quant. mod. (oc)'!X365,0))</f>
        <v>1</v>
      </c>
      <c r="Y365" s="125">
        <f>IF('Quant. mod. (oc)'!Y365&lt;0,0,ROUND('Quant. mod. (oc)'!Y365,0))</f>
        <v>1</v>
      </c>
      <c r="Z365" s="125">
        <f>IF('Quant. mod. (oc)'!Z365&lt;0,0,ROUND('Quant. mod. (oc)'!Z365,0))</f>
        <v>1</v>
      </c>
      <c r="AA365" s="125">
        <f>IF('Quant. mod. (oc)'!AA365&lt;0,0,ROUND('Quant. mod. (oc)'!AA365,0))</f>
        <v>1</v>
      </c>
      <c r="AB365" s="125">
        <f>IF('Quant. mod. (oc)'!AB365&lt;0,0,ROUND('Quant. mod. (oc)'!AB365,0))</f>
        <v>1</v>
      </c>
      <c r="AC365" s="125">
        <f>IF('Quant. mod. (oc)'!AC365&lt;0,0,ROUND('Quant. mod. (oc)'!AC365,0))</f>
        <v>1</v>
      </c>
      <c r="AD365" s="125">
        <f>IF('Quant. mod. (oc)'!AD365&lt;0,0,ROUND('Quant. mod. (oc)'!AD365,0))</f>
        <v>1</v>
      </c>
      <c r="AE365" s="125">
        <f>IF('Quant. mod. (oc)'!AE365&lt;0,0,ROUND('Quant. mod. (oc)'!AE365,0))</f>
        <v>1</v>
      </c>
      <c r="AF365" s="125">
        <f>IF('Quant. mod. (oc)'!AF365&lt;0,0,ROUND('Quant. mod. (oc)'!AF365,0))</f>
        <v>1</v>
      </c>
      <c r="AG365" s="126">
        <f>IF('Quant. mod. (oc)'!AG365&lt;0,0,ROUND('Quant. mod. (oc)'!AG365,0))</f>
        <v>1</v>
      </c>
      <c r="AH365" s="22"/>
    </row>
    <row r="366" spans="1:34" x14ac:dyDescent="0.25">
      <c r="A366" s="112"/>
      <c r="B366" s="27" t="s">
        <v>85</v>
      </c>
      <c r="C366" s="67" t="s">
        <v>59</v>
      </c>
      <c r="D366" s="125">
        <f>IF('Quant. mod. (oc)'!D366&lt;0,0,ROUND('Quant. mod. (oc)'!D366,0))</f>
        <v>1</v>
      </c>
      <c r="E366" s="125">
        <f>IF('Quant. mod. (oc)'!E366&lt;0,0,ROUND('Quant. mod. (oc)'!E366,0))</f>
        <v>1</v>
      </c>
      <c r="F366" s="125">
        <f>IF('Quant. mod. (oc)'!F366&lt;0,0,ROUND('Quant. mod. (oc)'!F366,0))</f>
        <v>1</v>
      </c>
      <c r="G366" s="125">
        <f>IF('Quant. mod. (oc)'!G366&lt;0,0,ROUND('Quant. mod. (oc)'!G366,0))</f>
        <v>1</v>
      </c>
      <c r="H366" s="125">
        <f>IF('Quant. mod. (oc)'!H366&lt;0,0,ROUND('Quant. mod. (oc)'!H366,0))</f>
        <v>1</v>
      </c>
      <c r="I366" s="125">
        <f>IF('Quant. mod. (oc)'!I366&lt;0,0,ROUND('Quant. mod. (oc)'!I366,0))</f>
        <v>1</v>
      </c>
      <c r="J366" s="125">
        <f>IF('Quant. mod. (oc)'!J366&lt;0,0,ROUND('Quant. mod. (oc)'!J366,0))</f>
        <v>1</v>
      </c>
      <c r="K366" s="125">
        <f>IF('Quant. mod. (oc)'!K366&lt;0,0,ROUND('Quant. mod. (oc)'!K366,0))</f>
        <v>1</v>
      </c>
      <c r="L366" s="125">
        <f>IF('Quant. mod. (oc)'!L366&lt;0,0,ROUND('Quant. mod. (oc)'!L366,0))</f>
        <v>1</v>
      </c>
      <c r="M366" s="125">
        <f>IF('Quant. mod. (oc)'!M366&lt;0,0,ROUND('Quant. mod. (oc)'!M366,0))</f>
        <v>1</v>
      </c>
      <c r="N366" s="125">
        <f>IF('Quant. mod. (oc)'!N366&lt;0,0,ROUND('Quant. mod. (oc)'!N366,0))</f>
        <v>1</v>
      </c>
      <c r="O366" s="125">
        <f>IF('Quant. mod. (oc)'!O366&lt;0,0,ROUND('Quant. mod. (oc)'!O366,0))</f>
        <v>1</v>
      </c>
      <c r="P366" s="125">
        <f>IF('Quant. mod. (oc)'!P366&lt;0,0,ROUND('Quant. mod. (oc)'!P366,0))</f>
        <v>1</v>
      </c>
      <c r="Q366" s="125">
        <f>IF('Quant. mod. (oc)'!Q366&lt;0,0,ROUND('Quant. mod. (oc)'!Q366,0))</f>
        <v>1</v>
      </c>
      <c r="R366" s="125">
        <f>IF('Quant. mod. (oc)'!R366&lt;0,0,ROUND('Quant. mod. (oc)'!R366,0))</f>
        <v>1</v>
      </c>
      <c r="S366" s="125">
        <f>IF('Quant. mod. (oc)'!S366&lt;0,0,ROUND('Quant. mod. (oc)'!S366,0))</f>
        <v>1</v>
      </c>
      <c r="T366" s="125">
        <f>IF('Quant. mod. (oc)'!T366&lt;0,0,ROUND('Quant. mod. (oc)'!T366,0))</f>
        <v>1</v>
      </c>
      <c r="U366" s="125">
        <f>IF('Quant. mod. (oc)'!U366&lt;0,0,ROUND('Quant. mod. (oc)'!U366,0))</f>
        <v>1</v>
      </c>
      <c r="V366" s="125">
        <f>IF('Quant. mod. (oc)'!V366&lt;0,0,ROUND('Quant. mod. (oc)'!V366,0))</f>
        <v>1</v>
      </c>
      <c r="W366" s="125">
        <f>IF('Quant. mod. (oc)'!W366&lt;0,0,ROUND('Quant. mod. (oc)'!W366,0))</f>
        <v>1</v>
      </c>
      <c r="X366" s="125">
        <f>IF('Quant. mod. (oc)'!X366&lt;0,0,ROUND('Quant. mod. (oc)'!X366,0))</f>
        <v>1</v>
      </c>
      <c r="Y366" s="125">
        <f>IF('Quant. mod. (oc)'!Y366&lt;0,0,ROUND('Quant. mod. (oc)'!Y366,0))</f>
        <v>1</v>
      </c>
      <c r="Z366" s="125">
        <f>IF('Quant. mod. (oc)'!Z366&lt;0,0,ROUND('Quant. mod. (oc)'!Z366,0))</f>
        <v>1</v>
      </c>
      <c r="AA366" s="125">
        <f>IF('Quant. mod. (oc)'!AA366&lt;0,0,ROUND('Quant. mod. (oc)'!AA366,0))</f>
        <v>1</v>
      </c>
      <c r="AB366" s="125">
        <f>IF('Quant. mod. (oc)'!AB366&lt;0,0,ROUND('Quant. mod. (oc)'!AB366,0))</f>
        <v>1</v>
      </c>
      <c r="AC366" s="125">
        <f>IF('Quant. mod. (oc)'!AC366&lt;0,0,ROUND('Quant. mod. (oc)'!AC366,0))</f>
        <v>1</v>
      </c>
      <c r="AD366" s="125">
        <f>IF('Quant. mod. (oc)'!AD366&lt;0,0,ROUND('Quant. mod. (oc)'!AD366,0))</f>
        <v>1</v>
      </c>
      <c r="AE366" s="125">
        <f>IF('Quant. mod. (oc)'!AE366&lt;0,0,ROUND('Quant. mod. (oc)'!AE366,0))</f>
        <v>1</v>
      </c>
      <c r="AF366" s="125">
        <f>IF('Quant. mod. (oc)'!AF366&lt;0,0,ROUND('Quant. mod. (oc)'!AF366,0))</f>
        <v>1</v>
      </c>
      <c r="AG366" s="126">
        <f>IF('Quant. mod. (oc)'!AG366&lt;0,0,ROUND('Quant. mod. (oc)'!AG366,0))</f>
        <v>1</v>
      </c>
      <c r="AH366" s="22"/>
    </row>
    <row r="367" spans="1:34" x14ac:dyDescent="0.25">
      <c r="A367" s="112"/>
      <c r="B367" s="27" t="s">
        <v>86</v>
      </c>
      <c r="C367" s="67" t="s">
        <v>59</v>
      </c>
      <c r="D367" s="125">
        <f>IF('Quant. mod. (oc)'!D367&lt;0,0,ROUND('Quant. mod. (oc)'!D367,0))</f>
        <v>1</v>
      </c>
      <c r="E367" s="125">
        <f>IF('Quant. mod. (oc)'!E367&lt;0,0,ROUND('Quant. mod. (oc)'!E367,0))</f>
        <v>1</v>
      </c>
      <c r="F367" s="125">
        <f>IF('Quant. mod. (oc)'!F367&lt;0,0,ROUND('Quant. mod. (oc)'!F367,0))</f>
        <v>1</v>
      </c>
      <c r="G367" s="125">
        <f>IF('Quant. mod. (oc)'!G367&lt;0,0,ROUND('Quant. mod. (oc)'!G367,0))</f>
        <v>1</v>
      </c>
      <c r="H367" s="125">
        <f>IF('Quant. mod. (oc)'!H367&lt;0,0,ROUND('Quant. mod. (oc)'!H367,0))</f>
        <v>1</v>
      </c>
      <c r="I367" s="125">
        <f>IF('Quant. mod. (oc)'!I367&lt;0,0,ROUND('Quant. mod. (oc)'!I367,0))</f>
        <v>1</v>
      </c>
      <c r="J367" s="125">
        <f>IF('Quant. mod. (oc)'!J367&lt;0,0,ROUND('Quant. mod. (oc)'!J367,0))</f>
        <v>1</v>
      </c>
      <c r="K367" s="125">
        <f>IF('Quant. mod. (oc)'!K367&lt;0,0,ROUND('Quant. mod. (oc)'!K367,0))</f>
        <v>1</v>
      </c>
      <c r="L367" s="125">
        <f>IF('Quant. mod. (oc)'!L367&lt;0,0,ROUND('Quant. mod. (oc)'!L367,0))</f>
        <v>1</v>
      </c>
      <c r="M367" s="125">
        <f>IF('Quant. mod. (oc)'!M367&lt;0,0,ROUND('Quant. mod. (oc)'!M367,0))</f>
        <v>1</v>
      </c>
      <c r="N367" s="125">
        <f>IF('Quant. mod. (oc)'!N367&lt;0,0,ROUND('Quant. mod. (oc)'!N367,0))</f>
        <v>1</v>
      </c>
      <c r="O367" s="125">
        <f>IF('Quant. mod. (oc)'!O367&lt;0,0,ROUND('Quant. mod. (oc)'!O367,0))</f>
        <v>1</v>
      </c>
      <c r="P367" s="125">
        <f>IF('Quant. mod. (oc)'!P367&lt;0,0,ROUND('Quant. mod. (oc)'!P367,0))</f>
        <v>1</v>
      </c>
      <c r="Q367" s="125">
        <f>IF('Quant. mod. (oc)'!Q367&lt;0,0,ROUND('Quant. mod. (oc)'!Q367,0))</f>
        <v>1</v>
      </c>
      <c r="R367" s="125">
        <f>IF('Quant. mod. (oc)'!R367&lt;0,0,ROUND('Quant. mod. (oc)'!R367,0))</f>
        <v>1</v>
      </c>
      <c r="S367" s="125">
        <f>IF('Quant. mod. (oc)'!S367&lt;0,0,ROUND('Quant. mod. (oc)'!S367,0))</f>
        <v>1</v>
      </c>
      <c r="T367" s="125">
        <f>IF('Quant. mod. (oc)'!T367&lt;0,0,ROUND('Quant. mod. (oc)'!T367,0))</f>
        <v>1</v>
      </c>
      <c r="U367" s="125">
        <f>IF('Quant. mod. (oc)'!U367&lt;0,0,ROUND('Quant. mod. (oc)'!U367,0))</f>
        <v>1</v>
      </c>
      <c r="V367" s="125">
        <f>IF('Quant. mod. (oc)'!V367&lt;0,0,ROUND('Quant. mod. (oc)'!V367,0))</f>
        <v>1</v>
      </c>
      <c r="W367" s="125">
        <f>IF('Quant. mod. (oc)'!W367&lt;0,0,ROUND('Quant. mod. (oc)'!W367,0))</f>
        <v>1</v>
      </c>
      <c r="X367" s="125">
        <f>IF('Quant. mod. (oc)'!X367&lt;0,0,ROUND('Quant. mod. (oc)'!X367,0))</f>
        <v>1</v>
      </c>
      <c r="Y367" s="125">
        <f>IF('Quant. mod. (oc)'!Y367&lt;0,0,ROUND('Quant. mod. (oc)'!Y367,0))</f>
        <v>1</v>
      </c>
      <c r="Z367" s="125">
        <f>IF('Quant. mod. (oc)'!Z367&lt;0,0,ROUND('Quant. mod. (oc)'!Z367,0))</f>
        <v>1</v>
      </c>
      <c r="AA367" s="125">
        <f>IF('Quant. mod. (oc)'!AA367&lt;0,0,ROUND('Quant. mod. (oc)'!AA367,0))</f>
        <v>1</v>
      </c>
      <c r="AB367" s="125">
        <f>IF('Quant. mod. (oc)'!AB367&lt;0,0,ROUND('Quant. mod. (oc)'!AB367,0))</f>
        <v>1</v>
      </c>
      <c r="AC367" s="125">
        <f>IF('Quant. mod. (oc)'!AC367&lt;0,0,ROUND('Quant. mod. (oc)'!AC367,0))</f>
        <v>1</v>
      </c>
      <c r="AD367" s="125">
        <f>IF('Quant. mod. (oc)'!AD367&lt;0,0,ROUND('Quant. mod. (oc)'!AD367,0))</f>
        <v>1</v>
      </c>
      <c r="AE367" s="125">
        <f>IF('Quant. mod. (oc)'!AE367&lt;0,0,ROUND('Quant. mod. (oc)'!AE367,0))</f>
        <v>1</v>
      </c>
      <c r="AF367" s="125">
        <f>IF('Quant. mod. (oc)'!AF367&lt;0,0,ROUND('Quant. mod. (oc)'!AF367,0))</f>
        <v>1</v>
      </c>
      <c r="AG367" s="126">
        <f>IF('Quant. mod. (oc)'!AG367&lt;0,0,ROUND('Quant. mod. (oc)'!AG367,0))</f>
        <v>1</v>
      </c>
      <c r="AH367" s="22"/>
    </row>
    <row r="368" spans="1:34" x14ac:dyDescent="0.25">
      <c r="A368" s="112"/>
      <c r="B368" s="27" t="s">
        <v>87</v>
      </c>
      <c r="C368" s="67" t="s">
        <v>59</v>
      </c>
      <c r="D368" s="125">
        <f>IF('Quant. mod. (oc)'!D368&lt;0,0,ROUND('Quant. mod. (oc)'!D368,0))</f>
        <v>1</v>
      </c>
      <c r="E368" s="125">
        <f>IF('Quant. mod. (oc)'!E368&lt;0,0,ROUND('Quant. mod. (oc)'!E368,0))</f>
        <v>1</v>
      </c>
      <c r="F368" s="125">
        <f>IF('Quant. mod. (oc)'!F368&lt;0,0,ROUND('Quant. mod. (oc)'!F368,0))</f>
        <v>1</v>
      </c>
      <c r="G368" s="125">
        <f>IF('Quant. mod. (oc)'!G368&lt;0,0,ROUND('Quant. mod. (oc)'!G368,0))</f>
        <v>1</v>
      </c>
      <c r="H368" s="125">
        <f>IF('Quant. mod. (oc)'!H368&lt;0,0,ROUND('Quant. mod. (oc)'!H368,0))</f>
        <v>1</v>
      </c>
      <c r="I368" s="125">
        <f>IF('Quant. mod. (oc)'!I368&lt;0,0,ROUND('Quant. mod. (oc)'!I368,0))</f>
        <v>1</v>
      </c>
      <c r="J368" s="125">
        <f>IF('Quant. mod. (oc)'!J368&lt;0,0,ROUND('Quant. mod. (oc)'!J368,0))</f>
        <v>1</v>
      </c>
      <c r="K368" s="125">
        <f>IF('Quant. mod. (oc)'!K368&lt;0,0,ROUND('Quant. mod. (oc)'!K368,0))</f>
        <v>1</v>
      </c>
      <c r="L368" s="125">
        <f>IF('Quant. mod. (oc)'!L368&lt;0,0,ROUND('Quant. mod. (oc)'!L368,0))</f>
        <v>1</v>
      </c>
      <c r="M368" s="125">
        <f>IF('Quant. mod. (oc)'!M368&lt;0,0,ROUND('Quant. mod. (oc)'!M368,0))</f>
        <v>1</v>
      </c>
      <c r="N368" s="125">
        <f>IF('Quant. mod. (oc)'!N368&lt;0,0,ROUND('Quant. mod. (oc)'!N368,0))</f>
        <v>1</v>
      </c>
      <c r="O368" s="125">
        <f>IF('Quant. mod. (oc)'!O368&lt;0,0,ROUND('Quant. mod. (oc)'!O368,0))</f>
        <v>1</v>
      </c>
      <c r="P368" s="125">
        <f>IF('Quant. mod. (oc)'!P368&lt;0,0,ROUND('Quant. mod. (oc)'!P368,0))</f>
        <v>1</v>
      </c>
      <c r="Q368" s="125">
        <f>IF('Quant. mod. (oc)'!Q368&lt;0,0,ROUND('Quant. mod. (oc)'!Q368,0))</f>
        <v>1</v>
      </c>
      <c r="R368" s="125">
        <f>IF('Quant. mod. (oc)'!R368&lt;0,0,ROUND('Quant. mod. (oc)'!R368,0))</f>
        <v>1</v>
      </c>
      <c r="S368" s="125">
        <f>IF('Quant. mod. (oc)'!S368&lt;0,0,ROUND('Quant. mod. (oc)'!S368,0))</f>
        <v>1</v>
      </c>
      <c r="T368" s="125">
        <f>IF('Quant. mod. (oc)'!T368&lt;0,0,ROUND('Quant. mod. (oc)'!T368,0))</f>
        <v>1</v>
      </c>
      <c r="U368" s="125">
        <f>IF('Quant. mod. (oc)'!U368&lt;0,0,ROUND('Quant. mod. (oc)'!U368,0))</f>
        <v>1</v>
      </c>
      <c r="V368" s="125">
        <f>IF('Quant. mod. (oc)'!V368&lt;0,0,ROUND('Quant. mod. (oc)'!V368,0))</f>
        <v>1</v>
      </c>
      <c r="W368" s="125">
        <f>IF('Quant. mod. (oc)'!W368&lt;0,0,ROUND('Quant. mod. (oc)'!W368,0))</f>
        <v>1</v>
      </c>
      <c r="X368" s="125">
        <f>IF('Quant. mod. (oc)'!X368&lt;0,0,ROUND('Quant. mod. (oc)'!X368,0))</f>
        <v>1</v>
      </c>
      <c r="Y368" s="125">
        <f>IF('Quant. mod. (oc)'!Y368&lt;0,0,ROUND('Quant. mod. (oc)'!Y368,0))</f>
        <v>1</v>
      </c>
      <c r="Z368" s="125">
        <f>IF('Quant. mod. (oc)'!Z368&lt;0,0,ROUND('Quant. mod. (oc)'!Z368,0))</f>
        <v>1</v>
      </c>
      <c r="AA368" s="125">
        <f>IF('Quant. mod. (oc)'!AA368&lt;0,0,ROUND('Quant. mod. (oc)'!AA368,0))</f>
        <v>1</v>
      </c>
      <c r="AB368" s="125">
        <f>IF('Quant. mod. (oc)'!AB368&lt;0,0,ROUND('Quant. mod. (oc)'!AB368,0))</f>
        <v>1</v>
      </c>
      <c r="AC368" s="125">
        <f>IF('Quant. mod. (oc)'!AC368&lt;0,0,ROUND('Quant. mod. (oc)'!AC368,0))</f>
        <v>1</v>
      </c>
      <c r="AD368" s="125">
        <f>IF('Quant. mod. (oc)'!AD368&lt;0,0,ROUND('Quant. mod. (oc)'!AD368,0))</f>
        <v>1</v>
      </c>
      <c r="AE368" s="125">
        <f>IF('Quant. mod. (oc)'!AE368&lt;0,0,ROUND('Quant. mod. (oc)'!AE368,0))</f>
        <v>1</v>
      </c>
      <c r="AF368" s="125">
        <f>IF('Quant. mod. (oc)'!AF368&lt;0,0,ROUND('Quant. mod. (oc)'!AF368,0))</f>
        <v>1</v>
      </c>
      <c r="AG368" s="126">
        <f>IF('Quant. mod. (oc)'!AG368&lt;0,0,ROUND('Quant. mod. (oc)'!AG368,0))</f>
        <v>1</v>
      </c>
      <c r="AH368" s="22"/>
    </row>
    <row r="369" spans="1:34" x14ac:dyDescent="0.25">
      <c r="A369" s="112"/>
      <c r="B369" s="27" t="s">
        <v>88</v>
      </c>
      <c r="C369" s="67" t="s">
        <v>59</v>
      </c>
      <c r="D369" s="125">
        <f>IF('Quant. mod. (oc)'!D369&lt;0,0,ROUND('Quant. mod. (oc)'!D369,0))</f>
        <v>1</v>
      </c>
      <c r="E369" s="125">
        <f>IF('Quant. mod. (oc)'!E369&lt;0,0,ROUND('Quant. mod. (oc)'!E369,0))</f>
        <v>1</v>
      </c>
      <c r="F369" s="125">
        <f>IF('Quant. mod. (oc)'!F369&lt;0,0,ROUND('Quant. mod. (oc)'!F369,0))</f>
        <v>1</v>
      </c>
      <c r="G369" s="125">
        <f>IF('Quant. mod. (oc)'!G369&lt;0,0,ROUND('Quant. mod. (oc)'!G369,0))</f>
        <v>1</v>
      </c>
      <c r="H369" s="125">
        <f>IF('Quant. mod. (oc)'!H369&lt;0,0,ROUND('Quant. mod. (oc)'!H369,0))</f>
        <v>1</v>
      </c>
      <c r="I369" s="125">
        <f>IF('Quant. mod. (oc)'!I369&lt;0,0,ROUND('Quant. mod. (oc)'!I369,0))</f>
        <v>1</v>
      </c>
      <c r="J369" s="125">
        <f>IF('Quant. mod. (oc)'!J369&lt;0,0,ROUND('Quant. mod. (oc)'!J369,0))</f>
        <v>1</v>
      </c>
      <c r="K369" s="125">
        <f>IF('Quant. mod. (oc)'!K369&lt;0,0,ROUND('Quant. mod. (oc)'!K369,0))</f>
        <v>1</v>
      </c>
      <c r="L369" s="125">
        <f>IF('Quant. mod. (oc)'!L369&lt;0,0,ROUND('Quant. mod. (oc)'!L369,0))</f>
        <v>1</v>
      </c>
      <c r="M369" s="125">
        <f>IF('Quant. mod. (oc)'!M369&lt;0,0,ROUND('Quant. mod. (oc)'!M369,0))</f>
        <v>1</v>
      </c>
      <c r="N369" s="125">
        <f>IF('Quant. mod. (oc)'!N369&lt;0,0,ROUND('Quant. mod. (oc)'!N369,0))</f>
        <v>1</v>
      </c>
      <c r="O369" s="125">
        <f>IF('Quant. mod. (oc)'!O369&lt;0,0,ROUND('Quant. mod. (oc)'!O369,0))</f>
        <v>1</v>
      </c>
      <c r="P369" s="125">
        <f>IF('Quant. mod. (oc)'!P369&lt;0,0,ROUND('Quant. mod. (oc)'!P369,0))</f>
        <v>1</v>
      </c>
      <c r="Q369" s="125">
        <f>IF('Quant. mod. (oc)'!Q369&lt;0,0,ROUND('Quant. mod. (oc)'!Q369,0))</f>
        <v>1</v>
      </c>
      <c r="R369" s="125">
        <f>IF('Quant. mod. (oc)'!R369&lt;0,0,ROUND('Quant. mod. (oc)'!R369,0))</f>
        <v>1</v>
      </c>
      <c r="S369" s="125">
        <f>IF('Quant. mod. (oc)'!S369&lt;0,0,ROUND('Quant. mod. (oc)'!S369,0))</f>
        <v>1</v>
      </c>
      <c r="T369" s="125">
        <f>IF('Quant. mod. (oc)'!T369&lt;0,0,ROUND('Quant. mod. (oc)'!T369,0))</f>
        <v>1</v>
      </c>
      <c r="U369" s="125">
        <f>IF('Quant. mod. (oc)'!U369&lt;0,0,ROUND('Quant. mod. (oc)'!U369,0))</f>
        <v>1</v>
      </c>
      <c r="V369" s="125">
        <f>IF('Quant. mod. (oc)'!V369&lt;0,0,ROUND('Quant. mod. (oc)'!V369,0))</f>
        <v>1</v>
      </c>
      <c r="W369" s="125">
        <f>IF('Quant. mod. (oc)'!W369&lt;0,0,ROUND('Quant. mod. (oc)'!W369,0))</f>
        <v>1</v>
      </c>
      <c r="X369" s="125">
        <f>IF('Quant. mod. (oc)'!X369&lt;0,0,ROUND('Quant. mod. (oc)'!X369,0))</f>
        <v>1</v>
      </c>
      <c r="Y369" s="125">
        <f>IF('Quant. mod. (oc)'!Y369&lt;0,0,ROUND('Quant. mod. (oc)'!Y369,0))</f>
        <v>1</v>
      </c>
      <c r="Z369" s="125">
        <f>IF('Quant. mod. (oc)'!Z369&lt;0,0,ROUND('Quant. mod. (oc)'!Z369,0))</f>
        <v>1</v>
      </c>
      <c r="AA369" s="125">
        <f>IF('Quant. mod. (oc)'!AA369&lt;0,0,ROUND('Quant. mod. (oc)'!AA369,0))</f>
        <v>1</v>
      </c>
      <c r="AB369" s="125">
        <f>IF('Quant. mod. (oc)'!AB369&lt;0,0,ROUND('Quant. mod. (oc)'!AB369,0))</f>
        <v>1</v>
      </c>
      <c r="AC369" s="125">
        <f>IF('Quant. mod. (oc)'!AC369&lt;0,0,ROUND('Quant. mod. (oc)'!AC369,0))</f>
        <v>1</v>
      </c>
      <c r="AD369" s="125">
        <f>IF('Quant. mod. (oc)'!AD369&lt;0,0,ROUND('Quant. mod. (oc)'!AD369,0))</f>
        <v>1</v>
      </c>
      <c r="AE369" s="125">
        <f>IF('Quant. mod. (oc)'!AE369&lt;0,0,ROUND('Quant. mod. (oc)'!AE369,0))</f>
        <v>1</v>
      </c>
      <c r="AF369" s="125">
        <f>IF('Quant. mod. (oc)'!AF369&lt;0,0,ROUND('Quant. mod. (oc)'!AF369,0))</f>
        <v>1</v>
      </c>
      <c r="AG369" s="126">
        <f>IF('Quant. mod. (oc)'!AG369&lt;0,0,ROUND('Quant. mod. (oc)'!AG369,0))</f>
        <v>1</v>
      </c>
      <c r="AH369" s="22"/>
    </row>
    <row r="370" spans="1:34" ht="25.5" x14ac:dyDescent="0.25">
      <c r="A370" s="112"/>
      <c r="B370" s="27" t="s">
        <v>89</v>
      </c>
      <c r="C370" s="67" t="s">
        <v>59</v>
      </c>
      <c r="D370" s="125">
        <f>IF('Quant. mod. (oc)'!D370&lt;0,0,ROUND('Quant. mod. (oc)'!D370,0))</f>
        <v>1</v>
      </c>
      <c r="E370" s="125">
        <f>IF('Quant. mod. (oc)'!E370&lt;0,0,ROUND('Quant. mod. (oc)'!E370,0))</f>
        <v>1</v>
      </c>
      <c r="F370" s="125">
        <f>IF('Quant. mod. (oc)'!F370&lt;0,0,ROUND('Quant. mod. (oc)'!F370,0))</f>
        <v>1</v>
      </c>
      <c r="G370" s="125">
        <f>IF('Quant. mod. (oc)'!G370&lt;0,0,ROUND('Quant. mod. (oc)'!G370,0))</f>
        <v>1</v>
      </c>
      <c r="H370" s="125">
        <f>IF('Quant. mod. (oc)'!H370&lt;0,0,ROUND('Quant. mod. (oc)'!H370,0))</f>
        <v>1</v>
      </c>
      <c r="I370" s="125">
        <f>IF('Quant. mod. (oc)'!I370&lt;0,0,ROUND('Quant. mod. (oc)'!I370,0))</f>
        <v>1</v>
      </c>
      <c r="J370" s="125">
        <f>IF('Quant. mod. (oc)'!J370&lt;0,0,ROUND('Quant. mod. (oc)'!J370,0))</f>
        <v>1</v>
      </c>
      <c r="K370" s="125">
        <f>IF('Quant. mod. (oc)'!K370&lt;0,0,ROUND('Quant. mod. (oc)'!K370,0))</f>
        <v>1</v>
      </c>
      <c r="L370" s="125">
        <f>IF('Quant. mod. (oc)'!L370&lt;0,0,ROUND('Quant. mod. (oc)'!L370,0))</f>
        <v>1</v>
      </c>
      <c r="M370" s="125">
        <f>IF('Quant. mod. (oc)'!M370&lt;0,0,ROUND('Quant. mod. (oc)'!M370,0))</f>
        <v>1</v>
      </c>
      <c r="N370" s="125">
        <f>IF('Quant. mod. (oc)'!N370&lt;0,0,ROUND('Quant. mod. (oc)'!N370,0))</f>
        <v>1</v>
      </c>
      <c r="O370" s="125">
        <f>IF('Quant. mod. (oc)'!O370&lt;0,0,ROUND('Quant. mod. (oc)'!O370,0))</f>
        <v>1</v>
      </c>
      <c r="P370" s="125">
        <f>IF('Quant. mod. (oc)'!P370&lt;0,0,ROUND('Quant. mod. (oc)'!P370,0))</f>
        <v>1</v>
      </c>
      <c r="Q370" s="125">
        <f>IF('Quant. mod. (oc)'!Q370&lt;0,0,ROUND('Quant. mod. (oc)'!Q370,0))</f>
        <v>1</v>
      </c>
      <c r="R370" s="125">
        <f>IF('Quant. mod. (oc)'!R370&lt;0,0,ROUND('Quant. mod. (oc)'!R370,0))</f>
        <v>1</v>
      </c>
      <c r="S370" s="125">
        <f>IF('Quant. mod. (oc)'!S370&lt;0,0,ROUND('Quant. mod. (oc)'!S370,0))</f>
        <v>1</v>
      </c>
      <c r="T370" s="125">
        <f>IF('Quant. mod. (oc)'!T370&lt;0,0,ROUND('Quant. mod. (oc)'!T370,0))</f>
        <v>1</v>
      </c>
      <c r="U370" s="125">
        <f>IF('Quant. mod. (oc)'!U370&lt;0,0,ROUND('Quant. mod. (oc)'!U370,0))</f>
        <v>1</v>
      </c>
      <c r="V370" s="125">
        <f>IF('Quant. mod. (oc)'!V370&lt;0,0,ROUND('Quant. mod. (oc)'!V370,0))</f>
        <v>1</v>
      </c>
      <c r="W370" s="125">
        <f>IF('Quant. mod. (oc)'!W370&lt;0,0,ROUND('Quant. mod. (oc)'!W370,0))</f>
        <v>1</v>
      </c>
      <c r="X370" s="125">
        <f>IF('Quant. mod. (oc)'!X370&lt;0,0,ROUND('Quant. mod. (oc)'!X370,0))</f>
        <v>1</v>
      </c>
      <c r="Y370" s="125">
        <f>IF('Quant. mod. (oc)'!Y370&lt;0,0,ROUND('Quant. mod. (oc)'!Y370,0))</f>
        <v>1</v>
      </c>
      <c r="Z370" s="125">
        <f>IF('Quant. mod. (oc)'!Z370&lt;0,0,ROUND('Quant. mod. (oc)'!Z370,0))</f>
        <v>1</v>
      </c>
      <c r="AA370" s="125">
        <f>IF('Quant. mod. (oc)'!AA370&lt;0,0,ROUND('Quant. mod. (oc)'!AA370,0))</f>
        <v>1</v>
      </c>
      <c r="AB370" s="125">
        <f>IF('Quant. mod. (oc)'!AB370&lt;0,0,ROUND('Quant. mod. (oc)'!AB370,0))</f>
        <v>1</v>
      </c>
      <c r="AC370" s="125">
        <f>IF('Quant. mod. (oc)'!AC370&lt;0,0,ROUND('Quant. mod. (oc)'!AC370,0))</f>
        <v>1</v>
      </c>
      <c r="AD370" s="125">
        <f>IF('Quant. mod. (oc)'!AD370&lt;0,0,ROUND('Quant. mod. (oc)'!AD370,0))</f>
        <v>1</v>
      </c>
      <c r="AE370" s="125">
        <f>IF('Quant. mod. (oc)'!AE370&lt;0,0,ROUND('Quant. mod. (oc)'!AE370,0))</f>
        <v>1</v>
      </c>
      <c r="AF370" s="125">
        <f>IF('Quant. mod. (oc)'!AF370&lt;0,0,ROUND('Quant. mod. (oc)'!AF370,0))</f>
        <v>1</v>
      </c>
      <c r="AG370" s="126">
        <f>IF('Quant. mod. (oc)'!AG370&lt;0,0,ROUND('Quant. mod. (oc)'!AG370,0))</f>
        <v>1</v>
      </c>
      <c r="AH370" s="22"/>
    </row>
    <row r="371" spans="1:34" ht="25.5" x14ac:dyDescent="0.25">
      <c r="A371" s="112"/>
      <c r="B371" s="27" t="s">
        <v>447</v>
      </c>
      <c r="C371" s="67" t="s">
        <v>59</v>
      </c>
      <c r="D371" s="125">
        <f>IF('Quant. mod. (oc)'!D371&lt;0,0,ROUND('Quant. mod. (oc)'!D371,0))</f>
        <v>1</v>
      </c>
      <c r="E371" s="125">
        <f>IF('Quant. mod. (oc)'!E371&lt;0,0,ROUND('Quant. mod. (oc)'!E371,0))</f>
        <v>1</v>
      </c>
      <c r="F371" s="125">
        <f>IF('Quant. mod. (oc)'!F371&lt;0,0,ROUND('Quant. mod. (oc)'!F371,0))</f>
        <v>1</v>
      </c>
      <c r="G371" s="125">
        <f>IF('Quant. mod. (oc)'!G371&lt;0,0,ROUND('Quant. mod. (oc)'!G371,0))</f>
        <v>1</v>
      </c>
      <c r="H371" s="125">
        <f>IF('Quant. mod. (oc)'!H371&lt;0,0,ROUND('Quant. mod. (oc)'!H371,0))</f>
        <v>1</v>
      </c>
      <c r="I371" s="125">
        <f>IF('Quant. mod. (oc)'!I371&lt;0,0,ROUND('Quant. mod. (oc)'!I371,0))</f>
        <v>1</v>
      </c>
      <c r="J371" s="125">
        <f>IF('Quant. mod. (oc)'!J371&lt;0,0,ROUND('Quant. mod. (oc)'!J371,0))</f>
        <v>1</v>
      </c>
      <c r="K371" s="125">
        <f>IF('Quant. mod. (oc)'!K371&lt;0,0,ROUND('Quant. mod. (oc)'!K371,0))</f>
        <v>1</v>
      </c>
      <c r="L371" s="125">
        <f>IF('Quant. mod. (oc)'!L371&lt;0,0,ROUND('Quant. mod. (oc)'!L371,0))</f>
        <v>1</v>
      </c>
      <c r="M371" s="125">
        <f>IF('Quant. mod. (oc)'!M371&lt;0,0,ROUND('Quant. mod. (oc)'!M371,0))</f>
        <v>1</v>
      </c>
      <c r="N371" s="125">
        <f>IF('Quant. mod. (oc)'!N371&lt;0,0,ROUND('Quant. mod. (oc)'!N371,0))</f>
        <v>1</v>
      </c>
      <c r="O371" s="125">
        <f>IF('Quant. mod. (oc)'!O371&lt;0,0,ROUND('Quant. mod. (oc)'!O371,0))</f>
        <v>1</v>
      </c>
      <c r="P371" s="125">
        <f>IF('Quant. mod. (oc)'!P371&lt;0,0,ROUND('Quant. mod. (oc)'!P371,0))</f>
        <v>1</v>
      </c>
      <c r="Q371" s="125">
        <f>IF('Quant. mod. (oc)'!Q371&lt;0,0,ROUND('Quant. mod. (oc)'!Q371,0))</f>
        <v>1</v>
      </c>
      <c r="R371" s="125">
        <f>IF('Quant. mod. (oc)'!R371&lt;0,0,ROUND('Quant. mod. (oc)'!R371,0))</f>
        <v>1</v>
      </c>
      <c r="S371" s="125">
        <f>IF('Quant. mod. (oc)'!S371&lt;0,0,ROUND('Quant. mod. (oc)'!S371,0))</f>
        <v>1</v>
      </c>
      <c r="T371" s="125">
        <f>IF('Quant. mod. (oc)'!T371&lt;0,0,ROUND('Quant. mod. (oc)'!T371,0))</f>
        <v>1</v>
      </c>
      <c r="U371" s="125">
        <f>IF('Quant. mod. (oc)'!U371&lt;0,0,ROUND('Quant. mod. (oc)'!U371,0))</f>
        <v>1</v>
      </c>
      <c r="V371" s="125">
        <f>IF('Quant. mod. (oc)'!V371&lt;0,0,ROUND('Quant. mod. (oc)'!V371,0))</f>
        <v>1</v>
      </c>
      <c r="W371" s="125">
        <f>IF('Quant. mod. (oc)'!W371&lt;0,0,ROUND('Quant. mod. (oc)'!W371,0))</f>
        <v>1</v>
      </c>
      <c r="X371" s="125">
        <f>IF('Quant. mod. (oc)'!X371&lt;0,0,ROUND('Quant. mod. (oc)'!X371,0))</f>
        <v>1</v>
      </c>
      <c r="Y371" s="125">
        <f>IF('Quant. mod. (oc)'!Y371&lt;0,0,ROUND('Quant. mod. (oc)'!Y371,0))</f>
        <v>1</v>
      </c>
      <c r="Z371" s="125">
        <f>IF('Quant. mod. (oc)'!Z371&lt;0,0,ROUND('Quant. mod. (oc)'!Z371,0))</f>
        <v>1</v>
      </c>
      <c r="AA371" s="125">
        <f>IF('Quant. mod. (oc)'!AA371&lt;0,0,ROUND('Quant. mod. (oc)'!AA371,0))</f>
        <v>1</v>
      </c>
      <c r="AB371" s="125">
        <f>IF('Quant. mod. (oc)'!AB371&lt;0,0,ROUND('Quant. mod. (oc)'!AB371,0))</f>
        <v>1</v>
      </c>
      <c r="AC371" s="125">
        <f>IF('Quant. mod. (oc)'!AC371&lt;0,0,ROUND('Quant. mod. (oc)'!AC371,0))</f>
        <v>1</v>
      </c>
      <c r="AD371" s="125">
        <f>IF('Quant. mod. (oc)'!AD371&lt;0,0,ROUND('Quant. mod. (oc)'!AD371,0))</f>
        <v>1</v>
      </c>
      <c r="AE371" s="125">
        <f>IF('Quant. mod. (oc)'!AE371&lt;0,0,ROUND('Quant. mod. (oc)'!AE371,0))</f>
        <v>1</v>
      </c>
      <c r="AF371" s="125">
        <f>IF('Quant. mod. (oc)'!AF371&lt;0,0,ROUND('Quant. mod. (oc)'!AF371,0))</f>
        <v>1</v>
      </c>
      <c r="AG371" s="126">
        <f>IF('Quant. mod. (oc)'!AG371&lt;0,0,ROUND('Quant. mod. (oc)'!AG371,0))</f>
        <v>1</v>
      </c>
      <c r="AH371" s="22"/>
    </row>
    <row r="372" spans="1:34" x14ac:dyDescent="0.25">
      <c r="A372" s="112"/>
      <c r="B372" s="27" t="s">
        <v>90</v>
      </c>
      <c r="C372" s="67" t="s">
        <v>59</v>
      </c>
      <c r="D372" s="125">
        <f>IF('Quant. mod. (oc)'!D372&lt;0,0,ROUND('Quant. mod. (oc)'!D372,0))</f>
        <v>1</v>
      </c>
      <c r="E372" s="125">
        <f>IF('Quant. mod. (oc)'!E372&lt;0,0,ROUND('Quant. mod. (oc)'!E372,0))</f>
        <v>1</v>
      </c>
      <c r="F372" s="125">
        <f>IF('Quant. mod. (oc)'!F372&lt;0,0,ROUND('Quant. mod. (oc)'!F372,0))</f>
        <v>1</v>
      </c>
      <c r="G372" s="125">
        <f>IF('Quant. mod. (oc)'!G372&lt;0,0,ROUND('Quant. mod. (oc)'!G372,0))</f>
        <v>1</v>
      </c>
      <c r="H372" s="125">
        <f>IF('Quant. mod. (oc)'!H372&lt;0,0,ROUND('Quant. mod. (oc)'!H372,0))</f>
        <v>1</v>
      </c>
      <c r="I372" s="125">
        <f>IF('Quant. mod. (oc)'!I372&lt;0,0,ROUND('Quant. mod. (oc)'!I372,0))</f>
        <v>1</v>
      </c>
      <c r="J372" s="125">
        <f>IF('Quant. mod. (oc)'!J372&lt;0,0,ROUND('Quant. mod. (oc)'!J372,0))</f>
        <v>1</v>
      </c>
      <c r="K372" s="125">
        <f>IF('Quant. mod. (oc)'!K372&lt;0,0,ROUND('Quant. mod. (oc)'!K372,0))</f>
        <v>1</v>
      </c>
      <c r="L372" s="125">
        <f>IF('Quant. mod. (oc)'!L372&lt;0,0,ROUND('Quant. mod. (oc)'!L372,0))</f>
        <v>1</v>
      </c>
      <c r="M372" s="125">
        <f>IF('Quant. mod. (oc)'!M372&lt;0,0,ROUND('Quant. mod. (oc)'!M372,0))</f>
        <v>1</v>
      </c>
      <c r="N372" s="125">
        <f>IF('Quant. mod. (oc)'!N372&lt;0,0,ROUND('Quant. mod. (oc)'!N372,0))</f>
        <v>1</v>
      </c>
      <c r="O372" s="125">
        <f>IF('Quant. mod. (oc)'!O372&lt;0,0,ROUND('Quant. mod. (oc)'!O372,0))</f>
        <v>1</v>
      </c>
      <c r="P372" s="125">
        <f>IF('Quant. mod. (oc)'!P372&lt;0,0,ROUND('Quant. mod. (oc)'!P372,0))</f>
        <v>1</v>
      </c>
      <c r="Q372" s="125">
        <f>IF('Quant. mod. (oc)'!Q372&lt;0,0,ROUND('Quant. mod. (oc)'!Q372,0))</f>
        <v>1</v>
      </c>
      <c r="R372" s="125">
        <f>IF('Quant. mod. (oc)'!R372&lt;0,0,ROUND('Quant. mod. (oc)'!R372,0))</f>
        <v>1</v>
      </c>
      <c r="S372" s="125">
        <f>IF('Quant. mod. (oc)'!S372&lt;0,0,ROUND('Quant. mod. (oc)'!S372,0))</f>
        <v>1</v>
      </c>
      <c r="T372" s="125">
        <f>IF('Quant. mod. (oc)'!T372&lt;0,0,ROUND('Quant. mod. (oc)'!T372,0))</f>
        <v>1</v>
      </c>
      <c r="U372" s="125">
        <f>IF('Quant. mod. (oc)'!U372&lt;0,0,ROUND('Quant. mod. (oc)'!U372,0))</f>
        <v>1</v>
      </c>
      <c r="V372" s="125">
        <f>IF('Quant. mod. (oc)'!V372&lt;0,0,ROUND('Quant. mod. (oc)'!V372,0))</f>
        <v>1</v>
      </c>
      <c r="W372" s="125">
        <f>IF('Quant. mod. (oc)'!W372&lt;0,0,ROUND('Quant. mod. (oc)'!W372,0))</f>
        <v>1</v>
      </c>
      <c r="X372" s="125">
        <f>IF('Quant. mod. (oc)'!X372&lt;0,0,ROUND('Quant. mod. (oc)'!X372,0))</f>
        <v>1</v>
      </c>
      <c r="Y372" s="125">
        <f>IF('Quant. mod. (oc)'!Y372&lt;0,0,ROUND('Quant. mod. (oc)'!Y372,0))</f>
        <v>1</v>
      </c>
      <c r="Z372" s="125">
        <f>IF('Quant. mod. (oc)'!Z372&lt;0,0,ROUND('Quant. mod. (oc)'!Z372,0))</f>
        <v>1</v>
      </c>
      <c r="AA372" s="125">
        <f>IF('Quant. mod. (oc)'!AA372&lt;0,0,ROUND('Quant. mod. (oc)'!AA372,0))</f>
        <v>1</v>
      </c>
      <c r="AB372" s="125">
        <f>IF('Quant. mod. (oc)'!AB372&lt;0,0,ROUND('Quant. mod. (oc)'!AB372,0))</f>
        <v>1</v>
      </c>
      <c r="AC372" s="125">
        <f>IF('Quant. mod. (oc)'!AC372&lt;0,0,ROUND('Quant. mod. (oc)'!AC372,0))</f>
        <v>1</v>
      </c>
      <c r="AD372" s="125">
        <f>IF('Quant. mod. (oc)'!AD372&lt;0,0,ROUND('Quant. mod. (oc)'!AD372,0))</f>
        <v>1</v>
      </c>
      <c r="AE372" s="125">
        <f>IF('Quant. mod. (oc)'!AE372&lt;0,0,ROUND('Quant. mod. (oc)'!AE372,0))</f>
        <v>1</v>
      </c>
      <c r="AF372" s="125">
        <f>IF('Quant. mod. (oc)'!AF372&lt;0,0,ROUND('Quant. mod. (oc)'!AF372,0))</f>
        <v>1</v>
      </c>
      <c r="AG372" s="126">
        <f>IF('Quant. mod. (oc)'!AG372&lt;0,0,ROUND('Quant. mod. (oc)'!AG372,0))</f>
        <v>1</v>
      </c>
      <c r="AH372" s="22"/>
    </row>
    <row r="373" spans="1:34" x14ac:dyDescent="0.25">
      <c r="A373" s="112"/>
      <c r="B373" s="27" t="s">
        <v>91</v>
      </c>
      <c r="C373" s="67" t="s">
        <v>59</v>
      </c>
      <c r="D373" s="125">
        <f>IF('Quant. mod. (oc)'!D373&lt;0,0,ROUND('Quant. mod. (oc)'!D373,0))</f>
        <v>1</v>
      </c>
      <c r="E373" s="125">
        <f>IF('Quant. mod. (oc)'!E373&lt;0,0,ROUND('Quant. mod. (oc)'!E373,0))</f>
        <v>1</v>
      </c>
      <c r="F373" s="125">
        <f>IF('Quant. mod. (oc)'!F373&lt;0,0,ROUND('Quant. mod. (oc)'!F373,0))</f>
        <v>1</v>
      </c>
      <c r="G373" s="125">
        <f>IF('Quant. mod. (oc)'!G373&lt;0,0,ROUND('Quant. mod. (oc)'!G373,0))</f>
        <v>1</v>
      </c>
      <c r="H373" s="125">
        <f>IF('Quant. mod. (oc)'!H373&lt;0,0,ROUND('Quant. mod. (oc)'!H373,0))</f>
        <v>1</v>
      </c>
      <c r="I373" s="125">
        <f>IF('Quant. mod. (oc)'!I373&lt;0,0,ROUND('Quant. mod. (oc)'!I373,0))</f>
        <v>1</v>
      </c>
      <c r="J373" s="125">
        <f>IF('Quant. mod. (oc)'!J373&lt;0,0,ROUND('Quant. mod. (oc)'!J373,0))</f>
        <v>1</v>
      </c>
      <c r="K373" s="125">
        <f>IF('Quant. mod. (oc)'!K373&lt;0,0,ROUND('Quant. mod. (oc)'!K373,0))</f>
        <v>1</v>
      </c>
      <c r="L373" s="125">
        <f>IF('Quant. mod. (oc)'!L373&lt;0,0,ROUND('Quant. mod. (oc)'!L373,0))</f>
        <v>1</v>
      </c>
      <c r="M373" s="125">
        <f>IF('Quant. mod. (oc)'!M373&lt;0,0,ROUND('Quant. mod. (oc)'!M373,0))</f>
        <v>1</v>
      </c>
      <c r="N373" s="125">
        <f>IF('Quant. mod. (oc)'!N373&lt;0,0,ROUND('Quant. mod. (oc)'!N373,0))</f>
        <v>1</v>
      </c>
      <c r="O373" s="125">
        <f>IF('Quant. mod. (oc)'!O373&lt;0,0,ROUND('Quant. mod. (oc)'!O373,0))</f>
        <v>1</v>
      </c>
      <c r="P373" s="125">
        <f>IF('Quant. mod. (oc)'!P373&lt;0,0,ROUND('Quant. mod. (oc)'!P373,0))</f>
        <v>1</v>
      </c>
      <c r="Q373" s="125">
        <f>IF('Quant. mod. (oc)'!Q373&lt;0,0,ROUND('Quant. mod. (oc)'!Q373,0))</f>
        <v>1</v>
      </c>
      <c r="R373" s="125">
        <f>IF('Quant. mod. (oc)'!R373&lt;0,0,ROUND('Quant. mod. (oc)'!R373,0))</f>
        <v>1</v>
      </c>
      <c r="S373" s="125">
        <f>IF('Quant. mod. (oc)'!S373&lt;0,0,ROUND('Quant. mod. (oc)'!S373,0))</f>
        <v>1</v>
      </c>
      <c r="T373" s="125">
        <f>IF('Quant. mod. (oc)'!T373&lt;0,0,ROUND('Quant. mod. (oc)'!T373,0))</f>
        <v>1</v>
      </c>
      <c r="U373" s="125">
        <f>IF('Quant. mod. (oc)'!U373&lt;0,0,ROUND('Quant. mod. (oc)'!U373,0))</f>
        <v>1</v>
      </c>
      <c r="V373" s="125">
        <f>IF('Quant. mod. (oc)'!V373&lt;0,0,ROUND('Quant. mod. (oc)'!V373,0))</f>
        <v>1</v>
      </c>
      <c r="W373" s="125">
        <f>IF('Quant. mod. (oc)'!W373&lt;0,0,ROUND('Quant. mod. (oc)'!W373,0))</f>
        <v>1</v>
      </c>
      <c r="X373" s="125">
        <f>IF('Quant. mod. (oc)'!X373&lt;0,0,ROUND('Quant. mod. (oc)'!X373,0))</f>
        <v>1</v>
      </c>
      <c r="Y373" s="125">
        <f>IF('Quant. mod. (oc)'!Y373&lt;0,0,ROUND('Quant. mod. (oc)'!Y373,0))</f>
        <v>1</v>
      </c>
      <c r="Z373" s="125">
        <f>IF('Quant. mod. (oc)'!Z373&lt;0,0,ROUND('Quant. mod. (oc)'!Z373,0))</f>
        <v>1</v>
      </c>
      <c r="AA373" s="125">
        <f>IF('Quant. mod. (oc)'!AA373&lt;0,0,ROUND('Quant. mod. (oc)'!AA373,0))</f>
        <v>1</v>
      </c>
      <c r="AB373" s="125">
        <f>IF('Quant. mod. (oc)'!AB373&lt;0,0,ROUND('Quant. mod. (oc)'!AB373,0))</f>
        <v>1</v>
      </c>
      <c r="AC373" s="125">
        <f>IF('Quant. mod. (oc)'!AC373&lt;0,0,ROUND('Quant. mod. (oc)'!AC373,0))</f>
        <v>1</v>
      </c>
      <c r="AD373" s="125">
        <f>IF('Quant. mod. (oc)'!AD373&lt;0,0,ROUND('Quant. mod. (oc)'!AD373,0))</f>
        <v>1</v>
      </c>
      <c r="AE373" s="125">
        <f>IF('Quant. mod. (oc)'!AE373&lt;0,0,ROUND('Quant. mod. (oc)'!AE373,0))</f>
        <v>1</v>
      </c>
      <c r="AF373" s="125">
        <f>IF('Quant. mod. (oc)'!AF373&lt;0,0,ROUND('Quant. mod. (oc)'!AF373,0))</f>
        <v>1</v>
      </c>
      <c r="AG373" s="126">
        <f>IF('Quant. mod. (oc)'!AG373&lt;0,0,ROUND('Quant. mod. (oc)'!AG373,0))</f>
        <v>1</v>
      </c>
      <c r="AH373" s="22"/>
    </row>
    <row r="374" spans="1:34" x14ac:dyDescent="0.25">
      <c r="A374" s="112"/>
      <c r="B374" s="120" t="s">
        <v>571</v>
      </c>
      <c r="C374" s="121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8"/>
      <c r="AH374" s="22"/>
    </row>
    <row r="375" spans="1:34" x14ac:dyDescent="0.25">
      <c r="A375" s="112"/>
      <c r="B375" s="27" t="s">
        <v>92</v>
      </c>
      <c r="C375" s="67" t="s">
        <v>59</v>
      </c>
      <c r="D375" s="125">
        <f>IF('Quant. mod. (oc)'!D375&lt;0,0,ROUND('Quant. mod. (oc)'!D375,0))</f>
        <v>1</v>
      </c>
      <c r="E375" s="125">
        <f>IF('Quant. mod. (oc)'!E375&lt;0,0,ROUND('Quant. mod. (oc)'!E375,0))</f>
        <v>1</v>
      </c>
      <c r="F375" s="125">
        <f>IF('Quant. mod. (oc)'!F375&lt;0,0,ROUND('Quant. mod. (oc)'!F375,0))</f>
        <v>1</v>
      </c>
      <c r="G375" s="125">
        <f>IF('Quant. mod. (oc)'!G375&lt;0,0,ROUND('Quant. mod. (oc)'!G375,0))</f>
        <v>1</v>
      </c>
      <c r="H375" s="125">
        <f>IF('Quant. mod. (oc)'!H375&lt;0,0,ROUND('Quant. mod. (oc)'!H375,0))</f>
        <v>1</v>
      </c>
      <c r="I375" s="125">
        <f>IF('Quant. mod. (oc)'!I375&lt;0,0,ROUND('Quant. mod. (oc)'!I375,0))</f>
        <v>1</v>
      </c>
      <c r="J375" s="125">
        <f>IF('Quant. mod. (oc)'!J375&lt;0,0,ROUND('Quant. mod. (oc)'!J375,0))</f>
        <v>1</v>
      </c>
      <c r="K375" s="125">
        <f>IF('Quant. mod. (oc)'!K375&lt;0,0,ROUND('Quant. mod. (oc)'!K375,0))</f>
        <v>1</v>
      </c>
      <c r="L375" s="125">
        <f>IF('Quant. mod. (oc)'!L375&lt;0,0,ROUND('Quant. mod. (oc)'!L375,0))</f>
        <v>1</v>
      </c>
      <c r="M375" s="125">
        <f>IF('Quant. mod. (oc)'!M375&lt;0,0,ROUND('Quant. mod. (oc)'!M375,0))</f>
        <v>1</v>
      </c>
      <c r="N375" s="125">
        <f>IF('Quant. mod. (oc)'!N375&lt;0,0,ROUND('Quant. mod. (oc)'!N375,0))</f>
        <v>1</v>
      </c>
      <c r="O375" s="125">
        <f>IF('Quant. mod. (oc)'!O375&lt;0,0,ROUND('Quant. mod. (oc)'!O375,0))</f>
        <v>1</v>
      </c>
      <c r="P375" s="125">
        <f>IF('Quant. mod. (oc)'!P375&lt;0,0,ROUND('Quant. mod. (oc)'!P375,0))</f>
        <v>1</v>
      </c>
      <c r="Q375" s="125">
        <f>IF('Quant. mod. (oc)'!Q375&lt;0,0,ROUND('Quant. mod. (oc)'!Q375,0))</f>
        <v>1</v>
      </c>
      <c r="R375" s="125">
        <f>IF('Quant. mod. (oc)'!R375&lt;0,0,ROUND('Quant. mod. (oc)'!R375,0))</f>
        <v>1</v>
      </c>
      <c r="S375" s="125">
        <f>IF('Quant. mod. (oc)'!S375&lt;0,0,ROUND('Quant. mod. (oc)'!S375,0))</f>
        <v>1</v>
      </c>
      <c r="T375" s="125">
        <f>IF('Quant. mod. (oc)'!T375&lt;0,0,ROUND('Quant. mod. (oc)'!T375,0))</f>
        <v>1</v>
      </c>
      <c r="U375" s="125">
        <f>IF('Quant. mod. (oc)'!U375&lt;0,0,ROUND('Quant. mod. (oc)'!U375,0))</f>
        <v>1</v>
      </c>
      <c r="V375" s="125">
        <f>IF('Quant. mod. (oc)'!V375&lt;0,0,ROUND('Quant. mod. (oc)'!V375,0))</f>
        <v>1</v>
      </c>
      <c r="W375" s="125">
        <f>IF('Quant. mod. (oc)'!W375&lt;0,0,ROUND('Quant. mod. (oc)'!W375,0))</f>
        <v>1</v>
      </c>
      <c r="X375" s="125">
        <f>IF('Quant. mod. (oc)'!X375&lt;0,0,ROUND('Quant. mod. (oc)'!X375,0))</f>
        <v>1</v>
      </c>
      <c r="Y375" s="125">
        <f>IF('Quant. mod. (oc)'!Y375&lt;0,0,ROUND('Quant. mod. (oc)'!Y375,0))</f>
        <v>1</v>
      </c>
      <c r="Z375" s="125">
        <f>IF('Quant. mod. (oc)'!Z375&lt;0,0,ROUND('Quant. mod. (oc)'!Z375,0))</f>
        <v>1</v>
      </c>
      <c r="AA375" s="125">
        <f>IF('Quant. mod. (oc)'!AA375&lt;0,0,ROUND('Quant. mod. (oc)'!AA375,0))</f>
        <v>1</v>
      </c>
      <c r="AB375" s="125">
        <f>IF('Quant. mod. (oc)'!AB375&lt;0,0,ROUND('Quant. mod. (oc)'!AB375,0))</f>
        <v>1</v>
      </c>
      <c r="AC375" s="125">
        <f>IF('Quant. mod. (oc)'!AC375&lt;0,0,ROUND('Quant. mod. (oc)'!AC375,0))</f>
        <v>1</v>
      </c>
      <c r="AD375" s="125">
        <f>IF('Quant. mod. (oc)'!AD375&lt;0,0,ROUND('Quant. mod. (oc)'!AD375,0))</f>
        <v>1</v>
      </c>
      <c r="AE375" s="125">
        <f>IF('Quant. mod. (oc)'!AE375&lt;0,0,ROUND('Quant. mod. (oc)'!AE375,0))</f>
        <v>1</v>
      </c>
      <c r="AF375" s="125">
        <f>IF('Quant. mod. (oc)'!AF375&lt;0,0,ROUND('Quant. mod. (oc)'!AF375,0))</f>
        <v>1</v>
      </c>
      <c r="AG375" s="126">
        <f>IF('Quant. mod. (oc)'!AG375&lt;0,0,ROUND('Quant. mod. (oc)'!AG375,0))</f>
        <v>1</v>
      </c>
      <c r="AH375" s="22"/>
    </row>
    <row r="376" spans="1:34" x14ac:dyDescent="0.25">
      <c r="A376" s="112"/>
      <c r="B376" s="27" t="s">
        <v>93</v>
      </c>
      <c r="C376" s="67" t="s">
        <v>59</v>
      </c>
      <c r="D376" s="125">
        <f>IF('Quant. mod. (oc)'!D376&lt;0,0,ROUND('Quant. mod. (oc)'!D376,0))</f>
        <v>1</v>
      </c>
      <c r="E376" s="125">
        <f>IF('Quant. mod. (oc)'!E376&lt;0,0,ROUND('Quant. mod. (oc)'!E376,0))</f>
        <v>1</v>
      </c>
      <c r="F376" s="125">
        <f>IF('Quant. mod. (oc)'!F376&lt;0,0,ROUND('Quant. mod. (oc)'!F376,0))</f>
        <v>1</v>
      </c>
      <c r="G376" s="125">
        <f>IF('Quant. mod. (oc)'!G376&lt;0,0,ROUND('Quant. mod. (oc)'!G376,0))</f>
        <v>1</v>
      </c>
      <c r="H376" s="125">
        <f>IF('Quant. mod. (oc)'!H376&lt;0,0,ROUND('Quant. mod. (oc)'!H376,0))</f>
        <v>1</v>
      </c>
      <c r="I376" s="125">
        <f>IF('Quant. mod. (oc)'!I376&lt;0,0,ROUND('Quant. mod. (oc)'!I376,0))</f>
        <v>1</v>
      </c>
      <c r="J376" s="125">
        <f>IF('Quant. mod. (oc)'!J376&lt;0,0,ROUND('Quant. mod. (oc)'!J376,0))</f>
        <v>1</v>
      </c>
      <c r="K376" s="125">
        <f>IF('Quant. mod. (oc)'!K376&lt;0,0,ROUND('Quant. mod. (oc)'!K376,0))</f>
        <v>1</v>
      </c>
      <c r="L376" s="125">
        <f>IF('Quant. mod. (oc)'!L376&lt;0,0,ROUND('Quant. mod. (oc)'!L376,0))</f>
        <v>1</v>
      </c>
      <c r="M376" s="125">
        <f>IF('Quant. mod. (oc)'!M376&lt;0,0,ROUND('Quant. mod. (oc)'!M376,0))</f>
        <v>1</v>
      </c>
      <c r="N376" s="125">
        <f>IF('Quant. mod. (oc)'!N376&lt;0,0,ROUND('Quant. mod. (oc)'!N376,0))</f>
        <v>1</v>
      </c>
      <c r="O376" s="125">
        <f>IF('Quant. mod. (oc)'!O376&lt;0,0,ROUND('Quant. mod. (oc)'!O376,0))</f>
        <v>1</v>
      </c>
      <c r="P376" s="125">
        <f>IF('Quant. mod. (oc)'!P376&lt;0,0,ROUND('Quant. mod. (oc)'!P376,0))</f>
        <v>1</v>
      </c>
      <c r="Q376" s="125">
        <f>IF('Quant. mod. (oc)'!Q376&lt;0,0,ROUND('Quant. mod. (oc)'!Q376,0))</f>
        <v>1</v>
      </c>
      <c r="R376" s="125">
        <f>IF('Quant. mod. (oc)'!R376&lt;0,0,ROUND('Quant. mod. (oc)'!R376,0))</f>
        <v>1</v>
      </c>
      <c r="S376" s="125">
        <f>IF('Quant. mod. (oc)'!S376&lt;0,0,ROUND('Quant. mod. (oc)'!S376,0))</f>
        <v>1</v>
      </c>
      <c r="T376" s="125">
        <f>IF('Quant. mod. (oc)'!T376&lt;0,0,ROUND('Quant. mod. (oc)'!T376,0))</f>
        <v>1</v>
      </c>
      <c r="U376" s="125">
        <f>IF('Quant. mod. (oc)'!U376&lt;0,0,ROUND('Quant. mod. (oc)'!U376,0))</f>
        <v>1</v>
      </c>
      <c r="V376" s="125">
        <f>IF('Quant. mod. (oc)'!V376&lt;0,0,ROUND('Quant. mod. (oc)'!V376,0))</f>
        <v>1</v>
      </c>
      <c r="W376" s="125">
        <f>IF('Quant. mod. (oc)'!W376&lt;0,0,ROUND('Quant. mod. (oc)'!W376,0))</f>
        <v>1</v>
      </c>
      <c r="X376" s="125">
        <f>IF('Quant. mod. (oc)'!X376&lt;0,0,ROUND('Quant. mod. (oc)'!X376,0))</f>
        <v>1</v>
      </c>
      <c r="Y376" s="125">
        <f>IF('Quant. mod. (oc)'!Y376&lt;0,0,ROUND('Quant. mod. (oc)'!Y376,0))</f>
        <v>1</v>
      </c>
      <c r="Z376" s="125">
        <f>IF('Quant. mod. (oc)'!Z376&lt;0,0,ROUND('Quant. mod. (oc)'!Z376,0))</f>
        <v>1</v>
      </c>
      <c r="AA376" s="125">
        <f>IF('Quant. mod. (oc)'!AA376&lt;0,0,ROUND('Quant. mod. (oc)'!AA376,0))</f>
        <v>1</v>
      </c>
      <c r="AB376" s="125">
        <f>IF('Quant. mod. (oc)'!AB376&lt;0,0,ROUND('Quant. mod. (oc)'!AB376,0))</f>
        <v>1</v>
      </c>
      <c r="AC376" s="125">
        <f>IF('Quant. mod. (oc)'!AC376&lt;0,0,ROUND('Quant. mod. (oc)'!AC376,0))</f>
        <v>1</v>
      </c>
      <c r="AD376" s="125">
        <f>IF('Quant. mod. (oc)'!AD376&lt;0,0,ROUND('Quant. mod. (oc)'!AD376,0))</f>
        <v>1</v>
      </c>
      <c r="AE376" s="125">
        <f>IF('Quant. mod. (oc)'!AE376&lt;0,0,ROUND('Quant. mod. (oc)'!AE376,0))</f>
        <v>1</v>
      </c>
      <c r="AF376" s="125">
        <f>IF('Quant. mod. (oc)'!AF376&lt;0,0,ROUND('Quant. mod. (oc)'!AF376,0))</f>
        <v>1</v>
      </c>
      <c r="AG376" s="126">
        <f>IF('Quant. mod. (oc)'!AG376&lt;0,0,ROUND('Quant. mod. (oc)'!AG376,0))</f>
        <v>1</v>
      </c>
      <c r="AH376" s="22"/>
    </row>
    <row r="377" spans="1:34" x14ac:dyDescent="0.25">
      <c r="A377" s="112"/>
      <c r="B377" s="27" t="s">
        <v>94</v>
      </c>
      <c r="C377" s="67" t="s">
        <v>59</v>
      </c>
      <c r="D377" s="125">
        <f>IF('Quant. mod. (oc)'!D377&lt;0,0,ROUND('Quant. mod. (oc)'!D377,0))</f>
        <v>1</v>
      </c>
      <c r="E377" s="125">
        <f>IF('Quant. mod. (oc)'!E377&lt;0,0,ROUND('Quant. mod. (oc)'!E377,0))</f>
        <v>1</v>
      </c>
      <c r="F377" s="125">
        <f>IF('Quant. mod. (oc)'!F377&lt;0,0,ROUND('Quant. mod. (oc)'!F377,0))</f>
        <v>1</v>
      </c>
      <c r="G377" s="125">
        <f>IF('Quant. mod. (oc)'!G377&lt;0,0,ROUND('Quant. mod. (oc)'!G377,0))</f>
        <v>1</v>
      </c>
      <c r="H377" s="125">
        <f>IF('Quant. mod. (oc)'!H377&lt;0,0,ROUND('Quant. mod. (oc)'!H377,0))</f>
        <v>1</v>
      </c>
      <c r="I377" s="125">
        <f>IF('Quant. mod. (oc)'!I377&lt;0,0,ROUND('Quant. mod. (oc)'!I377,0))</f>
        <v>1</v>
      </c>
      <c r="J377" s="125">
        <f>IF('Quant. mod. (oc)'!J377&lt;0,0,ROUND('Quant. mod. (oc)'!J377,0))</f>
        <v>1</v>
      </c>
      <c r="K377" s="125">
        <f>IF('Quant. mod. (oc)'!K377&lt;0,0,ROUND('Quant. mod. (oc)'!K377,0))</f>
        <v>1</v>
      </c>
      <c r="L377" s="125">
        <f>IF('Quant. mod. (oc)'!L377&lt;0,0,ROUND('Quant. mod. (oc)'!L377,0))</f>
        <v>1</v>
      </c>
      <c r="M377" s="125">
        <f>IF('Quant. mod. (oc)'!M377&lt;0,0,ROUND('Quant. mod. (oc)'!M377,0))</f>
        <v>1</v>
      </c>
      <c r="N377" s="125">
        <f>IF('Quant. mod. (oc)'!N377&lt;0,0,ROUND('Quant. mod. (oc)'!N377,0))</f>
        <v>1</v>
      </c>
      <c r="O377" s="125">
        <f>IF('Quant. mod. (oc)'!O377&lt;0,0,ROUND('Quant. mod. (oc)'!O377,0))</f>
        <v>1</v>
      </c>
      <c r="P377" s="125">
        <f>IF('Quant. mod. (oc)'!P377&lt;0,0,ROUND('Quant. mod. (oc)'!P377,0))</f>
        <v>1</v>
      </c>
      <c r="Q377" s="125">
        <f>IF('Quant. mod. (oc)'!Q377&lt;0,0,ROUND('Quant. mod. (oc)'!Q377,0))</f>
        <v>1</v>
      </c>
      <c r="R377" s="125">
        <f>IF('Quant. mod. (oc)'!R377&lt;0,0,ROUND('Quant. mod. (oc)'!R377,0))</f>
        <v>1</v>
      </c>
      <c r="S377" s="125">
        <f>IF('Quant. mod. (oc)'!S377&lt;0,0,ROUND('Quant. mod. (oc)'!S377,0))</f>
        <v>1</v>
      </c>
      <c r="T377" s="125">
        <f>IF('Quant. mod. (oc)'!T377&lt;0,0,ROUND('Quant. mod. (oc)'!T377,0))</f>
        <v>1</v>
      </c>
      <c r="U377" s="125">
        <f>IF('Quant. mod. (oc)'!U377&lt;0,0,ROUND('Quant. mod. (oc)'!U377,0))</f>
        <v>1</v>
      </c>
      <c r="V377" s="125">
        <f>IF('Quant. mod. (oc)'!V377&lt;0,0,ROUND('Quant. mod. (oc)'!V377,0))</f>
        <v>1</v>
      </c>
      <c r="W377" s="125">
        <f>IF('Quant. mod. (oc)'!W377&lt;0,0,ROUND('Quant. mod. (oc)'!W377,0))</f>
        <v>1</v>
      </c>
      <c r="X377" s="125">
        <f>IF('Quant. mod. (oc)'!X377&lt;0,0,ROUND('Quant. mod. (oc)'!X377,0))</f>
        <v>1</v>
      </c>
      <c r="Y377" s="125">
        <f>IF('Quant. mod. (oc)'!Y377&lt;0,0,ROUND('Quant. mod. (oc)'!Y377,0))</f>
        <v>1</v>
      </c>
      <c r="Z377" s="125">
        <f>IF('Quant. mod. (oc)'!Z377&lt;0,0,ROUND('Quant. mod. (oc)'!Z377,0))</f>
        <v>1</v>
      </c>
      <c r="AA377" s="125">
        <f>IF('Quant. mod. (oc)'!AA377&lt;0,0,ROUND('Quant. mod. (oc)'!AA377,0))</f>
        <v>1</v>
      </c>
      <c r="AB377" s="125">
        <f>IF('Quant. mod. (oc)'!AB377&lt;0,0,ROUND('Quant. mod. (oc)'!AB377,0))</f>
        <v>1</v>
      </c>
      <c r="AC377" s="125">
        <f>IF('Quant. mod. (oc)'!AC377&lt;0,0,ROUND('Quant. mod. (oc)'!AC377,0))</f>
        <v>1</v>
      </c>
      <c r="AD377" s="125">
        <f>IF('Quant. mod. (oc)'!AD377&lt;0,0,ROUND('Quant. mod. (oc)'!AD377,0))</f>
        <v>1</v>
      </c>
      <c r="AE377" s="125">
        <f>IF('Quant. mod. (oc)'!AE377&lt;0,0,ROUND('Quant. mod. (oc)'!AE377,0))</f>
        <v>1</v>
      </c>
      <c r="AF377" s="125">
        <f>IF('Quant. mod. (oc)'!AF377&lt;0,0,ROUND('Quant. mod. (oc)'!AF377,0))</f>
        <v>1</v>
      </c>
      <c r="AG377" s="126">
        <f>IF('Quant. mod. (oc)'!AG377&lt;0,0,ROUND('Quant. mod. (oc)'!AG377,0))</f>
        <v>1</v>
      </c>
      <c r="AH377" s="22"/>
    </row>
    <row r="378" spans="1:34" x14ac:dyDescent="0.25">
      <c r="A378" s="112"/>
      <c r="B378" s="27" t="s">
        <v>95</v>
      </c>
      <c r="C378" s="67" t="s">
        <v>59</v>
      </c>
      <c r="D378" s="125">
        <f>IF('Quant. mod. (oc)'!D378&lt;0,0,ROUND('Quant. mod. (oc)'!D378,0))</f>
        <v>1</v>
      </c>
      <c r="E378" s="125">
        <f>IF('Quant. mod. (oc)'!E378&lt;0,0,ROUND('Quant. mod. (oc)'!E378,0))</f>
        <v>1</v>
      </c>
      <c r="F378" s="125">
        <f>IF('Quant. mod. (oc)'!F378&lt;0,0,ROUND('Quant. mod. (oc)'!F378,0))</f>
        <v>1</v>
      </c>
      <c r="G378" s="125">
        <f>IF('Quant. mod. (oc)'!G378&lt;0,0,ROUND('Quant. mod. (oc)'!G378,0))</f>
        <v>1</v>
      </c>
      <c r="H378" s="125">
        <f>IF('Quant. mod. (oc)'!H378&lt;0,0,ROUND('Quant. mod. (oc)'!H378,0))</f>
        <v>1</v>
      </c>
      <c r="I378" s="125">
        <f>IF('Quant. mod. (oc)'!I378&lt;0,0,ROUND('Quant. mod. (oc)'!I378,0))</f>
        <v>1</v>
      </c>
      <c r="J378" s="125">
        <f>IF('Quant. mod. (oc)'!J378&lt;0,0,ROUND('Quant. mod. (oc)'!J378,0))</f>
        <v>1</v>
      </c>
      <c r="K378" s="125">
        <f>IF('Quant. mod. (oc)'!K378&lt;0,0,ROUND('Quant. mod. (oc)'!K378,0))</f>
        <v>1</v>
      </c>
      <c r="L378" s="125">
        <f>IF('Quant. mod. (oc)'!L378&lt;0,0,ROUND('Quant. mod. (oc)'!L378,0))</f>
        <v>1</v>
      </c>
      <c r="M378" s="125">
        <f>IF('Quant. mod. (oc)'!M378&lt;0,0,ROUND('Quant. mod. (oc)'!M378,0))</f>
        <v>1</v>
      </c>
      <c r="N378" s="125">
        <f>IF('Quant. mod. (oc)'!N378&lt;0,0,ROUND('Quant. mod. (oc)'!N378,0))</f>
        <v>1</v>
      </c>
      <c r="O378" s="125">
        <f>IF('Quant. mod. (oc)'!O378&lt;0,0,ROUND('Quant. mod. (oc)'!O378,0))</f>
        <v>1</v>
      </c>
      <c r="P378" s="125">
        <f>IF('Quant. mod. (oc)'!P378&lt;0,0,ROUND('Quant. mod. (oc)'!P378,0))</f>
        <v>1</v>
      </c>
      <c r="Q378" s="125">
        <f>IF('Quant. mod. (oc)'!Q378&lt;0,0,ROUND('Quant. mod. (oc)'!Q378,0))</f>
        <v>1</v>
      </c>
      <c r="R378" s="125">
        <f>IF('Quant. mod. (oc)'!R378&lt;0,0,ROUND('Quant. mod. (oc)'!R378,0))</f>
        <v>1</v>
      </c>
      <c r="S378" s="125">
        <f>IF('Quant. mod. (oc)'!S378&lt;0,0,ROUND('Quant. mod. (oc)'!S378,0))</f>
        <v>1</v>
      </c>
      <c r="T378" s="125">
        <f>IF('Quant. mod. (oc)'!T378&lt;0,0,ROUND('Quant. mod. (oc)'!T378,0))</f>
        <v>1</v>
      </c>
      <c r="U378" s="125">
        <f>IF('Quant. mod. (oc)'!U378&lt;0,0,ROUND('Quant. mod. (oc)'!U378,0))</f>
        <v>1</v>
      </c>
      <c r="V378" s="125">
        <f>IF('Quant. mod. (oc)'!V378&lt;0,0,ROUND('Quant. mod. (oc)'!V378,0))</f>
        <v>1</v>
      </c>
      <c r="W378" s="125">
        <f>IF('Quant. mod. (oc)'!W378&lt;0,0,ROUND('Quant. mod. (oc)'!W378,0))</f>
        <v>1</v>
      </c>
      <c r="X378" s="125">
        <f>IF('Quant. mod. (oc)'!X378&lt;0,0,ROUND('Quant. mod. (oc)'!X378,0))</f>
        <v>1</v>
      </c>
      <c r="Y378" s="125">
        <f>IF('Quant. mod. (oc)'!Y378&lt;0,0,ROUND('Quant. mod. (oc)'!Y378,0))</f>
        <v>1</v>
      </c>
      <c r="Z378" s="125">
        <f>IF('Quant. mod. (oc)'!Z378&lt;0,0,ROUND('Quant. mod. (oc)'!Z378,0))</f>
        <v>1</v>
      </c>
      <c r="AA378" s="125">
        <f>IF('Quant. mod. (oc)'!AA378&lt;0,0,ROUND('Quant. mod. (oc)'!AA378,0))</f>
        <v>1</v>
      </c>
      <c r="AB378" s="125">
        <f>IF('Quant. mod. (oc)'!AB378&lt;0,0,ROUND('Quant. mod. (oc)'!AB378,0))</f>
        <v>1</v>
      </c>
      <c r="AC378" s="125">
        <f>IF('Quant. mod. (oc)'!AC378&lt;0,0,ROUND('Quant. mod. (oc)'!AC378,0))</f>
        <v>1</v>
      </c>
      <c r="AD378" s="125">
        <f>IF('Quant. mod. (oc)'!AD378&lt;0,0,ROUND('Quant. mod. (oc)'!AD378,0))</f>
        <v>1</v>
      </c>
      <c r="AE378" s="125">
        <f>IF('Quant. mod. (oc)'!AE378&lt;0,0,ROUND('Quant. mod. (oc)'!AE378,0))</f>
        <v>1</v>
      </c>
      <c r="AF378" s="125">
        <f>IF('Quant. mod. (oc)'!AF378&lt;0,0,ROUND('Quant. mod. (oc)'!AF378,0))</f>
        <v>1</v>
      </c>
      <c r="AG378" s="126">
        <f>IF('Quant. mod. (oc)'!AG378&lt;0,0,ROUND('Quant. mod. (oc)'!AG378,0))</f>
        <v>1</v>
      </c>
      <c r="AH378" s="22"/>
    </row>
    <row r="379" spans="1:34" x14ac:dyDescent="0.25">
      <c r="A379" s="112"/>
      <c r="B379" s="27" t="s">
        <v>96</v>
      </c>
      <c r="C379" s="67" t="s">
        <v>59</v>
      </c>
      <c r="D379" s="125">
        <f>IF('Quant. mod. (oc)'!D379&lt;0,0,ROUND('Quant. mod. (oc)'!D379,0))</f>
        <v>1</v>
      </c>
      <c r="E379" s="125">
        <f>IF('Quant. mod. (oc)'!E379&lt;0,0,ROUND('Quant. mod. (oc)'!E379,0))</f>
        <v>1</v>
      </c>
      <c r="F379" s="125">
        <f>IF('Quant. mod. (oc)'!F379&lt;0,0,ROUND('Quant. mod. (oc)'!F379,0))</f>
        <v>1</v>
      </c>
      <c r="G379" s="125">
        <f>IF('Quant. mod. (oc)'!G379&lt;0,0,ROUND('Quant. mod. (oc)'!G379,0))</f>
        <v>1</v>
      </c>
      <c r="H379" s="125">
        <f>IF('Quant. mod. (oc)'!H379&lt;0,0,ROUND('Quant. mod. (oc)'!H379,0))</f>
        <v>1</v>
      </c>
      <c r="I379" s="125">
        <f>IF('Quant. mod. (oc)'!I379&lt;0,0,ROUND('Quant. mod. (oc)'!I379,0))</f>
        <v>1</v>
      </c>
      <c r="J379" s="125">
        <f>IF('Quant. mod. (oc)'!J379&lt;0,0,ROUND('Quant. mod. (oc)'!J379,0))</f>
        <v>1</v>
      </c>
      <c r="K379" s="125">
        <f>IF('Quant. mod. (oc)'!K379&lt;0,0,ROUND('Quant. mod. (oc)'!K379,0))</f>
        <v>1</v>
      </c>
      <c r="L379" s="125">
        <f>IF('Quant. mod. (oc)'!L379&lt;0,0,ROUND('Quant. mod. (oc)'!L379,0))</f>
        <v>1</v>
      </c>
      <c r="M379" s="125">
        <f>IF('Quant. mod. (oc)'!M379&lt;0,0,ROUND('Quant. mod. (oc)'!M379,0))</f>
        <v>1</v>
      </c>
      <c r="N379" s="125">
        <f>IF('Quant. mod. (oc)'!N379&lt;0,0,ROUND('Quant. mod. (oc)'!N379,0))</f>
        <v>1</v>
      </c>
      <c r="O379" s="125">
        <f>IF('Quant. mod. (oc)'!O379&lt;0,0,ROUND('Quant. mod. (oc)'!O379,0))</f>
        <v>1</v>
      </c>
      <c r="P379" s="125">
        <f>IF('Quant. mod. (oc)'!P379&lt;0,0,ROUND('Quant. mod. (oc)'!P379,0))</f>
        <v>1</v>
      </c>
      <c r="Q379" s="125">
        <f>IF('Quant. mod. (oc)'!Q379&lt;0,0,ROUND('Quant. mod. (oc)'!Q379,0))</f>
        <v>1</v>
      </c>
      <c r="R379" s="125">
        <f>IF('Quant. mod. (oc)'!R379&lt;0,0,ROUND('Quant. mod. (oc)'!R379,0))</f>
        <v>1</v>
      </c>
      <c r="S379" s="125">
        <f>IF('Quant. mod. (oc)'!S379&lt;0,0,ROUND('Quant. mod. (oc)'!S379,0))</f>
        <v>1</v>
      </c>
      <c r="T379" s="125">
        <f>IF('Quant. mod. (oc)'!T379&lt;0,0,ROUND('Quant. mod. (oc)'!T379,0))</f>
        <v>1</v>
      </c>
      <c r="U379" s="125">
        <f>IF('Quant. mod. (oc)'!U379&lt;0,0,ROUND('Quant. mod. (oc)'!U379,0))</f>
        <v>1</v>
      </c>
      <c r="V379" s="125">
        <f>IF('Quant. mod. (oc)'!V379&lt;0,0,ROUND('Quant. mod. (oc)'!V379,0))</f>
        <v>1</v>
      </c>
      <c r="W379" s="125">
        <f>IF('Quant. mod. (oc)'!W379&lt;0,0,ROUND('Quant. mod. (oc)'!W379,0))</f>
        <v>1</v>
      </c>
      <c r="X379" s="125">
        <f>IF('Quant. mod. (oc)'!X379&lt;0,0,ROUND('Quant. mod. (oc)'!X379,0))</f>
        <v>1</v>
      </c>
      <c r="Y379" s="125">
        <f>IF('Quant. mod. (oc)'!Y379&lt;0,0,ROUND('Quant. mod. (oc)'!Y379,0))</f>
        <v>1</v>
      </c>
      <c r="Z379" s="125">
        <f>IF('Quant. mod. (oc)'!Z379&lt;0,0,ROUND('Quant. mod. (oc)'!Z379,0))</f>
        <v>1</v>
      </c>
      <c r="AA379" s="125">
        <f>IF('Quant. mod. (oc)'!AA379&lt;0,0,ROUND('Quant. mod. (oc)'!AA379,0))</f>
        <v>1</v>
      </c>
      <c r="AB379" s="125">
        <f>IF('Quant. mod. (oc)'!AB379&lt;0,0,ROUND('Quant. mod. (oc)'!AB379,0))</f>
        <v>1</v>
      </c>
      <c r="AC379" s="125">
        <f>IF('Quant. mod. (oc)'!AC379&lt;0,0,ROUND('Quant. mod. (oc)'!AC379,0))</f>
        <v>1</v>
      </c>
      <c r="AD379" s="125">
        <f>IF('Quant. mod. (oc)'!AD379&lt;0,0,ROUND('Quant. mod. (oc)'!AD379,0))</f>
        <v>1</v>
      </c>
      <c r="AE379" s="125">
        <f>IF('Quant. mod. (oc)'!AE379&lt;0,0,ROUND('Quant. mod. (oc)'!AE379,0))</f>
        <v>1</v>
      </c>
      <c r="AF379" s="125">
        <f>IF('Quant. mod. (oc)'!AF379&lt;0,0,ROUND('Quant. mod. (oc)'!AF379,0))</f>
        <v>1</v>
      </c>
      <c r="AG379" s="126">
        <f>IF('Quant. mod. (oc)'!AG379&lt;0,0,ROUND('Quant. mod. (oc)'!AG379,0))</f>
        <v>1</v>
      </c>
      <c r="AH379" s="22"/>
    </row>
    <row r="380" spans="1:34" ht="25.5" x14ac:dyDescent="0.25">
      <c r="A380" s="112"/>
      <c r="B380" s="27" t="s">
        <v>83</v>
      </c>
      <c r="C380" s="67" t="s">
        <v>59</v>
      </c>
      <c r="D380" s="125">
        <f>IF('Quant. mod. (oc)'!D380&lt;0,0,ROUND('Quant. mod. (oc)'!D380,0))</f>
        <v>1</v>
      </c>
      <c r="E380" s="125">
        <f>IF('Quant. mod. (oc)'!E380&lt;0,0,ROUND('Quant. mod. (oc)'!E380,0))</f>
        <v>1</v>
      </c>
      <c r="F380" s="125">
        <f>IF('Quant. mod. (oc)'!F380&lt;0,0,ROUND('Quant. mod. (oc)'!F380,0))</f>
        <v>1</v>
      </c>
      <c r="G380" s="125">
        <f>IF('Quant. mod. (oc)'!G380&lt;0,0,ROUND('Quant. mod. (oc)'!G380,0))</f>
        <v>1</v>
      </c>
      <c r="H380" s="125">
        <f>IF('Quant. mod. (oc)'!H380&lt;0,0,ROUND('Quant. mod. (oc)'!H380,0))</f>
        <v>1</v>
      </c>
      <c r="I380" s="125">
        <f>IF('Quant. mod. (oc)'!I380&lt;0,0,ROUND('Quant. mod. (oc)'!I380,0))</f>
        <v>1</v>
      </c>
      <c r="J380" s="125">
        <f>IF('Quant. mod. (oc)'!J380&lt;0,0,ROUND('Quant. mod. (oc)'!J380,0))</f>
        <v>1</v>
      </c>
      <c r="K380" s="125">
        <f>IF('Quant. mod. (oc)'!K380&lt;0,0,ROUND('Quant. mod. (oc)'!K380,0))</f>
        <v>1</v>
      </c>
      <c r="L380" s="125">
        <f>IF('Quant. mod. (oc)'!L380&lt;0,0,ROUND('Quant. mod. (oc)'!L380,0))</f>
        <v>1</v>
      </c>
      <c r="M380" s="125">
        <f>IF('Quant. mod. (oc)'!M380&lt;0,0,ROUND('Quant. mod. (oc)'!M380,0))</f>
        <v>1</v>
      </c>
      <c r="N380" s="125">
        <f>IF('Quant. mod. (oc)'!N380&lt;0,0,ROUND('Quant. mod. (oc)'!N380,0))</f>
        <v>1</v>
      </c>
      <c r="O380" s="125">
        <f>IF('Quant. mod. (oc)'!O380&lt;0,0,ROUND('Quant. mod. (oc)'!O380,0))</f>
        <v>1</v>
      </c>
      <c r="P380" s="125">
        <f>IF('Quant. mod. (oc)'!P380&lt;0,0,ROUND('Quant. mod. (oc)'!P380,0))</f>
        <v>1</v>
      </c>
      <c r="Q380" s="125">
        <f>IF('Quant. mod. (oc)'!Q380&lt;0,0,ROUND('Quant. mod. (oc)'!Q380,0))</f>
        <v>1</v>
      </c>
      <c r="R380" s="125">
        <f>IF('Quant. mod. (oc)'!R380&lt;0,0,ROUND('Quant. mod. (oc)'!R380,0))</f>
        <v>1</v>
      </c>
      <c r="S380" s="125">
        <f>IF('Quant. mod. (oc)'!S380&lt;0,0,ROUND('Quant. mod. (oc)'!S380,0))</f>
        <v>1</v>
      </c>
      <c r="T380" s="125">
        <f>IF('Quant. mod. (oc)'!T380&lt;0,0,ROUND('Quant. mod. (oc)'!T380,0))</f>
        <v>1</v>
      </c>
      <c r="U380" s="125">
        <f>IF('Quant. mod. (oc)'!U380&lt;0,0,ROUND('Quant. mod. (oc)'!U380,0))</f>
        <v>1</v>
      </c>
      <c r="V380" s="125">
        <f>IF('Quant. mod. (oc)'!V380&lt;0,0,ROUND('Quant. mod. (oc)'!V380,0))</f>
        <v>1</v>
      </c>
      <c r="W380" s="125">
        <f>IF('Quant. mod. (oc)'!W380&lt;0,0,ROUND('Quant. mod. (oc)'!W380,0))</f>
        <v>1</v>
      </c>
      <c r="X380" s="125">
        <f>IF('Quant. mod. (oc)'!X380&lt;0,0,ROUND('Quant. mod. (oc)'!X380,0))</f>
        <v>1</v>
      </c>
      <c r="Y380" s="125">
        <f>IF('Quant. mod. (oc)'!Y380&lt;0,0,ROUND('Quant. mod. (oc)'!Y380,0))</f>
        <v>1</v>
      </c>
      <c r="Z380" s="125">
        <f>IF('Quant. mod. (oc)'!Z380&lt;0,0,ROUND('Quant. mod. (oc)'!Z380,0))</f>
        <v>1</v>
      </c>
      <c r="AA380" s="125">
        <f>IF('Quant. mod. (oc)'!AA380&lt;0,0,ROUND('Quant. mod. (oc)'!AA380,0))</f>
        <v>1</v>
      </c>
      <c r="AB380" s="125">
        <f>IF('Quant. mod. (oc)'!AB380&lt;0,0,ROUND('Quant. mod. (oc)'!AB380,0))</f>
        <v>1</v>
      </c>
      <c r="AC380" s="125">
        <f>IF('Quant. mod. (oc)'!AC380&lt;0,0,ROUND('Quant. mod. (oc)'!AC380,0))</f>
        <v>1</v>
      </c>
      <c r="AD380" s="125">
        <f>IF('Quant. mod. (oc)'!AD380&lt;0,0,ROUND('Quant. mod. (oc)'!AD380,0))</f>
        <v>1</v>
      </c>
      <c r="AE380" s="125">
        <f>IF('Quant. mod. (oc)'!AE380&lt;0,0,ROUND('Quant. mod. (oc)'!AE380,0))</f>
        <v>1</v>
      </c>
      <c r="AF380" s="125">
        <f>IF('Quant. mod. (oc)'!AF380&lt;0,0,ROUND('Quant. mod. (oc)'!AF380,0))</f>
        <v>1</v>
      </c>
      <c r="AG380" s="126">
        <f>IF('Quant. mod. (oc)'!AG380&lt;0,0,ROUND('Quant. mod. (oc)'!AG380,0))</f>
        <v>1</v>
      </c>
      <c r="AH380" s="22"/>
    </row>
    <row r="381" spans="1:34" x14ac:dyDescent="0.25">
      <c r="A381" s="112"/>
      <c r="B381" s="27" t="s">
        <v>97</v>
      </c>
      <c r="C381" s="67" t="s">
        <v>59</v>
      </c>
      <c r="D381" s="125">
        <f>IF('Quant. mod. (oc)'!D381&lt;0,0,ROUND('Quant. mod. (oc)'!D381,0))</f>
        <v>1</v>
      </c>
      <c r="E381" s="125">
        <f>IF('Quant. mod. (oc)'!E381&lt;0,0,ROUND('Quant. mod. (oc)'!E381,0))</f>
        <v>1</v>
      </c>
      <c r="F381" s="125">
        <f>IF('Quant. mod. (oc)'!F381&lt;0,0,ROUND('Quant. mod. (oc)'!F381,0))</f>
        <v>1</v>
      </c>
      <c r="G381" s="125">
        <f>IF('Quant. mod. (oc)'!G381&lt;0,0,ROUND('Quant. mod. (oc)'!G381,0))</f>
        <v>1</v>
      </c>
      <c r="H381" s="125">
        <f>IF('Quant. mod. (oc)'!H381&lt;0,0,ROUND('Quant. mod. (oc)'!H381,0))</f>
        <v>1</v>
      </c>
      <c r="I381" s="125">
        <f>IF('Quant. mod. (oc)'!I381&lt;0,0,ROUND('Quant. mod. (oc)'!I381,0))</f>
        <v>1</v>
      </c>
      <c r="J381" s="125">
        <f>IF('Quant. mod. (oc)'!J381&lt;0,0,ROUND('Quant. mod. (oc)'!J381,0))</f>
        <v>1</v>
      </c>
      <c r="K381" s="125">
        <f>IF('Quant. mod. (oc)'!K381&lt;0,0,ROUND('Quant. mod. (oc)'!K381,0))</f>
        <v>1</v>
      </c>
      <c r="L381" s="125">
        <f>IF('Quant. mod. (oc)'!L381&lt;0,0,ROUND('Quant. mod. (oc)'!L381,0))</f>
        <v>1</v>
      </c>
      <c r="M381" s="125">
        <f>IF('Quant. mod. (oc)'!M381&lt;0,0,ROUND('Quant. mod. (oc)'!M381,0))</f>
        <v>1</v>
      </c>
      <c r="N381" s="125">
        <f>IF('Quant. mod. (oc)'!N381&lt;0,0,ROUND('Quant. mod. (oc)'!N381,0))</f>
        <v>1</v>
      </c>
      <c r="O381" s="125">
        <f>IF('Quant. mod. (oc)'!O381&lt;0,0,ROUND('Quant. mod. (oc)'!O381,0))</f>
        <v>1</v>
      </c>
      <c r="P381" s="125">
        <f>IF('Quant. mod. (oc)'!P381&lt;0,0,ROUND('Quant. mod. (oc)'!P381,0))</f>
        <v>1</v>
      </c>
      <c r="Q381" s="125">
        <f>IF('Quant. mod. (oc)'!Q381&lt;0,0,ROUND('Quant. mod. (oc)'!Q381,0))</f>
        <v>1</v>
      </c>
      <c r="R381" s="125">
        <f>IF('Quant. mod. (oc)'!R381&lt;0,0,ROUND('Quant. mod. (oc)'!R381,0))</f>
        <v>1</v>
      </c>
      <c r="S381" s="125">
        <f>IF('Quant. mod. (oc)'!S381&lt;0,0,ROUND('Quant. mod. (oc)'!S381,0))</f>
        <v>1</v>
      </c>
      <c r="T381" s="125">
        <f>IF('Quant. mod. (oc)'!T381&lt;0,0,ROUND('Quant. mod. (oc)'!T381,0))</f>
        <v>1</v>
      </c>
      <c r="U381" s="125">
        <f>IF('Quant. mod. (oc)'!U381&lt;0,0,ROUND('Quant. mod. (oc)'!U381,0))</f>
        <v>1</v>
      </c>
      <c r="V381" s="125">
        <f>IF('Quant. mod. (oc)'!V381&lt;0,0,ROUND('Quant. mod. (oc)'!V381,0))</f>
        <v>1</v>
      </c>
      <c r="W381" s="125">
        <f>IF('Quant. mod. (oc)'!W381&lt;0,0,ROUND('Quant. mod. (oc)'!W381,0))</f>
        <v>1</v>
      </c>
      <c r="X381" s="125">
        <f>IF('Quant. mod. (oc)'!X381&lt;0,0,ROUND('Quant. mod. (oc)'!X381,0))</f>
        <v>1</v>
      </c>
      <c r="Y381" s="125">
        <f>IF('Quant. mod. (oc)'!Y381&lt;0,0,ROUND('Quant. mod. (oc)'!Y381,0))</f>
        <v>1</v>
      </c>
      <c r="Z381" s="125">
        <f>IF('Quant. mod. (oc)'!Z381&lt;0,0,ROUND('Quant. mod. (oc)'!Z381,0))</f>
        <v>1</v>
      </c>
      <c r="AA381" s="125">
        <f>IF('Quant. mod. (oc)'!AA381&lt;0,0,ROUND('Quant. mod. (oc)'!AA381,0))</f>
        <v>1</v>
      </c>
      <c r="AB381" s="125">
        <f>IF('Quant. mod. (oc)'!AB381&lt;0,0,ROUND('Quant. mod. (oc)'!AB381,0))</f>
        <v>1</v>
      </c>
      <c r="AC381" s="125">
        <f>IF('Quant. mod. (oc)'!AC381&lt;0,0,ROUND('Quant. mod. (oc)'!AC381,0))</f>
        <v>1</v>
      </c>
      <c r="AD381" s="125">
        <f>IF('Quant. mod. (oc)'!AD381&lt;0,0,ROUND('Quant. mod. (oc)'!AD381,0))</f>
        <v>1</v>
      </c>
      <c r="AE381" s="125">
        <f>IF('Quant. mod. (oc)'!AE381&lt;0,0,ROUND('Quant. mod. (oc)'!AE381,0))</f>
        <v>1</v>
      </c>
      <c r="AF381" s="125">
        <f>IF('Quant. mod. (oc)'!AF381&lt;0,0,ROUND('Quant. mod. (oc)'!AF381,0))</f>
        <v>1</v>
      </c>
      <c r="AG381" s="126">
        <f>IF('Quant. mod. (oc)'!AG381&lt;0,0,ROUND('Quant. mod. (oc)'!AG381,0))</f>
        <v>1</v>
      </c>
      <c r="AH381" s="22"/>
    </row>
    <row r="382" spans="1:34" x14ac:dyDescent="0.25">
      <c r="A382" s="112"/>
      <c r="B382" s="27" t="s">
        <v>98</v>
      </c>
      <c r="C382" s="67" t="s">
        <v>59</v>
      </c>
      <c r="D382" s="125">
        <f>IF('Quant. mod. (oc)'!D382&lt;0,0,ROUND('Quant. mod. (oc)'!D382,0))</f>
        <v>1</v>
      </c>
      <c r="E382" s="125">
        <f>IF('Quant. mod. (oc)'!E382&lt;0,0,ROUND('Quant. mod. (oc)'!E382,0))</f>
        <v>1</v>
      </c>
      <c r="F382" s="125">
        <f>IF('Quant. mod. (oc)'!F382&lt;0,0,ROUND('Quant. mod. (oc)'!F382,0))</f>
        <v>1</v>
      </c>
      <c r="G382" s="125">
        <f>IF('Quant. mod. (oc)'!G382&lt;0,0,ROUND('Quant. mod. (oc)'!G382,0))</f>
        <v>1</v>
      </c>
      <c r="H382" s="125">
        <f>IF('Quant. mod. (oc)'!H382&lt;0,0,ROUND('Quant. mod. (oc)'!H382,0))</f>
        <v>1</v>
      </c>
      <c r="I382" s="125">
        <f>IF('Quant. mod. (oc)'!I382&lt;0,0,ROUND('Quant. mod. (oc)'!I382,0))</f>
        <v>1</v>
      </c>
      <c r="J382" s="125">
        <f>IF('Quant. mod. (oc)'!J382&lt;0,0,ROUND('Quant. mod. (oc)'!J382,0))</f>
        <v>1</v>
      </c>
      <c r="K382" s="125">
        <f>IF('Quant. mod. (oc)'!K382&lt;0,0,ROUND('Quant. mod. (oc)'!K382,0))</f>
        <v>1</v>
      </c>
      <c r="L382" s="125">
        <f>IF('Quant. mod. (oc)'!L382&lt;0,0,ROUND('Quant. mod. (oc)'!L382,0))</f>
        <v>1</v>
      </c>
      <c r="M382" s="125">
        <f>IF('Quant. mod. (oc)'!M382&lt;0,0,ROUND('Quant. mod. (oc)'!M382,0))</f>
        <v>1</v>
      </c>
      <c r="N382" s="125">
        <f>IF('Quant. mod. (oc)'!N382&lt;0,0,ROUND('Quant. mod. (oc)'!N382,0))</f>
        <v>1</v>
      </c>
      <c r="O382" s="125">
        <f>IF('Quant. mod. (oc)'!O382&lt;0,0,ROUND('Quant. mod. (oc)'!O382,0))</f>
        <v>1</v>
      </c>
      <c r="P382" s="125">
        <f>IF('Quant. mod. (oc)'!P382&lt;0,0,ROUND('Quant. mod. (oc)'!P382,0))</f>
        <v>1</v>
      </c>
      <c r="Q382" s="125">
        <f>IF('Quant. mod. (oc)'!Q382&lt;0,0,ROUND('Quant. mod. (oc)'!Q382,0))</f>
        <v>1</v>
      </c>
      <c r="R382" s="125">
        <f>IF('Quant. mod. (oc)'!R382&lt;0,0,ROUND('Quant. mod. (oc)'!R382,0))</f>
        <v>1</v>
      </c>
      <c r="S382" s="125">
        <f>IF('Quant. mod. (oc)'!S382&lt;0,0,ROUND('Quant. mod. (oc)'!S382,0))</f>
        <v>1</v>
      </c>
      <c r="T382" s="125">
        <f>IF('Quant. mod. (oc)'!T382&lt;0,0,ROUND('Quant. mod. (oc)'!T382,0))</f>
        <v>1</v>
      </c>
      <c r="U382" s="125">
        <f>IF('Quant. mod. (oc)'!U382&lt;0,0,ROUND('Quant. mod. (oc)'!U382,0))</f>
        <v>1</v>
      </c>
      <c r="V382" s="125">
        <f>IF('Quant. mod. (oc)'!V382&lt;0,0,ROUND('Quant. mod. (oc)'!V382,0))</f>
        <v>1</v>
      </c>
      <c r="W382" s="125">
        <f>IF('Quant. mod. (oc)'!W382&lt;0,0,ROUND('Quant. mod. (oc)'!W382,0))</f>
        <v>1</v>
      </c>
      <c r="X382" s="125">
        <f>IF('Quant. mod. (oc)'!X382&lt;0,0,ROUND('Quant. mod. (oc)'!X382,0))</f>
        <v>1</v>
      </c>
      <c r="Y382" s="125">
        <f>IF('Quant. mod. (oc)'!Y382&lt;0,0,ROUND('Quant. mod. (oc)'!Y382,0))</f>
        <v>1</v>
      </c>
      <c r="Z382" s="125">
        <f>IF('Quant. mod. (oc)'!Z382&lt;0,0,ROUND('Quant. mod. (oc)'!Z382,0))</f>
        <v>1</v>
      </c>
      <c r="AA382" s="125">
        <f>IF('Quant. mod. (oc)'!AA382&lt;0,0,ROUND('Quant. mod. (oc)'!AA382,0))</f>
        <v>1</v>
      </c>
      <c r="AB382" s="125">
        <f>IF('Quant. mod. (oc)'!AB382&lt;0,0,ROUND('Quant. mod. (oc)'!AB382,0))</f>
        <v>1</v>
      </c>
      <c r="AC382" s="125">
        <f>IF('Quant. mod. (oc)'!AC382&lt;0,0,ROUND('Quant. mod. (oc)'!AC382,0))</f>
        <v>1</v>
      </c>
      <c r="AD382" s="125">
        <f>IF('Quant. mod. (oc)'!AD382&lt;0,0,ROUND('Quant. mod. (oc)'!AD382,0))</f>
        <v>1</v>
      </c>
      <c r="AE382" s="125">
        <f>IF('Quant. mod. (oc)'!AE382&lt;0,0,ROUND('Quant. mod. (oc)'!AE382,0))</f>
        <v>1</v>
      </c>
      <c r="AF382" s="125">
        <f>IF('Quant. mod. (oc)'!AF382&lt;0,0,ROUND('Quant. mod. (oc)'!AF382,0))</f>
        <v>1</v>
      </c>
      <c r="AG382" s="126">
        <f>IF('Quant. mod. (oc)'!AG382&lt;0,0,ROUND('Quant. mod. (oc)'!AG382,0))</f>
        <v>1</v>
      </c>
      <c r="AH382" s="22"/>
    </row>
    <row r="383" spans="1:34" ht="25.5" x14ac:dyDescent="0.25">
      <c r="A383" s="112"/>
      <c r="B383" s="27" t="s">
        <v>81</v>
      </c>
      <c r="C383" s="67" t="s">
        <v>59</v>
      </c>
      <c r="D383" s="125">
        <f>IF('Quant. mod. (oc)'!D383&lt;0,0,ROUND('Quant. mod. (oc)'!D383,0))</f>
        <v>1</v>
      </c>
      <c r="E383" s="125">
        <f>IF('Quant. mod. (oc)'!E383&lt;0,0,ROUND('Quant. mod. (oc)'!E383,0))</f>
        <v>1</v>
      </c>
      <c r="F383" s="125">
        <f>IF('Quant. mod. (oc)'!F383&lt;0,0,ROUND('Quant. mod. (oc)'!F383,0))</f>
        <v>1</v>
      </c>
      <c r="G383" s="125">
        <f>IF('Quant. mod. (oc)'!G383&lt;0,0,ROUND('Quant. mod. (oc)'!G383,0))</f>
        <v>1</v>
      </c>
      <c r="H383" s="125">
        <f>IF('Quant. mod. (oc)'!H383&lt;0,0,ROUND('Quant. mod. (oc)'!H383,0))</f>
        <v>1</v>
      </c>
      <c r="I383" s="125">
        <f>IF('Quant. mod. (oc)'!I383&lt;0,0,ROUND('Quant. mod. (oc)'!I383,0))</f>
        <v>1</v>
      </c>
      <c r="J383" s="125">
        <f>IF('Quant. mod. (oc)'!J383&lt;0,0,ROUND('Quant. mod. (oc)'!J383,0))</f>
        <v>1</v>
      </c>
      <c r="K383" s="125">
        <f>IF('Quant. mod. (oc)'!K383&lt;0,0,ROUND('Quant. mod. (oc)'!K383,0))</f>
        <v>1</v>
      </c>
      <c r="L383" s="125">
        <f>IF('Quant. mod. (oc)'!L383&lt;0,0,ROUND('Quant. mod. (oc)'!L383,0))</f>
        <v>1</v>
      </c>
      <c r="M383" s="125">
        <f>IF('Quant. mod. (oc)'!M383&lt;0,0,ROUND('Quant. mod. (oc)'!M383,0))</f>
        <v>1</v>
      </c>
      <c r="N383" s="125">
        <f>IF('Quant. mod. (oc)'!N383&lt;0,0,ROUND('Quant. mod. (oc)'!N383,0))</f>
        <v>1</v>
      </c>
      <c r="O383" s="125">
        <f>IF('Quant. mod. (oc)'!O383&lt;0,0,ROUND('Quant. mod. (oc)'!O383,0))</f>
        <v>1</v>
      </c>
      <c r="P383" s="125">
        <f>IF('Quant. mod. (oc)'!P383&lt;0,0,ROUND('Quant. mod. (oc)'!P383,0))</f>
        <v>1</v>
      </c>
      <c r="Q383" s="125">
        <f>IF('Quant. mod. (oc)'!Q383&lt;0,0,ROUND('Quant. mod. (oc)'!Q383,0))</f>
        <v>1</v>
      </c>
      <c r="R383" s="125">
        <f>IF('Quant. mod. (oc)'!R383&lt;0,0,ROUND('Quant. mod. (oc)'!R383,0))</f>
        <v>1</v>
      </c>
      <c r="S383" s="125">
        <f>IF('Quant. mod. (oc)'!S383&lt;0,0,ROUND('Quant. mod. (oc)'!S383,0))</f>
        <v>1</v>
      </c>
      <c r="T383" s="125">
        <f>IF('Quant. mod. (oc)'!T383&lt;0,0,ROUND('Quant. mod. (oc)'!T383,0))</f>
        <v>1</v>
      </c>
      <c r="U383" s="125">
        <f>IF('Quant. mod. (oc)'!U383&lt;0,0,ROUND('Quant. mod. (oc)'!U383,0))</f>
        <v>1</v>
      </c>
      <c r="V383" s="125">
        <f>IF('Quant. mod. (oc)'!V383&lt;0,0,ROUND('Quant. mod. (oc)'!V383,0))</f>
        <v>1</v>
      </c>
      <c r="W383" s="125">
        <f>IF('Quant. mod. (oc)'!W383&lt;0,0,ROUND('Quant. mod. (oc)'!W383,0))</f>
        <v>1</v>
      </c>
      <c r="X383" s="125">
        <f>IF('Quant. mod. (oc)'!X383&lt;0,0,ROUND('Quant. mod. (oc)'!X383,0))</f>
        <v>1</v>
      </c>
      <c r="Y383" s="125">
        <f>IF('Quant. mod. (oc)'!Y383&lt;0,0,ROUND('Quant. mod. (oc)'!Y383,0))</f>
        <v>1</v>
      </c>
      <c r="Z383" s="125">
        <f>IF('Quant. mod. (oc)'!Z383&lt;0,0,ROUND('Quant. mod. (oc)'!Z383,0))</f>
        <v>1</v>
      </c>
      <c r="AA383" s="125">
        <f>IF('Quant. mod. (oc)'!AA383&lt;0,0,ROUND('Quant. mod. (oc)'!AA383,0))</f>
        <v>1</v>
      </c>
      <c r="AB383" s="125">
        <f>IF('Quant. mod. (oc)'!AB383&lt;0,0,ROUND('Quant. mod. (oc)'!AB383,0))</f>
        <v>1</v>
      </c>
      <c r="AC383" s="125">
        <f>IF('Quant. mod. (oc)'!AC383&lt;0,0,ROUND('Quant. mod. (oc)'!AC383,0))</f>
        <v>1</v>
      </c>
      <c r="AD383" s="125">
        <f>IF('Quant. mod. (oc)'!AD383&lt;0,0,ROUND('Quant. mod. (oc)'!AD383,0))</f>
        <v>1</v>
      </c>
      <c r="AE383" s="125">
        <f>IF('Quant. mod. (oc)'!AE383&lt;0,0,ROUND('Quant. mod. (oc)'!AE383,0))</f>
        <v>1</v>
      </c>
      <c r="AF383" s="125">
        <f>IF('Quant. mod. (oc)'!AF383&lt;0,0,ROUND('Quant. mod. (oc)'!AF383,0))</f>
        <v>1</v>
      </c>
      <c r="AG383" s="126">
        <f>IF('Quant. mod. (oc)'!AG383&lt;0,0,ROUND('Quant. mod. (oc)'!AG383,0))</f>
        <v>1</v>
      </c>
      <c r="AH383" s="22"/>
    </row>
    <row r="384" spans="1:34" x14ac:dyDescent="0.25">
      <c r="A384" s="112"/>
      <c r="B384" s="27" t="s">
        <v>82</v>
      </c>
      <c r="C384" s="67" t="s">
        <v>59</v>
      </c>
      <c r="D384" s="125">
        <f>IF('Quant. mod. (oc)'!D384&lt;0,0,ROUND('Quant. mod. (oc)'!D384,0))</f>
        <v>1</v>
      </c>
      <c r="E384" s="125">
        <f>IF('Quant. mod. (oc)'!E384&lt;0,0,ROUND('Quant. mod. (oc)'!E384,0))</f>
        <v>1</v>
      </c>
      <c r="F384" s="125">
        <f>IF('Quant. mod. (oc)'!F384&lt;0,0,ROUND('Quant. mod. (oc)'!F384,0))</f>
        <v>1</v>
      </c>
      <c r="G384" s="125">
        <f>IF('Quant. mod. (oc)'!G384&lt;0,0,ROUND('Quant. mod. (oc)'!G384,0))</f>
        <v>1</v>
      </c>
      <c r="H384" s="125">
        <f>IF('Quant. mod. (oc)'!H384&lt;0,0,ROUND('Quant. mod. (oc)'!H384,0))</f>
        <v>1</v>
      </c>
      <c r="I384" s="125">
        <f>IF('Quant. mod. (oc)'!I384&lt;0,0,ROUND('Quant. mod. (oc)'!I384,0))</f>
        <v>1</v>
      </c>
      <c r="J384" s="125">
        <f>IF('Quant. mod. (oc)'!J384&lt;0,0,ROUND('Quant. mod. (oc)'!J384,0))</f>
        <v>1</v>
      </c>
      <c r="K384" s="125">
        <f>IF('Quant. mod. (oc)'!K384&lt;0,0,ROUND('Quant. mod. (oc)'!K384,0))</f>
        <v>1</v>
      </c>
      <c r="L384" s="125">
        <f>IF('Quant. mod. (oc)'!L384&lt;0,0,ROUND('Quant. mod. (oc)'!L384,0))</f>
        <v>1</v>
      </c>
      <c r="M384" s="125">
        <f>IF('Quant. mod. (oc)'!M384&lt;0,0,ROUND('Quant. mod. (oc)'!M384,0))</f>
        <v>1</v>
      </c>
      <c r="N384" s="125">
        <f>IF('Quant. mod. (oc)'!N384&lt;0,0,ROUND('Quant. mod. (oc)'!N384,0))</f>
        <v>1</v>
      </c>
      <c r="O384" s="125">
        <f>IF('Quant. mod. (oc)'!O384&lt;0,0,ROUND('Quant. mod. (oc)'!O384,0))</f>
        <v>1</v>
      </c>
      <c r="P384" s="125">
        <f>IF('Quant. mod. (oc)'!P384&lt;0,0,ROUND('Quant. mod. (oc)'!P384,0))</f>
        <v>1</v>
      </c>
      <c r="Q384" s="125">
        <f>IF('Quant. mod. (oc)'!Q384&lt;0,0,ROUND('Quant. mod. (oc)'!Q384,0))</f>
        <v>1</v>
      </c>
      <c r="R384" s="125">
        <f>IF('Quant. mod. (oc)'!R384&lt;0,0,ROUND('Quant. mod. (oc)'!R384,0))</f>
        <v>1</v>
      </c>
      <c r="S384" s="125">
        <f>IF('Quant. mod. (oc)'!S384&lt;0,0,ROUND('Quant. mod. (oc)'!S384,0))</f>
        <v>1</v>
      </c>
      <c r="T384" s="125">
        <f>IF('Quant. mod. (oc)'!T384&lt;0,0,ROUND('Quant. mod. (oc)'!T384,0))</f>
        <v>1</v>
      </c>
      <c r="U384" s="125">
        <f>IF('Quant. mod. (oc)'!U384&lt;0,0,ROUND('Quant. mod. (oc)'!U384,0))</f>
        <v>1</v>
      </c>
      <c r="V384" s="125">
        <f>IF('Quant. mod. (oc)'!V384&lt;0,0,ROUND('Quant. mod. (oc)'!V384,0))</f>
        <v>1</v>
      </c>
      <c r="W384" s="125">
        <f>IF('Quant. mod. (oc)'!W384&lt;0,0,ROUND('Quant. mod. (oc)'!W384,0))</f>
        <v>1</v>
      </c>
      <c r="X384" s="125">
        <f>IF('Quant. mod. (oc)'!X384&lt;0,0,ROUND('Quant. mod. (oc)'!X384,0))</f>
        <v>1</v>
      </c>
      <c r="Y384" s="125">
        <f>IF('Quant. mod. (oc)'!Y384&lt;0,0,ROUND('Quant. mod. (oc)'!Y384,0))</f>
        <v>1</v>
      </c>
      <c r="Z384" s="125">
        <f>IF('Quant. mod. (oc)'!Z384&lt;0,0,ROUND('Quant. mod. (oc)'!Z384,0))</f>
        <v>1</v>
      </c>
      <c r="AA384" s="125">
        <f>IF('Quant. mod. (oc)'!AA384&lt;0,0,ROUND('Quant. mod. (oc)'!AA384,0))</f>
        <v>1</v>
      </c>
      <c r="AB384" s="125">
        <f>IF('Quant. mod. (oc)'!AB384&lt;0,0,ROUND('Quant. mod. (oc)'!AB384,0))</f>
        <v>1</v>
      </c>
      <c r="AC384" s="125">
        <f>IF('Quant. mod. (oc)'!AC384&lt;0,0,ROUND('Quant. mod. (oc)'!AC384,0))</f>
        <v>1</v>
      </c>
      <c r="AD384" s="125">
        <f>IF('Quant. mod. (oc)'!AD384&lt;0,0,ROUND('Quant. mod. (oc)'!AD384,0))</f>
        <v>1</v>
      </c>
      <c r="AE384" s="125">
        <f>IF('Quant. mod. (oc)'!AE384&lt;0,0,ROUND('Quant. mod. (oc)'!AE384,0))</f>
        <v>1</v>
      </c>
      <c r="AF384" s="125">
        <f>IF('Quant. mod. (oc)'!AF384&lt;0,0,ROUND('Quant. mod. (oc)'!AF384,0))</f>
        <v>1</v>
      </c>
      <c r="AG384" s="126">
        <f>IF('Quant. mod. (oc)'!AG384&lt;0,0,ROUND('Quant. mod. (oc)'!AG384,0))</f>
        <v>1</v>
      </c>
      <c r="AH384" s="22"/>
    </row>
    <row r="385" spans="1:34" x14ac:dyDescent="0.25">
      <c r="A385" s="112"/>
      <c r="B385" s="27" t="s">
        <v>568</v>
      </c>
      <c r="C385" s="67" t="s">
        <v>59</v>
      </c>
      <c r="D385" s="125">
        <f>IF('Quant. mod. (oc)'!D385&lt;0,0,ROUND('Quant. mod. (oc)'!D385,0))</f>
        <v>1</v>
      </c>
      <c r="E385" s="125">
        <f>IF('Quant. mod. (oc)'!E385&lt;0,0,ROUND('Quant. mod. (oc)'!E385,0))</f>
        <v>1</v>
      </c>
      <c r="F385" s="125">
        <f>IF('Quant. mod. (oc)'!F385&lt;0,0,ROUND('Quant. mod. (oc)'!F385,0))</f>
        <v>1</v>
      </c>
      <c r="G385" s="125">
        <f>IF('Quant. mod. (oc)'!G385&lt;0,0,ROUND('Quant. mod. (oc)'!G385,0))</f>
        <v>1</v>
      </c>
      <c r="H385" s="125">
        <f>IF('Quant. mod. (oc)'!H385&lt;0,0,ROUND('Quant. mod. (oc)'!H385,0))</f>
        <v>1</v>
      </c>
      <c r="I385" s="125">
        <f>IF('Quant. mod. (oc)'!I385&lt;0,0,ROUND('Quant. mod. (oc)'!I385,0))</f>
        <v>1</v>
      </c>
      <c r="J385" s="125">
        <f>IF('Quant. mod. (oc)'!J385&lt;0,0,ROUND('Quant. mod. (oc)'!J385,0))</f>
        <v>1</v>
      </c>
      <c r="K385" s="125">
        <f>IF('Quant. mod. (oc)'!K385&lt;0,0,ROUND('Quant. mod. (oc)'!K385,0))</f>
        <v>1</v>
      </c>
      <c r="L385" s="125">
        <f>IF('Quant. mod. (oc)'!L385&lt;0,0,ROUND('Quant. mod. (oc)'!L385,0))</f>
        <v>1</v>
      </c>
      <c r="M385" s="125">
        <f>IF('Quant. mod. (oc)'!M385&lt;0,0,ROUND('Quant. mod. (oc)'!M385,0))</f>
        <v>1</v>
      </c>
      <c r="N385" s="125">
        <f>IF('Quant. mod. (oc)'!N385&lt;0,0,ROUND('Quant. mod. (oc)'!N385,0))</f>
        <v>1</v>
      </c>
      <c r="O385" s="125">
        <f>IF('Quant. mod. (oc)'!O385&lt;0,0,ROUND('Quant. mod. (oc)'!O385,0))</f>
        <v>1</v>
      </c>
      <c r="P385" s="125">
        <f>IF('Quant. mod. (oc)'!P385&lt;0,0,ROUND('Quant. mod. (oc)'!P385,0))</f>
        <v>1</v>
      </c>
      <c r="Q385" s="125">
        <f>IF('Quant. mod. (oc)'!Q385&lt;0,0,ROUND('Quant. mod. (oc)'!Q385,0))</f>
        <v>1</v>
      </c>
      <c r="R385" s="125">
        <f>IF('Quant. mod. (oc)'!R385&lt;0,0,ROUND('Quant. mod. (oc)'!R385,0))</f>
        <v>1</v>
      </c>
      <c r="S385" s="125">
        <f>IF('Quant. mod. (oc)'!S385&lt;0,0,ROUND('Quant. mod. (oc)'!S385,0))</f>
        <v>1</v>
      </c>
      <c r="T385" s="125">
        <f>IF('Quant. mod. (oc)'!T385&lt;0,0,ROUND('Quant. mod. (oc)'!T385,0))</f>
        <v>1</v>
      </c>
      <c r="U385" s="125">
        <f>IF('Quant. mod. (oc)'!U385&lt;0,0,ROUND('Quant. mod. (oc)'!U385,0))</f>
        <v>1</v>
      </c>
      <c r="V385" s="125">
        <f>IF('Quant. mod. (oc)'!V385&lt;0,0,ROUND('Quant. mod. (oc)'!V385,0))</f>
        <v>1</v>
      </c>
      <c r="W385" s="125">
        <f>IF('Quant. mod. (oc)'!W385&lt;0,0,ROUND('Quant. mod. (oc)'!W385,0))</f>
        <v>1</v>
      </c>
      <c r="X385" s="125">
        <f>IF('Quant. mod. (oc)'!X385&lt;0,0,ROUND('Quant. mod. (oc)'!X385,0))</f>
        <v>1</v>
      </c>
      <c r="Y385" s="125">
        <f>IF('Quant. mod. (oc)'!Y385&lt;0,0,ROUND('Quant. mod. (oc)'!Y385,0))</f>
        <v>1</v>
      </c>
      <c r="Z385" s="125">
        <f>IF('Quant. mod. (oc)'!Z385&lt;0,0,ROUND('Quant. mod. (oc)'!Z385,0))</f>
        <v>1</v>
      </c>
      <c r="AA385" s="125">
        <f>IF('Quant. mod. (oc)'!AA385&lt;0,0,ROUND('Quant. mod. (oc)'!AA385,0))</f>
        <v>1</v>
      </c>
      <c r="AB385" s="125">
        <f>IF('Quant. mod. (oc)'!AB385&lt;0,0,ROUND('Quant. mod. (oc)'!AB385,0))</f>
        <v>1</v>
      </c>
      <c r="AC385" s="125">
        <f>IF('Quant. mod. (oc)'!AC385&lt;0,0,ROUND('Quant. mod. (oc)'!AC385,0))</f>
        <v>1</v>
      </c>
      <c r="AD385" s="125">
        <f>IF('Quant. mod. (oc)'!AD385&lt;0,0,ROUND('Quant. mod. (oc)'!AD385,0))</f>
        <v>1</v>
      </c>
      <c r="AE385" s="125">
        <f>IF('Quant. mod. (oc)'!AE385&lt;0,0,ROUND('Quant. mod. (oc)'!AE385,0))</f>
        <v>1</v>
      </c>
      <c r="AF385" s="125">
        <f>IF('Quant. mod. (oc)'!AF385&lt;0,0,ROUND('Quant. mod. (oc)'!AF385,0))</f>
        <v>1</v>
      </c>
      <c r="AG385" s="126">
        <f>IF('Quant. mod. (oc)'!AG385&lt;0,0,ROUND('Quant. mod. (oc)'!AG385,0))</f>
        <v>1</v>
      </c>
      <c r="AH385" s="22"/>
    </row>
    <row r="386" spans="1:34" x14ac:dyDescent="0.25">
      <c r="A386" s="112"/>
      <c r="B386" s="120" t="s">
        <v>780</v>
      </c>
      <c r="C386" s="121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8"/>
      <c r="AH386" s="22"/>
    </row>
    <row r="387" spans="1:34" x14ac:dyDescent="0.25">
      <c r="A387" s="112"/>
      <c r="B387" s="120" t="s">
        <v>781</v>
      </c>
      <c r="C387" s="121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8"/>
      <c r="AH387" s="22"/>
    </row>
    <row r="388" spans="1:34" ht="25.5" x14ac:dyDescent="0.25">
      <c r="A388" s="112"/>
      <c r="B388" s="136" t="s">
        <v>99</v>
      </c>
      <c r="C388" s="67" t="s">
        <v>59</v>
      </c>
      <c r="D388" s="125">
        <f>IF('Quant. mod. (oc)'!D388&lt;0,0,ROUND('Quant. mod. (oc)'!D388,0))</f>
        <v>1</v>
      </c>
      <c r="E388" s="125">
        <f>IF('Quant. mod. (oc)'!E388&lt;0,0,ROUND('Quant. mod. (oc)'!E388,0))</f>
        <v>1</v>
      </c>
      <c r="F388" s="125">
        <f>IF('Quant. mod. (oc)'!F388&lt;0,0,ROUND('Quant. mod. (oc)'!F388,0))</f>
        <v>1</v>
      </c>
      <c r="G388" s="125">
        <f>IF('Quant. mod. (oc)'!G388&lt;0,0,ROUND('Quant. mod. (oc)'!G388,0))</f>
        <v>1</v>
      </c>
      <c r="H388" s="125">
        <f>IF('Quant. mod. (oc)'!H388&lt;0,0,ROUND('Quant. mod. (oc)'!H388,0))</f>
        <v>1</v>
      </c>
      <c r="I388" s="125">
        <f>IF('Quant. mod. (oc)'!I388&lt;0,0,ROUND('Quant. mod. (oc)'!I388,0))</f>
        <v>1</v>
      </c>
      <c r="J388" s="125">
        <f>IF('Quant. mod. (oc)'!J388&lt;0,0,ROUND('Quant. mod. (oc)'!J388,0))</f>
        <v>1</v>
      </c>
      <c r="K388" s="125">
        <f>IF('Quant. mod. (oc)'!K388&lt;0,0,ROUND('Quant. mod. (oc)'!K388,0))</f>
        <v>1</v>
      </c>
      <c r="L388" s="125">
        <f>IF('Quant. mod. (oc)'!L388&lt;0,0,ROUND('Quant. mod. (oc)'!L388,0))</f>
        <v>1</v>
      </c>
      <c r="M388" s="125">
        <f>IF('Quant. mod. (oc)'!M388&lt;0,0,ROUND('Quant. mod. (oc)'!M388,0))</f>
        <v>1</v>
      </c>
      <c r="N388" s="125">
        <f>IF('Quant. mod. (oc)'!N388&lt;0,0,ROUND('Quant. mod. (oc)'!N388,0))</f>
        <v>1</v>
      </c>
      <c r="O388" s="125">
        <f>IF('Quant. mod. (oc)'!O388&lt;0,0,ROUND('Quant. mod. (oc)'!O388,0))</f>
        <v>1</v>
      </c>
      <c r="P388" s="125">
        <f>IF('Quant. mod. (oc)'!P388&lt;0,0,ROUND('Quant. mod. (oc)'!P388,0))</f>
        <v>1</v>
      </c>
      <c r="Q388" s="125">
        <f>IF('Quant. mod. (oc)'!Q388&lt;0,0,ROUND('Quant. mod. (oc)'!Q388,0))</f>
        <v>1</v>
      </c>
      <c r="R388" s="125">
        <f>IF('Quant. mod. (oc)'!R388&lt;0,0,ROUND('Quant. mod. (oc)'!R388,0))</f>
        <v>1</v>
      </c>
      <c r="S388" s="125">
        <f>IF('Quant. mod. (oc)'!S388&lt;0,0,ROUND('Quant. mod. (oc)'!S388,0))</f>
        <v>1</v>
      </c>
      <c r="T388" s="125">
        <f>IF('Quant. mod. (oc)'!T388&lt;0,0,ROUND('Quant. mod. (oc)'!T388,0))</f>
        <v>1</v>
      </c>
      <c r="U388" s="125">
        <f>IF('Quant. mod. (oc)'!U388&lt;0,0,ROUND('Quant. mod. (oc)'!U388,0))</f>
        <v>1</v>
      </c>
      <c r="V388" s="125">
        <f>IF('Quant. mod. (oc)'!V388&lt;0,0,ROUND('Quant. mod. (oc)'!V388,0))</f>
        <v>1</v>
      </c>
      <c r="W388" s="125">
        <f>IF('Quant. mod. (oc)'!W388&lt;0,0,ROUND('Quant. mod. (oc)'!W388,0))</f>
        <v>1</v>
      </c>
      <c r="X388" s="125">
        <f>IF('Quant. mod. (oc)'!X388&lt;0,0,ROUND('Quant. mod. (oc)'!X388,0))</f>
        <v>1</v>
      </c>
      <c r="Y388" s="125">
        <f>IF('Quant. mod. (oc)'!Y388&lt;0,0,ROUND('Quant. mod. (oc)'!Y388,0))</f>
        <v>1</v>
      </c>
      <c r="Z388" s="125">
        <f>IF('Quant. mod. (oc)'!Z388&lt;0,0,ROUND('Quant. mod. (oc)'!Z388,0))</f>
        <v>1</v>
      </c>
      <c r="AA388" s="125">
        <f>IF('Quant. mod. (oc)'!AA388&lt;0,0,ROUND('Quant. mod. (oc)'!AA388,0))</f>
        <v>1</v>
      </c>
      <c r="AB388" s="125">
        <f>IF('Quant. mod. (oc)'!AB388&lt;0,0,ROUND('Quant. mod. (oc)'!AB388,0))</f>
        <v>1</v>
      </c>
      <c r="AC388" s="125">
        <f>IF('Quant. mod. (oc)'!AC388&lt;0,0,ROUND('Quant. mod. (oc)'!AC388,0))</f>
        <v>1</v>
      </c>
      <c r="AD388" s="125">
        <f>IF('Quant. mod. (oc)'!AD388&lt;0,0,ROUND('Quant. mod. (oc)'!AD388,0))</f>
        <v>1</v>
      </c>
      <c r="AE388" s="125">
        <f>IF('Quant. mod. (oc)'!AE388&lt;0,0,ROUND('Quant. mod. (oc)'!AE388,0))</f>
        <v>1</v>
      </c>
      <c r="AF388" s="125">
        <f>IF('Quant. mod. (oc)'!AF388&lt;0,0,ROUND('Quant. mod. (oc)'!AF388,0))</f>
        <v>1</v>
      </c>
      <c r="AG388" s="126">
        <f>IF('Quant. mod. (oc)'!AG388&lt;0,0,ROUND('Quant. mod. (oc)'!AG388,0))</f>
        <v>1</v>
      </c>
      <c r="AH388" s="22"/>
    </row>
    <row r="389" spans="1:34" x14ac:dyDescent="0.25">
      <c r="A389" s="112"/>
      <c r="B389" s="136" t="s">
        <v>448</v>
      </c>
      <c r="C389" s="67" t="s">
        <v>59</v>
      </c>
      <c r="D389" s="125">
        <f>IF('Quant. mod. (oc)'!D389&lt;0,0,ROUND('Quant. mod. (oc)'!D389,0))</f>
        <v>2</v>
      </c>
      <c r="E389" s="125">
        <f>IF('Quant. mod. (oc)'!E389&lt;0,0,ROUND('Quant. mod. (oc)'!E389,0))</f>
        <v>2</v>
      </c>
      <c r="F389" s="125">
        <f>IF('Quant. mod. (oc)'!F389&lt;0,0,ROUND('Quant. mod. (oc)'!F389,0))</f>
        <v>2</v>
      </c>
      <c r="G389" s="125">
        <f>IF('Quant. mod. (oc)'!G389&lt;0,0,ROUND('Quant. mod. (oc)'!G389,0))</f>
        <v>2</v>
      </c>
      <c r="H389" s="125">
        <f>IF('Quant. mod. (oc)'!H389&lt;0,0,ROUND('Quant. mod. (oc)'!H389,0))</f>
        <v>2</v>
      </c>
      <c r="I389" s="125">
        <f>IF('Quant. mod. (oc)'!I389&lt;0,0,ROUND('Quant. mod. (oc)'!I389,0))</f>
        <v>2</v>
      </c>
      <c r="J389" s="125">
        <f>IF('Quant. mod. (oc)'!J389&lt;0,0,ROUND('Quant. mod. (oc)'!J389,0))</f>
        <v>2</v>
      </c>
      <c r="K389" s="125">
        <f>IF('Quant. mod. (oc)'!K389&lt;0,0,ROUND('Quant. mod. (oc)'!K389,0))</f>
        <v>2</v>
      </c>
      <c r="L389" s="125">
        <f>IF('Quant. mod. (oc)'!L389&lt;0,0,ROUND('Quant. mod. (oc)'!L389,0))</f>
        <v>2</v>
      </c>
      <c r="M389" s="125">
        <f>IF('Quant. mod. (oc)'!M389&lt;0,0,ROUND('Quant. mod. (oc)'!M389,0))</f>
        <v>2</v>
      </c>
      <c r="N389" s="125">
        <f>IF('Quant. mod. (oc)'!N389&lt;0,0,ROUND('Quant. mod. (oc)'!N389,0))</f>
        <v>2</v>
      </c>
      <c r="O389" s="125">
        <f>IF('Quant. mod. (oc)'!O389&lt;0,0,ROUND('Quant. mod. (oc)'!O389,0))</f>
        <v>2</v>
      </c>
      <c r="P389" s="125">
        <f>IF('Quant. mod. (oc)'!P389&lt;0,0,ROUND('Quant. mod. (oc)'!P389,0))</f>
        <v>2</v>
      </c>
      <c r="Q389" s="125">
        <f>IF('Quant. mod. (oc)'!Q389&lt;0,0,ROUND('Quant. mod. (oc)'!Q389,0))</f>
        <v>2</v>
      </c>
      <c r="R389" s="125">
        <f>IF('Quant. mod. (oc)'!R389&lt;0,0,ROUND('Quant. mod. (oc)'!R389,0))</f>
        <v>2</v>
      </c>
      <c r="S389" s="125">
        <f>IF('Quant. mod. (oc)'!S389&lt;0,0,ROUND('Quant. mod. (oc)'!S389,0))</f>
        <v>2</v>
      </c>
      <c r="T389" s="125">
        <f>IF('Quant. mod. (oc)'!T389&lt;0,0,ROUND('Quant. mod. (oc)'!T389,0))</f>
        <v>2</v>
      </c>
      <c r="U389" s="125">
        <f>IF('Quant. mod. (oc)'!U389&lt;0,0,ROUND('Quant. mod. (oc)'!U389,0))</f>
        <v>2</v>
      </c>
      <c r="V389" s="125">
        <f>IF('Quant. mod. (oc)'!V389&lt;0,0,ROUND('Quant. mod. (oc)'!V389,0))</f>
        <v>2</v>
      </c>
      <c r="W389" s="125">
        <f>IF('Quant. mod. (oc)'!W389&lt;0,0,ROUND('Quant. mod. (oc)'!W389,0))</f>
        <v>2</v>
      </c>
      <c r="X389" s="125">
        <f>IF('Quant. mod. (oc)'!X389&lt;0,0,ROUND('Quant. mod. (oc)'!X389,0))</f>
        <v>2</v>
      </c>
      <c r="Y389" s="125">
        <f>IF('Quant. mod. (oc)'!Y389&lt;0,0,ROUND('Quant. mod. (oc)'!Y389,0))</f>
        <v>2</v>
      </c>
      <c r="Z389" s="125">
        <f>IF('Quant. mod. (oc)'!Z389&lt;0,0,ROUND('Quant. mod. (oc)'!Z389,0))</f>
        <v>2</v>
      </c>
      <c r="AA389" s="125">
        <f>IF('Quant. mod. (oc)'!AA389&lt;0,0,ROUND('Quant. mod. (oc)'!AA389,0))</f>
        <v>2</v>
      </c>
      <c r="AB389" s="125">
        <f>IF('Quant. mod. (oc)'!AB389&lt;0,0,ROUND('Quant. mod. (oc)'!AB389,0))</f>
        <v>2</v>
      </c>
      <c r="AC389" s="125">
        <f>IF('Quant. mod. (oc)'!AC389&lt;0,0,ROUND('Quant. mod. (oc)'!AC389,0))</f>
        <v>2</v>
      </c>
      <c r="AD389" s="125">
        <f>IF('Quant. mod. (oc)'!AD389&lt;0,0,ROUND('Quant. mod. (oc)'!AD389,0))</f>
        <v>2</v>
      </c>
      <c r="AE389" s="125">
        <f>IF('Quant. mod. (oc)'!AE389&lt;0,0,ROUND('Quant. mod. (oc)'!AE389,0))</f>
        <v>2</v>
      </c>
      <c r="AF389" s="125">
        <f>IF('Quant. mod. (oc)'!AF389&lt;0,0,ROUND('Quant. mod. (oc)'!AF389,0))</f>
        <v>2</v>
      </c>
      <c r="AG389" s="126">
        <f>IF('Quant. mod. (oc)'!AG389&lt;0,0,ROUND('Quant. mod. (oc)'!AG389,0))</f>
        <v>2</v>
      </c>
      <c r="AH389" s="22"/>
    </row>
    <row r="390" spans="1:34" x14ac:dyDescent="0.25">
      <c r="A390" s="112"/>
      <c r="B390" s="136" t="s">
        <v>100</v>
      </c>
      <c r="C390" s="67" t="s">
        <v>59</v>
      </c>
      <c r="D390" s="125">
        <f>IF('Quant. mod. (oc)'!D390&lt;0,0,ROUND('Quant. mod. (oc)'!D390,0))</f>
        <v>2</v>
      </c>
      <c r="E390" s="125">
        <f>IF('Quant. mod. (oc)'!E390&lt;0,0,ROUND('Quant. mod. (oc)'!E390,0))</f>
        <v>2</v>
      </c>
      <c r="F390" s="125">
        <f>IF('Quant. mod. (oc)'!F390&lt;0,0,ROUND('Quant. mod. (oc)'!F390,0))</f>
        <v>2</v>
      </c>
      <c r="G390" s="125">
        <f>IF('Quant. mod. (oc)'!G390&lt;0,0,ROUND('Quant. mod. (oc)'!G390,0))</f>
        <v>2</v>
      </c>
      <c r="H390" s="125">
        <f>IF('Quant. mod. (oc)'!H390&lt;0,0,ROUND('Quant. mod. (oc)'!H390,0))</f>
        <v>2</v>
      </c>
      <c r="I390" s="125">
        <f>IF('Quant. mod. (oc)'!I390&lt;0,0,ROUND('Quant. mod. (oc)'!I390,0))</f>
        <v>2</v>
      </c>
      <c r="J390" s="125">
        <f>IF('Quant. mod. (oc)'!J390&lt;0,0,ROUND('Quant. mod. (oc)'!J390,0))</f>
        <v>2</v>
      </c>
      <c r="K390" s="125">
        <f>IF('Quant. mod. (oc)'!K390&lt;0,0,ROUND('Quant. mod. (oc)'!K390,0))</f>
        <v>2</v>
      </c>
      <c r="L390" s="125">
        <f>IF('Quant. mod. (oc)'!L390&lt;0,0,ROUND('Quant. mod. (oc)'!L390,0))</f>
        <v>2</v>
      </c>
      <c r="M390" s="125">
        <f>IF('Quant. mod. (oc)'!M390&lt;0,0,ROUND('Quant. mod. (oc)'!M390,0))</f>
        <v>2</v>
      </c>
      <c r="N390" s="125">
        <f>IF('Quant. mod. (oc)'!N390&lt;0,0,ROUND('Quant. mod. (oc)'!N390,0))</f>
        <v>2</v>
      </c>
      <c r="O390" s="125">
        <f>IF('Quant. mod. (oc)'!O390&lt;0,0,ROUND('Quant. mod. (oc)'!O390,0))</f>
        <v>2</v>
      </c>
      <c r="P390" s="125">
        <f>IF('Quant. mod. (oc)'!P390&lt;0,0,ROUND('Quant. mod. (oc)'!P390,0))</f>
        <v>2</v>
      </c>
      <c r="Q390" s="125">
        <f>IF('Quant. mod. (oc)'!Q390&lt;0,0,ROUND('Quant. mod. (oc)'!Q390,0))</f>
        <v>2</v>
      </c>
      <c r="R390" s="125">
        <f>IF('Quant. mod. (oc)'!R390&lt;0,0,ROUND('Quant. mod. (oc)'!R390,0))</f>
        <v>2</v>
      </c>
      <c r="S390" s="125">
        <f>IF('Quant. mod. (oc)'!S390&lt;0,0,ROUND('Quant. mod. (oc)'!S390,0))</f>
        <v>2</v>
      </c>
      <c r="T390" s="125">
        <f>IF('Quant. mod. (oc)'!T390&lt;0,0,ROUND('Quant. mod. (oc)'!T390,0))</f>
        <v>2</v>
      </c>
      <c r="U390" s="125">
        <f>IF('Quant. mod. (oc)'!U390&lt;0,0,ROUND('Quant. mod. (oc)'!U390,0))</f>
        <v>2</v>
      </c>
      <c r="V390" s="125">
        <f>IF('Quant. mod. (oc)'!V390&lt;0,0,ROUND('Quant. mod. (oc)'!V390,0))</f>
        <v>2</v>
      </c>
      <c r="W390" s="125">
        <f>IF('Quant. mod. (oc)'!W390&lt;0,0,ROUND('Quant. mod. (oc)'!W390,0))</f>
        <v>2</v>
      </c>
      <c r="X390" s="125">
        <f>IF('Quant. mod. (oc)'!X390&lt;0,0,ROUND('Quant. mod. (oc)'!X390,0))</f>
        <v>2</v>
      </c>
      <c r="Y390" s="125">
        <f>IF('Quant. mod. (oc)'!Y390&lt;0,0,ROUND('Quant. mod. (oc)'!Y390,0))</f>
        <v>2</v>
      </c>
      <c r="Z390" s="125">
        <f>IF('Quant. mod. (oc)'!Z390&lt;0,0,ROUND('Quant. mod. (oc)'!Z390,0))</f>
        <v>2</v>
      </c>
      <c r="AA390" s="125">
        <f>IF('Quant. mod. (oc)'!AA390&lt;0,0,ROUND('Quant. mod. (oc)'!AA390,0))</f>
        <v>2</v>
      </c>
      <c r="AB390" s="125">
        <f>IF('Quant. mod. (oc)'!AB390&lt;0,0,ROUND('Quant. mod. (oc)'!AB390,0))</f>
        <v>2</v>
      </c>
      <c r="AC390" s="125">
        <f>IF('Quant. mod. (oc)'!AC390&lt;0,0,ROUND('Quant. mod. (oc)'!AC390,0))</f>
        <v>2</v>
      </c>
      <c r="AD390" s="125">
        <f>IF('Quant. mod. (oc)'!AD390&lt;0,0,ROUND('Quant. mod. (oc)'!AD390,0))</f>
        <v>2</v>
      </c>
      <c r="AE390" s="125">
        <f>IF('Quant. mod. (oc)'!AE390&lt;0,0,ROUND('Quant. mod. (oc)'!AE390,0))</f>
        <v>2</v>
      </c>
      <c r="AF390" s="125">
        <f>IF('Quant. mod. (oc)'!AF390&lt;0,0,ROUND('Quant. mod. (oc)'!AF390,0))</f>
        <v>2</v>
      </c>
      <c r="AG390" s="126">
        <f>IF('Quant. mod. (oc)'!AG390&lt;0,0,ROUND('Quant. mod. (oc)'!AG390,0))</f>
        <v>2</v>
      </c>
      <c r="AH390" s="22"/>
    </row>
    <row r="391" spans="1:34" x14ac:dyDescent="0.25">
      <c r="A391" s="112"/>
      <c r="B391" s="136" t="s">
        <v>101</v>
      </c>
      <c r="C391" s="67" t="s">
        <v>59</v>
      </c>
      <c r="D391" s="125">
        <f>IF('Quant. mod. (oc)'!D391&lt;0,0,ROUND('Quant. mod. (oc)'!D391,0))</f>
        <v>2</v>
      </c>
      <c r="E391" s="125">
        <f>IF('Quant. mod. (oc)'!E391&lt;0,0,ROUND('Quant. mod. (oc)'!E391,0))</f>
        <v>2</v>
      </c>
      <c r="F391" s="125">
        <f>IF('Quant. mod. (oc)'!F391&lt;0,0,ROUND('Quant. mod. (oc)'!F391,0))</f>
        <v>2</v>
      </c>
      <c r="G391" s="125">
        <f>IF('Quant. mod. (oc)'!G391&lt;0,0,ROUND('Quant. mod. (oc)'!G391,0))</f>
        <v>2</v>
      </c>
      <c r="H391" s="125">
        <f>IF('Quant. mod. (oc)'!H391&lt;0,0,ROUND('Quant. mod. (oc)'!H391,0))</f>
        <v>2</v>
      </c>
      <c r="I391" s="125">
        <f>IF('Quant. mod. (oc)'!I391&lt;0,0,ROUND('Quant. mod. (oc)'!I391,0))</f>
        <v>2</v>
      </c>
      <c r="J391" s="125">
        <f>IF('Quant. mod. (oc)'!J391&lt;0,0,ROUND('Quant. mod. (oc)'!J391,0))</f>
        <v>2</v>
      </c>
      <c r="K391" s="125">
        <f>IF('Quant. mod. (oc)'!K391&lt;0,0,ROUND('Quant. mod. (oc)'!K391,0))</f>
        <v>2</v>
      </c>
      <c r="L391" s="125">
        <f>IF('Quant. mod. (oc)'!L391&lt;0,0,ROUND('Quant. mod. (oc)'!L391,0))</f>
        <v>2</v>
      </c>
      <c r="M391" s="125">
        <f>IF('Quant. mod. (oc)'!M391&lt;0,0,ROUND('Quant. mod. (oc)'!M391,0))</f>
        <v>2</v>
      </c>
      <c r="N391" s="125">
        <f>IF('Quant. mod. (oc)'!N391&lt;0,0,ROUND('Quant. mod. (oc)'!N391,0))</f>
        <v>2</v>
      </c>
      <c r="O391" s="125">
        <f>IF('Quant. mod. (oc)'!O391&lt;0,0,ROUND('Quant. mod. (oc)'!O391,0))</f>
        <v>2</v>
      </c>
      <c r="P391" s="125">
        <f>IF('Quant. mod. (oc)'!P391&lt;0,0,ROUND('Quant. mod. (oc)'!P391,0))</f>
        <v>2</v>
      </c>
      <c r="Q391" s="125">
        <f>IF('Quant. mod. (oc)'!Q391&lt;0,0,ROUND('Quant. mod. (oc)'!Q391,0))</f>
        <v>2</v>
      </c>
      <c r="R391" s="125">
        <f>IF('Quant. mod. (oc)'!R391&lt;0,0,ROUND('Quant. mod. (oc)'!R391,0))</f>
        <v>2</v>
      </c>
      <c r="S391" s="125">
        <f>IF('Quant. mod. (oc)'!S391&lt;0,0,ROUND('Quant. mod. (oc)'!S391,0))</f>
        <v>2</v>
      </c>
      <c r="T391" s="125">
        <f>IF('Quant. mod. (oc)'!T391&lt;0,0,ROUND('Quant. mod. (oc)'!T391,0))</f>
        <v>2</v>
      </c>
      <c r="U391" s="125">
        <f>IF('Quant. mod. (oc)'!U391&lt;0,0,ROUND('Quant. mod. (oc)'!U391,0))</f>
        <v>2</v>
      </c>
      <c r="V391" s="125">
        <f>IF('Quant. mod. (oc)'!V391&lt;0,0,ROUND('Quant. mod. (oc)'!V391,0))</f>
        <v>2</v>
      </c>
      <c r="W391" s="125">
        <f>IF('Quant. mod. (oc)'!W391&lt;0,0,ROUND('Quant. mod. (oc)'!W391,0))</f>
        <v>2</v>
      </c>
      <c r="X391" s="125">
        <f>IF('Quant. mod. (oc)'!X391&lt;0,0,ROUND('Quant. mod. (oc)'!X391,0))</f>
        <v>2</v>
      </c>
      <c r="Y391" s="125">
        <f>IF('Quant. mod. (oc)'!Y391&lt;0,0,ROUND('Quant. mod. (oc)'!Y391,0))</f>
        <v>2</v>
      </c>
      <c r="Z391" s="125">
        <f>IF('Quant. mod. (oc)'!Z391&lt;0,0,ROUND('Quant. mod. (oc)'!Z391,0))</f>
        <v>2</v>
      </c>
      <c r="AA391" s="125">
        <f>IF('Quant. mod. (oc)'!AA391&lt;0,0,ROUND('Quant. mod. (oc)'!AA391,0))</f>
        <v>2</v>
      </c>
      <c r="AB391" s="125">
        <f>IF('Quant. mod. (oc)'!AB391&lt;0,0,ROUND('Quant. mod. (oc)'!AB391,0))</f>
        <v>2</v>
      </c>
      <c r="AC391" s="125">
        <f>IF('Quant. mod. (oc)'!AC391&lt;0,0,ROUND('Quant. mod. (oc)'!AC391,0))</f>
        <v>2</v>
      </c>
      <c r="AD391" s="125">
        <f>IF('Quant. mod. (oc)'!AD391&lt;0,0,ROUND('Quant. mod. (oc)'!AD391,0))</f>
        <v>2</v>
      </c>
      <c r="AE391" s="125">
        <f>IF('Quant. mod. (oc)'!AE391&lt;0,0,ROUND('Quant. mod. (oc)'!AE391,0))</f>
        <v>2</v>
      </c>
      <c r="AF391" s="125">
        <f>IF('Quant. mod. (oc)'!AF391&lt;0,0,ROUND('Quant. mod. (oc)'!AF391,0))</f>
        <v>2</v>
      </c>
      <c r="AG391" s="126">
        <f>IF('Quant. mod. (oc)'!AG391&lt;0,0,ROUND('Quant. mod. (oc)'!AG391,0))</f>
        <v>2</v>
      </c>
      <c r="AH391" s="22"/>
    </row>
    <row r="392" spans="1:34" x14ac:dyDescent="0.25">
      <c r="A392" s="112"/>
      <c r="B392" s="136" t="s">
        <v>102</v>
      </c>
      <c r="C392" s="67" t="s">
        <v>59</v>
      </c>
      <c r="D392" s="125">
        <f>IF('Quant. mod. (oc)'!D392&lt;0,0,ROUND('Quant. mod. (oc)'!D392,0))</f>
        <v>2</v>
      </c>
      <c r="E392" s="125">
        <f>IF('Quant. mod. (oc)'!E392&lt;0,0,ROUND('Quant. mod. (oc)'!E392,0))</f>
        <v>2</v>
      </c>
      <c r="F392" s="125">
        <f>IF('Quant. mod. (oc)'!F392&lt;0,0,ROUND('Quant. mod. (oc)'!F392,0))</f>
        <v>2</v>
      </c>
      <c r="G392" s="125">
        <f>IF('Quant. mod. (oc)'!G392&lt;0,0,ROUND('Quant. mod. (oc)'!G392,0))</f>
        <v>2</v>
      </c>
      <c r="H392" s="125">
        <f>IF('Quant. mod. (oc)'!H392&lt;0,0,ROUND('Quant. mod. (oc)'!H392,0))</f>
        <v>2</v>
      </c>
      <c r="I392" s="125">
        <f>IF('Quant. mod. (oc)'!I392&lt;0,0,ROUND('Quant. mod. (oc)'!I392,0))</f>
        <v>2</v>
      </c>
      <c r="J392" s="125">
        <f>IF('Quant. mod. (oc)'!J392&lt;0,0,ROUND('Quant. mod. (oc)'!J392,0))</f>
        <v>2</v>
      </c>
      <c r="K392" s="125">
        <f>IF('Quant. mod. (oc)'!K392&lt;0,0,ROUND('Quant. mod. (oc)'!K392,0))</f>
        <v>2</v>
      </c>
      <c r="L392" s="125">
        <f>IF('Quant. mod. (oc)'!L392&lt;0,0,ROUND('Quant. mod. (oc)'!L392,0))</f>
        <v>2</v>
      </c>
      <c r="M392" s="125">
        <f>IF('Quant. mod. (oc)'!M392&lt;0,0,ROUND('Quant. mod. (oc)'!M392,0))</f>
        <v>2</v>
      </c>
      <c r="N392" s="125">
        <f>IF('Quant. mod. (oc)'!N392&lt;0,0,ROUND('Quant. mod. (oc)'!N392,0))</f>
        <v>2</v>
      </c>
      <c r="O392" s="125">
        <f>IF('Quant. mod. (oc)'!O392&lt;0,0,ROUND('Quant. mod. (oc)'!O392,0))</f>
        <v>2</v>
      </c>
      <c r="P392" s="125">
        <f>IF('Quant. mod. (oc)'!P392&lt;0,0,ROUND('Quant. mod. (oc)'!P392,0))</f>
        <v>2</v>
      </c>
      <c r="Q392" s="125">
        <f>IF('Quant. mod. (oc)'!Q392&lt;0,0,ROUND('Quant. mod. (oc)'!Q392,0))</f>
        <v>2</v>
      </c>
      <c r="R392" s="125">
        <f>IF('Quant. mod. (oc)'!R392&lt;0,0,ROUND('Quant. mod. (oc)'!R392,0))</f>
        <v>2</v>
      </c>
      <c r="S392" s="125">
        <f>IF('Quant. mod. (oc)'!S392&lt;0,0,ROUND('Quant. mod. (oc)'!S392,0))</f>
        <v>2</v>
      </c>
      <c r="T392" s="125">
        <f>IF('Quant. mod. (oc)'!T392&lt;0,0,ROUND('Quant. mod. (oc)'!T392,0))</f>
        <v>2</v>
      </c>
      <c r="U392" s="125">
        <f>IF('Quant. mod. (oc)'!U392&lt;0,0,ROUND('Quant. mod. (oc)'!U392,0))</f>
        <v>2</v>
      </c>
      <c r="V392" s="125">
        <f>IF('Quant. mod. (oc)'!V392&lt;0,0,ROUND('Quant. mod. (oc)'!V392,0))</f>
        <v>2</v>
      </c>
      <c r="W392" s="125">
        <f>IF('Quant. mod. (oc)'!W392&lt;0,0,ROUND('Quant. mod. (oc)'!W392,0))</f>
        <v>2</v>
      </c>
      <c r="X392" s="125">
        <f>IF('Quant. mod. (oc)'!X392&lt;0,0,ROUND('Quant. mod. (oc)'!X392,0))</f>
        <v>2</v>
      </c>
      <c r="Y392" s="125">
        <f>IF('Quant. mod. (oc)'!Y392&lt;0,0,ROUND('Quant. mod. (oc)'!Y392,0))</f>
        <v>2</v>
      </c>
      <c r="Z392" s="125">
        <f>IF('Quant. mod. (oc)'!Z392&lt;0,0,ROUND('Quant. mod. (oc)'!Z392,0))</f>
        <v>2</v>
      </c>
      <c r="AA392" s="125">
        <f>IF('Quant. mod. (oc)'!AA392&lt;0,0,ROUND('Quant. mod. (oc)'!AA392,0))</f>
        <v>2</v>
      </c>
      <c r="AB392" s="125">
        <f>IF('Quant. mod. (oc)'!AB392&lt;0,0,ROUND('Quant. mod. (oc)'!AB392,0))</f>
        <v>2</v>
      </c>
      <c r="AC392" s="125">
        <f>IF('Quant. mod. (oc)'!AC392&lt;0,0,ROUND('Quant. mod. (oc)'!AC392,0))</f>
        <v>2</v>
      </c>
      <c r="AD392" s="125">
        <f>IF('Quant. mod. (oc)'!AD392&lt;0,0,ROUND('Quant. mod. (oc)'!AD392,0))</f>
        <v>2</v>
      </c>
      <c r="AE392" s="125">
        <f>IF('Quant. mod. (oc)'!AE392&lt;0,0,ROUND('Quant. mod. (oc)'!AE392,0))</f>
        <v>2</v>
      </c>
      <c r="AF392" s="125">
        <f>IF('Quant. mod. (oc)'!AF392&lt;0,0,ROUND('Quant. mod. (oc)'!AF392,0))</f>
        <v>2</v>
      </c>
      <c r="AG392" s="126">
        <f>IF('Quant. mod. (oc)'!AG392&lt;0,0,ROUND('Quant. mod. (oc)'!AG392,0))</f>
        <v>2</v>
      </c>
      <c r="AH392" s="22"/>
    </row>
    <row r="393" spans="1:34" x14ac:dyDescent="0.25">
      <c r="A393" s="112"/>
      <c r="B393" s="136" t="s">
        <v>103</v>
      </c>
      <c r="C393" s="67" t="s">
        <v>59</v>
      </c>
      <c r="D393" s="125">
        <f>IF('Quant. mod. (oc)'!D393&lt;0,0,ROUND('Quant. mod. (oc)'!D393,0))</f>
        <v>2</v>
      </c>
      <c r="E393" s="125">
        <f>IF('Quant. mod. (oc)'!E393&lt;0,0,ROUND('Quant. mod. (oc)'!E393,0))</f>
        <v>2</v>
      </c>
      <c r="F393" s="125">
        <f>IF('Quant. mod. (oc)'!F393&lt;0,0,ROUND('Quant. mod. (oc)'!F393,0))</f>
        <v>2</v>
      </c>
      <c r="G393" s="125">
        <f>IF('Quant. mod. (oc)'!G393&lt;0,0,ROUND('Quant. mod. (oc)'!G393,0))</f>
        <v>2</v>
      </c>
      <c r="H393" s="125">
        <f>IF('Quant. mod. (oc)'!H393&lt;0,0,ROUND('Quant. mod. (oc)'!H393,0))</f>
        <v>2</v>
      </c>
      <c r="I393" s="125">
        <f>IF('Quant. mod. (oc)'!I393&lt;0,0,ROUND('Quant. mod. (oc)'!I393,0))</f>
        <v>2</v>
      </c>
      <c r="J393" s="125">
        <f>IF('Quant. mod. (oc)'!J393&lt;0,0,ROUND('Quant. mod. (oc)'!J393,0))</f>
        <v>2</v>
      </c>
      <c r="K393" s="125">
        <f>IF('Quant. mod. (oc)'!K393&lt;0,0,ROUND('Quant. mod. (oc)'!K393,0))</f>
        <v>2</v>
      </c>
      <c r="L393" s="125">
        <f>IF('Quant. mod. (oc)'!L393&lt;0,0,ROUND('Quant. mod. (oc)'!L393,0))</f>
        <v>2</v>
      </c>
      <c r="M393" s="125">
        <f>IF('Quant. mod. (oc)'!M393&lt;0,0,ROUND('Quant. mod. (oc)'!M393,0))</f>
        <v>2</v>
      </c>
      <c r="N393" s="125">
        <f>IF('Quant. mod. (oc)'!N393&lt;0,0,ROUND('Quant. mod. (oc)'!N393,0))</f>
        <v>2</v>
      </c>
      <c r="O393" s="125">
        <f>IF('Quant. mod. (oc)'!O393&lt;0,0,ROUND('Quant. mod. (oc)'!O393,0))</f>
        <v>2</v>
      </c>
      <c r="P393" s="125">
        <f>IF('Quant. mod. (oc)'!P393&lt;0,0,ROUND('Quant. mod. (oc)'!P393,0))</f>
        <v>2</v>
      </c>
      <c r="Q393" s="125">
        <f>IF('Quant. mod. (oc)'!Q393&lt;0,0,ROUND('Quant. mod. (oc)'!Q393,0))</f>
        <v>2</v>
      </c>
      <c r="R393" s="125">
        <f>IF('Quant. mod. (oc)'!R393&lt;0,0,ROUND('Quant. mod. (oc)'!R393,0))</f>
        <v>2</v>
      </c>
      <c r="S393" s="125">
        <f>IF('Quant. mod. (oc)'!S393&lt;0,0,ROUND('Quant. mod. (oc)'!S393,0))</f>
        <v>2</v>
      </c>
      <c r="T393" s="125">
        <f>IF('Quant. mod. (oc)'!T393&lt;0,0,ROUND('Quant. mod. (oc)'!T393,0))</f>
        <v>2</v>
      </c>
      <c r="U393" s="125">
        <f>IF('Quant. mod. (oc)'!U393&lt;0,0,ROUND('Quant. mod. (oc)'!U393,0))</f>
        <v>2</v>
      </c>
      <c r="V393" s="125">
        <f>IF('Quant. mod. (oc)'!V393&lt;0,0,ROUND('Quant. mod. (oc)'!V393,0))</f>
        <v>2</v>
      </c>
      <c r="W393" s="125">
        <f>IF('Quant. mod. (oc)'!W393&lt;0,0,ROUND('Quant. mod. (oc)'!W393,0))</f>
        <v>2</v>
      </c>
      <c r="X393" s="125">
        <f>IF('Quant. mod. (oc)'!X393&lt;0,0,ROUND('Quant. mod. (oc)'!X393,0))</f>
        <v>2</v>
      </c>
      <c r="Y393" s="125">
        <f>IF('Quant. mod. (oc)'!Y393&lt;0,0,ROUND('Quant. mod. (oc)'!Y393,0))</f>
        <v>2</v>
      </c>
      <c r="Z393" s="125">
        <f>IF('Quant. mod. (oc)'!Z393&lt;0,0,ROUND('Quant. mod. (oc)'!Z393,0))</f>
        <v>2</v>
      </c>
      <c r="AA393" s="125">
        <f>IF('Quant. mod. (oc)'!AA393&lt;0,0,ROUND('Quant. mod. (oc)'!AA393,0))</f>
        <v>2</v>
      </c>
      <c r="AB393" s="125">
        <f>IF('Quant. mod. (oc)'!AB393&lt;0,0,ROUND('Quant. mod. (oc)'!AB393,0))</f>
        <v>2</v>
      </c>
      <c r="AC393" s="125">
        <f>IF('Quant. mod. (oc)'!AC393&lt;0,0,ROUND('Quant. mod. (oc)'!AC393,0))</f>
        <v>2</v>
      </c>
      <c r="AD393" s="125">
        <f>IF('Quant. mod. (oc)'!AD393&lt;0,0,ROUND('Quant. mod. (oc)'!AD393,0))</f>
        <v>2</v>
      </c>
      <c r="AE393" s="125">
        <f>IF('Quant. mod. (oc)'!AE393&lt;0,0,ROUND('Quant. mod. (oc)'!AE393,0))</f>
        <v>2</v>
      </c>
      <c r="AF393" s="125">
        <f>IF('Quant. mod. (oc)'!AF393&lt;0,0,ROUND('Quant. mod. (oc)'!AF393,0))</f>
        <v>2</v>
      </c>
      <c r="AG393" s="126">
        <f>IF('Quant. mod. (oc)'!AG393&lt;0,0,ROUND('Quant. mod. (oc)'!AG393,0))</f>
        <v>2</v>
      </c>
      <c r="AH393" s="22"/>
    </row>
    <row r="394" spans="1:34" x14ac:dyDescent="0.25">
      <c r="A394" s="112"/>
      <c r="B394" s="136" t="s">
        <v>104</v>
      </c>
      <c r="C394" s="67" t="s">
        <v>59</v>
      </c>
      <c r="D394" s="125">
        <f>IF('Quant. mod. (oc)'!D394&lt;0,0,ROUND('Quant. mod. (oc)'!D394,0))</f>
        <v>2</v>
      </c>
      <c r="E394" s="125">
        <f>IF('Quant. mod. (oc)'!E394&lt;0,0,ROUND('Quant. mod. (oc)'!E394,0))</f>
        <v>2</v>
      </c>
      <c r="F394" s="125">
        <f>IF('Quant. mod. (oc)'!F394&lt;0,0,ROUND('Quant. mod. (oc)'!F394,0))</f>
        <v>2</v>
      </c>
      <c r="G394" s="125">
        <f>IF('Quant. mod. (oc)'!G394&lt;0,0,ROUND('Quant. mod. (oc)'!G394,0))</f>
        <v>2</v>
      </c>
      <c r="H394" s="125">
        <f>IF('Quant. mod. (oc)'!H394&lt;0,0,ROUND('Quant. mod. (oc)'!H394,0))</f>
        <v>2</v>
      </c>
      <c r="I394" s="125">
        <f>IF('Quant. mod. (oc)'!I394&lt;0,0,ROUND('Quant. mod. (oc)'!I394,0))</f>
        <v>2</v>
      </c>
      <c r="J394" s="125">
        <f>IF('Quant. mod. (oc)'!J394&lt;0,0,ROUND('Quant. mod. (oc)'!J394,0))</f>
        <v>2</v>
      </c>
      <c r="K394" s="125">
        <f>IF('Quant. mod. (oc)'!K394&lt;0,0,ROUND('Quant. mod. (oc)'!K394,0))</f>
        <v>2</v>
      </c>
      <c r="L394" s="125">
        <f>IF('Quant. mod. (oc)'!L394&lt;0,0,ROUND('Quant. mod. (oc)'!L394,0))</f>
        <v>2</v>
      </c>
      <c r="M394" s="125">
        <f>IF('Quant. mod. (oc)'!M394&lt;0,0,ROUND('Quant. mod. (oc)'!M394,0))</f>
        <v>2</v>
      </c>
      <c r="N394" s="125">
        <f>IF('Quant. mod. (oc)'!N394&lt;0,0,ROUND('Quant. mod. (oc)'!N394,0))</f>
        <v>2</v>
      </c>
      <c r="O394" s="125">
        <f>IF('Quant. mod. (oc)'!O394&lt;0,0,ROUND('Quant. mod. (oc)'!O394,0))</f>
        <v>2</v>
      </c>
      <c r="P394" s="125">
        <f>IF('Quant. mod. (oc)'!P394&lt;0,0,ROUND('Quant. mod. (oc)'!P394,0))</f>
        <v>2</v>
      </c>
      <c r="Q394" s="125">
        <f>IF('Quant. mod. (oc)'!Q394&lt;0,0,ROUND('Quant. mod. (oc)'!Q394,0))</f>
        <v>2</v>
      </c>
      <c r="R394" s="125">
        <f>IF('Quant. mod. (oc)'!R394&lt;0,0,ROUND('Quant. mod. (oc)'!R394,0))</f>
        <v>2</v>
      </c>
      <c r="S394" s="125">
        <f>IF('Quant. mod. (oc)'!S394&lt;0,0,ROUND('Quant. mod. (oc)'!S394,0))</f>
        <v>2</v>
      </c>
      <c r="T394" s="125">
        <f>IF('Quant. mod. (oc)'!T394&lt;0,0,ROUND('Quant. mod. (oc)'!T394,0))</f>
        <v>2</v>
      </c>
      <c r="U394" s="125">
        <f>IF('Quant. mod. (oc)'!U394&lt;0,0,ROUND('Quant. mod. (oc)'!U394,0))</f>
        <v>2</v>
      </c>
      <c r="V394" s="125">
        <f>IF('Quant. mod. (oc)'!V394&lt;0,0,ROUND('Quant. mod. (oc)'!V394,0))</f>
        <v>2</v>
      </c>
      <c r="W394" s="125">
        <f>IF('Quant. mod. (oc)'!W394&lt;0,0,ROUND('Quant. mod. (oc)'!W394,0))</f>
        <v>2</v>
      </c>
      <c r="X394" s="125">
        <f>IF('Quant. mod. (oc)'!X394&lt;0,0,ROUND('Quant. mod. (oc)'!X394,0))</f>
        <v>2</v>
      </c>
      <c r="Y394" s="125">
        <f>IF('Quant. mod. (oc)'!Y394&lt;0,0,ROUND('Quant. mod. (oc)'!Y394,0))</f>
        <v>2</v>
      </c>
      <c r="Z394" s="125">
        <f>IF('Quant. mod. (oc)'!Z394&lt;0,0,ROUND('Quant. mod. (oc)'!Z394,0))</f>
        <v>2</v>
      </c>
      <c r="AA394" s="125">
        <f>IF('Quant. mod. (oc)'!AA394&lt;0,0,ROUND('Quant. mod. (oc)'!AA394,0))</f>
        <v>2</v>
      </c>
      <c r="AB394" s="125">
        <f>IF('Quant. mod. (oc)'!AB394&lt;0,0,ROUND('Quant. mod. (oc)'!AB394,0))</f>
        <v>2</v>
      </c>
      <c r="AC394" s="125">
        <f>IF('Quant. mod. (oc)'!AC394&lt;0,0,ROUND('Quant. mod. (oc)'!AC394,0))</f>
        <v>2</v>
      </c>
      <c r="AD394" s="125">
        <f>IF('Quant. mod. (oc)'!AD394&lt;0,0,ROUND('Quant. mod. (oc)'!AD394,0))</f>
        <v>2</v>
      </c>
      <c r="AE394" s="125">
        <f>IF('Quant. mod. (oc)'!AE394&lt;0,0,ROUND('Quant. mod. (oc)'!AE394,0))</f>
        <v>2</v>
      </c>
      <c r="AF394" s="125">
        <f>IF('Quant. mod. (oc)'!AF394&lt;0,0,ROUND('Quant. mod. (oc)'!AF394,0))</f>
        <v>2</v>
      </c>
      <c r="AG394" s="126">
        <f>IF('Quant. mod. (oc)'!AG394&lt;0,0,ROUND('Quant. mod. (oc)'!AG394,0))</f>
        <v>2</v>
      </c>
      <c r="AH394" s="22"/>
    </row>
    <row r="395" spans="1:34" x14ac:dyDescent="0.25">
      <c r="A395" s="112"/>
      <c r="B395" s="136" t="s">
        <v>105</v>
      </c>
      <c r="C395" s="67" t="s">
        <v>59</v>
      </c>
      <c r="D395" s="125">
        <f>IF('Quant. mod. (oc)'!D395&lt;0,0,ROUND('Quant. mod. (oc)'!D395,0))</f>
        <v>2</v>
      </c>
      <c r="E395" s="125">
        <f>IF('Quant. mod. (oc)'!E395&lt;0,0,ROUND('Quant. mod. (oc)'!E395,0))</f>
        <v>2</v>
      </c>
      <c r="F395" s="125">
        <f>IF('Quant. mod. (oc)'!F395&lt;0,0,ROUND('Quant. mod. (oc)'!F395,0))</f>
        <v>2</v>
      </c>
      <c r="G395" s="125">
        <f>IF('Quant. mod. (oc)'!G395&lt;0,0,ROUND('Quant. mod. (oc)'!G395,0))</f>
        <v>2</v>
      </c>
      <c r="H395" s="125">
        <f>IF('Quant. mod. (oc)'!H395&lt;0,0,ROUND('Quant. mod. (oc)'!H395,0))</f>
        <v>2</v>
      </c>
      <c r="I395" s="125">
        <f>IF('Quant. mod. (oc)'!I395&lt;0,0,ROUND('Quant. mod. (oc)'!I395,0))</f>
        <v>2</v>
      </c>
      <c r="J395" s="125">
        <f>IF('Quant. mod. (oc)'!J395&lt;0,0,ROUND('Quant. mod. (oc)'!J395,0))</f>
        <v>2</v>
      </c>
      <c r="K395" s="125">
        <f>IF('Quant. mod. (oc)'!K395&lt;0,0,ROUND('Quant. mod. (oc)'!K395,0))</f>
        <v>2</v>
      </c>
      <c r="L395" s="125">
        <f>IF('Quant. mod. (oc)'!L395&lt;0,0,ROUND('Quant. mod. (oc)'!L395,0))</f>
        <v>2</v>
      </c>
      <c r="M395" s="125">
        <f>IF('Quant. mod. (oc)'!M395&lt;0,0,ROUND('Quant. mod. (oc)'!M395,0))</f>
        <v>2</v>
      </c>
      <c r="N395" s="125">
        <f>IF('Quant. mod. (oc)'!N395&lt;0,0,ROUND('Quant. mod. (oc)'!N395,0))</f>
        <v>2</v>
      </c>
      <c r="O395" s="125">
        <f>IF('Quant. mod. (oc)'!O395&lt;0,0,ROUND('Quant. mod. (oc)'!O395,0))</f>
        <v>2</v>
      </c>
      <c r="P395" s="125">
        <f>IF('Quant. mod. (oc)'!P395&lt;0,0,ROUND('Quant. mod. (oc)'!P395,0))</f>
        <v>2</v>
      </c>
      <c r="Q395" s="125">
        <f>IF('Quant. mod. (oc)'!Q395&lt;0,0,ROUND('Quant. mod. (oc)'!Q395,0))</f>
        <v>2</v>
      </c>
      <c r="R395" s="125">
        <f>IF('Quant. mod. (oc)'!R395&lt;0,0,ROUND('Quant. mod. (oc)'!R395,0))</f>
        <v>2</v>
      </c>
      <c r="S395" s="125">
        <f>IF('Quant. mod. (oc)'!S395&lt;0,0,ROUND('Quant. mod. (oc)'!S395,0))</f>
        <v>2</v>
      </c>
      <c r="T395" s="125">
        <f>IF('Quant. mod. (oc)'!T395&lt;0,0,ROUND('Quant. mod. (oc)'!T395,0))</f>
        <v>2</v>
      </c>
      <c r="U395" s="125">
        <f>IF('Quant. mod. (oc)'!U395&lt;0,0,ROUND('Quant. mod. (oc)'!U395,0))</f>
        <v>2</v>
      </c>
      <c r="V395" s="125">
        <f>IF('Quant. mod. (oc)'!V395&lt;0,0,ROUND('Quant. mod. (oc)'!V395,0))</f>
        <v>2</v>
      </c>
      <c r="W395" s="125">
        <f>IF('Quant. mod. (oc)'!W395&lt;0,0,ROUND('Quant. mod. (oc)'!W395,0))</f>
        <v>2</v>
      </c>
      <c r="X395" s="125">
        <f>IF('Quant. mod. (oc)'!X395&lt;0,0,ROUND('Quant. mod. (oc)'!X395,0))</f>
        <v>2</v>
      </c>
      <c r="Y395" s="125">
        <f>IF('Quant. mod. (oc)'!Y395&lt;0,0,ROUND('Quant. mod. (oc)'!Y395,0))</f>
        <v>2</v>
      </c>
      <c r="Z395" s="125">
        <f>IF('Quant. mod. (oc)'!Z395&lt;0,0,ROUND('Quant. mod. (oc)'!Z395,0))</f>
        <v>2</v>
      </c>
      <c r="AA395" s="125">
        <f>IF('Quant. mod. (oc)'!AA395&lt;0,0,ROUND('Quant. mod. (oc)'!AA395,0))</f>
        <v>2</v>
      </c>
      <c r="AB395" s="125">
        <f>IF('Quant. mod. (oc)'!AB395&lt;0,0,ROUND('Quant. mod. (oc)'!AB395,0))</f>
        <v>2</v>
      </c>
      <c r="AC395" s="125">
        <f>IF('Quant. mod. (oc)'!AC395&lt;0,0,ROUND('Quant. mod. (oc)'!AC395,0))</f>
        <v>2</v>
      </c>
      <c r="AD395" s="125">
        <f>IF('Quant. mod. (oc)'!AD395&lt;0,0,ROUND('Quant. mod. (oc)'!AD395,0))</f>
        <v>2</v>
      </c>
      <c r="AE395" s="125">
        <f>IF('Quant. mod. (oc)'!AE395&lt;0,0,ROUND('Quant. mod. (oc)'!AE395,0))</f>
        <v>2</v>
      </c>
      <c r="AF395" s="125">
        <f>IF('Quant. mod. (oc)'!AF395&lt;0,0,ROUND('Quant. mod. (oc)'!AF395,0))</f>
        <v>2</v>
      </c>
      <c r="AG395" s="126">
        <f>IF('Quant. mod. (oc)'!AG395&lt;0,0,ROUND('Quant. mod. (oc)'!AG395,0))</f>
        <v>2</v>
      </c>
      <c r="AH395" s="22"/>
    </row>
    <row r="396" spans="1:34" x14ac:dyDescent="0.25">
      <c r="A396" s="112"/>
      <c r="B396" s="136" t="s">
        <v>106</v>
      </c>
      <c r="C396" s="67" t="s">
        <v>59</v>
      </c>
      <c r="D396" s="125">
        <f>IF('Quant. mod. (oc)'!D396&lt;0,0,ROUND('Quant. mod. (oc)'!D396,0))</f>
        <v>2</v>
      </c>
      <c r="E396" s="125">
        <f>IF('Quant. mod. (oc)'!E396&lt;0,0,ROUND('Quant. mod. (oc)'!E396,0))</f>
        <v>2</v>
      </c>
      <c r="F396" s="125">
        <f>IF('Quant. mod. (oc)'!F396&lt;0,0,ROUND('Quant. mod. (oc)'!F396,0))</f>
        <v>2</v>
      </c>
      <c r="G396" s="125">
        <f>IF('Quant. mod. (oc)'!G396&lt;0,0,ROUND('Quant. mod. (oc)'!G396,0))</f>
        <v>2</v>
      </c>
      <c r="H396" s="125">
        <f>IF('Quant. mod. (oc)'!H396&lt;0,0,ROUND('Quant. mod. (oc)'!H396,0))</f>
        <v>2</v>
      </c>
      <c r="I396" s="125">
        <f>IF('Quant. mod. (oc)'!I396&lt;0,0,ROUND('Quant. mod. (oc)'!I396,0))</f>
        <v>2</v>
      </c>
      <c r="J396" s="125">
        <f>IF('Quant. mod. (oc)'!J396&lt;0,0,ROUND('Quant. mod. (oc)'!J396,0))</f>
        <v>2</v>
      </c>
      <c r="K396" s="125">
        <f>IF('Quant. mod. (oc)'!K396&lt;0,0,ROUND('Quant. mod. (oc)'!K396,0))</f>
        <v>2</v>
      </c>
      <c r="L396" s="125">
        <f>IF('Quant. mod. (oc)'!L396&lt;0,0,ROUND('Quant. mod. (oc)'!L396,0))</f>
        <v>2</v>
      </c>
      <c r="M396" s="125">
        <f>IF('Quant. mod. (oc)'!M396&lt;0,0,ROUND('Quant. mod. (oc)'!M396,0))</f>
        <v>2</v>
      </c>
      <c r="N396" s="125">
        <f>IF('Quant. mod. (oc)'!N396&lt;0,0,ROUND('Quant. mod. (oc)'!N396,0))</f>
        <v>2</v>
      </c>
      <c r="O396" s="125">
        <f>IF('Quant. mod. (oc)'!O396&lt;0,0,ROUND('Quant. mod. (oc)'!O396,0))</f>
        <v>2</v>
      </c>
      <c r="P396" s="125">
        <f>IF('Quant. mod. (oc)'!P396&lt;0,0,ROUND('Quant. mod. (oc)'!P396,0))</f>
        <v>2</v>
      </c>
      <c r="Q396" s="125">
        <f>IF('Quant. mod. (oc)'!Q396&lt;0,0,ROUND('Quant. mod. (oc)'!Q396,0))</f>
        <v>2</v>
      </c>
      <c r="R396" s="125">
        <f>IF('Quant. mod. (oc)'!R396&lt;0,0,ROUND('Quant. mod. (oc)'!R396,0))</f>
        <v>2</v>
      </c>
      <c r="S396" s="125">
        <f>IF('Quant. mod. (oc)'!S396&lt;0,0,ROUND('Quant. mod. (oc)'!S396,0))</f>
        <v>2</v>
      </c>
      <c r="T396" s="125">
        <f>IF('Quant. mod. (oc)'!T396&lt;0,0,ROUND('Quant. mod. (oc)'!T396,0))</f>
        <v>2</v>
      </c>
      <c r="U396" s="125">
        <f>IF('Quant. mod. (oc)'!U396&lt;0,0,ROUND('Quant. mod. (oc)'!U396,0))</f>
        <v>2</v>
      </c>
      <c r="V396" s="125">
        <f>IF('Quant. mod. (oc)'!V396&lt;0,0,ROUND('Quant. mod. (oc)'!V396,0))</f>
        <v>2</v>
      </c>
      <c r="W396" s="125">
        <f>IF('Quant. mod. (oc)'!W396&lt;0,0,ROUND('Quant. mod. (oc)'!W396,0))</f>
        <v>2</v>
      </c>
      <c r="X396" s="125">
        <f>IF('Quant. mod. (oc)'!X396&lt;0,0,ROUND('Quant. mod. (oc)'!X396,0))</f>
        <v>2</v>
      </c>
      <c r="Y396" s="125">
        <f>IF('Quant. mod. (oc)'!Y396&lt;0,0,ROUND('Quant. mod. (oc)'!Y396,0))</f>
        <v>2</v>
      </c>
      <c r="Z396" s="125">
        <f>IF('Quant. mod. (oc)'!Z396&lt;0,0,ROUND('Quant. mod. (oc)'!Z396,0))</f>
        <v>2</v>
      </c>
      <c r="AA396" s="125">
        <f>IF('Quant. mod. (oc)'!AA396&lt;0,0,ROUND('Quant. mod. (oc)'!AA396,0))</f>
        <v>2</v>
      </c>
      <c r="AB396" s="125">
        <f>IF('Quant. mod. (oc)'!AB396&lt;0,0,ROUND('Quant. mod. (oc)'!AB396,0))</f>
        <v>2</v>
      </c>
      <c r="AC396" s="125">
        <f>IF('Quant. mod. (oc)'!AC396&lt;0,0,ROUND('Quant. mod. (oc)'!AC396,0))</f>
        <v>2</v>
      </c>
      <c r="AD396" s="125">
        <f>IF('Quant. mod. (oc)'!AD396&lt;0,0,ROUND('Quant. mod. (oc)'!AD396,0))</f>
        <v>2</v>
      </c>
      <c r="AE396" s="125">
        <f>IF('Quant. mod. (oc)'!AE396&lt;0,0,ROUND('Quant. mod. (oc)'!AE396,0))</f>
        <v>2</v>
      </c>
      <c r="AF396" s="125">
        <f>IF('Quant. mod. (oc)'!AF396&lt;0,0,ROUND('Quant. mod. (oc)'!AF396,0))</f>
        <v>2</v>
      </c>
      <c r="AG396" s="126">
        <f>IF('Quant. mod. (oc)'!AG396&lt;0,0,ROUND('Quant. mod. (oc)'!AG396,0))</f>
        <v>2</v>
      </c>
      <c r="AH396" s="22"/>
    </row>
    <row r="397" spans="1:34" x14ac:dyDescent="0.25">
      <c r="A397" s="112"/>
      <c r="B397" s="136" t="s">
        <v>107</v>
      </c>
      <c r="C397" s="67" t="s">
        <v>59</v>
      </c>
      <c r="D397" s="125">
        <f>IF('Quant. mod. (oc)'!D397&lt;0,0,ROUND('Quant. mod. (oc)'!D397,0))</f>
        <v>2</v>
      </c>
      <c r="E397" s="125">
        <f>IF('Quant. mod. (oc)'!E397&lt;0,0,ROUND('Quant. mod. (oc)'!E397,0))</f>
        <v>2</v>
      </c>
      <c r="F397" s="125">
        <f>IF('Quant. mod. (oc)'!F397&lt;0,0,ROUND('Quant. mod. (oc)'!F397,0))</f>
        <v>2</v>
      </c>
      <c r="G397" s="125">
        <f>IF('Quant. mod. (oc)'!G397&lt;0,0,ROUND('Quant. mod. (oc)'!G397,0))</f>
        <v>2</v>
      </c>
      <c r="H397" s="125">
        <f>IF('Quant. mod. (oc)'!H397&lt;0,0,ROUND('Quant. mod. (oc)'!H397,0))</f>
        <v>2</v>
      </c>
      <c r="I397" s="125">
        <f>IF('Quant. mod. (oc)'!I397&lt;0,0,ROUND('Quant. mod. (oc)'!I397,0))</f>
        <v>2</v>
      </c>
      <c r="J397" s="125">
        <f>IF('Quant. mod. (oc)'!J397&lt;0,0,ROUND('Quant. mod. (oc)'!J397,0))</f>
        <v>2</v>
      </c>
      <c r="K397" s="125">
        <f>IF('Quant. mod. (oc)'!K397&lt;0,0,ROUND('Quant. mod. (oc)'!K397,0))</f>
        <v>2</v>
      </c>
      <c r="L397" s="125">
        <f>IF('Quant. mod. (oc)'!L397&lt;0,0,ROUND('Quant. mod. (oc)'!L397,0))</f>
        <v>2</v>
      </c>
      <c r="M397" s="125">
        <f>IF('Quant. mod. (oc)'!M397&lt;0,0,ROUND('Quant. mod. (oc)'!M397,0))</f>
        <v>2</v>
      </c>
      <c r="N397" s="125">
        <f>IF('Quant. mod. (oc)'!N397&lt;0,0,ROUND('Quant. mod. (oc)'!N397,0))</f>
        <v>2</v>
      </c>
      <c r="O397" s="125">
        <f>IF('Quant. mod. (oc)'!O397&lt;0,0,ROUND('Quant. mod. (oc)'!O397,0))</f>
        <v>2</v>
      </c>
      <c r="P397" s="125">
        <f>IF('Quant. mod. (oc)'!P397&lt;0,0,ROUND('Quant. mod. (oc)'!P397,0))</f>
        <v>2</v>
      </c>
      <c r="Q397" s="125">
        <f>IF('Quant. mod. (oc)'!Q397&lt;0,0,ROUND('Quant. mod. (oc)'!Q397,0))</f>
        <v>2</v>
      </c>
      <c r="R397" s="125">
        <f>IF('Quant. mod. (oc)'!R397&lt;0,0,ROUND('Quant. mod. (oc)'!R397,0))</f>
        <v>2</v>
      </c>
      <c r="S397" s="125">
        <f>IF('Quant. mod. (oc)'!S397&lt;0,0,ROUND('Quant. mod. (oc)'!S397,0))</f>
        <v>2</v>
      </c>
      <c r="T397" s="125">
        <f>IF('Quant. mod. (oc)'!T397&lt;0,0,ROUND('Quant. mod. (oc)'!T397,0))</f>
        <v>2</v>
      </c>
      <c r="U397" s="125">
        <f>IF('Quant. mod. (oc)'!U397&lt;0,0,ROUND('Quant. mod. (oc)'!U397,0))</f>
        <v>2</v>
      </c>
      <c r="V397" s="125">
        <f>IF('Quant. mod. (oc)'!V397&lt;0,0,ROUND('Quant. mod. (oc)'!V397,0))</f>
        <v>2</v>
      </c>
      <c r="W397" s="125">
        <f>IF('Quant. mod. (oc)'!W397&lt;0,0,ROUND('Quant. mod. (oc)'!W397,0))</f>
        <v>2</v>
      </c>
      <c r="X397" s="125">
        <f>IF('Quant. mod. (oc)'!X397&lt;0,0,ROUND('Quant. mod. (oc)'!X397,0))</f>
        <v>2</v>
      </c>
      <c r="Y397" s="125">
        <f>IF('Quant. mod. (oc)'!Y397&lt;0,0,ROUND('Quant. mod. (oc)'!Y397,0))</f>
        <v>2</v>
      </c>
      <c r="Z397" s="125">
        <f>IF('Quant. mod. (oc)'!Z397&lt;0,0,ROUND('Quant. mod. (oc)'!Z397,0))</f>
        <v>2</v>
      </c>
      <c r="AA397" s="125">
        <f>IF('Quant. mod. (oc)'!AA397&lt;0,0,ROUND('Quant. mod. (oc)'!AA397,0))</f>
        <v>2</v>
      </c>
      <c r="AB397" s="125">
        <f>IF('Quant. mod. (oc)'!AB397&lt;0,0,ROUND('Quant. mod. (oc)'!AB397,0))</f>
        <v>2</v>
      </c>
      <c r="AC397" s="125">
        <f>IF('Quant. mod. (oc)'!AC397&lt;0,0,ROUND('Quant. mod. (oc)'!AC397,0))</f>
        <v>2</v>
      </c>
      <c r="AD397" s="125">
        <f>IF('Quant. mod. (oc)'!AD397&lt;0,0,ROUND('Quant. mod. (oc)'!AD397,0))</f>
        <v>2</v>
      </c>
      <c r="AE397" s="125">
        <f>IF('Quant. mod. (oc)'!AE397&lt;0,0,ROUND('Quant. mod. (oc)'!AE397,0))</f>
        <v>2</v>
      </c>
      <c r="AF397" s="125">
        <f>IF('Quant. mod. (oc)'!AF397&lt;0,0,ROUND('Quant. mod. (oc)'!AF397,0))</f>
        <v>2</v>
      </c>
      <c r="AG397" s="126">
        <f>IF('Quant. mod. (oc)'!AG397&lt;0,0,ROUND('Quant. mod. (oc)'!AG397,0))</f>
        <v>2</v>
      </c>
      <c r="AH397" s="22"/>
    </row>
    <row r="398" spans="1:34" x14ac:dyDescent="0.25">
      <c r="A398" s="112"/>
      <c r="B398" s="136" t="s">
        <v>108</v>
      </c>
      <c r="C398" s="67" t="s">
        <v>59</v>
      </c>
      <c r="D398" s="125">
        <f>IF('Quant. mod. (oc)'!D398&lt;0,0,ROUND('Quant. mod. (oc)'!D398,0))</f>
        <v>2</v>
      </c>
      <c r="E398" s="125">
        <f>IF('Quant. mod. (oc)'!E398&lt;0,0,ROUND('Quant. mod. (oc)'!E398,0))</f>
        <v>2</v>
      </c>
      <c r="F398" s="125">
        <f>IF('Quant. mod. (oc)'!F398&lt;0,0,ROUND('Quant. mod. (oc)'!F398,0))</f>
        <v>2</v>
      </c>
      <c r="G398" s="125">
        <f>IF('Quant. mod. (oc)'!G398&lt;0,0,ROUND('Quant. mod. (oc)'!G398,0))</f>
        <v>2</v>
      </c>
      <c r="H398" s="125">
        <f>IF('Quant. mod. (oc)'!H398&lt;0,0,ROUND('Quant. mod. (oc)'!H398,0))</f>
        <v>2</v>
      </c>
      <c r="I398" s="125">
        <f>IF('Quant. mod. (oc)'!I398&lt;0,0,ROUND('Quant. mod. (oc)'!I398,0))</f>
        <v>2</v>
      </c>
      <c r="J398" s="125">
        <f>IF('Quant. mod. (oc)'!J398&lt;0,0,ROUND('Quant. mod. (oc)'!J398,0))</f>
        <v>2</v>
      </c>
      <c r="K398" s="125">
        <f>IF('Quant. mod. (oc)'!K398&lt;0,0,ROUND('Quant. mod. (oc)'!K398,0))</f>
        <v>2</v>
      </c>
      <c r="L398" s="125">
        <f>IF('Quant. mod. (oc)'!L398&lt;0,0,ROUND('Quant. mod. (oc)'!L398,0))</f>
        <v>2</v>
      </c>
      <c r="M398" s="125">
        <f>IF('Quant. mod. (oc)'!M398&lt;0,0,ROUND('Quant. mod. (oc)'!M398,0))</f>
        <v>2</v>
      </c>
      <c r="N398" s="125">
        <f>IF('Quant. mod. (oc)'!N398&lt;0,0,ROUND('Quant. mod. (oc)'!N398,0))</f>
        <v>2</v>
      </c>
      <c r="O398" s="125">
        <f>IF('Quant. mod. (oc)'!O398&lt;0,0,ROUND('Quant. mod. (oc)'!O398,0))</f>
        <v>2</v>
      </c>
      <c r="P398" s="125">
        <f>IF('Quant. mod. (oc)'!P398&lt;0,0,ROUND('Quant. mod. (oc)'!P398,0))</f>
        <v>2</v>
      </c>
      <c r="Q398" s="125">
        <f>IF('Quant. mod. (oc)'!Q398&lt;0,0,ROUND('Quant. mod. (oc)'!Q398,0))</f>
        <v>2</v>
      </c>
      <c r="R398" s="125">
        <f>IF('Quant. mod. (oc)'!R398&lt;0,0,ROUND('Quant. mod. (oc)'!R398,0))</f>
        <v>2</v>
      </c>
      <c r="S398" s="125">
        <f>IF('Quant. mod. (oc)'!S398&lt;0,0,ROUND('Quant. mod. (oc)'!S398,0))</f>
        <v>2</v>
      </c>
      <c r="T398" s="125">
        <f>IF('Quant. mod. (oc)'!T398&lt;0,0,ROUND('Quant. mod. (oc)'!T398,0))</f>
        <v>2</v>
      </c>
      <c r="U398" s="125">
        <f>IF('Quant. mod. (oc)'!U398&lt;0,0,ROUND('Quant. mod. (oc)'!U398,0))</f>
        <v>2</v>
      </c>
      <c r="V398" s="125">
        <f>IF('Quant. mod. (oc)'!V398&lt;0,0,ROUND('Quant. mod. (oc)'!V398,0))</f>
        <v>2</v>
      </c>
      <c r="W398" s="125">
        <f>IF('Quant. mod. (oc)'!W398&lt;0,0,ROUND('Quant. mod. (oc)'!W398,0))</f>
        <v>2</v>
      </c>
      <c r="X398" s="125">
        <f>IF('Quant. mod. (oc)'!X398&lt;0,0,ROUND('Quant. mod. (oc)'!X398,0))</f>
        <v>2</v>
      </c>
      <c r="Y398" s="125">
        <f>IF('Quant. mod. (oc)'!Y398&lt;0,0,ROUND('Quant. mod. (oc)'!Y398,0))</f>
        <v>2</v>
      </c>
      <c r="Z398" s="125">
        <f>IF('Quant. mod. (oc)'!Z398&lt;0,0,ROUND('Quant. mod. (oc)'!Z398,0))</f>
        <v>2</v>
      </c>
      <c r="AA398" s="125">
        <f>IF('Quant. mod. (oc)'!AA398&lt;0,0,ROUND('Quant. mod. (oc)'!AA398,0))</f>
        <v>2</v>
      </c>
      <c r="AB398" s="125">
        <f>IF('Quant. mod. (oc)'!AB398&lt;0,0,ROUND('Quant. mod. (oc)'!AB398,0))</f>
        <v>2</v>
      </c>
      <c r="AC398" s="125">
        <f>IF('Quant. mod. (oc)'!AC398&lt;0,0,ROUND('Quant. mod. (oc)'!AC398,0))</f>
        <v>2</v>
      </c>
      <c r="AD398" s="125">
        <f>IF('Quant. mod. (oc)'!AD398&lt;0,0,ROUND('Quant. mod. (oc)'!AD398,0))</f>
        <v>2</v>
      </c>
      <c r="AE398" s="125">
        <f>IF('Quant. mod. (oc)'!AE398&lt;0,0,ROUND('Quant. mod. (oc)'!AE398,0))</f>
        <v>2</v>
      </c>
      <c r="AF398" s="125">
        <f>IF('Quant. mod. (oc)'!AF398&lt;0,0,ROUND('Quant. mod. (oc)'!AF398,0))</f>
        <v>2</v>
      </c>
      <c r="AG398" s="126">
        <f>IF('Quant. mod. (oc)'!AG398&lt;0,0,ROUND('Quant. mod. (oc)'!AG398,0))</f>
        <v>2</v>
      </c>
      <c r="AH398" s="22"/>
    </row>
    <row r="399" spans="1:34" x14ac:dyDescent="0.25">
      <c r="A399" s="112"/>
      <c r="B399" s="136" t="s">
        <v>109</v>
      </c>
      <c r="C399" s="67" t="s">
        <v>59</v>
      </c>
      <c r="D399" s="125">
        <f>IF('Quant. mod. (oc)'!D399&lt;0,0,ROUND('Quant. mod. (oc)'!D399,0))</f>
        <v>2</v>
      </c>
      <c r="E399" s="125">
        <f>IF('Quant. mod. (oc)'!E399&lt;0,0,ROUND('Quant. mod. (oc)'!E399,0))</f>
        <v>2</v>
      </c>
      <c r="F399" s="125">
        <f>IF('Quant. mod. (oc)'!F399&lt;0,0,ROUND('Quant. mod. (oc)'!F399,0))</f>
        <v>2</v>
      </c>
      <c r="G399" s="125">
        <f>IF('Quant. mod. (oc)'!G399&lt;0,0,ROUND('Quant. mod. (oc)'!G399,0))</f>
        <v>2</v>
      </c>
      <c r="H399" s="125">
        <f>IF('Quant. mod. (oc)'!H399&lt;0,0,ROUND('Quant. mod. (oc)'!H399,0))</f>
        <v>2</v>
      </c>
      <c r="I399" s="125">
        <f>IF('Quant. mod. (oc)'!I399&lt;0,0,ROUND('Quant. mod. (oc)'!I399,0))</f>
        <v>2</v>
      </c>
      <c r="J399" s="125">
        <f>IF('Quant. mod. (oc)'!J399&lt;0,0,ROUND('Quant. mod. (oc)'!J399,0))</f>
        <v>2</v>
      </c>
      <c r="K399" s="125">
        <f>IF('Quant. mod. (oc)'!K399&lt;0,0,ROUND('Quant. mod. (oc)'!K399,0))</f>
        <v>2</v>
      </c>
      <c r="L399" s="125">
        <f>IF('Quant. mod. (oc)'!L399&lt;0,0,ROUND('Quant. mod. (oc)'!L399,0))</f>
        <v>2</v>
      </c>
      <c r="M399" s="125">
        <f>IF('Quant. mod. (oc)'!M399&lt;0,0,ROUND('Quant. mod. (oc)'!M399,0))</f>
        <v>2</v>
      </c>
      <c r="N399" s="125">
        <f>IF('Quant. mod. (oc)'!N399&lt;0,0,ROUND('Quant. mod. (oc)'!N399,0))</f>
        <v>2</v>
      </c>
      <c r="O399" s="125">
        <f>IF('Quant. mod. (oc)'!O399&lt;0,0,ROUND('Quant. mod. (oc)'!O399,0))</f>
        <v>2</v>
      </c>
      <c r="P399" s="125">
        <f>IF('Quant. mod. (oc)'!P399&lt;0,0,ROUND('Quant. mod. (oc)'!P399,0))</f>
        <v>2</v>
      </c>
      <c r="Q399" s="125">
        <f>IF('Quant. mod. (oc)'!Q399&lt;0,0,ROUND('Quant. mod. (oc)'!Q399,0))</f>
        <v>2</v>
      </c>
      <c r="R399" s="125">
        <f>IF('Quant. mod. (oc)'!R399&lt;0,0,ROUND('Quant. mod. (oc)'!R399,0))</f>
        <v>2</v>
      </c>
      <c r="S399" s="125">
        <f>IF('Quant. mod. (oc)'!S399&lt;0,0,ROUND('Quant. mod. (oc)'!S399,0))</f>
        <v>2</v>
      </c>
      <c r="T399" s="125">
        <f>IF('Quant. mod. (oc)'!T399&lt;0,0,ROUND('Quant. mod. (oc)'!T399,0))</f>
        <v>2</v>
      </c>
      <c r="U399" s="125">
        <f>IF('Quant. mod. (oc)'!U399&lt;0,0,ROUND('Quant. mod. (oc)'!U399,0))</f>
        <v>2</v>
      </c>
      <c r="V399" s="125">
        <f>IF('Quant. mod. (oc)'!V399&lt;0,0,ROUND('Quant. mod. (oc)'!V399,0))</f>
        <v>2</v>
      </c>
      <c r="W399" s="125">
        <f>IF('Quant. mod. (oc)'!W399&lt;0,0,ROUND('Quant. mod. (oc)'!W399,0))</f>
        <v>2</v>
      </c>
      <c r="X399" s="125">
        <f>IF('Quant. mod. (oc)'!X399&lt;0,0,ROUND('Quant. mod. (oc)'!X399,0))</f>
        <v>2</v>
      </c>
      <c r="Y399" s="125">
        <f>IF('Quant. mod. (oc)'!Y399&lt;0,0,ROUND('Quant. mod. (oc)'!Y399,0))</f>
        <v>2</v>
      </c>
      <c r="Z399" s="125">
        <f>IF('Quant. mod. (oc)'!Z399&lt;0,0,ROUND('Quant. mod. (oc)'!Z399,0))</f>
        <v>2</v>
      </c>
      <c r="AA399" s="125">
        <f>IF('Quant. mod. (oc)'!AA399&lt;0,0,ROUND('Quant. mod. (oc)'!AA399,0))</f>
        <v>2</v>
      </c>
      <c r="AB399" s="125">
        <f>IF('Quant. mod. (oc)'!AB399&lt;0,0,ROUND('Quant. mod. (oc)'!AB399,0))</f>
        <v>2</v>
      </c>
      <c r="AC399" s="125">
        <f>IF('Quant. mod. (oc)'!AC399&lt;0,0,ROUND('Quant. mod. (oc)'!AC399,0))</f>
        <v>2</v>
      </c>
      <c r="AD399" s="125">
        <f>IF('Quant. mod. (oc)'!AD399&lt;0,0,ROUND('Quant. mod. (oc)'!AD399,0))</f>
        <v>2</v>
      </c>
      <c r="AE399" s="125">
        <f>IF('Quant. mod. (oc)'!AE399&lt;0,0,ROUND('Quant. mod. (oc)'!AE399,0))</f>
        <v>2</v>
      </c>
      <c r="AF399" s="125">
        <f>IF('Quant. mod. (oc)'!AF399&lt;0,0,ROUND('Quant. mod. (oc)'!AF399,0))</f>
        <v>2</v>
      </c>
      <c r="AG399" s="126">
        <f>IF('Quant. mod. (oc)'!AG399&lt;0,0,ROUND('Quant. mod. (oc)'!AG399,0))</f>
        <v>2</v>
      </c>
      <c r="AH399" s="22"/>
    </row>
    <row r="400" spans="1:34" x14ac:dyDescent="0.25">
      <c r="A400" s="112"/>
      <c r="B400" s="136" t="s">
        <v>449</v>
      </c>
      <c r="C400" s="67" t="s">
        <v>59</v>
      </c>
      <c r="D400" s="125">
        <f>IF('Quant. mod. (oc)'!D400&lt;0,0,ROUND('Quant. mod. (oc)'!D400,0))</f>
        <v>2</v>
      </c>
      <c r="E400" s="125">
        <f>IF('Quant. mod. (oc)'!E400&lt;0,0,ROUND('Quant. mod. (oc)'!E400,0))</f>
        <v>2</v>
      </c>
      <c r="F400" s="125">
        <f>IF('Quant. mod. (oc)'!F400&lt;0,0,ROUND('Quant. mod. (oc)'!F400,0))</f>
        <v>2</v>
      </c>
      <c r="G400" s="125">
        <f>IF('Quant. mod. (oc)'!G400&lt;0,0,ROUND('Quant. mod. (oc)'!G400,0))</f>
        <v>2</v>
      </c>
      <c r="H400" s="125">
        <f>IF('Quant. mod. (oc)'!H400&lt;0,0,ROUND('Quant. mod. (oc)'!H400,0))</f>
        <v>2</v>
      </c>
      <c r="I400" s="125">
        <f>IF('Quant. mod. (oc)'!I400&lt;0,0,ROUND('Quant. mod. (oc)'!I400,0))</f>
        <v>2</v>
      </c>
      <c r="J400" s="125">
        <f>IF('Quant. mod. (oc)'!J400&lt;0,0,ROUND('Quant. mod. (oc)'!J400,0))</f>
        <v>2</v>
      </c>
      <c r="K400" s="125">
        <f>IF('Quant. mod. (oc)'!K400&lt;0,0,ROUND('Quant. mod. (oc)'!K400,0))</f>
        <v>2</v>
      </c>
      <c r="L400" s="125">
        <f>IF('Quant. mod. (oc)'!L400&lt;0,0,ROUND('Quant. mod. (oc)'!L400,0))</f>
        <v>2</v>
      </c>
      <c r="M400" s="125">
        <f>IF('Quant. mod. (oc)'!M400&lt;0,0,ROUND('Quant. mod. (oc)'!M400,0))</f>
        <v>2</v>
      </c>
      <c r="N400" s="125">
        <f>IF('Quant. mod. (oc)'!N400&lt;0,0,ROUND('Quant. mod. (oc)'!N400,0))</f>
        <v>2</v>
      </c>
      <c r="O400" s="125">
        <f>IF('Quant. mod. (oc)'!O400&lt;0,0,ROUND('Quant. mod. (oc)'!O400,0))</f>
        <v>2</v>
      </c>
      <c r="P400" s="125">
        <f>IF('Quant. mod. (oc)'!P400&lt;0,0,ROUND('Quant. mod. (oc)'!P400,0))</f>
        <v>2</v>
      </c>
      <c r="Q400" s="125">
        <f>IF('Quant. mod. (oc)'!Q400&lt;0,0,ROUND('Quant. mod. (oc)'!Q400,0))</f>
        <v>2</v>
      </c>
      <c r="R400" s="125">
        <f>IF('Quant. mod. (oc)'!R400&lt;0,0,ROUND('Quant. mod. (oc)'!R400,0))</f>
        <v>2</v>
      </c>
      <c r="S400" s="125">
        <f>IF('Quant. mod. (oc)'!S400&lt;0,0,ROUND('Quant. mod. (oc)'!S400,0))</f>
        <v>2</v>
      </c>
      <c r="T400" s="125">
        <f>IF('Quant. mod. (oc)'!T400&lt;0,0,ROUND('Quant. mod. (oc)'!T400,0))</f>
        <v>2</v>
      </c>
      <c r="U400" s="125">
        <f>IF('Quant. mod. (oc)'!U400&lt;0,0,ROUND('Quant. mod. (oc)'!U400,0))</f>
        <v>2</v>
      </c>
      <c r="V400" s="125">
        <f>IF('Quant. mod. (oc)'!V400&lt;0,0,ROUND('Quant. mod. (oc)'!V400,0))</f>
        <v>2</v>
      </c>
      <c r="W400" s="125">
        <f>IF('Quant. mod. (oc)'!W400&lt;0,0,ROUND('Quant. mod. (oc)'!W400,0))</f>
        <v>2</v>
      </c>
      <c r="X400" s="125">
        <f>IF('Quant. mod. (oc)'!X400&lt;0,0,ROUND('Quant. mod. (oc)'!X400,0))</f>
        <v>2</v>
      </c>
      <c r="Y400" s="125">
        <f>IF('Quant. mod. (oc)'!Y400&lt;0,0,ROUND('Quant. mod. (oc)'!Y400,0))</f>
        <v>2</v>
      </c>
      <c r="Z400" s="125">
        <f>IF('Quant. mod. (oc)'!Z400&lt;0,0,ROUND('Quant. mod. (oc)'!Z400,0))</f>
        <v>2</v>
      </c>
      <c r="AA400" s="125">
        <f>IF('Quant. mod. (oc)'!AA400&lt;0,0,ROUND('Quant. mod. (oc)'!AA400,0))</f>
        <v>2</v>
      </c>
      <c r="AB400" s="125">
        <f>IF('Quant. mod. (oc)'!AB400&lt;0,0,ROUND('Quant. mod. (oc)'!AB400,0))</f>
        <v>2</v>
      </c>
      <c r="AC400" s="125">
        <f>IF('Quant. mod. (oc)'!AC400&lt;0,0,ROUND('Quant. mod. (oc)'!AC400,0))</f>
        <v>2</v>
      </c>
      <c r="AD400" s="125">
        <f>IF('Quant. mod. (oc)'!AD400&lt;0,0,ROUND('Quant. mod. (oc)'!AD400,0))</f>
        <v>2</v>
      </c>
      <c r="AE400" s="125">
        <f>IF('Quant. mod. (oc)'!AE400&lt;0,0,ROUND('Quant. mod. (oc)'!AE400,0))</f>
        <v>2</v>
      </c>
      <c r="AF400" s="125">
        <f>IF('Quant. mod. (oc)'!AF400&lt;0,0,ROUND('Quant. mod. (oc)'!AF400,0))</f>
        <v>2</v>
      </c>
      <c r="AG400" s="126">
        <f>IF('Quant. mod. (oc)'!AG400&lt;0,0,ROUND('Quant. mod. (oc)'!AG400,0))</f>
        <v>2</v>
      </c>
      <c r="AH400" s="22"/>
    </row>
    <row r="401" spans="1:34" x14ac:dyDescent="0.25">
      <c r="A401" s="112"/>
      <c r="B401" s="136" t="s">
        <v>110</v>
      </c>
      <c r="C401" s="67" t="s">
        <v>59</v>
      </c>
      <c r="D401" s="125">
        <f>IF('Quant. mod. (oc)'!D401&lt;0,0,ROUND('Quant. mod. (oc)'!D401,0))</f>
        <v>2</v>
      </c>
      <c r="E401" s="125">
        <f>IF('Quant. mod. (oc)'!E401&lt;0,0,ROUND('Quant. mod. (oc)'!E401,0))</f>
        <v>2</v>
      </c>
      <c r="F401" s="125">
        <f>IF('Quant. mod. (oc)'!F401&lt;0,0,ROUND('Quant. mod. (oc)'!F401,0))</f>
        <v>2</v>
      </c>
      <c r="G401" s="125">
        <f>IF('Quant. mod. (oc)'!G401&lt;0,0,ROUND('Quant. mod. (oc)'!G401,0))</f>
        <v>2</v>
      </c>
      <c r="H401" s="125">
        <f>IF('Quant. mod. (oc)'!H401&lt;0,0,ROUND('Quant. mod. (oc)'!H401,0))</f>
        <v>2</v>
      </c>
      <c r="I401" s="125">
        <f>IF('Quant. mod. (oc)'!I401&lt;0,0,ROUND('Quant. mod. (oc)'!I401,0))</f>
        <v>2</v>
      </c>
      <c r="J401" s="125">
        <f>IF('Quant. mod. (oc)'!J401&lt;0,0,ROUND('Quant. mod. (oc)'!J401,0))</f>
        <v>2</v>
      </c>
      <c r="K401" s="125">
        <f>IF('Quant. mod. (oc)'!K401&lt;0,0,ROUND('Quant. mod. (oc)'!K401,0))</f>
        <v>2</v>
      </c>
      <c r="L401" s="125">
        <f>IF('Quant. mod. (oc)'!L401&lt;0,0,ROUND('Quant. mod. (oc)'!L401,0))</f>
        <v>2</v>
      </c>
      <c r="M401" s="125">
        <f>IF('Quant. mod. (oc)'!M401&lt;0,0,ROUND('Quant. mod. (oc)'!M401,0))</f>
        <v>2</v>
      </c>
      <c r="N401" s="125">
        <f>IF('Quant. mod. (oc)'!N401&lt;0,0,ROUND('Quant. mod. (oc)'!N401,0))</f>
        <v>2</v>
      </c>
      <c r="O401" s="125">
        <f>IF('Quant. mod. (oc)'!O401&lt;0,0,ROUND('Quant. mod. (oc)'!O401,0))</f>
        <v>2</v>
      </c>
      <c r="P401" s="125">
        <f>IF('Quant. mod. (oc)'!P401&lt;0,0,ROUND('Quant. mod. (oc)'!P401,0))</f>
        <v>2</v>
      </c>
      <c r="Q401" s="125">
        <f>IF('Quant. mod. (oc)'!Q401&lt;0,0,ROUND('Quant. mod. (oc)'!Q401,0))</f>
        <v>2</v>
      </c>
      <c r="R401" s="125">
        <f>IF('Quant. mod. (oc)'!R401&lt;0,0,ROUND('Quant. mod. (oc)'!R401,0))</f>
        <v>2</v>
      </c>
      <c r="S401" s="125">
        <f>IF('Quant. mod. (oc)'!S401&lt;0,0,ROUND('Quant. mod. (oc)'!S401,0))</f>
        <v>2</v>
      </c>
      <c r="T401" s="125">
        <f>IF('Quant. mod. (oc)'!T401&lt;0,0,ROUND('Quant. mod. (oc)'!T401,0))</f>
        <v>2</v>
      </c>
      <c r="U401" s="125">
        <f>IF('Quant. mod. (oc)'!U401&lt;0,0,ROUND('Quant. mod. (oc)'!U401,0))</f>
        <v>2</v>
      </c>
      <c r="V401" s="125">
        <f>IF('Quant. mod. (oc)'!V401&lt;0,0,ROUND('Quant. mod. (oc)'!V401,0))</f>
        <v>2</v>
      </c>
      <c r="W401" s="125">
        <f>IF('Quant. mod. (oc)'!W401&lt;0,0,ROUND('Quant. mod. (oc)'!W401,0))</f>
        <v>2</v>
      </c>
      <c r="X401" s="125">
        <f>IF('Quant. mod. (oc)'!X401&lt;0,0,ROUND('Quant. mod. (oc)'!X401,0))</f>
        <v>2</v>
      </c>
      <c r="Y401" s="125">
        <f>IF('Quant. mod. (oc)'!Y401&lt;0,0,ROUND('Quant. mod. (oc)'!Y401,0))</f>
        <v>2</v>
      </c>
      <c r="Z401" s="125">
        <f>IF('Quant. mod. (oc)'!Z401&lt;0,0,ROUND('Quant. mod. (oc)'!Z401,0))</f>
        <v>2</v>
      </c>
      <c r="AA401" s="125">
        <f>IF('Quant. mod. (oc)'!AA401&lt;0,0,ROUND('Quant. mod. (oc)'!AA401,0))</f>
        <v>2</v>
      </c>
      <c r="AB401" s="125">
        <f>IF('Quant. mod. (oc)'!AB401&lt;0,0,ROUND('Quant. mod. (oc)'!AB401,0))</f>
        <v>2</v>
      </c>
      <c r="AC401" s="125">
        <f>IF('Quant. mod. (oc)'!AC401&lt;0,0,ROUND('Quant. mod. (oc)'!AC401,0))</f>
        <v>2</v>
      </c>
      <c r="AD401" s="125">
        <f>IF('Quant. mod. (oc)'!AD401&lt;0,0,ROUND('Quant. mod. (oc)'!AD401,0))</f>
        <v>2</v>
      </c>
      <c r="AE401" s="125">
        <f>IF('Quant. mod. (oc)'!AE401&lt;0,0,ROUND('Quant. mod. (oc)'!AE401,0))</f>
        <v>2</v>
      </c>
      <c r="AF401" s="125">
        <f>IF('Quant. mod. (oc)'!AF401&lt;0,0,ROUND('Quant. mod. (oc)'!AF401,0))</f>
        <v>2</v>
      </c>
      <c r="AG401" s="126">
        <f>IF('Quant. mod. (oc)'!AG401&lt;0,0,ROUND('Quant. mod. (oc)'!AG401,0))</f>
        <v>2</v>
      </c>
      <c r="AH401" s="22"/>
    </row>
    <row r="402" spans="1:34" x14ac:dyDescent="0.25">
      <c r="A402" s="112"/>
      <c r="B402" s="136" t="s">
        <v>450</v>
      </c>
      <c r="C402" s="67" t="s">
        <v>59</v>
      </c>
      <c r="D402" s="125">
        <f>IF('Quant. mod. (oc)'!D402&lt;0,0,ROUND('Quant. mod. (oc)'!D402,0))</f>
        <v>2</v>
      </c>
      <c r="E402" s="125">
        <f>IF('Quant. mod. (oc)'!E402&lt;0,0,ROUND('Quant. mod. (oc)'!E402,0))</f>
        <v>2</v>
      </c>
      <c r="F402" s="125">
        <f>IF('Quant. mod. (oc)'!F402&lt;0,0,ROUND('Quant. mod. (oc)'!F402,0))</f>
        <v>2</v>
      </c>
      <c r="G402" s="125">
        <f>IF('Quant. mod. (oc)'!G402&lt;0,0,ROUND('Quant. mod. (oc)'!G402,0))</f>
        <v>2</v>
      </c>
      <c r="H402" s="125">
        <f>IF('Quant. mod. (oc)'!H402&lt;0,0,ROUND('Quant. mod. (oc)'!H402,0))</f>
        <v>2</v>
      </c>
      <c r="I402" s="125">
        <f>IF('Quant. mod. (oc)'!I402&lt;0,0,ROUND('Quant. mod. (oc)'!I402,0))</f>
        <v>2</v>
      </c>
      <c r="J402" s="125">
        <f>IF('Quant. mod. (oc)'!J402&lt;0,0,ROUND('Quant. mod. (oc)'!J402,0))</f>
        <v>2</v>
      </c>
      <c r="K402" s="125">
        <f>IF('Quant. mod. (oc)'!K402&lt;0,0,ROUND('Quant. mod. (oc)'!K402,0))</f>
        <v>2</v>
      </c>
      <c r="L402" s="125">
        <f>IF('Quant. mod. (oc)'!L402&lt;0,0,ROUND('Quant. mod. (oc)'!L402,0))</f>
        <v>2</v>
      </c>
      <c r="M402" s="125">
        <f>IF('Quant. mod. (oc)'!M402&lt;0,0,ROUND('Quant. mod. (oc)'!M402,0))</f>
        <v>2</v>
      </c>
      <c r="N402" s="125">
        <f>IF('Quant. mod. (oc)'!N402&lt;0,0,ROUND('Quant. mod. (oc)'!N402,0))</f>
        <v>2</v>
      </c>
      <c r="O402" s="125">
        <f>IF('Quant. mod. (oc)'!O402&lt;0,0,ROUND('Quant. mod. (oc)'!O402,0))</f>
        <v>2</v>
      </c>
      <c r="P402" s="125">
        <f>IF('Quant. mod. (oc)'!P402&lt;0,0,ROUND('Quant. mod. (oc)'!P402,0))</f>
        <v>2</v>
      </c>
      <c r="Q402" s="125">
        <f>IF('Quant. mod. (oc)'!Q402&lt;0,0,ROUND('Quant. mod. (oc)'!Q402,0))</f>
        <v>2</v>
      </c>
      <c r="R402" s="125">
        <f>IF('Quant. mod. (oc)'!R402&lt;0,0,ROUND('Quant. mod. (oc)'!R402,0))</f>
        <v>2</v>
      </c>
      <c r="S402" s="125">
        <f>IF('Quant. mod. (oc)'!S402&lt;0,0,ROUND('Quant. mod. (oc)'!S402,0))</f>
        <v>2</v>
      </c>
      <c r="T402" s="125">
        <f>IF('Quant. mod. (oc)'!T402&lt;0,0,ROUND('Quant. mod. (oc)'!T402,0))</f>
        <v>2</v>
      </c>
      <c r="U402" s="125">
        <f>IF('Quant. mod. (oc)'!U402&lt;0,0,ROUND('Quant. mod. (oc)'!U402,0))</f>
        <v>2</v>
      </c>
      <c r="V402" s="125">
        <f>IF('Quant. mod. (oc)'!V402&lt;0,0,ROUND('Quant. mod. (oc)'!V402,0))</f>
        <v>2</v>
      </c>
      <c r="W402" s="125">
        <f>IF('Quant. mod. (oc)'!W402&lt;0,0,ROUND('Quant. mod. (oc)'!W402,0))</f>
        <v>2</v>
      </c>
      <c r="X402" s="125">
        <f>IF('Quant. mod. (oc)'!X402&lt;0,0,ROUND('Quant. mod. (oc)'!X402,0))</f>
        <v>2</v>
      </c>
      <c r="Y402" s="125">
        <f>IF('Quant. mod. (oc)'!Y402&lt;0,0,ROUND('Quant. mod. (oc)'!Y402,0))</f>
        <v>2</v>
      </c>
      <c r="Z402" s="125">
        <f>IF('Quant. mod. (oc)'!Z402&lt;0,0,ROUND('Quant. mod. (oc)'!Z402,0))</f>
        <v>2</v>
      </c>
      <c r="AA402" s="125">
        <f>IF('Quant. mod. (oc)'!AA402&lt;0,0,ROUND('Quant. mod. (oc)'!AA402,0))</f>
        <v>2</v>
      </c>
      <c r="AB402" s="125">
        <f>IF('Quant. mod. (oc)'!AB402&lt;0,0,ROUND('Quant. mod. (oc)'!AB402,0))</f>
        <v>2</v>
      </c>
      <c r="AC402" s="125">
        <f>IF('Quant. mod. (oc)'!AC402&lt;0,0,ROUND('Quant. mod. (oc)'!AC402,0))</f>
        <v>2</v>
      </c>
      <c r="AD402" s="125">
        <f>IF('Quant. mod. (oc)'!AD402&lt;0,0,ROUND('Quant. mod. (oc)'!AD402,0))</f>
        <v>2</v>
      </c>
      <c r="AE402" s="125">
        <f>IF('Quant. mod. (oc)'!AE402&lt;0,0,ROUND('Quant. mod. (oc)'!AE402,0))</f>
        <v>2</v>
      </c>
      <c r="AF402" s="125">
        <f>IF('Quant. mod. (oc)'!AF402&lt;0,0,ROUND('Quant. mod. (oc)'!AF402,0))</f>
        <v>2</v>
      </c>
      <c r="AG402" s="126">
        <f>IF('Quant. mod. (oc)'!AG402&lt;0,0,ROUND('Quant. mod. (oc)'!AG402,0))</f>
        <v>2</v>
      </c>
      <c r="AH402" s="22"/>
    </row>
    <row r="403" spans="1:34" x14ac:dyDescent="0.25">
      <c r="A403" s="112"/>
      <c r="B403" s="136" t="s">
        <v>111</v>
      </c>
      <c r="C403" s="67" t="s">
        <v>59</v>
      </c>
      <c r="D403" s="125">
        <f>IF('Quant. mod. (oc)'!D403&lt;0,0,ROUND('Quant. mod. (oc)'!D403,0))</f>
        <v>1</v>
      </c>
      <c r="E403" s="125">
        <f>IF('Quant. mod. (oc)'!E403&lt;0,0,ROUND('Quant. mod. (oc)'!E403,0))</f>
        <v>1</v>
      </c>
      <c r="F403" s="125">
        <f>IF('Quant. mod. (oc)'!F403&lt;0,0,ROUND('Quant. mod. (oc)'!F403,0))</f>
        <v>1</v>
      </c>
      <c r="G403" s="125">
        <f>IF('Quant. mod. (oc)'!G403&lt;0,0,ROUND('Quant. mod. (oc)'!G403,0))</f>
        <v>1</v>
      </c>
      <c r="H403" s="125">
        <f>IF('Quant. mod. (oc)'!H403&lt;0,0,ROUND('Quant. mod. (oc)'!H403,0))</f>
        <v>1</v>
      </c>
      <c r="I403" s="125">
        <f>IF('Quant. mod. (oc)'!I403&lt;0,0,ROUND('Quant. mod. (oc)'!I403,0))</f>
        <v>1</v>
      </c>
      <c r="J403" s="125">
        <f>IF('Quant. mod. (oc)'!J403&lt;0,0,ROUND('Quant. mod. (oc)'!J403,0))</f>
        <v>1</v>
      </c>
      <c r="K403" s="125">
        <f>IF('Quant. mod. (oc)'!K403&lt;0,0,ROUND('Quant. mod. (oc)'!K403,0))</f>
        <v>1</v>
      </c>
      <c r="L403" s="125">
        <f>IF('Quant. mod. (oc)'!L403&lt;0,0,ROUND('Quant. mod. (oc)'!L403,0))</f>
        <v>1</v>
      </c>
      <c r="M403" s="125">
        <f>IF('Quant. mod. (oc)'!M403&lt;0,0,ROUND('Quant. mod. (oc)'!M403,0))</f>
        <v>1</v>
      </c>
      <c r="N403" s="125">
        <f>IF('Quant. mod. (oc)'!N403&lt;0,0,ROUND('Quant. mod. (oc)'!N403,0))</f>
        <v>1</v>
      </c>
      <c r="O403" s="125">
        <f>IF('Quant. mod. (oc)'!O403&lt;0,0,ROUND('Quant. mod. (oc)'!O403,0))</f>
        <v>1</v>
      </c>
      <c r="P403" s="125">
        <f>IF('Quant. mod. (oc)'!P403&lt;0,0,ROUND('Quant. mod. (oc)'!P403,0))</f>
        <v>1</v>
      </c>
      <c r="Q403" s="125">
        <f>IF('Quant. mod. (oc)'!Q403&lt;0,0,ROUND('Quant. mod. (oc)'!Q403,0))</f>
        <v>1</v>
      </c>
      <c r="R403" s="125">
        <f>IF('Quant. mod. (oc)'!R403&lt;0,0,ROUND('Quant. mod. (oc)'!R403,0))</f>
        <v>1</v>
      </c>
      <c r="S403" s="125">
        <f>IF('Quant. mod. (oc)'!S403&lt;0,0,ROUND('Quant. mod. (oc)'!S403,0))</f>
        <v>1</v>
      </c>
      <c r="T403" s="125">
        <f>IF('Quant. mod. (oc)'!T403&lt;0,0,ROUND('Quant. mod. (oc)'!T403,0))</f>
        <v>1</v>
      </c>
      <c r="U403" s="125">
        <f>IF('Quant. mod. (oc)'!U403&lt;0,0,ROUND('Quant. mod. (oc)'!U403,0))</f>
        <v>1</v>
      </c>
      <c r="V403" s="125">
        <f>IF('Quant. mod. (oc)'!V403&lt;0,0,ROUND('Quant. mod. (oc)'!V403,0))</f>
        <v>1</v>
      </c>
      <c r="W403" s="125">
        <f>IF('Quant. mod. (oc)'!W403&lt;0,0,ROUND('Quant. mod. (oc)'!W403,0))</f>
        <v>1</v>
      </c>
      <c r="X403" s="125">
        <f>IF('Quant. mod. (oc)'!X403&lt;0,0,ROUND('Quant. mod. (oc)'!X403,0))</f>
        <v>1</v>
      </c>
      <c r="Y403" s="125">
        <f>IF('Quant. mod. (oc)'!Y403&lt;0,0,ROUND('Quant. mod. (oc)'!Y403,0))</f>
        <v>1</v>
      </c>
      <c r="Z403" s="125">
        <f>IF('Quant. mod. (oc)'!Z403&lt;0,0,ROUND('Quant. mod. (oc)'!Z403,0))</f>
        <v>1</v>
      </c>
      <c r="AA403" s="125">
        <f>IF('Quant. mod. (oc)'!AA403&lt;0,0,ROUND('Quant. mod. (oc)'!AA403,0))</f>
        <v>1</v>
      </c>
      <c r="AB403" s="125">
        <f>IF('Quant. mod. (oc)'!AB403&lt;0,0,ROUND('Quant. mod. (oc)'!AB403,0))</f>
        <v>1</v>
      </c>
      <c r="AC403" s="125">
        <f>IF('Quant. mod. (oc)'!AC403&lt;0,0,ROUND('Quant. mod. (oc)'!AC403,0))</f>
        <v>1</v>
      </c>
      <c r="AD403" s="125">
        <f>IF('Quant. mod. (oc)'!AD403&lt;0,0,ROUND('Quant. mod. (oc)'!AD403,0))</f>
        <v>1</v>
      </c>
      <c r="AE403" s="125">
        <f>IF('Quant. mod. (oc)'!AE403&lt;0,0,ROUND('Quant. mod. (oc)'!AE403,0))</f>
        <v>1</v>
      </c>
      <c r="AF403" s="125">
        <f>IF('Quant. mod. (oc)'!AF403&lt;0,0,ROUND('Quant. mod. (oc)'!AF403,0))</f>
        <v>1</v>
      </c>
      <c r="AG403" s="126">
        <f>IF('Quant. mod. (oc)'!AG403&lt;0,0,ROUND('Quant. mod. (oc)'!AG403,0))</f>
        <v>1</v>
      </c>
      <c r="AH403" s="22"/>
    </row>
    <row r="404" spans="1:34" x14ac:dyDescent="0.25">
      <c r="A404" s="112"/>
      <c r="B404" s="136" t="s">
        <v>112</v>
      </c>
      <c r="C404" s="67" t="s">
        <v>59</v>
      </c>
      <c r="D404" s="125">
        <f>IF('Quant. mod. (oc)'!D404&lt;0,0,ROUND('Quant. mod. (oc)'!D404,0))</f>
        <v>1</v>
      </c>
      <c r="E404" s="125">
        <f>IF('Quant. mod. (oc)'!E404&lt;0,0,ROUND('Quant. mod. (oc)'!E404,0))</f>
        <v>1</v>
      </c>
      <c r="F404" s="125">
        <f>IF('Quant. mod. (oc)'!F404&lt;0,0,ROUND('Quant. mod. (oc)'!F404,0))</f>
        <v>1</v>
      </c>
      <c r="G404" s="125">
        <f>IF('Quant. mod. (oc)'!G404&lt;0,0,ROUND('Quant. mod. (oc)'!G404,0))</f>
        <v>1</v>
      </c>
      <c r="H404" s="125">
        <f>IF('Quant. mod. (oc)'!H404&lt;0,0,ROUND('Quant. mod. (oc)'!H404,0))</f>
        <v>1</v>
      </c>
      <c r="I404" s="125">
        <f>IF('Quant. mod. (oc)'!I404&lt;0,0,ROUND('Quant. mod. (oc)'!I404,0))</f>
        <v>1</v>
      </c>
      <c r="J404" s="125">
        <f>IF('Quant. mod. (oc)'!J404&lt;0,0,ROUND('Quant. mod. (oc)'!J404,0))</f>
        <v>1</v>
      </c>
      <c r="K404" s="125">
        <f>IF('Quant. mod. (oc)'!K404&lt;0,0,ROUND('Quant. mod. (oc)'!K404,0))</f>
        <v>1</v>
      </c>
      <c r="L404" s="125">
        <f>IF('Quant. mod. (oc)'!L404&lt;0,0,ROUND('Quant. mod. (oc)'!L404,0))</f>
        <v>1</v>
      </c>
      <c r="M404" s="125">
        <f>IF('Quant. mod. (oc)'!M404&lt;0,0,ROUND('Quant. mod. (oc)'!M404,0))</f>
        <v>1</v>
      </c>
      <c r="N404" s="125">
        <f>IF('Quant. mod. (oc)'!N404&lt;0,0,ROUND('Quant. mod. (oc)'!N404,0))</f>
        <v>1</v>
      </c>
      <c r="O404" s="125">
        <f>IF('Quant. mod. (oc)'!O404&lt;0,0,ROUND('Quant. mod. (oc)'!O404,0))</f>
        <v>1</v>
      </c>
      <c r="P404" s="125">
        <f>IF('Quant. mod. (oc)'!P404&lt;0,0,ROUND('Quant. mod. (oc)'!P404,0))</f>
        <v>1</v>
      </c>
      <c r="Q404" s="125">
        <f>IF('Quant. mod. (oc)'!Q404&lt;0,0,ROUND('Quant. mod. (oc)'!Q404,0))</f>
        <v>1</v>
      </c>
      <c r="R404" s="125">
        <f>IF('Quant. mod. (oc)'!R404&lt;0,0,ROUND('Quant. mod. (oc)'!R404,0))</f>
        <v>1</v>
      </c>
      <c r="S404" s="125">
        <f>IF('Quant. mod. (oc)'!S404&lt;0,0,ROUND('Quant. mod. (oc)'!S404,0))</f>
        <v>1</v>
      </c>
      <c r="T404" s="125">
        <f>IF('Quant. mod. (oc)'!T404&lt;0,0,ROUND('Quant. mod. (oc)'!T404,0))</f>
        <v>1</v>
      </c>
      <c r="U404" s="125">
        <f>IF('Quant. mod. (oc)'!U404&lt;0,0,ROUND('Quant. mod. (oc)'!U404,0))</f>
        <v>1</v>
      </c>
      <c r="V404" s="125">
        <f>IF('Quant. mod. (oc)'!V404&lt;0,0,ROUND('Quant. mod. (oc)'!V404,0))</f>
        <v>1</v>
      </c>
      <c r="W404" s="125">
        <f>IF('Quant. mod. (oc)'!W404&lt;0,0,ROUND('Quant. mod. (oc)'!W404,0))</f>
        <v>1</v>
      </c>
      <c r="X404" s="125">
        <f>IF('Quant. mod. (oc)'!X404&lt;0,0,ROUND('Quant. mod. (oc)'!X404,0))</f>
        <v>1</v>
      </c>
      <c r="Y404" s="125">
        <f>IF('Quant. mod. (oc)'!Y404&lt;0,0,ROUND('Quant. mod. (oc)'!Y404,0))</f>
        <v>1</v>
      </c>
      <c r="Z404" s="125">
        <f>IF('Quant. mod. (oc)'!Z404&lt;0,0,ROUND('Quant. mod. (oc)'!Z404,0))</f>
        <v>1</v>
      </c>
      <c r="AA404" s="125">
        <f>IF('Quant. mod. (oc)'!AA404&lt;0,0,ROUND('Quant. mod. (oc)'!AA404,0))</f>
        <v>1</v>
      </c>
      <c r="AB404" s="125">
        <f>IF('Quant. mod. (oc)'!AB404&lt;0,0,ROUND('Quant. mod. (oc)'!AB404,0))</f>
        <v>1</v>
      </c>
      <c r="AC404" s="125">
        <f>IF('Quant. mod. (oc)'!AC404&lt;0,0,ROUND('Quant. mod. (oc)'!AC404,0))</f>
        <v>1</v>
      </c>
      <c r="AD404" s="125">
        <f>IF('Quant. mod. (oc)'!AD404&lt;0,0,ROUND('Quant. mod. (oc)'!AD404,0))</f>
        <v>1</v>
      </c>
      <c r="AE404" s="125">
        <f>IF('Quant. mod. (oc)'!AE404&lt;0,0,ROUND('Quant. mod. (oc)'!AE404,0))</f>
        <v>1</v>
      </c>
      <c r="AF404" s="125">
        <f>IF('Quant. mod. (oc)'!AF404&lt;0,0,ROUND('Quant. mod. (oc)'!AF404,0))</f>
        <v>1</v>
      </c>
      <c r="AG404" s="126">
        <f>IF('Quant. mod. (oc)'!AG404&lt;0,0,ROUND('Quant. mod. (oc)'!AG404,0))</f>
        <v>1</v>
      </c>
      <c r="AH404" s="22"/>
    </row>
    <row r="405" spans="1:34" x14ac:dyDescent="0.25">
      <c r="A405" s="112"/>
      <c r="B405" s="136" t="s">
        <v>113</v>
      </c>
      <c r="C405" s="67" t="s">
        <v>59</v>
      </c>
      <c r="D405" s="125">
        <f>IF('Quant. mod. (oc)'!D405&lt;0,0,ROUND('Quant. mod. (oc)'!D405,0))</f>
        <v>1</v>
      </c>
      <c r="E405" s="125">
        <f>IF('Quant. mod. (oc)'!E405&lt;0,0,ROUND('Quant. mod. (oc)'!E405,0))</f>
        <v>1</v>
      </c>
      <c r="F405" s="125">
        <f>IF('Quant. mod. (oc)'!F405&lt;0,0,ROUND('Quant. mod. (oc)'!F405,0))</f>
        <v>1</v>
      </c>
      <c r="G405" s="125">
        <f>IF('Quant. mod. (oc)'!G405&lt;0,0,ROUND('Quant. mod. (oc)'!G405,0))</f>
        <v>1</v>
      </c>
      <c r="H405" s="125">
        <f>IF('Quant. mod. (oc)'!H405&lt;0,0,ROUND('Quant. mod. (oc)'!H405,0))</f>
        <v>1</v>
      </c>
      <c r="I405" s="125">
        <f>IF('Quant. mod. (oc)'!I405&lt;0,0,ROUND('Quant. mod. (oc)'!I405,0))</f>
        <v>1</v>
      </c>
      <c r="J405" s="125">
        <f>IF('Quant. mod. (oc)'!J405&lt;0,0,ROUND('Quant. mod. (oc)'!J405,0))</f>
        <v>1</v>
      </c>
      <c r="K405" s="125">
        <f>IF('Quant. mod. (oc)'!K405&lt;0,0,ROUND('Quant. mod. (oc)'!K405,0))</f>
        <v>1</v>
      </c>
      <c r="L405" s="125">
        <f>IF('Quant. mod. (oc)'!L405&lt;0,0,ROUND('Quant. mod. (oc)'!L405,0))</f>
        <v>1</v>
      </c>
      <c r="M405" s="125">
        <f>IF('Quant. mod. (oc)'!M405&lt;0,0,ROUND('Quant. mod. (oc)'!M405,0))</f>
        <v>1</v>
      </c>
      <c r="N405" s="125">
        <f>IF('Quant. mod. (oc)'!N405&lt;0,0,ROUND('Quant. mod. (oc)'!N405,0))</f>
        <v>1</v>
      </c>
      <c r="O405" s="125">
        <f>IF('Quant. mod. (oc)'!O405&lt;0,0,ROUND('Quant. mod. (oc)'!O405,0))</f>
        <v>1</v>
      </c>
      <c r="P405" s="125">
        <f>IF('Quant. mod. (oc)'!P405&lt;0,0,ROUND('Quant. mod. (oc)'!P405,0))</f>
        <v>1</v>
      </c>
      <c r="Q405" s="125">
        <f>IF('Quant. mod. (oc)'!Q405&lt;0,0,ROUND('Quant. mod. (oc)'!Q405,0))</f>
        <v>1</v>
      </c>
      <c r="R405" s="125">
        <f>IF('Quant. mod. (oc)'!R405&lt;0,0,ROUND('Quant. mod. (oc)'!R405,0))</f>
        <v>1</v>
      </c>
      <c r="S405" s="125">
        <f>IF('Quant. mod. (oc)'!S405&lt;0,0,ROUND('Quant. mod. (oc)'!S405,0))</f>
        <v>1</v>
      </c>
      <c r="T405" s="125">
        <f>IF('Quant. mod. (oc)'!T405&lt;0,0,ROUND('Quant. mod. (oc)'!T405,0))</f>
        <v>1</v>
      </c>
      <c r="U405" s="125">
        <f>IF('Quant. mod. (oc)'!U405&lt;0,0,ROUND('Quant. mod. (oc)'!U405,0))</f>
        <v>1</v>
      </c>
      <c r="V405" s="125">
        <f>IF('Quant. mod. (oc)'!V405&lt;0,0,ROUND('Quant. mod. (oc)'!V405,0))</f>
        <v>1</v>
      </c>
      <c r="W405" s="125">
        <f>IF('Quant. mod. (oc)'!W405&lt;0,0,ROUND('Quant. mod. (oc)'!W405,0))</f>
        <v>1</v>
      </c>
      <c r="X405" s="125">
        <f>IF('Quant. mod. (oc)'!X405&lt;0,0,ROUND('Quant. mod. (oc)'!X405,0))</f>
        <v>1</v>
      </c>
      <c r="Y405" s="125">
        <f>IF('Quant. mod. (oc)'!Y405&lt;0,0,ROUND('Quant. mod. (oc)'!Y405,0))</f>
        <v>1</v>
      </c>
      <c r="Z405" s="125">
        <f>IF('Quant. mod. (oc)'!Z405&lt;0,0,ROUND('Quant. mod. (oc)'!Z405,0))</f>
        <v>1</v>
      </c>
      <c r="AA405" s="125">
        <f>IF('Quant. mod. (oc)'!AA405&lt;0,0,ROUND('Quant. mod. (oc)'!AA405,0))</f>
        <v>1</v>
      </c>
      <c r="AB405" s="125">
        <f>IF('Quant. mod. (oc)'!AB405&lt;0,0,ROUND('Quant. mod. (oc)'!AB405,0))</f>
        <v>1</v>
      </c>
      <c r="AC405" s="125">
        <f>IF('Quant. mod. (oc)'!AC405&lt;0,0,ROUND('Quant. mod. (oc)'!AC405,0))</f>
        <v>1</v>
      </c>
      <c r="AD405" s="125">
        <f>IF('Quant. mod. (oc)'!AD405&lt;0,0,ROUND('Quant. mod. (oc)'!AD405,0))</f>
        <v>1</v>
      </c>
      <c r="AE405" s="125">
        <f>IF('Quant. mod. (oc)'!AE405&lt;0,0,ROUND('Quant. mod. (oc)'!AE405,0))</f>
        <v>1</v>
      </c>
      <c r="AF405" s="125">
        <f>IF('Quant. mod. (oc)'!AF405&lt;0,0,ROUND('Quant. mod. (oc)'!AF405,0))</f>
        <v>1</v>
      </c>
      <c r="AG405" s="126">
        <f>IF('Quant. mod. (oc)'!AG405&lt;0,0,ROUND('Quant. mod. (oc)'!AG405,0))</f>
        <v>1</v>
      </c>
      <c r="AH405" s="22"/>
    </row>
    <row r="406" spans="1:34" x14ac:dyDescent="0.25">
      <c r="A406" s="112"/>
      <c r="B406" s="136" t="s">
        <v>114</v>
      </c>
      <c r="C406" s="67" t="s">
        <v>59</v>
      </c>
      <c r="D406" s="125">
        <f>IF('Quant. mod. (oc)'!D406&lt;0,0,ROUND('Quant. mod. (oc)'!D406,0))</f>
        <v>1</v>
      </c>
      <c r="E406" s="125">
        <f>IF('Quant. mod. (oc)'!E406&lt;0,0,ROUND('Quant. mod. (oc)'!E406,0))</f>
        <v>1</v>
      </c>
      <c r="F406" s="125">
        <f>IF('Quant. mod. (oc)'!F406&lt;0,0,ROUND('Quant. mod. (oc)'!F406,0))</f>
        <v>1</v>
      </c>
      <c r="G406" s="125">
        <f>IF('Quant. mod. (oc)'!G406&lt;0,0,ROUND('Quant. mod. (oc)'!G406,0))</f>
        <v>1</v>
      </c>
      <c r="H406" s="125">
        <f>IF('Quant. mod. (oc)'!H406&lt;0,0,ROUND('Quant. mod. (oc)'!H406,0))</f>
        <v>1</v>
      </c>
      <c r="I406" s="125">
        <f>IF('Quant. mod. (oc)'!I406&lt;0,0,ROUND('Quant. mod. (oc)'!I406,0))</f>
        <v>1</v>
      </c>
      <c r="J406" s="125">
        <f>IF('Quant. mod. (oc)'!J406&lt;0,0,ROUND('Quant. mod. (oc)'!J406,0))</f>
        <v>1</v>
      </c>
      <c r="K406" s="125">
        <f>IF('Quant. mod. (oc)'!K406&lt;0,0,ROUND('Quant. mod. (oc)'!K406,0))</f>
        <v>1</v>
      </c>
      <c r="L406" s="125">
        <f>IF('Quant. mod. (oc)'!L406&lt;0,0,ROUND('Quant. mod. (oc)'!L406,0))</f>
        <v>1</v>
      </c>
      <c r="M406" s="125">
        <f>IF('Quant. mod. (oc)'!M406&lt;0,0,ROUND('Quant. mod. (oc)'!M406,0))</f>
        <v>1</v>
      </c>
      <c r="N406" s="125">
        <f>IF('Quant. mod. (oc)'!N406&lt;0,0,ROUND('Quant. mod. (oc)'!N406,0))</f>
        <v>1</v>
      </c>
      <c r="O406" s="125">
        <f>IF('Quant. mod. (oc)'!O406&lt;0,0,ROUND('Quant. mod. (oc)'!O406,0))</f>
        <v>1</v>
      </c>
      <c r="P406" s="125">
        <f>IF('Quant. mod. (oc)'!P406&lt;0,0,ROUND('Quant. mod. (oc)'!P406,0))</f>
        <v>1</v>
      </c>
      <c r="Q406" s="125">
        <f>IF('Quant. mod. (oc)'!Q406&lt;0,0,ROUND('Quant. mod. (oc)'!Q406,0))</f>
        <v>1</v>
      </c>
      <c r="R406" s="125">
        <f>IF('Quant. mod. (oc)'!R406&lt;0,0,ROUND('Quant. mod. (oc)'!R406,0))</f>
        <v>1</v>
      </c>
      <c r="S406" s="125">
        <f>IF('Quant. mod. (oc)'!S406&lt;0,0,ROUND('Quant. mod. (oc)'!S406,0))</f>
        <v>1</v>
      </c>
      <c r="T406" s="125">
        <f>IF('Quant. mod. (oc)'!T406&lt;0,0,ROUND('Quant. mod. (oc)'!T406,0))</f>
        <v>1</v>
      </c>
      <c r="U406" s="125">
        <f>IF('Quant. mod. (oc)'!U406&lt;0,0,ROUND('Quant. mod. (oc)'!U406,0))</f>
        <v>1</v>
      </c>
      <c r="V406" s="125">
        <f>IF('Quant. mod. (oc)'!V406&lt;0,0,ROUND('Quant. mod. (oc)'!V406,0))</f>
        <v>1</v>
      </c>
      <c r="W406" s="125">
        <f>IF('Quant. mod. (oc)'!W406&lt;0,0,ROUND('Quant. mod. (oc)'!W406,0))</f>
        <v>1</v>
      </c>
      <c r="X406" s="125">
        <f>IF('Quant. mod. (oc)'!X406&lt;0,0,ROUND('Quant. mod. (oc)'!X406,0))</f>
        <v>1</v>
      </c>
      <c r="Y406" s="125">
        <f>IF('Quant. mod. (oc)'!Y406&lt;0,0,ROUND('Quant. mod. (oc)'!Y406,0))</f>
        <v>1</v>
      </c>
      <c r="Z406" s="125">
        <f>IF('Quant. mod. (oc)'!Z406&lt;0,0,ROUND('Quant. mod. (oc)'!Z406,0))</f>
        <v>1</v>
      </c>
      <c r="AA406" s="125">
        <f>IF('Quant. mod. (oc)'!AA406&lt;0,0,ROUND('Quant. mod. (oc)'!AA406,0))</f>
        <v>1</v>
      </c>
      <c r="AB406" s="125">
        <f>IF('Quant. mod. (oc)'!AB406&lt;0,0,ROUND('Quant. mod. (oc)'!AB406,0))</f>
        <v>1</v>
      </c>
      <c r="AC406" s="125">
        <f>IF('Quant. mod. (oc)'!AC406&lt;0,0,ROUND('Quant. mod. (oc)'!AC406,0))</f>
        <v>1</v>
      </c>
      <c r="AD406" s="125">
        <f>IF('Quant. mod. (oc)'!AD406&lt;0,0,ROUND('Quant. mod. (oc)'!AD406,0))</f>
        <v>1</v>
      </c>
      <c r="AE406" s="125">
        <f>IF('Quant. mod. (oc)'!AE406&lt;0,0,ROUND('Quant. mod. (oc)'!AE406,0))</f>
        <v>1</v>
      </c>
      <c r="AF406" s="125">
        <f>IF('Quant. mod. (oc)'!AF406&lt;0,0,ROUND('Quant. mod. (oc)'!AF406,0))</f>
        <v>1</v>
      </c>
      <c r="AG406" s="126">
        <f>IF('Quant. mod. (oc)'!AG406&lt;0,0,ROUND('Quant. mod. (oc)'!AG406,0))</f>
        <v>1</v>
      </c>
      <c r="AH406" s="22"/>
    </row>
    <row r="407" spans="1:34" x14ac:dyDescent="0.25">
      <c r="A407" s="112"/>
      <c r="B407" s="136" t="s">
        <v>115</v>
      </c>
      <c r="C407" s="67" t="s">
        <v>59</v>
      </c>
      <c r="D407" s="125">
        <f>IF('Quant. mod. (oc)'!D407&lt;0,0,ROUND('Quant. mod. (oc)'!D407,0))</f>
        <v>1</v>
      </c>
      <c r="E407" s="125">
        <f>IF('Quant. mod. (oc)'!E407&lt;0,0,ROUND('Quant. mod. (oc)'!E407,0))</f>
        <v>1</v>
      </c>
      <c r="F407" s="125">
        <f>IF('Quant. mod. (oc)'!F407&lt;0,0,ROUND('Quant. mod. (oc)'!F407,0))</f>
        <v>1</v>
      </c>
      <c r="G407" s="125">
        <f>IF('Quant. mod. (oc)'!G407&lt;0,0,ROUND('Quant. mod. (oc)'!G407,0))</f>
        <v>1</v>
      </c>
      <c r="H407" s="125">
        <f>IF('Quant. mod. (oc)'!H407&lt;0,0,ROUND('Quant. mod. (oc)'!H407,0))</f>
        <v>1</v>
      </c>
      <c r="I407" s="125">
        <f>IF('Quant. mod. (oc)'!I407&lt;0,0,ROUND('Quant. mod. (oc)'!I407,0))</f>
        <v>1</v>
      </c>
      <c r="J407" s="125">
        <f>IF('Quant. mod. (oc)'!J407&lt;0,0,ROUND('Quant. mod. (oc)'!J407,0))</f>
        <v>1</v>
      </c>
      <c r="K407" s="125">
        <f>IF('Quant. mod. (oc)'!K407&lt;0,0,ROUND('Quant. mod. (oc)'!K407,0))</f>
        <v>1</v>
      </c>
      <c r="L407" s="125">
        <f>IF('Quant. mod. (oc)'!L407&lt;0,0,ROUND('Quant. mod. (oc)'!L407,0))</f>
        <v>1</v>
      </c>
      <c r="M407" s="125">
        <f>IF('Quant. mod. (oc)'!M407&lt;0,0,ROUND('Quant. mod. (oc)'!M407,0))</f>
        <v>1</v>
      </c>
      <c r="N407" s="125">
        <f>IF('Quant. mod. (oc)'!N407&lt;0,0,ROUND('Quant. mod. (oc)'!N407,0))</f>
        <v>1</v>
      </c>
      <c r="O407" s="125">
        <f>IF('Quant. mod. (oc)'!O407&lt;0,0,ROUND('Quant. mod. (oc)'!O407,0))</f>
        <v>1</v>
      </c>
      <c r="P407" s="125">
        <f>IF('Quant. mod. (oc)'!P407&lt;0,0,ROUND('Quant. mod. (oc)'!P407,0))</f>
        <v>1</v>
      </c>
      <c r="Q407" s="125">
        <f>IF('Quant. mod. (oc)'!Q407&lt;0,0,ROUND('Quant. mod. (oc)'!Q407,0))</f>
        <v>1</v>
      </c>
      <c r="R407" s="125">
        <f>IF('Quant. mod. (oc)'!R407&lt;0,0,ROUND('Quant. mod. (oc)'!R407,0))</f>
        <v>1</v>
      </c>
      <c r="S407" s="125">
        <f>IF('Quant. mod. (oc)'!S407&lt;0,0,ROUND('Quant. mod. (oc)'!S407,0))</f>
        <v>1</v>
      </c>
      <c r="T407" s="125">
        <f>IF('Quant. mod. (oc)'!T407&lt;0,0,ROUND('Quant. mod. (oc)'!T407,0))</f>
        <v>1</v>
      </c>
      <c r="U407" s="125">
        <f>IF('Quant. mod. (oc)'!U407&lt;0,0,ROUND('Quant. mod. (oc)'!U407,0))</f>
        <v>1</v>
      </c>
      <c r="V407" s="125">
        <f>IF('Quant. mod. (oc)'!V407&lt;0,0,ROUND('Quant. mod. (oc)'!V407,0))</f>
        <v>1</v>
      </c>
      <c r="W407" s="125">
        <f>IF('Quant. mod. (oc)'!W407&lt;0,0,ROUND('Quant. mod. (oc)'!W407,0))</f>
        <v>1</v>
      </c>
      <c r="X407" s="125">
        <f>IF('Quant. mod. (oc)'!X407&lt;0,0,ROUND('Quant. mod. (oc)'!X407,0))</f>
        <v>1</v>
      </c>
      <c r="Y407" s="125">
        <f>IF('Quant. mod. (oc)'!Y407&lt;0,0,ROUND('Quant. mod. (oc)'!Y407,0))</f>
        <v>1</v>
      </c>
      <c r="Z407" s="125">
        <f>IF('Quant. mod. (oc)'!Z407&lt;0,0,ROUND('Quant. mod. (oc)'!Z407,0))</f>
        <v>1</v>
      </c>
      <c r="AA407" s="125">
        <f>IF('Quant. mod. (oc)'!AA407&lt;0,0,ROUND('Quant. mod. (oc)'!AA407,0))</f>
        <v>1</v>
      </c>
      <c r="AB407" s="125">
        <f>IF('Quant. mod. (oc)'!AB407&lt;0,0,ROUND('Quant. mod. (oc)'!AB407,0))</f>
        <v>1</v>
      </c>
      <c r="AC407" s="125">
        <f>IF('Quant. mod. (oc)'!AC407&lt;0,0,ROUND('Quant. mod. (oc)'!AC407,0))</f>
        <v>1</v>
      </c>
      <c r="AD407" s="125">
        <f>IF('Quant. mod. (oc)'!AD407&lt;0,0,ROUND('Quant. mod. (oc)'!AD407,0))</f>
        <v>1</v>
      </c>
      <c r="AE407" s="125">
        <f>IF('Quant. mod. (oc)'!AE407&lt;0,0,ROUND('Quant. mod. (oc)'!AE407,0))</f>
        <v>1</v>
      </c>
      <c r="AF407" s="125">
        <f>IF('Quant. mod. (oc)'!AF407&lt;0,0,ROUND('Quant. mod. (oc)'!AF407,0))</f>
        <v>1</v>
      </c>
      <c r="AG407" s="126">
        <f>IF('Quant. mod. (oc)'!AG407&lt;0,0,ROUND('Quant. mod. (oc)'!AG407,0))</f>
        <v>1</v>
      </c>
      <c r="AH407" s="22"/>
    </row>
    <row r="408" spans="1:34" x14ac:dyDescent="0.25">
      <c r="A408" s="112"/>
      <c r="B408" s="136" t="s">
        <v>116</v>
      </c>
      <c r="C408" s="67" t="s">
        <v>59</v>
      </c>
      <c r="D408" s="125">
        <f>IF('Quant. mod. (oc)'!D408&lt;0,0,ROUND('Quant. mod. (oc)'!D408,0))</f>
        <v>1</v>
      </c>
      <c r="E408" s="125">
        <f>IF('Quant. mod. (oc)'!E408&lt;0,0,ROUND('Quant. mod. (oc)'!E408,0))</f>
        <v>1</v>
      </c>
      <c r="F408" s="125">
        <f>IF('Quant. mod. (oc)'!F408&lt;0,0,ROUND('Quant. mod. (oc)'!F408,0))</f>
        <v>1</v>
      </c>
      <c r="G408" s="125">
        <f>IF('Quant. mod. (oc)'!G408&lt;0,0,ROUND('Quant. mod. (oc)'!G408,0))</f>
        <v>1</v>
      </c>
      <c r="H408" s="125">
        <f>IF('Quant. mod. (oc)'!H408&lt;0,0,ROUND('Quant. mod. (oc)'!H408,0))</f>
        <v>1</v>
      </c>
      <c r="I408" s="125">
        <f>IF('Quant. mod. (oc)'!I408&lt;0,0,ROUND('Quant. mod. (oc)'!I408,0))</f>
        <v>1</v>
      </c>
      <c r="J408" s="125">
        <f>IF('Quant. mod. (oc)'!J408&lt;0,0,ROUND('Quant. mod. (oc)'!J408,0))</f>
        <v>1</v>
      </c>
      <c r="K408" s="125">
        <f>IF('Quant. mod. (oc)'!K408&lt;0,0,ROUND('Quant. mod. (oc)'!K408,0))</f>
        <v>1</v>
      </c>
      <c r="L408" s="125">
        <f>IF('Quant. mod. (oc)'!L408&lt;0,0,ROUND('Quant. mod. (oc)'!L408,0))</f>
        <v>1</v>
      </c>
      <c r="M408" s="125">
        <f>IF('Quant. mod. (oc)'!M408&lt;0,0,ROUND('Quant. mod. (oc)'!M408,0))</f>
        <v>1</v>
      </c>
      <c r="N408" s="125">
        <f>IF('Quant. mod. (oc)'!N408&lt;0,0,ROUND('Quant. mod. (oc)'!N408,0))</f>
        <v>1</v>
      </c>
      <c r="O408" s="125">
        <f>IF('Quant. mod. (oc)'!O408&lt;0,0,ROUND('Quant. mod. (oc)'!O408,0))</f>
        <v>1</v>
      </c>
      <c r="P408" s="125">
        <f>IF('Quant. mod. (oc)'!P408&lt;0,0,ROUND('Quant. mod. (oc)'!P408,0))</f>
        <v>1</v>
      </c>
      <c r="Q408" s="125">
        <f>IF('Quant. mod. (oc)'!Q408&lt;0,0,ROUND('Quant. mod. (oc)'!Q408,0))</f>
        <v>1</v>
      </c>
      <c r="R408" s="125">
        <f>IF('Quant. mod. (oc)'!R408&lt;0,0,ROUND('Quant. mod. (oc)'!R408,0))</f>
        <v>1</v>
      </c>
      <c r="S408" s="125">
        <f>IF('Quant. mod. (oc)'!S408&lt;0,0,ROUND('Quant. mod. (oc)'!S408,0))</f>
        <v>1</v>
      </c>
      <c r="T408" s="125">
        <f>IF('Quant. mod. (oc)'!T408&lt;0,0,ROUND('Quant. mod. (oc)'!T408,0))</f>
        <v>1</v>
      </c>
      <c r="U408" s="125">
        <f>IF('Quant. mod. (oc)'!U408&lt;0,0,ROUND('Quant. mod. (oc)'!U408,0))</f>
        <v>1</v>
      </c>
      <c r="V408" s="125">
        <f>IF('Quant. mod. (oc)'!V408&lt;0,0,ROUND('Quant. mod. (oc)'!V408,0))</f>
        <v>1</v>
      </c>
      <c r="W408" s="125">
        <f>IF('Quant. mod. (oc)'!W408&lt;0,0,ROUND('Quant. mod. (oc)'!W408,0))</f>
        <v>1</v>
      </c>
      <c r="X408" s="125">
        <f>IF('Quant. mod. (oc)'!X408&lt;0,0,ROUND('Quant. mod. (oc)'!X408,0))</f>
        <v>1</v>
      </c>
      <c r="Y408" s="125">
        <f>IF('Quant. mod. (oc)'!Y408&lt;0,0,ROUND('Quant. mod. (oc)'!Y408,0))</f>
        <v>1</v>
      </c>
      <c r="Z408" s="125">
        <f>IF('Quant. mod. (oc)'!Z408&lt;0,0,ROUND('Quant. mod. (oc)'!Z408,0))</f>
        <v>1</v>
      </c>
      <c r="AA408" s="125">
        <f>IF('Quant. mod. (oc)'!AA408&lt;0,0,ROUND('Quant. mod. (oc)'!AA408,0))</f>
        <v>1</v>
      </c>
      <c r="AB408" s="125">
        <f>IF('Quant. mod. (oc)'!AB408&lt;0,0,ROUND('Quant. mod. (oc)'!AB408,0))</f>
        <v>1</v>
      </c>
      <c r="AC408" s="125">
        <f>IF('Quant. mod. (oc)'!AC408&lt;0,0,ROUND('Quant. mod. (oc)'!AC408,0))</f>
        <v>1</v>
      </c>
      <c r="AD408" s="125">
        <f>IF('Quant. mod. (oc)'!AD408&lt;0,0,ROUND('Quant. mod. (oc)'!AD408,0))</f>
        <v>1</v>
      </c>
      <c r="AE408" s="125">
        <f>IF('Quant. mod. (oc)'!AE408&lt;0,0,ROUND('Quant. mod. (oc)'!AE408,0))</f>
        <v>1</v>
      </c>
      <c r="AF408" s="125">
        <f>IF('Quant. mod. (oc)'!AF408&lt;0,0,ROUND('Quant. mod. (oc)'!AF408,0))</f>
        <v>1</v>
      </c>
      <c r="AG408" s="126">
        <f>IF('Quant. mod. (oc)'!AG408&lt;0,0,ROUND('Quant. mod. (oc)'!AG408,0))</f>
        <v>1</v>
      </c>
      <c r="AH408" s="22"/>
    </row>
    <row r="409" spans="1:34" x14ac:dyDescent="0.25">
      <c r="A409" s="112"/>
      <c r="B409" s="136" t="s">
        <v>117</v>
      </c>
      <c r="C409" s="67" t="s">
        <v>59</v>
      </c>
      <c r="D409" s="125">
        <f>IF('Quant. mod. (oc)'!D409&lt;0,0,ROUND('Quant. mod. (oc)'!D409,0))</f>
        <v>1</v>
      </c>
      <c r="E409" s="125">
        <f>IF('Quant. mod. (oc)'!E409&lt;0,0,ROUND('Quant. mod. (oc)'!E409,0))</f>
        <v>1</v>
      </c>
      <c r="F409" s="125">
        <f>IF('Quant. mod. (oc)'!F409&lt;0,0,ROUND('Quant. mod. (oc)'!F409,0))</f>
        <v>1</v>
      </c>
      <c r="G409" s="125">
        <f>IF('Quant. mod. (oc)'!G409&lt;0,0,ROUND('Quant. mod. (oc)'!G409,0))</f>
        <v>1</v>
      </c>
      <c r="H409" s="125">
        <f>IF('Quant. mod. (oc)'!H409&lt;0,0,ROUND('Quant. mod. (oc)'!H409,0))</f>
        <v>1</v>
      </c>
      <c r="I409" s="125">
        <f>IF('Quant. mod. (oc)'!I409&lt;0,0,ROUND('Quant. mod. (oc)'!I409,0))</f>
        <v>1</v>
      </c>
      <c r="J409" s="125">
        <f>IF('Quant. mod. (oc)'!J409&lt;0,0,ROUND('Quant. mod. (oc)'!J409,0))</f>
        <v>1</v>
      </c>
      <c r="K409" s="125">
        <f>IF('Quant. mod. (oc)'!K409&lt;0,0,ROUND('Quant. mod. (oc)'!K409,0))</f>
        <v>1</v>
      </c>
      <c r="L409" s="125">
        <f>IF('Quant. mod. (oc)'!L409&lt;0,0,ROUND('Quant. mod. (oc)'!L409,0))</f>
        <v>1</v>
      </c>
      <c r="M409" s="125">
        <f>IF('Quant. mod. (oc)'!M409&lt;0,0,ROUND('Quant. mod. (oc)'!M409,0))</f>
        <v>1</v>
      </c>
      <c r="N409" s="125">
        <f>IF('Quant. mod. (oc)'!N409&lt;0,0,ROUND('Quant. mod. (oc)'!N409,0))</f>
        <v>1</v>
      </c>
      <c r="O409" s="125">
        <f>IF('Quant. mod. (oc)'!O409&lt;0,0,ROUND('Quant. mod. (oc)'!O409,0))</f>
        <v>1</v>
      </c>
      <c r="P409" s="125">
        <f>IF('Quant. mod. (oc)'!P409&lt;0,0,ROUND('Quant. mod. (oc)'!P409,0))</f>
        <v>1</v>
      </c>
      <c r="Q409" s="125">
        <f>IF('Quant. mod. (oc)'!Q409&lt;0,0,ROUND('Quant. mod. (oc)'!Q409,0))</f>
        <v>1</v>
      </c>
      <c r="R409" s="125">
        <f>IF('Quant. mod. (oc)'!R409&lt;0,0,ROUND('Quant. mod. (oc)'!R409,0))</f>
        <v>1</v>
      </c>
      <c r="S409" s="125">
        <f>IF('Quant. mod. (oc)'!S409&lt;0,0,ROUND('Quant. mod. (oc)'!S409,0))</f>
        <v>1</v>
      </c>
      <c r="T409" s="125">
        <f>IF('Quant. mod. (oc)'!T409&lt;0,0,ROUND('Quant. mod. (oc)'!T409,0))</f>
        <v>1</v>
      </c>
      <c r="U409" s="125">
        <f>IF('Quant. mod. (oc)'!U409&lt;0,0,ROUND('Quant. mod. (oc)'!U409,0))</f>
        <v>1</v>
      </c>
      <c r="V409" s="125">
        <f>IF('Quant. mod. (oc)'!V409&lt;0,0,ROUND('Quant. mod. (oc)'!V409,0))</f>
        <v>1</v>
      </c>
      <c r="W409" s="125">
        <f>IF('Quant. mod. (oc)'!W409&lt;0,0,ROUND('Quant. mod. (oc)'!W409,0))</f>
        <v>1</v>
      </c>
      <c r="X409" s="125">
        <f>IF('Quant. mod. (oc)'!X409&lt;0,0,ROUND('Quant. mod. (oc)'!X409,0))</f>
        <v>1</v>
      </c>
      <c r="Y409" s="125">
        <f>IF('Quant. mod. (oc)'!Y409&lt;0,0,ROUND('Quant. mod. (oc)'!Y409,0))</f>
        <v>1</v>
      </c>
      <c r="Z409" s="125">
        <f>IF('Quant. mod. (oc)'!Z409&lt;0,0,ROUND('Quant. mod. (oc)'!Z409,0))</f>
        <v>1</v>
      </c>
      <c r="AA409" s="125">
        <f>IF('Quant. mod. (oc)'!AA409&lt;0,0,ROUND('Quant. mod. (oc)'!AA409,0))</f>
        <v>1</v>
      </c>
      <c r="AB409" s="125">
        <f>IF('Quant. mod. (oc)'!AB409&lt;0,0,ROUND('Quant. mod. (oc)'!AB409,0))</f>
        <v>1</v>
      </c>
      <c r="AC409" s="125">
        <f>IF('Quant. mod. (oc)'!AC409&lt;0,0,ROUND('Quant. mod. (oc)'!AC409,0))</f>
        <v>1</v>
      </c>
      <c r="AD409" s="125">
        <f>IF('Quant. mod. (oc)'!AD409&lt;0,0,ROUND('Quant. mod. (oc)'!AD409,0))</f>
        <v>1</v>
      </c>
      <c r="AE409" s="125">
        <f>IF('Quant. mod. (oc)'!AE409&lt;0,0,ROUND('Quant. mod. (oc)'!AE409,0))</f>
        <v>1</v>
      </c>
      <c r="AF409" s="125">
        <f>IF('Quant. mod. (oc)'!AF409&lt;0,0,ROUND('Quant. mod. (oc)'!AF409,0))</f>
        <v>1</v>
      </c>
      <c r="AG409" s="126">
        <f>IF('Quant. mod. (oc)'!AG409&lt;0,0,ROUND('Quant. mod. (oc)'!AG409,0))</f>
        <v>1</v>
      </c>
      <c r="AH409" s="22"/>
    </row>
    <row r="410" spans="1:34" x14ac:dyDescent="0.25">
      <c r="A410" s="112"/>
      <c r="B410" s="136" t="s">
        <v>118</v>
      </c>
      <c r="C410" s="67" t="s">
        <v>59</v>
      </c>
      <c r="D410" s="125">
        <f>IF('Quant. mod. (oc)'!D410&lt;0,0,ROUND('Quant. mod. (oc)'!D410,0))</f>
        <v>1</v>
      </c>
      <c r="E410" s="125">
        <f>IF('Quant. mod. (oc)'!E410&lt;0,0,ROUND('Quant. mod. (oc)'!E410,0))</f>
        <v>1</v>
      </c>
      <c r="F410" s="125">
        <f>IF('Quant. mod. (oc)'!F410&lt;0,0,ROUND('Quant. mod. (oc)'!F410,0))</f>
        <v>1</v>
      </c>
      <c r="G410" s="125">
        <f>IF('Quant. mod. (oc)'!G410&lt;0,0,ROUND('Quant. mod. (oc)'!G410,0))</f>
        <v>1</v>
      </c>
      <c r="H410" s="125">
        <f>IF('Quant. mod. (oc)'!H410&lt;0,0,ROUND('Quant. mod. (oc)'!H410,0))</f>
        <v>1</v>
      </c>
      <c r="I410" s="125">
        <f>IF('Quant. mod. (oc)'!I410&lt;0,0,ROUND('Quant. mod. (oc)'!I410,0))</f>
        <v>1</v>
      </c>
      <c r="J410" s="125">
        <f>IF('Quant. mod. (oc)'!J410&lt;0,0,ROUND('Quant. mod. (oc)'!J410,0))</f>
        <v>1</v>
      </c>
      <c r="K410" s="125">
        <f>IF('Quant. mod. (oc)'!K410&lt;0,0,ROUND('Quant. mod. (oc)'!K410,0))</f>
        <v>1</v>
      </c>
      <c r="L410" s="125">
        <f>IF('Quant. mod. (oc)'!L410&lt;0,0,ROUND('Quant. mod. (oc)'!L410,0))</f>
        <v>1</v>
      </c>
      <c r="M410" s="125">
        <f>IF('Quant. mod. (oc)'!M410&lt;0,0,ROUND('Quant. mod. (oc)'!M410,0))</f>
        <v>1</v>
      </c>
      <c r="N410" s="125">
        <f>IF('Quant. mod. (oc)'!N410&lt;0,0,ROUND('Quant. mod. (oc)'!N410,0))</f>
        <v>1</v>
      </c>
      <c r="O410" s="125">
        <f>IF('Quant. mod. (oc)'!O410&lt;0,0,ROUND('Quant. mod. (oc)'!O410,0))</f>
        <v>1</v>
      </c>
      <c r="P410" s="125">
        <f>IF('Quant. mod. (oc)'!P410&lt;0,0,ROUND('Quant. mod. (oc)'!P410,0))</f>
        <v>1</v>
      </c>
      <c r="Q410" s="125">
        <f>IF('Quant. mod. (oc)'!Q410&lt;0,0,ROUND('Quant. mod. (oc)'!Q410,0))</f>
        <v>1</v>
      </c>
      <c r="R410" s="125">
        <f>IF('Quant. mod. (oc)'!R410&lt;0,0,ROUND('Quant. mod. (oc)'!R410,0))</f>
        <v>1</v>
      </c>
      <c r="S410" s="125">
        <f>IF('Quant. mod. (oc)'!S410&lt;0,0,ROUND('Quant. mod. (oc)'!S410,0))</f>
        <v>1</v>
      </c>
      <c r="T410" s="125">
        <f>IF('Quant. mod. (oc)'!T410&lt;0,0,ROUND('Quant. mod. (oc)'!T410,0))</f>
        <v>1</v>
      </c>
      <c r="U410" s="125">
        <f>IF('Quant. mod. (oc)'!U410&lt;0,0,ROUND('Quant. mod. (oc)'!U410,0))</f>
        <v>1</v>
      </c>
      <c r="V410" s="125">
        <f>IF('Quant. mod. (oc)'!V410&lt;0,0,ROUND('Quant. mod. (oc)'!V410,0))</f>
        <v>1</v>
      </c>
      <c r="W410" s="125">
        <f>IF('Quant. mod. (oc)'!W410&lt;0,0,ROUND('Quant. mod. (oc)'!W410,0))</f>
        <v>1</v>
      </c>
      <c r="X410" s="125">
        <f>IF('Quant. mod. (oc)'!X410&lt;0,0,ROUND('Quant. mod. (oc)'!X410,0))</f>
        <v>1</v>
      </c>
      <c r="Y410" s="125">
        <f>IF('Quant. mod. (oc)'!Y410&lt;0,0,ROUND('Quant. mod. (oc)'!Y410,0))</f>
        <v>1</v>
      </c>
      <c r="Z410" s="125">
        <f>IF('Quant. mod. (oc)'!Z410&lt;0,0,ROUND('Quant. mod. (oc)'!Z410,0))</f>
        <v>1</v>
      </c>
      <c r="AA410" s="125">
        <f>IF('Quant. mod. (oc)'!AA410&lt;0,0,ROUND('Quant. mod. (oc)'!AA410,0))</f>
        <v>1</v>
      </c>
      <c r="AB410" s="125">
        <f>IF('Quant. mod. (oc)'!AB410&lt;0,0,ROUND('Quant. mod. (oc)'!AB410,0))</f>
        <v>1</v>
      </c>
      <c r="AC410" s="125">
        <f>IF('Quant. mod. (oc)'!AC410&lt;0,0,ROUND('Quant. mod. (oc)'!AC410,0))</f>
        <v>1</v>
      </c>
      <c r="AD410" s="125">
        <f>IF('Quant. mod. (oc)'!AD410&lt;0,0,ROUND('Quant. mod. (oc)'!AD410,0))</f>
        <v>1</v>
      </c>
      <c r="AE410" s="125">
        <f>IF('Quant. mod. (oc)'!AE410&lt;0,0,ROUND('Quant. mod. (oc)'!AE410,0))</f>
        <v>1</v>
      </c>
      <c r="AF410" s="125">
        <f>IF('Quant. mod. (oc)'!AF410&lt;0,0,ROUND('Quant. mod. (oc)'!AF410,0))</f>
        <v>1</v>
      </c>
      <c r="AG410" s="126">
        <f>IF('Quant. mod. (oc)'!AG410&lt;0,0,ROUND('Quant. mod. (oc)'!AG410,0))</f>
        <v>1</v>
      </c>
      <c r="AH410" s="22"/>
    </row>
    <row r="411" spans="1:34" x14ac:dyDescent="0.25">
      <c r="A411" s="112"/>
      <c r="B411" s="136" t="s">
        <v>119</v>
      </c>
      <c r="C411" s="67" t="s">
        <v>59</v>
      </c>
      <c r="D411" s="125">
        <f>IF('Quant. mod. (oc)'!D411&lt;0,0,ROUND('Quant. mod. (oc)'!D411,0))</f>
        <v>1</v>
      </c>
      <c r="E411" s="125">
        <f>IF('Quant. mod. (oc)'!E411&lt;0,0,ROUND('Quant. mod. (oc)'!E411,0))</f>
        <v>1</v>
      </c>
      <c r="F411" s="125">
        <f>IF('Quant. mod. (oc)'!F411&lt;0,0,ROUND('Quant. mod. (oc)'!F411,0))</f>
        <v>1</v>
      </c>
      <c r="G411" s="125">
        <f>IF('Quant. mod. (oc)'!G411&lt;0,0,ROUND('Quant. mod. (oc)'!G411,0))</f>
        <v>1</v>
      </c>
      <c r="H411" s="125">
        <f>IF('Quant. mod. (oc)'!H411&lt;0,0,ROUND('Quant. mod. (oc)'!H411,0))</f>
        <v>1</v>
      </c>
      <c r="I411" s="125">
        <f>IF('Quant. mod. (oc)'!I411&lt;0,0,ROUND('Quant. mod. (oc)'!I411,0))</f>
        <v>1</v>
      </c>
      <c r="J411" s="125">
        <f>IF('Quant. mod. (oc)'!J411&lt;0,0,ROUND('Quant. mod. (oc)'!J411,0))</f>
        <v>1</v>
      </c>
      <c r="K411" s="125">
        <f>IF('Quant. mod. (oc)'!K411&lt;0,0,ROUND('Quant. mod. (oc)'!K411,0))</f>
        <v>1</v>
      </c>
      <c r="L411" s="125">
        <f>IF('Quant. mod. (oc)'!L411&lt;0,0,ROUND('Quant. mod. (oc)'!L411,0))</f>
        <v>1</v>
      </c>
      <c r="M411" s="125">
        <f>IF('Quant. mod. (oc)'!M411&lt;0,0,ROUND('Quant. mod. (oc)'!M411,0))</f>
        <v>1</v>
      </c>
      <c r="N411" s="125">
        <f>IF('Quant. mod. (oc)'!N411&lt;0,0,ROUND('Quant. mod. (oc)'!N411,0))</f>
        <v>1</v>
      </c>
      <c r="O411" s="125">
        <f>IF('Quant. mod. (oc)'!O411&lt;0,0,ROUND('Quant. mod. (oc)'!O411,0))</f>
        <v>1</v>
      </c>
      <c r="P411" s="125">
        <f>IF('Quant. mod. (oc)'!P411&lt;0,0,ROUND('Quant. mod. (oc)'!P411,0))</f>
        <v>1</v>
      </c>
      <c r="Q411" s="125">
        <f>IF('Quant. mod. (oc)'!Q411&lt;0,0,ROUND('Quant. mod. (oc)'!Q411,0))</f>
        <v>1</v>
      </c>
      <c r="R411" s="125">
        <f>IF('Quant. mod. (oc)'!R411&lt;0,0,ROUND('Quant. mod. (oc)'!R411,0))</f>
        <v>1</v>
      </c>
      <c r="S411" s="125">
        <f>IF('Quant. mod. (oc)'!S411&lt;0,0,ROUND('Quant. mod. (oc)'!S411,0))</f>
        <v>1</v>
      </c>
      <c r="T411" s="125">
        <f>IF('Quant. mod. (oc)'!T411&lt;0,0,ROUND('Quant. mod. (oc)'!T411,0))</f>
        <v>1</v>
      </c>
      <c r="U411" s="125">
        <f>IF('Quant. mod. (oc)'!U411&lt;0,0,ROUND('Quant. mod. (oc)'!U411,0))</f>
        <v>1</v>
      </c>
      <c r="V411" s="125">
        <f>IF('Quant. mod. (oc)'!V411&lt;0,0,ROUND('Quant. mod. (oc)'!V411,0))</f>
        <v>1</v>
      </c>
      <c r="W411" s="125">
        <f>IF('Quant. mod. (oc)'!W411&lt;0,0,ROUND('Quant. mod. (oc)'!W411,0))</f>
        <v>1</v>
      </c>
      <c r="X411" s="125">
        <f>IF('Quant. mod. (oc)'!X411&lt;0,0,ROUND('Quant. mod. (oc)'!X411,0))</f>
        <v>1</v>
      </c>
      <c r="Y411" s="125">
        <f>IF('Quant. mod. (oc)'!Y411&lt;0,0,ROUND('Quant. mod. (oc)'!Y411,0))</f>
        <v>1</v>
      </c>
      <c r="Z411" s="125">
        <f>IF('Quant. mod. (oc)'!Z411&lt;0,0,ROUND('Quant. mod. (oc)'!Z411,0))</f>
        <v>1</v>
      </c>
      <c r="AA411" s="125">
        <f>IF('Quant. mod. (oc)'!AA411&lt;0,0,ROUND('Quant. mod. (oc)'!AA411,0))</f>
        <v>1</v>
      </c>
      <c r="AB411" s="125">
        <f>IF('Quant. mod. (oc)'!AB411&lt;0,0,ROUND('Quant. mod. (oc)'!AB411,0))</f>
        <v>1</v>
      </c>
      <c r="AC411" s="125">
        <f>IF('Quant. mod. (oc)'!AC411&lt;0,0,ROUND('Quant. mod. (oc)'!AC411,0))</f>
        <v>1</v>
      </c>
      <c r="AD411" s="125">
        <f>IF('Quant. mod. (oc)'!AD411&lt;0,0,ROUND('Quant. mod. (oc)'!AD411,0))</f>
        <v>1</v>
      </c>
      <c r="AE411" s="125">
        <f>IF('Quant. mod. (oc)'!AE411&lt;0,0,ROUND('Quant. mod. (oc)'!AE411,0))</f>
        <v>1</v>
      </c>
      <c r="AF411" s="125">
        <f>IF('Quant. mod. (oc)'!AF411&lt;0,0,ROUND('Quant. mod. (oc)'!AF411,0))</f>
        <v>1</v>
      </c>
      <c r="AG411" s="126">
        <f>IF('Quant. mod. (oc)'!AG411&lt;0,0,ROUND('Quant. mod. (oc)'!AG411,0))</f>
        <v>1</v>
      </c>
      <c r="AH411" s="22"/>
    </row>
    <row r="412" spans="1:34" x14ac:dyDescent="0.25">
      <c r="A412" s="112"/>
      <c r="B412" s="136" t="s">
        <v>120</v>
      </c>
      <c r="C412" s="67" t="s">
        <v>59</v>
      </c>
      <c r="D412" s="125">
        <f>IF('Quant. mod. (oc)'!D412&lt;0,0,ROUND('Quant. mod. (oc)'!D412,0))</f>
        <v>1</v>
      </c>
      <c r="E412" s="125">
        <f>IF('Quant. mod. (oc)'!E412&lt;0,0,ROUND('Quant. mod. (oc)'!E412,0))</f>
        <v>1</v>
      </c>
      <c r="F412" s="125">
        <f>IF('Quant. mod. (oc)'!F412&lt;0,0,ROUND('Quant. mod. (oc)'!F412,0))</f>
        <v>1</v>
      </c>
      <c r="G412" s="125">
        <f>IF('Quant. mod. (oc)'!G412&lt;0,0,ROUND('Quant. mod. (oc)'!G412,0))</f>
        <v>1</v>
      </c>
      <c r="H412" s="125">
        <f>IF('Quant. mod. (oc)'!H412&lt;0,0,ROUND('Quant. mod. (oc)'!H412,0))</f>
        <v>1</v>
      </c>
      <c r="I412" s="125">
        <f>IF('Quant. mod. (oc)'!I412&lt;0,0,ROUND('Quant. mod. (oc)'!I412,0))</f>
        <v>1</v>
      </c>
      <c r="J412" s="125">
        <f>IF('Quant. mod. (oc)'!J412&lt;0,0,ROUND('Quant. mod. (oc)'!J412,0))</f>
        <v>1</v>
      </c>
      <c r="K412" s="125">
        <f>IF('Quant. mod. (oc)'!K412&lt;0,0,ROUND('Quant. mod. (oc)'!K412,0))</f>
        <v>1</v>
      </c>
      <c r="L412" s="125">
        <f>IF('Quant. mod. (oc)'!L412&lt;0,0,ROUND('Quant. mod. (oc)'!L412,0))</f>
        <v>1</v>
      </c>
      <c r="M412" s="125">
        <f>IF('Quant. mod. (oc)'!M412&lt;0,0,ROUND('Quant. mod. (oc)'!M412,0))</f>
        <v>1</v>
      </c>
      <c r="N412" s="125">
        <f>IF('Quant. mod. (oc)'!N412&lt;0,0,ROUND('Quant. mod. (oc)'!N412,0))</f>
        <v>1</v>
      </c>
      <c r="O412" s="125">
        <f>IF('Quant. mod. (oc)'!O412&lt;0,0,ROUND('Quant. mod. (oc)'!O412,0))</f>
        <v>1</v>
      </c>
      <c r="P412" s="125">
        <f>IF('Quant. mod. (oc)'!P412&lt;0,0,ROUND('Quant. mod. (oc)'!P412,0))</f>
        <v>1</v>
      </c>
      <c r="Q412" s="125">
        <f>IF('Quant. mod. (oc)'!Q412&lt;0,0,ROUND('Quant. mod. (oc)'!Q412,0))</f>
        <v>1</v>
      </c>
      <c r="R412" s="125">
        <f>IF('Quant. mod. (oc)'!R412&lt;0,0,ROUND('Quant. mod. (oc)'!R412,0))</f>
        <v>1</v>
      </c>
      <c r="S412" s="125">
        <f>IF('Quant. mod. (oc)'!S412&lt;0,0,ROUND('Quant. mod. (oc)'!S412,0))</f>
        <v>1</v>
      </c>
      <c r="T412" s="125">
        <f>IF('Quant. mod. (oc)'!T412&lt;0,0,ROUND('Quant. mod. (oc)'!T412,0))</f>
        <v>1</v>
      </c>
      <c r="U412" s="125">
        <f>IF('Quant. mod. (oc)'!U412&lt;0,0,ROUND('Quant. mod. (oc)'!U412,0))</f>
        <v>1</v>
      </c>
      <c r="V412" s="125">
        <f>IF('Quant. mod. (oc)'!V412&lt;0,0,ROUND('Quant. mod. (oc)'!V412,0))</f>
        <v>1</v>
      </c>
      <c r="W412" s="125">
        <f>IF('Quant. mod. (oc)'!W412&lt;0,0,ROUND('Quant. mod. (oc)'!W412,0))</f>
        <v>1</v>
      </c>
      <c r="X412" s="125">
        <f>IF('Quant. mod. (oc)'!X412&lt;0,0,ROUND('Quant. mod. (oc)'!X412,0))</f>
        <v>1</v>
      </c>
      <c r="Y412" s="125">
        <f>IF('Quant. mod. (oc)'!Y412&lt;0,0,ROUND('Quant. mod. (oc)'!Y412,0))</f>
        <v>1</v>
      </c>
      <c r="Z412" s="125">
        <f>IF('Quant. mod. (oc)'!Z412&lt;0,0,ROUND('Quant. mod. (oc)'!Z412,0))</f>
        <v>1</v>
      </c>
      <c r="AA412" s="125">
        <f>IF('Quant. mod. (oc)'!AA412&lt;0,0,ROUND('Quant. mod. (oc)'!AA412,0))</f>
        <v>1</v>
      </c>
      <c r="AB412" s="125">
        <f>IF('Quant. mod. (oc)'!AB412&lt;0,0,ROUND('Quant. mod. (oc)'!AB412,0))</f>
        <v>1</v>
      </c>
      <c r="AC412" s="125">
        <f>IF('Quant. mod. (oc)'!AC412&lt;0,0,ROUND('Quant. mod. (oc)'!AC412,0))</f>
        <v>1</v>
      </c>
      <c r="AD412" s="125">
        <f>IF('Quant. mod. (oc)'!AD412&lt;0,0,ROUND('Quant. mod. (oc)'!AD412,0))</f>
        <v>1</v>
      </c>
      <c r="AE412" s="125">
        <f>IF('Quant. mod. (oc)'!AE412&lt;0,0,ROUND('Quant. mod. (oc)'!AE412,0))</f>
        <v>1</v>
      </c>
      <c r="AF412" s="125">
        <f>IF('Quant. mod. (oc)'!AF412&lt;0,0,ROUND('Quant. mod. (oc)'!AF412,0))</f>
        <v>1</v>
      </c>
      <c r="AG412" s="126">
        <f>IF('Quant. mod. (oc)'!AG412&lt;0,0,ROUND('Quant. mod. (oc)'!AG412,0))</f>
        <v>1</v>
      </c>
      <c r="AH412" s="22"/>
    </row>
    <row r="413" spans="1:34" x14ac:dyDescent="0.25">
      <c r="A413" s="112"/>
      <c r="B413" s="136" t="s">
        <v>121</v>
      </c>
      <c r="C413" s="67" t="s">
        <v>59</v>
      </c>
      <c r="D413" s="125">
        <f>IF('Quant. mod. (oc)'!D413&lt;0,0,ROUND('Quant. mod. (oc)'!D413,0))</f>
        <v>1</v>
      </c>
      <c r="E413" s="125">
        <f>IF('Quant. mod. (oc)'!E413&lt;0,0,ROUND('Quant. mod. (oc)'!E413,0))</f>
        <v>1</v>
      </c>
      <c r="F413" s="125">
        <f>IF('Quant. mod. (oc)'!F413&lt;0,0,ROUND('Quant. mod. (oc)'!F413,0))</f>
        <v>1</v>
      </c>
      <c r="G413" s="125">
        <f>IF('Quant. mod. (oc)'!G413&lt;0,0,ROUND('Quant. mod. (oc)'!G413,0))</f>
        <v>1</v>
      </c>
      <c r="H413" s="125">
        <f>IF('Quant. mod. (oc)'!H413&lt;0,0,ROUND('Quant. mod. (oc)'!H413,0))</f>
        <v>1</v>
      </c>
      <c r="I413" s="125">
        <f>IF('Quant. mod. (oc)'!I413&lt;0,0,ROUND('Quant. mod. (oc)'!I413,0))</f>
        <v>1</v>
      </c>
      <c r="J413" s="125">
        <f>IF('Quant. mod. (oc)'!J413&lt;0,0,ROUND('Quant. mod. (oc)'!J413,0))</f>
        <v>1</v>
      </c>
      <c r="K413" s="125">
        <f>IF('Quant. mod. (oc)'!K413&lt;0,0,ROUND('Quant. mod. (oc)'!K413,0))</f>
        <v>1</v>
      </c>
      <c r="L413" s="125">
        <f>IF('Quant. mod. (oc)'!L413&lt;0,0,ROUND('Quant. mod. (oc)'!L413,0))</f>
        <v>1</v>
      </c>
      <c r="M413" s="125">
        <f>IF('Quant. mod. (oc)'!M413&lt;0,0,ROUND('Quant. mod. (oc)'!M413,0))</f>
        <v>1</v>
      </c>
      <c r="N413" s="125">
        <f>IF('Quant. mod. (oc)'!N413&lt;0,0,ROUND('Quant. mod. (oc)'!N413,0))</f>
        <v>1</v>
      </c>
      <c r="O413" s="125">
        <f>IF('Quant. mod. (oc)'!O413&lt;0,0,ROUND('Quant. mod. (oc)'!O413,0))</f>
        <v>1</v>
      </c>
      <c r="P413" s="125">
        <f>IF('Quant. mod. (oc)'!P413&lt;0,0,ROUND('Quant. mod. (oc)'!P413,0))</f>
        <v>1</v>
      </c>
      <c r="Q413" s="125">
        <f>IF('Quant. mod. (oc)'!Q413&lt;0,0,ROUND('Quant. mod. (oc)'!Q413,0))</f>
        <v>1</v>
      </c>
      <c r="R413" s="125">
        <f>IF('Quant. mod. (oc)'!R413&lt;0,0,ROUND('Quant. mod. (oc)'!R413,0))</f>
        <v>1</v>
      </c>
      <c r="S413" s="125">
        <f>IF('Quant. mod. (oc)'!S413&lt;0,0,ROUND('Quant. mod. (oc)'!S413,0))</f>
        <v>1</v>
      </c>
      <c r="T413" s="125">
        <f>IF('Quant. mod. (oc)'!T413&lt;0,0,ROUND('Quant. mod. (oc)'!T413,0))</f>
        <v>1</v>
      </c>
      <c r="U413" s="125">
        <f>IF('Quant. mod. (oc)'!U413&lt;0,0,ROUND('Quant. mod. (oc)'!U413,0))</f>
        <v>1</v>
      </c>
      <c r="V413" s="125">
        <f>IF('Quant. mod. (oc)'!V413&lt;0,0,ROUND('Quant. mod. (oc)'!V413,0))</f>
        <v>1</v>
      </c>
      <c r="W413" s="125">
        <f>IF('Quant. mod. (oc)'!W413&lt;0,0,ROUND('Quant. mod. (oc)'!W413,0))</f>
        <v>1</v>
      </c>
      <c r="X413" s="125">
        <f>IF('Quant. mod. (oc)'!X413&lt;0,0,ROUND('Quant. mod. (oc)'!X413,0))</f>
        <v>1</v>
      </c>
      <c r="Y413" s="125">
        <f>IF('Quant. mod. (oc)'!Y413&lt;0,0,ROUND('Quant. mod. (oc)'!Y413,0))</f>
        <v>1</v>
      </c>
      <c r="Z413" s="125">
        <f>IF('Quant. mod. (oc)'!Z413&lt;0,0,ROUND('Quant. mod. (oc)'!Z413,0))</f>
        <v>1</v>
      </c>
      <c r="AA413" s="125">
        <f>IF('Quant. mod. (oc)'!AA413&lt;0,0,ROUND('Quant. mod. (oc)'!AA413,0))</f>
        <v>1</v>
      </c>
      <c r="AB413" s="125">
        <f>IF('Quant. mod. (oc)'!AB413&lt;0,0,ROUND('Quant. mod. (oc)'!AB413,0))</f>
        <v>1</v>
      </c>
      <c r="AC413" s="125">
        <f>IF('Quant. mod. (oc)'!AC413&lt;0,0,ROUND('Quant. mod. (oc)'!AC413,0))</f>
        <v>1</v>
      </c>
      <c r="AD413" s="125">
        <f>IF('Quant. mod. (oc)'!AD413&lt;0,0,ROUND('Quant. mod. (oc)'!AD413,0))</f>
        <v>1</v>
      </c>
      <c r="AE413" s="125">
        <f>IF('Quant. mod. (oc)'!AE413&lt;0,0,ROUND('Quant. mod. (oc)'!AE413,0))</f>
        <v>1</v>
      </c>
      <c r="AF413" s="125">
        <f>IF('Quant. mod. (oc)'!AF413&lt;0,0,ROUND('Quant. mod. (oc)'!AF413,0))</f>
        <v>1</v>
      </c>
      <c r="AG413" s="126">
        <f>IF('Quant. mod. (oc)'!AG413&lt;0,0,ROUND('Quant. mod. (oc)'!AG413,0))</f>
        <v>1</v>
      </c>
      <c r="AH413" s="22"/>
    </row>
    <row r="414" spans="1:34" x14ac:dyDescent="0.25">
      <c r="A414" s="112"/>
      <c r="B414" s="136" t="s">
        <v>122</v>
      </c>
      <c r="C414" s="67" t="s">
        <v>59</v>
      </c>
      <c r="D414" s="125">
        <f>IF('Quant. mod. (oc)'!D414&lt;0,0,ROUND('Quant. mod. (oc)'!D414,0))</f>
        <v>1</v>
      </c>
      <c r="E414" s="125">
        <f>IF('Quant. mod. (oc)'!E414&lt;0,0,ROUND('Quant. mod. (oc)'!E414,0))</f>
        <v>1</v>
      </c>
      <c r="F414" s="125">
        <f>IF('Quant. mod. (oc)'!F414&lt;0,0,ROUND('Quant. mod. (oc)'!F414,0))</f>
        <v>1</v>
      </c>
      <c r="G414" s="125">
        <f>IF('Quant. mod. (oc)'!G414&lt;0,0,ROUND('Quant. mod. (oc)'!G414,0))</f>
        <v>1</v>
      </c>
      <c r="H414" s="125">
        <f>IF('Quant. mod. (oc)'!H414&lt;0,0,ROUND('Quant. mod. (oc)'!H414,0))</f>
        <v>1</v>
      </c>
      <c r="I414" s="125">
        <f>IF('Quant. mod. (oc)'!I414&lt;0,0,ROUND('Quant. mod. (oc)'!I414,0))</f>
        <v>1</v>
      </c>
      <c r="J414" s="125">
        <f>IF('Quant. mod. (oc)'!J414&lt;0,0,ROUND('Quant. mod. (oc)'!J414,0))</f>
        <v>1</v>
      </c>
      <c r="K414" s="125">
        <f>IF('Quant. mod. (oc)'!K414&lt;0,0,ROUND('Quant. mod. (oc)'!K414,0))</f>
        <v>1</v>
      </c>
      <c r="L414" s="125">
        <f>IF('Quant. mod. (oc)'!L414&lt;0,0,ROUND('Quant. mod. (oc)'!L414,0))</f>
        <v>1</v>
      </c>
      <c r="M414" s="125">
        <f>IF('Quant. mod. (oc)'!M414&lt;0,0,ROUND('Quant. mod. (oc)'!M414,0))</f>
        <v>1</v>
      </c>
      <c r="N414" s="125">
        <f>IF('Quant. mod. (oc)'!N414&lt;0,0,ROUND('Quant. mod. (oc)'!N414,0))</f>
        <v>1</v>
      </c>
      <c r="O414" s="125">
        <f>IF('Quant. mod. (oc)'!O414&lt;0,0,ROUND('Quant. mod. (oc)'!O414,0))</f>
        <v>1</v>
      </c>
      <c r="P414" s="125">
        <f>IF('Quant. mod. (oc)'!P414&lt;0,0,ROUND('Quant. mod. (oc)'!P414,0))</f>
        <v>1</v>
      </c>
      <c r="Q414" s="125">
        <f>IF('Quant. mod. (oc)'!Q414&lt;0,0,ROUND('Quant. mod. (oc)'!Q414,0))</f>
        <v>1</v>
      </c>
      <c r="R414" s="125">
        <f>IF('Quant. mod. (oc)'!R414&lt;0,0,ROUND('Quant. mod. (oc)'!R414,0))</f>
        <v>1</v>
      </c>
      <c r="S414" s="125">
        <f>IF('Quant. mod. (oc)'!S414&lt;0,0,ROUND('Quant. mod. (oc)'!S414,0))</f>
        <v>1</v>
      </c>
      <c r="T414" s="125">
        <f>IF('Quant. mod. (oc)'!T414&lt;0,0,ROUND('Quant. mod. (oc)'!T414,0))</f>
        <v>1</v>
      </c>
      <c r="U414" s="125">
        <f>IF('Quant. mod. (oc)'!U414&lt;0,0,ROUND('Quant. mod. (oc)'!U414,0))</f>
        <v>1</v>
      </c>
      <c r="V414" s="125">
        <f>IF('Quant. mod. (oc)'!V414&lt;0,0,ROUND('Quant. mod. (oc)'!V414,0))</f>
        <v>1</v>
      </c>
      <c r="W414" s="125">
        <f>IF('Quant. mod. (oc)'!W414&lt;0,0,ROUND('Quant. mod. (oc)'!W414,0))</f>
        <v>1</v>
      </c>
      <c r="X414" s="125">
        <f>IF('Quant. mod. (oc)'!X414&lt;0,0,ROUND('Quant. mod. (oc)'!X414,0))</f>
        <v>1</v>
      </c>
      <c r="Y414" s="125">
        <f>IF('Quant. mod. (oc)'!Y414&lt;0,0,ROUND('Quant. mod. (oc)'!Y414,0))</f>
        <v>1</v>
      </c>
      <c r="Z414" s="125">
        <f>IF('Quant. mod. (oc)'!Z414&lt;0,0,ROUND('Quant. mod. (oc)'!Z414,0))</f>
        <v>1</v>
      </c>
      <c r="AA414" s="125">
        <f>IF('Quant. mod. (oc)'!AA414&lt;0,0,ROUND('Quant. mod. (oc)'!AA414,0))</f>
        <v>1</v>
      </c>
      <c r="AB414" s="125">
        <f>IF('Quant. mod. (oc)'!AB414&lt;0,0,ROUND('Quant. mod. (oc)'!AB414,0))</f>
        <v>1</v>
      </c>
      <c r="AC414" s="125">
        <f>IF('Quant. mod. (oc)'!AC414&lt;0,0,ROUND('Quant. mod. (oc)'!AC414,0))</f>
        <v>1</v>
      </c>
      <c r="AD414" s="125">
        <f>IF('Quant. mod. (oc)'!AD414&lt;0,0,ROUND('Quant. mod. (oc)'!AD414,0))</f>
        <v>1</v>
      </c>
      <c r="AE414" s="125">
        <f>IF('Quant. mod. (oc)'!AE414&lt;0,0,ROUND('Quant. mod. (oc)'!AE414,0))</f>
        <v>1</v>
      </c>
      <c r="AF414" s="125">
        <f>IF('Quant. mod. (oc)'!AF414&lt;0,0,ROUND('Quant. mod. (oc)'!AF414,0))</f>
        <v>1</v>
      </c>
      <c r="AG414" s="126">
        <f>IF('Quant. mod. (oc)'!AG414&lt;0,0,ROUND('Quant. mod. (oc)'!AG414,0))</f>
        <v>1</v>
      </c>
      <c r="AH414" s="22"/>
    </row>
    <row r="415" spans="1:34" x14ac:dyDescent="0.25">
      <c r="A415" s="112"/>
      <c r="B415" s="136" t="s">
        <v>123</v>
      </c>
      <c r="C415" s="67" t="s">
        <v>59</v>
      </c>
      <c r="D415" s="125">
        <f>IF('Quant. mod. (oc)'!D415&lt;0,0,ROUND('Quant. mod. (oc)'!D415,0))</f>
        <v>1</v>
      </c>
      <c r="E415" s="125">
        <f>IF('Quant. mod. (oc)'!E415&lt;0,0,ROUND('Quant. mod. (oc)'!E415,0))</f>
        <v>1</v>
      </c>
      <c r="F415" s="125">
        <f>IF('Quant. mod. (oc)'!F415&lt;0,0,ROUND('Quant. mod. (oc)'!F415,0))</f>
        <v>1</v>
      </c>
      <c r="G415" s="125">
        <f>IF('Quant. mod. (oc)'!G415&lt;0,0,ROUND('Quant. mod. (oc)'!G415,0))</f>
        <v>1</v>
      </c>
      <c r="H415" s="125">
        <f>IF('Quant. mod. (oc)'!H415&lt;0,0,ROUND('Quant. mod. (oc)'!H415,0))</f>
        <v>1</v>
      </c>
      <c r="I415" s="125">
        <f>IF('Quant. mod. (oc)'!I415&lt;0,0,ROUND('Quant. mod. (oc)'!I415,0))</f>
        <v>1</v>
      </c>
      <c r="J415" s="125">
        <f>IF('Quant. mod. (oc)'!J415&lt;0,0,ROUND('Quant. mod. (oc)'!J415,0))</f>
        <v>1</v>
      </c>
      <c r="K415" s="125">
        <f>IF('Quant. mod. (oc)'!K415&lt;0,0,ROUND('Quant. mod. (oc)'!K415,0))</f>
        <v>1</v>
      </c>
      <c r="L415" s="125">
        <f>IF('Quant. mod. (oc)'!L415&lt;0,0,ROUND('Quant. mod. (oc)'!L415,0))</f>
        <v>1</v>
      </c>
      <c r="M415" s="125">
        <f>IF('Quant. mod. (oc)'!M415&lt;0,0,ROUND('Quant. mod. (oc)'!M415,0))</f>
        <v>1</v>
      </c>
      <c r="N415" s="125">
        <f>IF('Quant. mod. (oc)'!N415&lt;0,0,ROUND('Quant. mod. (oc)'!N415,0))</f>
        <v>1</v>
      </c>
      <c r="O415" s="125">
        <f>IF('Quant. mod. (oc)'!O415&lt;0,0,ROUND('Quant. mod. (oc)'!O415,0))</f>
        <v>1</v>
      </c>
      <c r="P415" s="125">
        <f>IF('Quant. mod. (oc)'!P415&lt;0,0,ROUND('Quant. mod. (oc)'!P415,0))</f>
        <v>1</v>
      </c>
      <c r="Q415" s="125">
        <f>IF('Quant. mod. (oc)'!Q415&lt;0,0,ROUND('Quant. mod. (oc)'!Q415,0))</f>
        <v>1</v>
      </c>
      <c r="R415" s="125">
        <f>IF('Quant. mod. (oc)'!R415&lt;0,0,ROUND('Quant. mod. (oc)'!R415,0))</f>
        <v>1</v>
      </c>
      <c r="S415" s="125">
        <f>IF('Quant. mod. (oc)'!S415&lt;0,0,ROUND('Quant. mod. (oc)'!S415,0))</f>
        <v>1</v>
      </c>
      <c r="T415" s="125">
        <f>IF('Quant. mod. (oc)'!T415&lt;0,0,ROUND('Quant. mod. (oc)'!T415,0))</f>
        <v>1</v>
      </c>
      <c r="U415" s="125">
        <f>IF('Quant. mod. (oc)'!U415&lt;0,0,ROUND('Quant. mod. (oc)'!U415,0))</f>
        <v>1</v>
      </c>
      <c r="V415" s="125">
        <f>IF('Quant. mod. (oc)'!V415&lt;0,0,ROUND('Quant. mod. (oc)'!V415,0))</f>
        <v>1</v>
      </c>
      <c r="W415" s="125">
        <f>IF('Quant. mod. (oc)'!W415&lt;0,0,ROUND('Quant. mod. (oc)'!W415,0))</f>
        <v>1</v>
      </c>
      <c r="X415" s="125">
        <f>IF('Quant. mod. (oc)'!X415&lt;0,0,ROUND('Quant. mod. (oc)'!X415,0))</f>
        <v>1</v>
      </c>
      <c r="Y415" s="125">
        <f>IF('Quant. mod. (oc)'!Y415&lt;0,0,ROUND('Quant. mod. (oc)'!Y415,0))</f>
        <v>1</v>
      </c>
      <c r="Z415" s="125">
        <f>IF('Quant. mod. (oc)'!Z415&lt;0,0,ROUND('Quant. mod. (oc)'!Z415,0))</f>
        <v>1</v>
      </c>
      <c r="AA415" s="125">
        <f>IF('Quant. mod. (oc)'!AA415&lt;0,0,ROUND('Quant. mod. (oc)'!AA415,0))</f>
        <v>1</v>
      </c>
      <c r="AB415" s="125">
        <f>IF('Quant. mod. (oc)'!AB415&lt;0,0,ROUND('Quant. mod. (oc)'!AB415,0))</f>
        <v>1</v>
      </c>
      <c r="AC415" s="125">
        <f>IF('Quant. mod. (oc)'!AC415&lt;0,0,ROUND('Quant. mod. (oc)'!AC415,0))</f>
        <v>1</v>
      </c>
      <c r="AD415" s="125">
        <f>IF('Quant. mod. (oc)'!AD415&lt;0,0,ROUND('Quant. mod. (oc)'!AD415,0))</f>
        <v>1</v>
      </c>
      <c r="AE415" s="125">
        <f>IF('Quant. mod. (oc)'!AE415&lt;0,0,ROUND('Quant. mod. (oc)'!AE415,0))</f>
        <v>1</v>
      </c>
      <c r="AF415" s="125">
        <f>IF('Quant. mod. (oc)'!AF415&lt;0,0,ROUND('Quant. mod. (oc)'!AF415,0))</f>
        <v>1</v>
      </c>
      <c r="AG415" s="126">
        <f>IF('Quant. mod. (oc)'!AG415&lt;0,0,ROUND('Quant. mod. (oc)'!AG415,0))</f>
        <v>1</v>
      </c>
      <c r="AH415" s="22"/>
    </row>
    <row r="416" spans="1:34" x14ac:dyDescent="0.25">
      <c r="A416" s="112"/>
      <c r="B416" s="136" t="s">
        <v>124</v>
      </c>
      <c r="C416" s="67" t="s">
        <v>59</v>
      </c>
      <c r="D416" s="125">
        <f>IF('Quant. mod. (oc)'!D416&lt;0,0,ROUND('Quant. mod. (oc)'!D416,0))</f>
        <v>1</v>
      </c>
      <c r="E416" s="125">
        <f>IF('Quant. mod. (oc)'!E416&lt;0,0,ROUND('Quant. mod. (oc)'!E416,0))</f>
        <v>1</v>
      </c>
      <c r="F416" s="125">
        <f>IF('Quant. mod. (oc)'!F416&lt;0,0,ROUND('Quant. mod. (oc)'!F416,0))</f>
        <v>1</v>
      </c>
      <c r="G416" s="125">
        <f>IF('Quant. mod. (oc)'!G416&lt;0,0,ROUND('Quant. mod. (oc)'!G416,0))</f>
        <v>1</v>
      </c>
      <c r="H416" s="125">
        <f>IF('Quant. mod. (oc)'!H416&lt;0,0,ROUND('Quant. mod. (oc)'!H416,0))</f>
        <v>1</v>
      </c>
      <c r="I416" s="125">
        <f>IF('Quant. mod. (oc)'!I416&lt;0,0,ROUND('Quant. mod. (oc)'!I416,0))</f>
        <v>1</v>
      </c>
      <c r="J416" s="125">
        <f>IF('Quant. mod. (oc)'!J416&lt;0,0,ROUND('Quant. mod. (oc)'!J416,0))</f>
        <v>1</v>
      </c>
      <c r="K416" s="125">
        <f>IF('Quant. mod. (oc)'!K416&lt;0,0,ROUND('Quant. mod. (oc)'!K416,0))</f>
        <v>1</v>
      </c>
      <c r="L416" s="125">
        <f>IF('Quant. mod. (oc)'!L416&lt;0,0,ROUND('Quant. mod. (oc)'!L416,0))</f>
        <v>1</v>
      </c>
      <c r="M416" s="125">
        <f>IF('Quant. mod. (oc)'!M416&lt;0,0,ROUND('Quant. mod. (oc)'!M416,0))</f>
        <v>1</v>
      </c>
      <c r="N416" s="125">
        <f>IF('Quant. mod. (oc)'!N416&lt;0,0,ROUND('Quant. mod. (oc)'!N416,0))</f>
        <v>1</v>
      </c>
      <c r="O416" s="125">
        <f>IF('Quant. mod. (oc)'!O416&lt;0,0,ROUND('Quant. mod. (oc)'!O416,0))</f>
        <v>1</v>
      </c>
      <c r="P416" s="125">
        <f>IF('Quant. mod. (oc)'!P416&lt;0,0,ROUND('Quant. mod. (oc)'!P416,0))</f>
        <v>1</v>
      </c>
      <c r="Q416" s="125">
        <f>IF('Quant. mod. (oc)'!Q416&lt;0,0,ROUND('Quant. mod. (oc)'!Q416,0))</f>
        <v>1</v>
      </c>
      <c r="R416" s="125">
        <f>IF('Quant. mod. (oc)'!R416&lt;0,0,ROUND('Quant. mod. (oc)'!R416,0))</f>
        <v>1</v>
      </c>
      <c r="S416" s="125">
        <f>IF('Quant. mod. (oc)'!S416&lt;0,0,ROUND('Quant. mod. (oc)'!S416,0))</f>
        <v>1</v>
      </c>
      <c r="T416" s="125">
        <f>IF('Quant. mod. (oc)'!T416&lt;0,0,ROUND('Quant. mod. (oc)'!T416,0))</f>
        <v>1</v>
      </c>
      <c r="U416" s="125">
        <f>IF('Quant. mod. (oc)'!U416&lt;0,0,ROUND('Quant. mod. (oc)'!U416,0))</f>
        <v>1</v>
      </c>
      <c r="V416" s="125">
        <f>IF('Quant. mod. (oc)'!V416&lt;0,0,ROUND('Quant. mod. (oc)'!V416,0))</f>
        <v>1</v>
      </c>
      <c r="W416" s="125">
        <f>IF('Quant. mod. (oc)'!W416&lt;0,0,ROUND('Quant. mod. (oc)'!W416,0))</f>
        <v>1</v>
      </c>
      <c r="X416" s="125">
        <f>IF('Quant. mod. (oc)'!X416&lt;0,0,ROUND('Quant. mod. (oc)'!X416,0))</f>
        <v>1</v>
      </c>
      <c r="Y416" s="125">
        <f>IF('Quant. mod. (oc)'!Y416&lt;0,0,ROUND('Quant. mod. (oc)'!Y416,0))</f>
        <v>1</v>
      </c>
      <c r="Z416" s="125">
        <f>IF('Quant. mod. (oc)'!Z416&lt;0,0,ROUND('Quant. mod. (oc)'!Z416,0))</f>
        <v>1</v>
      </c>
      <c r="AA416" s="125">
        <f>IF('Quant. mod. (oc)'!AA416&lt;0,0,ROUND('Quant. mod. (oc)'!AA416,0))</f>
        <v>1</v>
      </c>
      <c r="AB416" s="125">
        <f>IF('Quant. mod. (oc)'!AB416&lt;0,0,ROUND('Quant. mod. (oc)'!AB416,0))</f>
        <v>1</v>
      </c>
      <c r="AC416" s="125">
        <f>IF('Quant. mod. (oc)'!AC416&lt;0,0,ROUND('Quant. mod. (oc)'!AC416,0))</f>
        <v>1</v>
      </c>
      <c r="AD416" s="125">
        <f>IF('Quant. mod. (oc)'!AD416&lt;0,0,ROUND('Quant. mod. (oc)'!AD416,0))</f>
        <v>1</v>
      </c>
      <c r="AE416" s="125">
        <f>IF('Quant. mod. (oc)'!AE416&lt;0,0,ROUND('Quant. mod. (oc)'!AE416,0))</f>
        <v>1</v>
      </c>
      <c r="AF416" s="125">
        <f>IF('Quant. mod. (oc)'!AF416&lt;0,0,ROUND('Quant. mod. (oc)'!AF416,0))</f>
        <v>1</v>
      </c>
      <c r="AG416" s="126">
        <f>IF('Quant. mod. (oc)'!AG416&lt;0,0,ROUND('Quant. mod. (oc)'!AG416,0))</f>
        <v>1</v>
      </c>
      <c r="AH416" s="22"/>
    </row>
    <row r="417" spans="1:34" x14ac:dyDescent="0.25">
      <c r="A417" s="112"/>
      <c r="B417" s="136" t="s">
        <v>125</v>
      </c>
      <c r="C417" s="67" t="s">
        <v>59</v>
      </c>
      <c r="D417" s="125">
        <f>IF('Quant. mod. (oc)'!D417&lt;0,0,ROUND('Quant. mod. (oc)'!D417,0))</f>
        <v>1</v>
      </c>
      <c r="E417" s="125">
        <f>IF('Quant. mod. (oc)'!E417&lt;0,0,ROUND('Quant. mod. (oc)'!E417,0))</f>
        <v>1</v>
      </c>
      <c r="F417" s="125">
        <f>IF('Quant. mod. (oc)'!F417&lt;0,0,ROUND('Quant. mod. (oc)'!F417,0))</f>
        <v>1</v>
      </c>
      <c r="G417" s="125">
        <f>IF('Quant. mod. (oc)'!G417&lt;0,0,ROUND('Quant. mod. (oc)'!G417,0))</f>
        <v>1</v>
      </c>
      <c r="H417" s="125">
        <f>IF('Quant. mod. (oc)'!H417&lt;0,0,ROUND('Quant. mod. (oc)'!H417,0))</f>
        <v>1</v>
      </c>
      <c r="I417" s="125">
        <f>IF('Quant. mod. (oc)'!I417&lt;0,0,ROUND('Quant. mod. (oc)'!I417,0))</f>
        <v>1</v>
      </c>
      <c r="J417" s="125">
        <f>IF('Quant. mod. (oc)'!J417&lt;0,0,ROUND('Quant. mod. (oc)'!J417,0))</f>
        <v>1</v>
      </c>
      <c r="K417" s="125">
        <f>IF('Quant. mod. (oc)'!K417&lt;0,0,ROUND('Quant. mod. (oc)'!K417,0))</f>
        <v>1</v>
      </c>
      <c r="L417" s="125">
        <f>IF('Quant. mod. (oc)'!L417&lt;0,0,ROUND('Quant. mod. (oc)'!L417,0))</f>
        <v>1</v>
      </c>
      <c r="M417" s="125">
        <f>IF('Quant. mod. (oc)'!M417&lt;0,0,ROUND('Quant. mod. (oc)'!M417,0))</f>
        <v>1</v>
      </c>
      <c r="N417" s="125">
        <f>IF('Quant. mod. (oc)'!N417&lt;0,0,ROUND('Quant. mod. (oc)'!N417,0))</f>
        <v>1</v>
      </c>
      <c r="O417" s="125">
        <f>IF('Quant. mod. (oc)'!O417&lt;0,0,ROUND('Quant. mod. (oc)'!O417,0))</f>
        <v>1</v>
      </c>
      <c r="P417" s="125">
        <f>IF('Quant. mod. (oc)'!P417&lt;0,0,ROUND('Quant. mod. (oc)'!P417,0))</f>
        <v>1</v>
      </c>
      <c r="Q417" s="125">
        <f>IF('Quant. mod. (oc)'!Q417&lt;0,0,ROUND('Quant. mod. (oc)'!Q417,0))</f>
        <v>1</v>
      </c>
      <c r="R417" s="125">
        <f>IF('Quant. mod. (oc)'!R417&lt;0,0,ROUND('Quant. mod. (oc)'!R417,0))</f>
        <v>1</v>
      </c>
      <c r="S417" s="125">
        <f>IF('Quant. mod. (oc)'!S417&lt;0,0,ROUND('Quant. mod. (oc)'!S417,0))</f>
        <v>1</v>
      </c>
      <c r="T417" s="125">
        <f>IF('Quant. mod. (oc)'!T417&lt;0,0,ROUND('Quant. mod. (oc)'!T417,0))</f>
        <v>1</v>
      </c>
      <c r="U417" s="125">
        <f>IF('Quant. mod. (oc)'!U417&lt;0,0,ROUND('Quant. mod. (oc)'!U417,0))</f>
        <v>1</v>
      </c>
      <c r="V417" s="125">
        <f>IF('Quant. mod. (oc)'!V417&lt;0,0,ROUND('Quant. mod. (oc)'!V417,0))</f>
        <v>1</v>
      </c>
      <c r="W417" s="125">
        <f>IF('Quant. mod. (oc)'!W417&lt;0,0,ROUND('Quant. mod. (oc)'!W417,0))</f>
        <v>1</v>
      </c>
      <c r="X417" s="125">
        <f>IF('Quant. mod. (oc)'!X417&lt;0,0,ROUND('Quant. mod. (oc)'!X417,0))</f>
        <v>1</v>
      </c>
      <c r="Y417" s="125">
        <f>IF('Quant. mod. (oc)'!Y417&lt;0,0,ROUND('Quant. mod. (oc)'!Y417,0))</f>
        <v>1</v>
      </c>
      <c r="Z417" s="125">
        <f>IF('Quant. mod. (oc)'!Z417&lt;0,0,ROUND('Quant. mod. (oc)'!Z417,0))</f>
        <v>1</v>
      </c>
      <c r="AA417" s="125">
        <f>IF('Quant. mod. (oc)'!AA417&lt;0,0,ROUND('Quant. mod. (oc)'!AA417,0))</f>
        <v>1</v>
      </c>
      <c r="AB417" s="125">
        <f>IF('Quant. mod. (oc)'!AB417&lt;0,0,ROUND('Quant. mod. (oc)'!AB417,0))</f>
        <v>1</v>
      </c>
      <c r="AC417" s="125">
        <f>IF('Quant. mod. (oc)'!AC417&lt;0,0,ROUND('Quant. mod. (oc)'!AC417,0))</f>
        <v>1</v>
      </c>
      <c r="AD417" s="125">
        <f>IF('Quant. mod. (oc)'!AD417&lt;0,0,ROUND('Quant. mod. (oc)'!AD417,0))</f>
        <v>1</v>
      </c>
      <c r="AE417" s="125">
        <f>IF('Quant. mod. (oc)'!AE417&lt;0,0,ROUND('Quant. mod. (oc)'!AE417,0))</f>
        <v>1</v>
      </c>
      <c r="AF417" s="125">
        <f>IF('Quant. mod. (oc)'!AF417&lt;0,0,ROUND('Quant. mod. (oc)'!AF417,0))</f>
        <v>1</v>
      </c>
      <c r="AG417" s="126">
        <f>IF('Quant. mod. (oc)'!AG417&lt;0,0,ROUND('Quant. mod. (oc)'!AG417,0))</f>
        <v>1</v>
      </c>
      <c r="AH417" s="22"/>
    </row>
    <row r="418" spans="1:34" x14ac:dyDescent="0.25">
      <c r="A418" s="112"/>
      <c r="B418" s="136" t="s">
        <v>126</v>
      </c>
      <c r="C418" s="67" t="s">
        <v>59</v>
      </c>
      <c r="D418" s="125">
        <f>IF('Quant. mod. (oc)'!D418&lt;0,0,ROUND('Quant. mod. (oc)'!D418,0))</f>
        <v>1</v>
      </c>
      <c r="E418" s="125">
        <f>IF('Quant. mod. (oc)'!E418&lt;0,0,ROUND('Quant. mod. (oc)'!E418,0))</f>
        <v>1</v>
      </c>
      <c r="F418" s="125">
        <f>IF('Quant. mod. (oc)'!F418&lt;0,0,ROUND('Quant. mod. (oc)'!F418,0))</f>
        <v>1</v>
      </c>
      <c r="G418" s="125">
        <f>IF('Quant. mod. (oc)'!G418&lt;0,0,ROUND('Quant. mod. (oc)'!G418,0))</f>
        <v>1</v>
      </c>
      <c r="H418" s="125">
        <f>IF('Quant. mod. (oc)'!H418&lt;0,0,ROUND('Quant. mod. (oc)'!H418,0))</f>
        <v>1</v>
      </c>
      <c r="I418" s="125">
        <f>IF('Quant. mod. (oc)'!I418&lt;0,0,ROUND('Quant. mod. (oc)'!I418,0))</f>
        <v>1</v>
      </c>
      <c r="J418" s="125">
        <f>IF('Quant. mod. (oc)'!J418&lt;0,0,ROUND('Quant. mod. (oc)'!J418,0))</f>
        <v>1</v>
      </c>
      <c r="K418" s="125">
        <f>IF('Quant. mod. (oc)'!K418&lt;0,0,ROUND('Quant. mod. (oc)'!K418,0))</f>
        <v>1</v>
      </c>
      <c r="L418" s="125">
        <f>IF('Quant. mod. (oc)'!L418&lt;0,0,ROUND('Quant. mod. (oc)'!L418,0))</f>
        <v>1</v>
      </c>
      <c r="M418" s="125">
        <f>IF('Quant. mod. (oc)'!M418&lt;0,0,ROUND('Quant. mod. (oc)'!M418,0))</f>
        <v>1</v>
      </c>
      <c r="N418" s="125">
        <f>IF('Quant. mod. (oc)'!N418&lt;0,0,ROUND('Quant. mod. (oc)'!N418,0))</f>
        <v>1</v>
      </c>
      <c r="O418" s="125">
        <f>IF('Quant. mod. (oc)'!O418&lt;0,0,ROUND('Quant. mod. (oc)'!O418,0))</f>
        <v>1</v>
      </c>
      <c r="P418" s="125">
        <f>IF('Quant. mod. (oc)'!P418&lt;0,0,ROUND('Quant. mod. (oc)'!P418,0))</f>
        <v>1</v>
      </c>
      <c r="Q418" s="125">
        <f>IF('Quant. mod. (oc)'!Q418&lt;0,0,ROUND('Quant. mod. (oc)'!Q418,0))</f>
        <v>1</v>
      </c>
      <c r="R418" s="125">
        <f>IF('Quant. mod. (oc)'!R418&lt;0,0,ROUND('Quant. mod. (oc)'!R418,0))</f>
        <v>1</v>
      </c>
      <c r="S418" s="125">
        <f>IF('Quant. mod. (oc)'!S418&lt;0,0,ROUND('Quant. mod. (oc)'!S418,0))</f>
        <v>1</v>
      </c>
      <c r="T418" s="125">
        <f>IF('Quant. mod. (oc)'!T418&lt;0,0,ROUND('Quant. mod. (oc)'!T418,0))</f>
        <v>1</v>
      </c>
      <c r="U418" s="125">
        <f>IF('Quant. mod. (oc)'!U418&lt;0,0,ROUND('Quant. mod. (oc)'!U418,0))</f>
        <v>1</v>
      </c>
      <c r="V418" s="125">
        <f>IF('Quant. mod. (oc)'!V418&lt;0,0,ROUND('Quant. mod. (oc)'!V418,0))</f>
        <v>1</v>
      </c>
      <c r="W418" s="125">
        <f>IF('Quant. mod. (oc)'!W418&lt;0,0,ROUND('Quant. mod. (oc)'!W418,0))</f>
        <v>1</v>
      </c>
      <c r="X418" s="125">
        <f>IF('Quant. mod. (oc)'!X418&lt;0,0,ROUND('Quant. mod. (oc)'!X418,0))</f>
        <v>1</v>
      </c>
      <c r="Y418" s="125">
        <f>IF('Quant. mod. (oc)'!Y418&lt;0,0,ROUND('Quant. mod. (oc)'!Y418,0))</f>
        <v>1</v>
      </c>
      <c r="Z418" s="125">
        <f>IF('Quant. mod. (oc)'!Z418&lt;0,0,ROUND('Quant. mod. (oc)'!Z418,0))</f>
        <v>1</v>
      </c>
      <c r="AA418" s="125">
        <f>IF('Quant. mod. (oc)'!AA418&lt;0,0,ROUND('Quant. mod. (oc)'!AA418,0))</f>
        <v>1</v>
      </c>
      <c r="AB418" s="125">
        <f>IF('Quant. mod. (oc)'!AB418&lt;0,0,ROUND('Quant. mod. (oc)'!AB418,0))</f>
        <v>1</v>
      </c>
      <c r="AC418" s="125">
        <f>IF('Quant. mod. (oc)'!AC418&lt;0,0,ROUND('Quant. mod. (oc)'!AC418,0))</f>
        <v>1</v>
      </c>
      <c r="AD418" s="125">
        <f>IF('Quant. mod. (oc)'!AD418&lt;0,0,ROUND('Quant. mod. (oc)'!AD418,0))</f>
        <v>1</v>
      </c>
      <c r="AE418" s="125">
        <f>IF('Quant. mod. (oc)'!AE418&lt;0,0,ROUND('Quant. mod. (oc)'!AE418,0))</f>
        <v>1</v>
      </c>
      <c r="AF418" s="125">
        <f>IF('Quant. mod. (oc)'!AF418&lt;0,0,ROUND('Quant. mod. (oc)'!AF418,0))</f>
        <v>1</v>
      </c>
      <c r="AG418" s="126">
        <f>IF('Quant. mod. (oc)'!AG418&lt;0,0,ROUND('Quant. mod. (oc)'!AG418,0))</f>
        <v>1</v>
      </c>
      <c r="AH418" s="22"/>
    </row>
    <row r="419" spans="1:34" x14ac:dyDescent="0.25">
      <c r="A419" s="112"/>
      <c r="B419" s="136" t="s">
        <v>127</v>
      </c>
      <c r="C419" s="67" t="s">
        <v>59</v>
      </c>
      <c r="D419" s="125">
        <f>IF('Quant. mod. (oc)'!D419&lt;0,0,ROUND('Quant. mod. (oc)'!D419,0))</f>
        <v>1</v>
      </c>
      <c r="E419" s="125">
        <f>IF('Quant. mod. (oc)'!E419&lt;0,0,ROUND('Quant. mod. (oc)'!E419,0))</f>
        <v>1</v>
      </c>
      <c r="F419" s="125">
        <f>IF('Quant. mod. (oc)'!F419&lt;0,0,ROUND('Quant. mod. (oc)'!F419,0))</f>
        <v>1</v>
      </c>
      <c r="G419" s="125">
        <f>IF('Quant. mod. (oc)'!G419&lt;0,0,ROUND('Quant. mod. (oc)'!G419,0))</f>
        <v>1</v>
      </c>
      <c r="H419" s="125">
        <f>IF('Quant. mod. (oc)'!H419&lt;0,0,ROUND('Quant. mod. (oc)'!H419,0))</f>
        <v>1</v>
      </c>
      <c r="I419" s="125">
        <f>IF('Quant. mod. (oc)'!I419&lt;0,0,ROUND('Quant. mod. (oc)'!I419,0))</f>
        <v>1</v>
      </c>
      <c r="J419" s="125">
        <f>IF('Quant. mod. (oc)'!J419&lt;0,0,ROUND('Quant. mod. (oc)'!J419,0))</f>
        <v>1</v>
      </c>
      <c r="K419" s="125">
        <f>IF('Quant. mod. (oc)'!K419&lt;0,0,ROUND('Quant. mod. (oc)'!K419,0))</f>
        <v>1</v>
      </c>
      <c r="L419" s="125">
        <f>IF('Quant. mod. (oc)'!L419&lt;0,0,ROUND('Quant. mod. (oc)'!L419,0))</f>
        <v>1</v>
      </c>
      <c r="M419" s="125">
        <f>IF('Quant. mod. (oc)'!M419&lt;0,0,ROUND('Quant. mod. (oc)'!M419,0))</f>
        <v>1</v>
      </c>
      <c r="N419" s="125">
        <f>IF('Quant. mod. (oc)'!N419&lt;0,0,ROUND('Quant. mod. (oc)'!N419,0))</f>
        <v>1</v>
      </c>
      <c r="O419" s="125">
        <f>IF('Quant. mod. (oc)'!O419&lt;0,0,ROUND('Quant. mod. (oc)'!O419,0))</f>
        <v>1</v>
      </c>
      <c r="P419" s="125">
        <f>IF('Quant. mod. (oc)'!P419&lt;0,0,ROUND('Quant. mod. (oc)'!P419,0))</f>
        <v>1</v>
      </c>
      <c r="Q419" s="125">
        <f>IF('Quant. mod. (oc)'!Q419&lt;0,0,ROUND('Quant. mod. (oc)'!Q419,0))</f>
        <v>1</v>
      </c>
      <c r="R419" s="125">
        <f>IF('Quant. mod. (oc)'!R419&lt;0,0,ROUND('Quant. mod. (oc)'!R419,0))</f>
        <v>1</v>
      </c>
      <c r="S419" s="125">
        <f>IF('Quant. mod. (oc)'!S419&lt;0,0,ROUND('Quant. mod. (oc)'!S419,0))</f>
        <v>1</v>
      </c>
      <c r="T419" s="125">
        <f>IF('Quant. mod. (oc)'!T419&lt;0,0,ROUND('Quant. mod. (oc)'!T419,0))</f>
        <v>1</v>
      </c>
      <c r="U419" s="125">
        <f>IF('Quant. mod. (oc)'!U419&lt;0,0,ROUND('Quant. mod. (oc)'!U419,0))</f>
        <v>1</v>
      </c>
      <c r="V419" s="125">
        <f>IF('Quant. mod. (oc)'!V419&lt;0,0,ROUND('Quant. mod. (oc)'!V419,0))</f>
        <v>1</v>
      </c>
      <c r="W419" s="125">
        <f>IF('Quant. mod. (oc)'!W419&lt;0,0,ROUND('Quant. mod. (oc)'!W419,0))</f>
        <v>1</v>
      </c>
      <c r="X419" s="125">
        <f>IF('Quant. mod. (oc)'!X419&lt;0,0,ROUND('Quant. mod. (oc)'!X419,0))</f>
        <v>1</v>
      </c>
      <c r="Y419" s="125">
        <f>IF('Quant. mod. (oc)'!Y419&lt;0,0,ROUND('Quant. mod. (oc)'!Y419,0))</f>
        <v>1</v>
      </c>
      <c r="Z419" s="125">
        <f>IF('Quant. mod. (oc)'!Z419&lt;0,0,ROUND('Quant. mod. (oc)'!Z419,0))</f>
        <v>1</v>
      </c>
      <c r="AA419" s="125">
        <f>IF('Quant. mod. (oc)'!AA419&lt;0,0,ROUND('Quant. mod. (oc)'!AA419,0))</f>
        <v>1</v>
      </c>
      <c r="AB419" s="125">
        <f>IF('Quant. mod. (oc)'!AB419&lt;0,0,ROUND('Quant. mod. (oc)'!AB419,0))</f>
        <v>1</v>
      </c>
      <c r="AC419" s="125">
        <f>IF('Quant. mod. (oc)'!AC419&lt;0,0,ROUND('Quant. mod. (oc)'!AC419,0))</f>
        <v>1</v>
      </c>
      <c r="AD419" s="125">
        <f>IF('Quant. mod. (oc)'!AD419&lt;0,0,ROUND('Quant. mod. (oc)'!AD419,0))</f>
        <v>1</v>
      </c>
      <c r="AE419" s="125">
        <f>IF('Quant. mod. (oc)'!AE419&lt;0,0,ROUND('Quant. mod. (oc)'!AE419,0))</f>
        <v>1</v>
      </c>
      <c r="AF419" s="125">
        <f>IF('Quant. mod. (oc)'!AF419&lt;0,0,ROUND('Quant. mod. (oc)'!AF419,0))</f>
        <v>1</v>
      </c>
      <c r="AG419" s="126">
        <f>IF('Quant. mod. (oc)'!AG419&lt;0,0,ROUND('Quant. mod. (oc)'!AG419,0))</f>
        <v>1</v>
      </c>
      <c r="AH419" s="22"/>
    </row>
    <row r="420" spans="1:34" x14ac:dyDescent="0.25">
      <c r="A420" s="112"/>
      <c r="B420" s="136" t="s">
        <v>128</v>
      </c>
      <c r="C420" s="67" t="s">
        <v>59</v>
      </c>
      <c r="D420" s="125">
        <f>IF('Quant. mod. (oc)'!D420&lt;0,0,ROUND('Quant. mod. (oc)'!D420,0))</f>
        <v>1</v>
      </c>
      <c r="E420" s="125">
        <f>IF('Quant. mod. (oc)'!E420&lt;0,0,ROUND('Quant. mod. (oc)'!E420,0))</f>
        <v>1</v>
      </c>
      <c r="F420" s="125">
        <f>IF('Quant. mod. (oc)'!F420&lt;0,0,ROUND('Quant. mod. (oc)'!F420,0))</f>
        <v>1</v>
      </c>
      <c r="G420" s="125">
        <f>IF('Quant. mod. (oc)'!G420&lt;0,0,ROUND('Quant. mod. (oc)'!G420,0))</f>
        <v>1</v>
      </c>
      <c r="H420" s="125">
        <f>IF('Quant. mod. (oc)'!H420&lt;0,0,ROUND('Quant. mod. (oc)'!H420,0))</f>
        <v>1</v>
      </c>
      <c r="I420" s="125">
        <f>IF('Quant. mod. (oc)'!I420&lt;0,0,ROUND('Quant. mod. (oc)'!I420,0))</f>
        <v>1</v>
      </c>
      <c r="J420" s="125">
        <f>IF('Quant. mod. (oc)'!J420&lt;0,0,ROUND('Quant. mod. (oc)'!J420,0))</f>
        <v>1</v>
      </c>
      <c r="K420" s="125">
        <f>IF('Quant. mod. (oc)'!K420&lt;0,0,ROUND('Quant. mod. (oc)'!K420,0))</f>
        <v>1</v>
      </c>
      <c r="L420" s="125">
        <f>IF('Quant. mod. (oc)'!L420&lt;0,0,ROUND('Quant. mod. (oc)'!L420,0))</f>
        <v>1</v>
      </c>
      <c r="M420" s="125">
        <f>IF('Quant. mod. (oc)'!M420&lt;0,0,ROUND('Quant. mod. (oc)'!M420,0))</f>
        <v>1</v>
      </c>
      <c r="N420" s="125">
        <f>IF('Quant. mod. (oc)'!N420&lt;0,0,ROUND('Quant. mod. (oc)'!N420,0))</f>
        <v>1</v>
      </c>
      <c r="O420" s="125">
        <f>IF('Quant. mod. (oc)'!O420&lt;0,0,ROUND('Quant. mod. (oc)'!O420,0))</f>
        <v>1</v>
      </c>
      <c r="P420" s="125">
        <f>IF('Quant. mod. (oc)'!P420&lt;0,0,ROUND('Quant. mod. (oc)'!P420,0))</f>
        <v>1</v>
      </c>
      <c r="Q420" s="125">
        <f>IF('Quant. mod. (oc)'!Q420&lt;0,0,ROUND('Quant. mod. (oc)'!Q420,0))</f>
        <v>1</v>
      </c>
      <c r="R420" s="125">
        <f>IF('Quant. mod. (oc)'!R420&lt;0,0,ROUND('Quant. mod. (oc)'!R420,0))</f>
        <v>1</v>
      </c>
      <c r="S420" s="125">
        <f>IF('Quant. mod. (oc)'!S420&lt;0,0,ROUND('Quant. mod. (oc)'!S420,0))</f>
        <v>1</v>
      </c>
      <c r="T420" s="125">
        <f>IF('Quant. mod. (oc)'!T420&lt;0,0,ROUND('Quant. mod. (oc)'!T420,0))</f>
        <v>1</v>
      </c>
      <c r="U420" s="125">
        <f>IF('Quant. mod. (oc)'!U420&lt;0,0,ROUND('Quant. mod. (oc)'!U420,0))</f>
        <v>1</v>
      </c>
      <c r="V420" s="125">
        <f>IF('Quant. mod. (oc)'!V420&lt;0,0,ROUND('Quant. mod. (oc)'!V420,0))</f>
        <v>1</v>
      </c>
      <c r="W420" s="125">
        <f>IF('Quant. mod. (oc)'!W420&lt;0,0,ROUND('Quant. mod. (oc)'!W420,0))</f>
        <v>1</v>
      </c>
      <c r="X420" s="125">
        <f>IF('Quant. mod. (oc)'!X420&lt;0,0,ROUND('Quant. mod. (oc)'!X420,0))</f>
        <v>1</v>
      </c>
      <c r="Y420" s="125">
        <f>IF('Quant. mod. (oc)'!Y420&lt;0,0,ROUND('Quant. mod. (oc)'!Y420,0))</f>
        <v>1</v>
      </c>
      <c r="Z420" s="125">
        <f>IF('Quant. mod. (oc)'!Z420&lt;0,0,ROUND('Quant. mod. (oc)'!Z420,0))</f>
        <v>1</v>
      </c>
      <c r="AA420" s="125">
        <f>IF('Quant. mod. (oc)'!AA420&lt;0,0,ROUND('Quant. mod. (oc)'!AA420,0))</f>
        <v>1</v>
      </c>
      <c r="AB420" s="125">
        <f>IF('Quant. mod. (oc)'!AB420&lt;0,0,ROUND('Quant. mod. (oc)'!AB420,0))</f>
        <v>1</v>
      </c>
      <c r="AC420" s="125">
        <f>IF('Quant. mod. (oc)'!AC420&lt;0,0,ROUND('Quant. mod. (oc)'!AC420,0))</f>
        <v>1</v>
      </c>
      <c r="AD420" s="125">
        <f>IF('Quant. mod. (oc)'!AD420&lt;0,0,ROUND('Quant. mod. (oc)'!AD420,0))</f>
        <v>1</v>
      </c>
      <c r="AE420" s="125">
        <f>IF('Quant. mod. (oc)'!AE420&lt;0,0,ROUND('Quant. mod. (oc)'!AE420,0))</f>
        <v>1</v>
      </c>
      <c r="AF420" s="125">
        <f>IF('Quant. mod. (oc)'!AF420&lt;0,0,ROUND('Quant. mod. (oc)'!AF420,0))</f>
        <v>1</v>
      </c>
      <c r="AG420" s="126">
        <f>IF('Quant. mod. (oc)'!AG420&lt;0,0,ROUND('Quant. mod. (oc)'!AG420,0))</f>
        <v>1</v>
      </c>
      <c r="AH420" s="22"/>
    </row>
    <row r="421" spans="1:34" x14ac:dyDescent="0.25">
      <c r="A421" s="112"/>
      <c r="B421" s="136" t="s">
        <v>129</v>
      </c>
      <c r="C421" s="67" t="s">
        <v>59</v>
      </c>
      <c r="D421" s="125">
        <f>IF('Quant. mod. (oc)'!D421&lt;0,0,ROUND('Quant. mod. (oc)'!D421,0))</f>
        <v>1</v>
      </c>
      <c r="E421" s="125">
        <f>IF('Quant. mod. (oc)'!E421&lt;0,0,ROUND('Quant. mod. (oc)'!E421,0))</f>
        <v>1</v>
      </c>
      <c r="F421" s="125">
        <f>IF('Quant. mod. (oc)'!F421&lt;0,0,ROUND('Quant. mod. (oc)'!F421,0))</f>
        <v>1</v>
      </c>
      <c r="G421" s="125">
        <f>IF('Quant. mod. (oc)'!G421&lt;0,0,ROUND('Quant. mod. (oc)'!G421,0))</f>
        <v>1</v>
      </c>
      <c r="H421" s="125">
        <f>IF('Quant. mod. (oc)'!H421&lt;0,0,ROUND('Quant. mod. (oc)'!H421,0))</f>
        <v>1</v>
      </c>
      <c r="I421" s="125">
        <f>IF('Quant. mod. (oc)'!I421&lt;0,0,ROUND('Quant. mod. (oc)'!I421,0))</f>
        <v>1</v>
      </c>
      <c r="J421" s="125">
        <f>IF('Quant. mod. (oc)'!J421&lt;0,0,ROUND('Quant. mod. (oc)'!J421,0))</f>
        <v>1</v>
      </c>
      <c r="K421" s="125">
        <f>IF('Quant. mod. (oc)'!K421&lt;0,0,ROUND('Quant. mod. (oc)'!K421,0))</f>
        <v>1</v>
      </c>
      <c r="L421" s="125">
        <f>IF('Quant. mod. (oc)'!L421&lt;0,0,ROUND('Quant. mod. (oc)'!L421,0))</f>
        <v>1</v>
      </c>
      <c r="M421" s="125">
        <f>IF('Quant. mod. (oc)'!M421&lt;0,0,ROUND('Quant. mod. (oc)'!M421,0))</f>
        <v>1</v>
      </c>
      <c r="N421" s="125">
        <f>IF('Quant. mod. (oc)'!N421&lt;0,0,ROUND('Quant. mod. (oc)'!N421,0))</f>
        <v>1</v>
      </c>
      <c r="O421" s="125">
        <f>IF('Quant. mod. (oc)'!O421&lt;0,0,ROUND('Quant. mod. (oc)'!O421,0))</f>
        <v>1</v>
      </c>
      <c r="P421" s="125">
        <f>IF('Quant. mod. (oc)'!P421&lt;0,0,ROUND('Quant. mod. (oc)'!P421,0))</f>
        <v>1</v>
      </c>
      <c r="Q421" s="125">
        <f>IF('Quant. mod. (oc)'!Q421&lt;0,0,ROUND('Quant. mod. (oc)'!Q421,0))</f>
        <v>1</v>
      </c>
      <c r="R421" s="125">
        <f>IF('Quant. mod. (oc)'!R421&lt;0,0,ROUND('Quant. mod. (oc)'!R421,0))</f>
        <v>1</v>
      </c>
      <c r="S421" s="125">
        <f>IF('Quant. mod. (oc)'!S421&lt;0,0,ROUND('Quant. mod. (oc)'!S421,0))</f>
        <v>1</v>
      </c>
      <c r="T421" s="125">
        <f>IF('Quant. mod. (oc)'!T421&lt;0,0,ROUND('Quant. mod. (oc)'!T421,0))</f>
        <v>1</v>
      </c>
      <c r="U421" s="125">
        <f>IF('Quant. mod. (oc)'!U421&lt;0,0,ROUND('Quant. mod. (oc)'!U421,0))</f>
        <v>1</v>
      </c>
      <c r="V421" s="125">
        <f>IF('Quant. mod. (oc)'!V421&lt;0,0,ROUND('Quant. mod. (oc)'!V421,0))</f>
        <v>1</v>
      </c>
      <c r="W421" s="125">
        <f>IF('Quant. mod. (oc)'!W421&lt;0,0,ROUND('Quant. mod. (oc)'!W421,0))</f>
        <v>1</v>
      </c>
      <c r="X421" s="125">
        <f>IF('Quant. mod. (oc)'!X421&lt;0,0,ROUND('Quant. mod. (oc)'!X421,0))</f>
        <v>1</v>
      </c>
      <c r="Y421" s="125">
        <f>IF('Quant. mod. (oc)'!Y421&lt;0,0,ROUND('Quant. mod. (oc)'!Y421,0))</f>
        <v>1</v>
      </c>
      <c r="Z421" s="125">
        <f>IF('Quant. mod. (oc)'!Z421&lt;0,0,ROUND('Quant. mod. (oc)'!Z421,0))</f>
        <v>1</v>
      </c>
      <c r="AA421" s="125">
        <f>IF('Quant. mod. (oc)'!AA421&lt;0,0,ROUND('Quant. mod. (oc)'!AA421,0))</f>
        <v>1</v>
      </c>
      <c r="AB421" s="125">
        <f>IF('Quant. mod. (oc)'!AB421&lt;0,0,ROUND('Quant. mod. (oc)'!AB421,0))</f>
        <v>1</v>
      </c>
      <c r="AC421" s="125">
        <f>IF('Quant. mod. (oc)'!AC421&lt;0,0,ROUND('Quant. mod. (oc)'!AC421,0))</f>
        <v>1</v>
      </c>
      <c r="AD421" s="125">
        <f>IF('Quant. mod. (oc)'!AD421&lt;0,0,ROUND('Quant. mod. (oc)'!AD421,0))</f>
        <v>1</v>
      </c>
      <c r="AE421" s="125">
        <f>IF('Quant. mod. (oc)'!AE421&lt;0,0,ROUND('Quant. mod. (oc)'!AE421,0))</f>
        <v>1</v>
      </c>
      <c r="AF421" s="125">
        <f>IF('Quant. mod. (oc)'!AF421&lt;0,0,ROUND('Quant. mod. (oc)'!AF421,0))</f>
        <v>1</v>
      </c>
      <c r="AG421" s="126">
        <f>IF('Quant. mod. (oc)'!AG421&lt;0,0,ROUND('Quant. mod. (oc)'!AG421,0))</f>
        <v>1</v>
      </c>
      <c r="AH421" s="22"/>
    </row>
    <row r="422" spans="1:34" x14ac:dyDescent="0.25">
      <c r="A422" s="112"/>
      <c r="B422" s="136" t="s">
        <v>130</v>
      </c>
      <c r="C422" s="67" t="s">
        <v>59</v>
      </c>
      <c r="D422" s="125">
        <f>IF('Quant. mod. (oc)'!D422&lt;0,0,ROUND('Quant. mod. (oc)'!D422,0))</f>
        <v>1</v>
      </c>
      <c r="E422" s="125">
        <f>IF('Quant. mod. (oc)'!E422&lt;0,0,ROUND('Quant. mod. (oc)'!E422,0))</f>
        <v>1</v>
      </c>
      <c r="F422" s="125">
        <f>IF('Quant. mod. (oc)'!F422&lt;0,0,ROUND('Quant. mod. (oc)'!F422,0))</f>
        <v>1</v>
      </c>
      <c r="G422" s="125">
        <f>IF('Quant. mod. (oc)'!G422&lt;0,0,ROUND('Quant. mod. (oc)'!G422,0))</f>
        <v>1</v>
      </c>
      <c r="H422" s="125">
        <f>IF('Quant. mod. (oc)'!H422&lt;0,0,ROUND('Quant. mod. (oc)'!H422,0))</f>
        <v>1</v>
      </c>
      <c r="I422" s="125">
        <f>IF('Quant. mod. (oc)'!I422&lt;0,0,ROUND('Quant. mod. (oc)'!I422,0))</f>
        <v>1</v>
      </c>
      <c r="J422" s="125">
        <f>IF('Quant. mod. (oc)'!J422&lt;0,0,ROUND('Quant. mod. (oc)'!J422,0))</f>
        <v>1</v>
      </c>
      <c r="K422" s="125">
        <f>IF('Quant. mod. (oc)'!K422&lt;0,0,ROUND('Quant. mod. (oc)'!K422,0))</f>
        <v>1</v>
      </c>
      <c r="L422" s="125">
        <f>IF('Quant. mod. (oc)'!L422&lt;0,0,ROUND('Quant. mod. (oc)'!L422,0))</f>
        <v>1</v>
      </c>
      <c r="M422" s="125">
        <f>IF('Quant. mod. (oc)'!M422&lt;0,0,ROUND('Quant. mod. (oc)'!M422,0))</f>
        <v>1</v>
      </c>
      <c r="N422" s="125">
        <f>IF('Quant. mod. (oc)'!N422&lt;0,0,ROUND('Quant. mod. (oc)'!N422,0))</f>
        <v>1</v>
      </c>
      <c r="O422" s="125">
        <f>IF('Quant. mod. (oc)'!O422&lt;0,0,ROUND('Quant. mod. (oc)'!O422,0))</f>
        <v>1</v>
      </c>
      <c r="P422" s="125">
        <f>IF('Quant. mod. (oc)'!P422&lt;0,0,ROUND('Quant. mod. (oc)'!P422,0))</f>
        <v>1</v>
      </c>
      <c r="Q422" s="125">
        <f>IF('Quant. mod. (oc)'!Q422&lt;0,0,ROUND('Quant. mod. (oc)'!Q422,0))</f>
        <v>1</v>
      </c>
      <c r="R422" s="125">
        <f>IF('Quant. mod. (oc)'!R422&lt;0,0,ROUND('Quant. mod. (oc)'!R422,0))</f>
        <v>1</v>
      </c>
      <c r="S422" s="125">
        <f>IF('Quant. mod. (oc)'!S422&lt;0,0,ROUND('Quant. mod. (oc)'!S422,0))</f>
        <v>1</v>
      </c>
      <c r="T422" s="125">
        <f>IF('Quant. mod. (oc)'!T422&lt;0,0,ROUND('Quant. mod. (oc)'!T422,0))</f>
        <v>1</v>
      </c>
      <c r="U422" s="125">
        <f>IF('Quant. mod. (oc)'!U422&lt;0,0,ROUND('Quant. mod. (oc)'!U422,0))</f>
        <v>1</v>
      </c>
      <c r="V422" s="125">
        <f>IF('Quant. mod. (oc)'!V422&lt;0,0,ROUND('Quant. mod. (oc)'!V422,0))</f>
        <v>1</v>
      </c>
      <c r="W422" s="125">
        <f>IF('Quant. mod. (oc)'!W422&lt;0,0,ROUND('Quant. mod. (oc)'!W422,0))</f>
        <v>1</v>
      </c>
      <c r="X422" s="125">
        <f>IF('Quant. mod. (oc)'!X422&lt;0,0,ROUND('Quant. mod. (oc)'!X422,0))</f>
        <v>1</v>
      </c>
      <c r="Y422" s="125">
        <f>IF('Quant. mod. (oc)'!Y422&lt;0,0,ROUND('Quant. mod. (oc)'!Y422,0))</f>
        <v>1</v>
      </c>
      <c r="Z422" s="125">
        <f>IF('Quant. mod. (oc)'!Z422&lt;0,0,ROUND('Quant. mod. (oc)'!Z422,0))</f>
        <v>1</v>
      </c>
      <c r="AA422" s="125">
        <f>IF('Quant. mod. (oc)'!AA422&lt;0,0,ROUND('Quant. mod. (oc)'!AA422,0))</f>
        <v>1</v>
      </c>
      <c r="AB422" s="125">
        <f>IF('Quant. mod. (oc)'!AB422&lt;0,0,ROUND('Quant. mod. (oc)'!AB422,0))</f>
        <v>1</v>
      </c>
      <c r="AC422" s="125">
        <f>IF('Quant. mod. (oc)'!AC422&lt;0,0,ROUND('Quant. mod. (oc)'!AC422,0))</f>
        <v>1</v>
      </c>
      <c r="AD422" s="125">
        <f>IF('Quant. mod. (oc)'!AD422&lt;0,0,ROUND('Quant. mod. (oc)'!AD422,0))</f>
        <v>1</v>
      </c>
      <c r="AE422" s="125">
        <f>IF('Quant. mod. (oc)'!AE422&lt;0,0,ROUND('Quant. mod. (oc)'!AE422,0))</f>
        <v>1</v>
      </c>
      <c r="AF422" s="125">
        <f>IF('Quant. mod. (oc)'!AF422&lt;0,0,ROUND('Quant. mod. (oc)'!AF422,0))</f>
        <v>1</v>
      </c>
      <c r="AG422" s="126">
        <f>IF('Quant. mod. (oc)'!AG422&lt;0,0,ROUND('Quant. mod. (oc)'!AG422,0))</f>
        <v>1</v>
      </c>
      <c r="AH422" s="22"/>
    </row>
    <row r="423" spans="1:34" x14ac:dyDescent="0.25">
      <c r="A423" s="112"/>
      <c r="B423" s="136" t="s">
        <v>131</v>
      </c>
      <c r="C423" s="67" t="s">
        <v>59</v>
      </c>
      <c r="D423" s="125">
        <f>IF('Quant. mod. (oc)'!D423&lt;0,0,ROUND('Quant. mod. (oc)'!D423,0))</f>
        <v>1</v>
      </c>
      <c r="E423" s="125">
        <f>IF('Quant. mod. (oc)'!E423&lt;0,0,ROUND('Quant. mod. (oc)'!E423,0))</f>
        <v>1</v>
      </c>
      <c r="F423" s="125">
        <f>IF('Quant. mod. (oc)'!F423&lt;0,0,ROUND('Quant. mod. (oc)'!F423,0))</f>
        <v>1</v>
      </c>
      <c r="G423" s="125">
        <f>IF('Quant. mod. (oc)'!G423&lt;0,0,ROUND('Quant. mod. (oc)'!G423,0))</f>
        <v>1</v>
      </c>
      <c r="H423" s="125">
        <f>IF('Quant. mod. (oc)'!H423&lt;0,0,ROUND('Quant. mod. (oc)'!H423,0))</f>
        <v>1</v>
      </c>
      <c r="I423" s="125">
        <f>IF('Quant. mod. (oc)'!I423&lt;0,0,ROUND('Quant. mod. (oc)'!I423,0))</f>
        <v>1</v>
      </c>
      <c r="J423" s="125">
        <f>IF('Quant. mod. (oc)'!J423&lt;0,0,ROUND('Quant. mod. (oc)'!J423,0))</f>
        <v>1</v>
      </c>
      <c r="K423" s="125">
        <f>IF('Quant. mod. (oc)'!K423&lt;0,0,ROUND('Quant. mod. (oc)'!K423,0))</f>
        <v>1</v>
      </c>
      <c r="L423" s="125">
        <f>IF('Quant. mod. (oc)'!L423&lt;0,0,ROUND('Quant. mod. (oc)'!L423,0))</f>
        <v>1</v>
      </c>
      <c r="M423" s="125">
        <f>IF('Quant. mod. (oc)'!M423&lt;0,0,ROUND('Quant. mod. (oc)'!M423,0))</f>
        <v>1</v>
      </c>
      <c r="N423" s="125">
        <f>IF('Quant. mod. (oc)'!N423&lt;0,0,ROUND('Quant. mod. (oc)'!N423,0))</f>
        <v>1</v>
      </c>
      <c r="O423" s="125">
        <f>IF('Quant. mod. (oc)'!O423&lt;0,0,ROUND('Quant. mod. (oc)'!O423,0))</f>
        <v>1</v>
      </c>
      <c r="P423" s="125">
        <f>IF('Quant. mod. (oc)'!P423&lt;0,0,ROUND('Quant. mod. (oc)'!P423,0))</f>
        <v>1</v>
      </c>
      <c r="Q423" s="125">
        <f>IF('Quant. mod. (oc)'!Q423&lt;0,0,ROUND('Quant. mod. (oc)'!Q423,0))</f>
        <v>1</v>
      </c>
      <c r="R423" s="125">
        <f>IF('Quant. mod. (oc)'!R423&lt;0,0,ROUND('Quant. mod. (oc)'!R423,0))</f>
        <v>1</v>
      </c>
      <c r="S423" s="125">
        <f>IF('Quant. mod. (oc)'!S423&lt;0,0,ROUND('Quant. mod. (oc)'!S423,0))</f>
        <v>1</v>
      </c>
      <c r="T423" s="125">
        <f>IF('Quant. mod. (oc)'!T423&lt;0,0,ROUND('Quant. mod. (oc)'!T423,0))</f>
        <v>1</v>
      </c>
      <c r="U423" s="125">
        <f>IF('Quant. mod. (oc)'!U423&lt;0,0,ROUND('Quant. mod. (oc)'!U423,0))</f>
        <v>1</v>
      </c>
      <c r="V423" s="125">
        <f>IF('Quant. mod. (oc)'!V423&lt;0,0,ROUND('Quant. mod. (oc)'!V423,0))</f>
        <v>1</v>
      </c>
      <c r="W423" s="125">
        <f>IF('Quant. mod. (oc)'!W423&lt;0,0,ROUND('Quant. mod. (oc)'!W423,0))</f>
        <v>1</v>
      </c>
      <c r="X423" s="125">
        <f>IF('Quant. mod. (oc)'!X423&lt;0,0,ROUND('Quant. mod. (oc)'!X423,0))</f>
        <v>1</v>
      </c>
      <c r="Y423" s="125">
        <f>IF('Quant. mod. (oc)'!Y423&lt;0,0,ROUND('Quant. mod. (oc)'!Y423,0))</f>
        <v>1</v>
      </c>
      <c r="Z423" s="125">
        <f>IF('Quant. mod. (oc)'!Z423&lt;0,0,ROUND('Quant. mod. (oc)'!Z423,0))</f>
        <v>1</v>
      </c>
      <c r="AA423" s="125">
        <f>IF('Quant. mod. (oc)'!AA423&lt;0,0,ROUND('Quant. mod. (oc)'!AA423,0))</f>
        <v>1</v>
      </c>
      <c r="AB423" s="125">
        <f>IF('Quant. mod. (oc)'!AB423&lt;0,0,ROUND('Quant. mod. (oc)'!AB423,0))</f>
        <v>1</v>
      </c>
      <c r="AC423" s="125">
        <f>IF('Quant. mod. (oc)'!AC423&lt;0,0,ROUND('Quant. mod. (oc)'!AC423,0))</f>
        <v>1</v>
      </c>
      <c r="AD423" s="125">
        <f>IF('Quant. mod. (oc)'!AD423&lt;0,0,ROUND('Quant. mod. (oc)'!AD423,0))</f>
        <v>1</v>
      </c>
      <c r="AE423" s="125">
        <f>IF('Quant. mod. (oc)'!AE423&lt;0,0,ROUND('Quant. mod. (oc)'!AE423,0))</f>
        <v>1</v>
      </c>
      <c r="AF423" s="125">
        <f>IF('Quant. mod. (oc)'!AF423&lt;0,0,ROUND('Quant. mod. (oc)'!AF423,0))</f>
        <v>1</v>
      </c>
      <c r="AG423" s="126">
        <f>IF('Quant. mod. (oc)'!AG423&lt;0,0,ROUND('Quant. mod. (oc)'!AG423,0))</f>
        <v>1</v>
      </c>
      <c r="AH423" s="22"/>
    </row>
    <row r="424" spans="1:34" x14ac:dyDescent="0.25">
      <c r="A424" s="112"/>
      <c r="B424" s="136" t="s">
        <v>132</v>
      </c>
      <c r="C424" s="67" t="s">
        <v>59</v>
      </c>
      <c r="D424" s="125">
        <f>IF('Quant. mod. (oc)'!D424&lt;0,0,ROUND('Quant. mod. (oc)'!D424,0))</f>
        <v>1</v>
      </c>
      <c r="E424" s="125">
        <f>IF('Quant. mod. (oc)'!E424&lt;0,0,ROUND('Quant. mod. (oc)'!E424,0))</f>
        <v>1</v>
      </c>
      <c r="F424" s="125">
        <f>IF('Quant. mod. (oc)'!F424&lt;0,0,ROUND('Quant. mod. (oc)'!F424,0))</f>
        <v>1</v>
      </c>
      <c r="G424" s="125">
        <f>IF('Quant. mod. (oc)'!G424&lt;0,0,ROUND('Quant. mod. (oc)'!G424,0))</f>
        <v>1</v>
      </c>
      <c r="H424" s="125">
        <f>IF('Quant. mod. (oc)'!H424&lt;0,0,ROUND('Quant. mod. (oc)'!H424,0))</f>
        <v>1</v>
      </c>
      <c r="I424" s="125">
        <f>IF('Quant. mod. (oc)'!I424&lt;0,0,ROUND('Quant. mod. (oc)'!I424,0))</f>
        <v>1</v>
      </c>
      <c r="J424" s="125">
        <f>IF('Quant. mod. (oc)'!J424&lt;0,0,ROUND('Quant. mod. (oc)'!J424,0))</f>
        <v>1</v>
      </c>
      <c r="K424" s="125">
        <f>IF('Quant. mod. (oc)'!K424&lt;0,0,ROUND('Quant. mod. (oc)'!K424,0))</f>
        <v>1</v>
      </c>
      <c r="L424" s="125">
        <f>IF('Quant. mod. (oc)'!L424&lt;0,0,ROUND('Quant. mod. (oc)'!L424,0))</f>
        <v>1</v>
      </c>
      <c r="M424" s="125">
        <f>IF('Quant. mod. (oc)'!M424&lt;0,0,ROUND('Quant. mod. (oc)'!M424,0))</f>
        <v>1</v>
      </c>
      <c r="N424" s="125">
        <f>IF('Quant. mod. (oc)'!N424&lt;0,0,ROUND('Quant. mod. (oc)'!N424,0))</f>
        <v>1</v>
      </c>
      <c r="O424" s="125">
        <f>IF('Quant. mod. (oc)'!O424&lt;0,0,ROUND('Quant. mod. (oc)'!O424,0))</f>
        <v>1</v>
      </c>
      <c r="P424" s="125">
        <f>IF('Quant. mod. (oc)'!P424&lt;0,0,ROUND('Quant. mod. (oc)'!P424,0))</f>
        <v>1</v>
      </c>
      <c r="Q424" s="125">
        <f>IF('Quant. mod. (oc)'!Q424&lt;0,0,ROUND('Quant. mod. (oc)'!Q424,0))</f>
        <v>1</v>
      </c>
      <c r="R424" s="125">
        <f>IF('Quant. mod. (oc)'!R424&lt;0,0,ROUND('Quant. mod. (oc)'!R424,0))</f>
        <v>1</v>
      </c>
      <c r="S424" s="125">
        <f>IF('Quant. mod. (oc)'!S424&lt;0,0,ROUND('Quant. mod. (oc)'!S424,0))</f>
        <v>1</v>
      </c>
      <c r="T424" s="125">
        <f>IF('Quant. mod. (oc)'!T424&lt;0,0,ROUND('Quant. mod. (oc)'!T424,0))</f>
        <v>1</v>
      </c>
      <c r="U424" s="125">
        <f>IF('Quant. mod. (oc)'!U424&lt;0,0,ROUND('Quant. mod. (oc)'!U424,0))</f>
        <v>1</v>
      </c>
      <c r="V424" s="125">
        <f>IF('Quant. mod. (oc)'!V424&lt;0,0,ROUND('Quant. mod. (oc)'!V424,0))</f>
        <v>1</v>
      </c>
      <c r="W424" s="125">
        <f>IF('Quant. mod. (oc)'!W424&lt;0,0,ROUND('Quant. mod. (oc)'!W424,0))</f>
        <v>1</v>
      </c>
      <c r="X424" s="125">
        <f>IF('Quant. mod. (oc)'!X424&lt;0,0,ROUND('Quant. mod. (oc)'!X424,0))</f>
        <v>1</v>
      </c>
      <c r="Y424" s="125">
        <f>IF('Quant. mod. (oc)'!Y424&lt;0,0,ROUND('Quant. mod. (oc)'!Y424,0))</f>
        <v>1</v>
      </c>
      <c r="Z424" s="125">
        <f>IF('Quant. mod. (oc)'!Z424&lt;0,0,ROUND('Quant. mod. (oc)'!Z424,0))</f>
        <v>1</v>
      </c>
      <c r="AA424" s="125">
        <f>IF('Quant. mod. (oc)'!AA424&lt;0,0,ROUND('Quant. mod. (oc)'!AA424,0))</f>
        <v>1</v>
      </c>
      <c r="AB424" s="125">
        <f>IF('Quant. mod. (oc)'!AB424&lt;0,0,ROUND('Quant. mod. (oc)'!AB424,0))</f>
        <v>1</v>
      </c>
      <c r="AC424" s="125">
        <f>IF('Quant. mod. (oc)'!AC424&lt;0,0,ROUND('Quant. mod. (oc)'!AC424,0))</f>
        <v>1</v>
      </c>
      <c r="AD424" s="125">
        <f>IF('Quant. mod. (oc)'!AD424&lt;0,0,ROUND('Quant. mod. (oc)'!AD424,0))</f>
        <v>1</v>
      </c>
      <c r="AE424" s="125">
        <f>IF('Quant. mod. (oc)'!AE424&lt;0,0,ROUND('Quant. mod. (oc)'!AE424,0))</f>
        <v>1</v>
      </c>
      <c r="AF424" s="125">
        <f>IF('Quant. mod. (oc)'!AF424&lt;0,0,ROUND('Quant. mod. (oc)'!AF424,0))</f>
        <v>1</v>
      </c>
      <c r="AG424" s="126">
        <f>IF('Quant. mod. (oc)'!AG424&lt;0,0,ROUND('Quant. mod. (oc)'!AG424,0))</f>
        <v>1</v>
      </c>
      <c r="AH424" s="22"/>
    </row>
    <row r="425" spans="1:34" x14ac:dyDescent="0.25">
      <c r="A425" s="112"/>
      <c r="B425" s="136" t="s">
        <v>133</v>
      </c>
      <c r="C425" s="67" t="s">
        <v>59</v>
      </c>
      <c r="D425" s="125">
        <f>IF('Quant. mod. (oc)'!D425&lt;0,0,ROUND('Quant. mod. (oc)'!D425,0))</f>
        <v>1</v>
      </c>
      <c r="E425" s="125">
        <f>IF('Quant. mod. (oc)'!E425&lt;0,0,ROUND('Quant. mod. (oc)'!E425,0))</f>
        <v>1</v>
      </c>
      <c r="F425" s="125">
        <f>IF('Quant. mod. (oc)'!F425&lt;0,0,ROUND('Quant. mod. (oc)'!F425,0))</f>
        <v>1</v>
      </c>
      <c r="G425" s="125">
        <f>IF('Quant. mod. (oc)'!G425&lt;0,0,ROUND('Quant. mod. (oc)'!G425,0))</f>
        <v>1</v>
      </c>
      <c r="H425" s="125">
        <f>IF('Quant. mod. (oc)'!H425&lt;0,0,ROUND('Quant. mod. (oc)'!H425,0))</f>
        <v>1</v>
      </c>
      <c r="I425" s="125">
        <f>IF('Quant. mod. (oc)'!I425&lt;0,0,ROUND('Quant. mod. (oc)'!I425,0))</f>
        <v>1</v>
      </c>
      <c r="J425" s="125">
        <f>IF('Quant. mod. (oc)'!J425&lt;0,0,ROUND('Quant. mod. (oc)'!J425,0))</f>
        <v>1</v>
      </c>
      <c r="K425" s="125">
        <f>IF('Quant. mod. (oc)'!K425&lt;0,0,ROUND('Quant. mod. (oc)'!K425,0))</f>
        <v>1</v>
      </c>
      <c r="L425" s="125">
        <f>IF('Quant. mod. (oc)'!L425&lt;0,0,ROUND('Quant. mod. (oc)'!L425,0))</f>
        <v>1</v>
      </c>
      <c r="M425" s="125">
        <f>IF('Quant. mod. (oc)'!M425&lt;0,0,ROUND('Quant. mod. (oc)'!M425,0))</f>
        <v>1</v>
      </c>
      <c r="N425" s="125">
        <f>IF('Quant. mod. (oc)'!N425&lt;0,0,ROUND('Quant. mod. (oc)'!N425,0))</f>
        <v>1</v>
      </c>
      <c r="O425" s="125">
        <f>IF('Quant. mod. (oc)'!O425&lt;0,0,ROUND('Quant. mod. (oc)'!O425,0))</f>
        <v>1</v>
      </c>
      <c r="P425" s="125">
        <f>IF('Quant. mod. (oc)'!P425&lt;0,0,ROUND('Quant. mod. (oc)'!P425,0))</f>
        <v>1</v>
      </c>
      <c r="Q425" s="125">
        <f>IF('Quant. mod. (oc)'!Q425&lt;0,0,ROUND('Quant. mod. (oc)'!Q425,0))</f>
        <v>1</v>
      </c>
      <c r="R425" s="125">
        <f>IF('Quant. mod. (oc)'!R425&lt;0,0,ROUND('Quant. mod. (oc)'!R425,0))</f>
        <v>1</v>
      </c>
      <c r="S425" s="125">
        <f>IF('Quant. mod. (oc)'!S425&lt;0,0,ROUND('Quant. mod. (oc)'!S425,0))</f>
        <v>1</v>
      </c>
      <c r="T425" s="125">
        <f>IF('Quant. mod. (oc)'!T425&lt;0,0,ROUND('Quant. mod. (oc)'!T425,0))</f>
        <v>1</v>
      </c>
      <c r="U425" s="125">
        <f>IF('Quant. mod. (oc)'!U425&lt;0,0,ROUND('Quant. mod. (oc)'!U425,0))</f>
        <v>1</v>
      </c>
      <c r="V425" s="125">
        <f>IF('Quant. mod. (oc)'!V425&lt;0,0,ROUND('Quant. mod. (oc)'!V425,0))</f>
        <v>1</v>
      </c>
      <c r="W425" s="125">
        <f>IF('Quant. mod. (oc)'!W425&lt;0,0,ROUND('Quant. mod. (oc)'!W425,0))</f>
        <v>1</v>
      </c>
      <c r="X425" s="125">
        <f>IF('Quant. mod. (oc)'!X425&lt;0,0,ROUND('Quant. mod. (oc)'!X425,0))</f>
        <v>1</v>
      </c>
      <c r="Y425" s="125">
        <f>IF('Quant. mod. (oc)'!Y425&lt;0,0,ROUND('Quant. mod. (oc)'!Y425,0))</f>
        <v>1</v>
      </c>
      <c r="Z425" s="125">
        <f>IF('Quant. mod. (oc)'!Z425&lt;0,0,ROUND('Quant. mod. (oc)'!Z425,0))</f>
        <v>1</v>
      </c>
      <c r="AA425" s="125">
        <f>IF('Quant. mod. (oc)'!AA425&lt;0,0,ROUND('Quant. mod. (oc)'!AA425,0))</f>
        <v>1</v>
      </c>
      <c r="AB425" s="125">
        <f>IF('Quant. mod. (oc)'!AB425&lt;0,0,ROUND('Quant. mod. (oc)'!AB425,0))</f>
        <v>1</v>
      </c>
      <c r="AC425" s="125">
        <f>IF('Quant. mod. (oc)'!AC425&lt;0,0,ROUND('Quant. mod. (oc)'!AC425,0))</f>
        <v>1</v>
      </c>
      <c r="AD425" s="125">
        <f>IF('Quant. mod. (oc)'!AD425&lt;0,0,ROUND('Quant. mod. (oc)'!AD425,0))</f>
        <v>1</v>
      </c>
      <c r="AE425" s="125">
        <f>IF('Quant. mod. (oc)'!AE425&lt;0,0,ROUND('Quant. mod. (oc)'!AE425,0))</f>
        <v>1</v>
      </c>
      <c r="AF425" s="125">
        <f>IF('Quant. mod. (oc)'!AF425&lt;0,0,ROUND('Quant. mod. (oc)'!AF425,0))</f>
        <v>1</v>
      </c>
      <c r="AG425" s="126">
        <f>IF('Quant. mod. (oc)'!AG425&lt;0,0,ROUND('Quant. mod. (oc)'!AG425,0))</f>
        <v>1</v>
      </c>
      <c r="AH425" s="22"/>
    </row>
    <row r="426" spans="1:34" x14ac:dyDescent="0.25">
      <c r="A426" s="112"/>
      <c r="B426" s="136" t="s">
        <v>134</v>
      </c>
      <c r="C426" s="67" t="s">
        <v>59</v>
      </c>
      <c r="D426" s="125">
        <f>IF('Quant. mod. (oc)'!D426&lt;0,0,ROUND('Quant. mod. (oc)'!D426,0))</f>
        <v>1</v>
      </c>
      <c r="E426" s="125">
        <f>IF('Quant. mod. (oc)'!E426&lt;0,0,ROUND('Quant. mod. (oc)'!E426,0))</f>
        <v>1</v>
      </c>
      <c r="F426" s="125">
        <f>IF('Quant. mod. (oc)'!F426&lt;0,0,ROUND('Quant. mod. (oc)'!F426,0))</f>
        <v>1</v>
      </c>
      <c r="G426" s="125">
        <f>IF('Quant. mod. (oc)'!G426&lt;0,0,ROUND('Quant. mod. (oc)'!G426,0))</f>
        <v>1</v>
      </c>
      <c r="H426" s="125">
        <f>IF('Quant. mod. (oc)'!H426&lt;0,0,ROUND('Quant. mod. (oc)'!H426,0))</f>
        <v>1</v>
      </c>
      <c r="I426" s="125">
        <f>IF('Quant. mod. (oc)'!I426&lt;0,0,ROUND('Quant. mod. (oc)'!I426,0))</f>
        <v>1</v>
      </c>
      <c r="J426" s="125">
        <f>IF('Quant. mod. (oc)'!J426&lt;0,0,ROUND('Quant. mod. (oc)'!J426,0))</f>
        <v>1</v>
      </c>
      <c r="K426" s="125">
        <f>IF('Quant. mod. (oc)'!K426&lt;0,0,ROUND('Quant. mod. (oc)'!K426,0))</f>
        <v>1</v>
      </c>
      <c r="L426" s="125">
        <f>IF('Quant. mod. (oc)'!L426&lt;0,0,ROUND('Quant. mod. (oc)'!L426,0))</f>
        <v>1</v>
      </c>
      <c r="M426" s="125">
        <f>IF('Quant. mod. (oc)'!M426&lt;0,0,ROUND('Quant. mod. (oc)'!M426,0))</f>
        <v>1</v>
      </c>
      <c r="N426" s="125">
        <f>IF('Quant. mod. (oc)'!N426&lt;0,0,ROUND('Quant. mod. (oc)'!N426,0))</f>
        <v>1</v>
      </c>
      <c r="O426" s="125">
        <f>IF('Quant. mod. (oc)'!O426&lt;0,0,ROUND('Quant. mod. (oc)'!O426,0))</f>
        <v>1</v>
      </c>
      <c r="P426" s="125">
        <f>IF('Quant. mod. (oc)'!P426&lt;0,0,ROUND('Quant. mod. (oc)'!P426,0))</f>
        <v>1</v>
      </c>
      <c r="Q426" s="125">
        <f>IF('Quant. mod. (oc)'!Q426&lt;0,0,ROUND('Quant. mod. (oc)'!Q426,0))</f>
        <v>1</v>
      </c>
      <c r="R426" s="125">
        <f>IF('Quant. mod. (oc)'!R426&lt;0,0,ROUND('Quant. mod. (oc)'!R426,0))</f>
        <v>1</v>
      </c>
      <c r="S426" s="125">
        <f>IF('Quant. mod. (oc)'!S426&lt;0,0,ROUND('Quant. mod. (oc)'!S426,0))</f>
        <v>1</v>
      </c>
      <c r="T426" s="125">
        <f>IF('Quant. mod. (oc)'!T426&lt;0,0,ROUND('Quant. mod. (oc)'!T426,0))</f>
        <v>1</v>
      </c>
      <c r="U426" s="125">
        <f>IF('Quant. mod. (oc)'!U426&lt;0,0,ROUND('Quant. mod. (oc)'!U426,0))</f>
        <v>1</v>
      </c>
      <c r="V426" s="125">
        <f>IF('Quant. mod. (oc)'!V426&lt;0,0,ROUND('Quant. mod. (oc)'!V426,0))</f>
        <v>1</v>
      </c>
      <c r="W426" s="125">
        <f>IF('Quant. mod. (oc)'!W426&lt;0,0,ROUND('Quant. mod. (oc)'!W426,0))</f>
        <v>1</v>
      </c>
      <c r="X426" s="125">
        <f>IF('Quant. mod. (oc)'!X426&lt;0,0,ROUND('Quant. mod. (oc)'!X426,0))</f>
        <v>1</v>
      </c>
      <c r="Y426" s="125">
        <f>IF('Quant. mod. (oc)'!Y426&lt;0,0,ROUND('Quant. mod. (oc)'!Y426,0))</f>
        <v>1</v>
      </c>
      <c r="Z426" s="125">
        <f>IF('Quant. mod. (oc)'!Z426&lt;0,0,ROUND('Quant. mod. (oc)'!Z426,0))</f>
        <v>1</v>
      </c>
      <c r="AA426" s="125">
        <f>IF('Quant. mod. (oc)'!AA426&lt;0,0,ROUND('Quant. mod. (oc)'!AA426,0))</f>
        <v>1</v>
      </c>
      <c r="AB426" s="125">
        <f>IF('Quant. mod. (oc)'!AB426&lt;0,0,ROUND('Quant. mod. (oc)'!AB426,0))</f>
        <v>1</v>
      </c>
      <c r="AC426" s="125">
        <f>IF('Quant. mod. (oc)'!AC426&lt;0,0,ROUND('Quant. mod. (oc)'!AC426,0))</f>
        <v>1</v>
      </c>
      <c r="AD426" s="125">
        <f>IF('Quant. mod. (oc)'!AD426&lt;0,0,ROUND('Quant. mod. (oc)'!AD426,0))</f>
        <v>1</v>
      </c>
      <c r="AE426" s="125">
        <f>IF('Quant. mod. (oc)'!AE426&lt;0,0,ROUND('Quant. mod. (oc)'!AE426,0))</f>
        <v>1</v>
      </c>
      <c r="AF426" s="125">
        <f>IF('Quant. mod. (oc)'!AF426&lt;0,0,ROUND('Quant. mod. (oc)'!AF426,0))</f>
        <v>1</v>
      </c>
      <c r="AG426" s="126">
        <f>IF('Quant. mod. (oc)'!AG426&lt;0,0,ROUND('Quant. mod. (oc)'!AG426,0))</f>
        <v>1</v>
      </c>
      <c r="AH426" s="22"/>
    </row>
    <row r="427" spans="1:34" x14ac:dyDescent="0.25">
      <c r="A427" s="112"/>
      <c r="B427" s="136" t="s">
        <v>135</v>
      </c>
      <c r="C427" s="67" t="s">
        <v>59</v>
      </c>
      <c r="D427" s="125">
        <f>IF('Quant. mod. (oc)'!D427&lt;0,0,ROUND('Quant. mod. (oc)'!D427,0))</f>
        <v>1</v>
      </c>
      <c r="E427" s="125">
        <f>IF('Quant. mod. (oc)'!E427&lt;0,0,ROUND('Quant. mod. (oc)'!E427,0))</f>
        <v>1</v>
      </c>
      <c r="F427" s="125">
        <f>IF('Quant. mod. (oc)'!F427&lt;0,0,ROUND('Quant. mod. (oc)'!F427,0))</f>
        <v>1</v>
      </c>
      <c r="G427" s="125">
        <f>IF('Quant. mod. (oc)'!G427&lt;0,0,ROUND('Quant. mod. (oc)'!G427,0))</f>
        <v>1</v>
      </c>
      <c r="H427" s="125">
        <f>IF('Quant. mod. (oc)'!H427&lt;0,0,ROUND('Quant. mod. (oc)'!H427,0))</f>
        <v>1</v>
      </c>
      <c r="I427" s="125">
        <f>IF('Quant. mod. (oc)'!I427&lt;0,0,ROUND('Quant. mod. (oc)'!I427,0))</f>
        <v>1</v>
      </c>
      <c r="J427" s="125">
        <f>IF('Quant. mod. (oc)'!J427&lt;0,0,ROUND('Quant. mod. (oc)'!J427,0))</f>
        <v>1</v>
      </c>
      <c r="K427" s="125">
        <f>IF('Quant. mod. (oc)'!K427&lt;0,0,ROUND('Quant. mod. (oc)'!K427,0))</f>
        <v>1</v>
      </c>
      <c r="L427" s="125">
        <f>IF('Quant. mod. (oc)'!L427&lt;0,0,ROUND('Quant. mod. (oc)'!L427,0))</f>
        <v>1</v>
      </c>
      <c r="M427" s="125">
        <f>IF('Quant. mod. (oc)'!M427&lt;0,0,ROUND('Quant. mod. (oc)'!M427,0))</f>
        <v>1</v>
      </c>
      <c r="N427" s="125">
        <f>IF('Quant. mod. (oc)'!N427&lt;0,0,ROUND('Quant. mod. (oc)'!N427,0))</f>
        <v>1</v>
      </c>
      <c r="O427" s="125">
        <f>IF('Quant. mod. (oc)'!O427&lt;0,0,ROUND('Quant. mod. (oc)'!O427,0))</f>
        <v>1</v>
      </c>
      <c r="P427" s="125">
        <f>IF('Quant. mod. (oc)'!P427&lt;0,0,ROUND('Quant. mod. (oc)'!P427,0))</f>
        <v>1</v>
      </c>
      <c r="Q427" s="125">
        <f>IF('Quant. mod. (oc)'!Q427&lt;0,0,ROUND('Quant. mod. (oc)'!Q427,0))</f>
        <v>1</v>
      </c>
      <c r="R427" s="125">
        <f>IF('Quant. mod. (oc)'!R427&lt;0,0,ROUND('Quant. mod. (oc)'!R427,0))</f>
        <v>1</v>
      </c>
      <c r="S427" s="125">
        <f>IF('Quant. mod. (oc)'!S427&lt;0,0,ROUND('Quant. mod. (oc)'!S427,0))</f>
        <v>1</v>
      </c>
      <c r="T427" s="125">
        <f>IF('Quant. mod. (oc)'!T427&lt;0,0,ROUND('Quant. mod. (oc)'!T427,0))</f>
        <v>1</v>
      </c>
      <c r="U427" s="125">
        <f>IF('Quant. mod. (oc)'!U427&lt;0,0,ROUND('Quant. mod. (oc)'!U427,0))</f>
        <v>1</v>
      </c>
      <c r="V427" s="125">
        <f>IF('Quant. mod. (oc)'!V427&lt;0,0,ROUND('Quant. mod. (oc)'!V427,0))</f>
        <v>1</v>
      </c>
      <c r="W427" s="125">
        <f>IF('Quant. mod. (oc)'!W427&lt;0,0,ROUND('Quant. mod. (oc)'!W427,0))</f>
        <v>1</v>
      </c>
      <c r="X427" s="125">
        <f>IF('Quant. mod. (oc)'!X427&lt;0,0,ROUND('Quant. mod. (oc)'!X427,0))</f>
        <v>1</v>
      </c>
      <c r="Y427" s="125">
        <f>IF('Quant. mod. (oc)'!Y427&lt;0,0,ROUND('Quant. mod. (oc)'!Y427,0))</f>
        <v>1</v>
      </c>
      <c r="Z427" s="125">
        <f>IF('Quant. mod. (oc)'!Z427&lt;0,0,ROUND('Quant. mod. (oc)'!Z427,0))</f>
        <v>1</v>
      </c>
      <c r="AA427" s="125">
        <f>IF('Quant. mod. (oc)'!AA427&lt;0,0,ROUND('Quant. mod. (oc)'!AA427,0))</f>
        <v>1</v>
      </c>
      <c r="AB427" s="125">
        <f>IF('Quant. mod. (oc)'!AB427&lt;0,0,ROUND('Quant. mod. (oc)'!AB427,0))</f>
        <v>1</v>
      </c>
      <c r="AC427" s="125">
        <f>IF('Quant. mod. (oc)'!AC427&lt;0,0,ROUND('Quant. mod. (oc)'!AC427,0))</f>
        <v>1</v>
      </c>
      <c r="AD427" s="125">
        <f>IF('Quant. mod. (oc)'!AD427&lt;0,0,ROUND('Quant. mod. (oc)'!AD427,0))</f>
        <v>1</v>
      </c>
      <c r="AE427" s="125">
        <f>IF('Quant. mod. (oc)'!AE427&lt;0,0,ROUND('Quant. mod. (oc)'!AE427,0))</f>
        <v>1</v>
      </c>
      <c r="AF427" s="125">
        <f>IF('Quant. mod. (oc)'!AF427&lt;0,0,ROUND('Quant. mod. (oc)'!AF427,0))</f>
        <v>1</v>
      </c>
      <c r="AG427" s="126">
        <f>IF('Quant. mod. (oc)'!AG427&lt;0,0,ROUND('Quant. mod. (oc)'!AG427,0))</f>
        <v>1</v>
      </c>
      <c r="AH427" s="22"/>
    </row>
    <row r="428" spans="1:34" x14ac:dyDescent="0.25">
      <c r="A428" s="112"/>
      <c r="B428" s="136" t="s">
        <v>136</v>
      </c>
      <c r="C428" s="67" t="s">
        <v>59</v>
      </c>
      <c r="D428" s="125">
        <f>IF('Quant. mod. (oc)'!D428&lt;0,0,ROUND('Quant. mod. (oc)'!D428,0))</f>
        <v>1</v>
      </c>
      <c r="E428" s="125">
        <f>IF('Quant. mod. (oc)'!E428&lt;0,0,ROUND('Quant. mod. (oc)'!E428,0))</f>
        <v>1</v>
      </c>
      <c r="F428" s="125">
        <f>IF('Quant. mod. (oc)'!F428&lt;0,0,ROUND('Quant. mod. (oc)'!F428,0))</f>
        <v>1</v>
      </c>
      <c r="G428" s="125">
        <f>IF('Quant. mod. (oc)'!G428&lt;0,0,ROUND('Quant. mod. (oc)'!G428,0))</f>
        <v>1</v>
      </c>
      <c r="H428" s="125">
        <f>IF('Quant. mod. (oc)'!H428&lt;0,0,ROUND('Quant. mod. (oc)'!H428,0))</f>
        <v>1</v>
      </c>
      <c r="I428" s="125">
        <f>IF('Quant. mod. (oc)'!I428&lt;0,0,ROUND('Quant. mod. (oc)'!I428,0))</f>
        <v>1</v>
      </c>
      <c r="J428" s="125">
        <f>IF('Quant. mod. (oc)'!J428&lt;0,0,ROUND('Quant. mod. (oc)'!J428,0))</f>
        <v>1</v>
      </c>
      <c r="K428" s="125">
        <f>IF('Quant. mod. (oc)'!K428&lt;0,0,ROUND('Quant. mod. (oc)'!K428,0))</f>
        <v>1</v>
      </c>
      <c r="L428" s="125">
        <f>IF('Quant. mod. (oc)'!L428&lt;0,0,ROUND('Quant. mod. (oc)'!L428,0))</f>
        <v>1</v>
      </c>
      <c r="M428" s="125">
        <f>IF('Quant. mod. (oc)'!M428&lt;0,0,ROUND('Quant. mod. (oc)'!M428,0))</f>
        <v>1</v>
      </c>
      <c r="N428" s="125">
        <f>IF('Quant. mod. (oc)'!N428&lt;0,0,ROUND('Quant. mod. (oc)'!N428,0))</f>
        <v>1</v>
      </c>
      <c r="O428" s="125">
        <f>IF('Quant. mod. (oc)'!O428&lt;0,0,ROUND('Quant. mod. (oc)'!O428,0))</f>
        <v>1</v>
      </c>
      <c r="P428" s="125">
        <f>IF('Quant. mod. (oc)'!P428&lt;0,0,ROUND('Quant. mod. (oc)'!P428,0))</f>
        <v>1</v>
      </c>
      <c r="Q428" s="125">
        <f>IF('Quant. mod. (oc)'!Q428&lt;0,0,ROUND('Quant. mod. (oc)'!Q428,0))</f>
        <v>1</v>
      </c>
      <c r="R428" s="125">
        <f>IF('Quant. mod. (oc)'!R428&lt;0,0,ROUND('Quant. mod. (oc)'!R428,0))</f>
        <v>1</v>
      </c>
      <c r="S428" s="125">
        <f>IF('Quant. mod. (oc)'!S428&lt;0,0,ROUND('Quant. mod. (oc)'!S428,0))</f>
        <v>1</v>
      </c>
      <c r="T428" s="125">
        <f>IF('Quant. mod. (oc)'!T428&lt;0,0,ROUND('Quant. mod. (oc)'!T428,0))</f>
        <v>1</v>
      </c>
      <c r="U428" s="125">
        <f>IF('Quant. mod. (oc)'!U428&lt;0,0,ROUND('Quant. mod. (oc)'!U428,0))</f>
        <v>1</v>
      </c>
      <c r="V428" s="125">
        <f>IF('Quant. mod. (oc)'!V428&lt;0,0,ROUND('Quant. mod. (oc)'!V428,0))</f>
        <v>1</v>
      </c>
      <c r="W428" s="125">
        <f>IF('Quant. mod. (oc)'!W428&lt;0,0,ROUND('Quant. mod. (oc)'!W428,0))</f>
        <v>1</v>
      </c>
      <c r="X428" s="125">
        <f>IF('Quant. mod. (oc)'!X428&lt;0,0,ROUND('Quant. mod. (oc)'!X428,0))</f>
        <v>1</v>
      </c>
      <c r="Y428" s="125">
        <f>IF('Quant. mod. (oc)'!Y428&lt;0,0,ROUND('Quant. mod. (oc)'!Y428,0))</f>
        <v>1</v>
      </c>
      <c r="Z428" s="125">
        <f>IF('Quant. mod. (oc)'!Z428&lt;0,0,ROUND('Quant. mod. (oc)'!Z428,0))</f>
        <v>1</v>
      </c>
      <c r="AA428" s="125">
        <f>IF('Quant. mod. (oc)'!AA428&lt;0,0,ROUND('Quant. mod. (oc)'!AA428,0))</f>
        <v>1</v>
      </c>
      <c r="AB428" s="125">
        <f>IF('Quant. mod. (oc)'!AB428&lt;0,0,ROUND('Quant. mod. (oc)'!AB428,0))</f>
        <v>1</v>
      </c>
      <c r="AC428" s="125">
        <f>IF('Quant. mod. (oc)'!AC428&lt;0,0,ROUND('Quant. mod. (oc)'!AC428,0))</f>
        <v>1</v>
      </c>
      <c r="AD428" s="125">
        <f>IF('Quant. mod. (oc)'!AD428&lt;0,0,ROUND('Quant. mod. (oc)'!AD428,0))</f>
        <v>1</v>
      </c>
      <c r="AE428" s="125">
        <f>IF('Quant. mod. (oc)'!AE428&lt;0,0,ROUND('Quant. mod. (oc)'!AE428,0))</f>
        <v>1</v>
      </c>
      <c r="AF428" s="125">
        <f>IF('Quant. mod. (oc)'!AF428&lt;0,0,ROUND('Quant. mod. (oc)'!AF428,0))</f>
        <v>1</v>
      </c>
      <c r="AG428" s="126">
        <f>IF('Quant. mod. (oc)'!AG428&lt;0,0,ROUND('Quant. mod. (oc)'!AG428,0))</f>
        <v>1</v>
      </c>
      <c r="AH428" s="22"/>
    </row>
    <row r="429" spans="1:34" x14ac:dyDescent="0.25">
      <c r="A429" s="112"/>
      <c r="B429" s="136" t="s">
        <v>137</v>
      </c>
      <c r="C429" s="67" t="s">
        <v>59</v>
      </c>
      <c r="D429" s="125">
        <f>IF('Quant. mod. (oc)'!D429&lt;0,0,ROUND('Quant. mod. (oc)'!D429,0))</f>
        <v>1</v>
      </c>
      <c r="E429" s="125">
        <f>IF('Quant. mod. (oc)'!E429&lt;0,0,ROUND('Quant. mod. (oc)'!E429,0))</f>
        <v>1</v>
      </c>
      <c r="F429" s="125">
        <f>IF('Quant. mod. (oc)'!F429&lt;0,0,ROUND('Quant. mod. (oc)'!F429,0))</f>
        <v>1</v>
      </c>
      <c r="G429" s="125">
        <f>IF('Quant. mod. (oc)'!G429&lt;0,0,ROUND('Quant. mod. (oc)'!G429,0))</f>
        <v>1</v>
      </c>
      <c r="H429" s="125">
        <f>IF('Quant. mod. (oc)'!H429&lt;0,0,ROUND('Quant. mod. (oc)'!H429,0))</f>
        <v>1</v>
      </c>
      <c r="I429" s="125">
        <f>IF('Quant. mod. (oc)'!I429&lt;0,0,ROUND('Quant. mod. (oc)'!I429,0))</f>
        <v>1</v>
      </c>
      <c r="J429" s="125">
        <f>IF('Quant. mod. (oc)'!J429&lt;0,0,ROUND('Quant. mod. (oc)'!J429,0))</f>
        <v>1</v>
      </c>
      <c r="K429" s="125">
        <f>IF('Quant. mod. (oc)'!K429&lt;0,0,ROUND('Quant. mod. (oc)'!K429,0))</f>
        <v>1</v>
      </c>
      <c r="L429" s="125">
        <f>IF('Quant. mod. (oc)'!L429&lt;0,0,ROUND('Quant. mod. (oc)'!L429,0))</f>
        <v>1</v>
      </c>
      <c r="M429" s="125">
        <f>IF('Quant. mod. (oc)'!M429&lt;0,0,ROUND('Quant. mod. (oc)'!M429,0))</f>
        <v>1</v>
      </c>
      <c r="N429" s="125">
        <f>IF('Quant. mod. (oc)'!N429&lt;0,0,ROUND('Quant. mod. (oc)'!N429,0))</f>
        <v>1</v>
      </c>
      <c r="O429" s="125">
        <f>IF('Quant. mod. (oc)'!O429&lt;0,0,ROUND('Quant. mod. (oc)'!O429,0))</f>
        <v>1</v>
      </c>
      <c r="P429" s="125">
        <f>IF('Quant. mod. (oc)'!P429&lt;0,0,ROUND('Quant. mod. (oc)'!P429,0))</f>
        <v>1</v>
      </c>
      <c r="Q429" s="125">
        <f>IF('Quant. mod. (oc)'!Q429&lt;0,0,ROUND('Quant. mod. (oc)'!Q429,0))</f>
        <v>1</v>
      </c>
      <c r="R429" s="125">
        <f>IF('Quant. mod. (oc)'!R429&lt;0,0,ROUND('Quant. mod. (oc)'!R429,0))</f>
        <v>1</v>
      </c>
      <c r="S429" s="125">
        <f>IF('Quant. mod. (oc)'!S429&lt;0,0,ROUND('Quant. mod. (oc)'!S429,0))</f>
        <v>1</v>
      </c>
      <c r="T429" s="125">
        <f>IF('Quant. mod. (oc)'!T429&lt;0,0,ROUND('Quant. mod. (oc)'!T429,0))</f>
        <v>1</v>
      </c>
      <c r="U429" s="125">
        <f>IF('Quant. mod. (oc)'!U429&lt;0,0,ROUND('Quant. mod. (oc)'!U429,0))</f>
        <v>1</v>
      </c>
      <c r="V429" s="125">
        <f>IF('Quant. mod. (oc)'!V429&lt;0,0,ROUND('Quant. mod. (oc)'!V429,0))</f>
        <v>1</v>
      </c>
      <c r="W429" s="125">
        <f>IF('Quant. mod. (oc)'!W429&lt;0,0,ROUND('Quant. mod. (oc)'!W429,0))</f>
        <v>1</v>
      </c>
      <c r="X429" s="125">
        <f>IF('Quant. mod. (oc)'!X429&lt;0,0,ROUND('Quant. mod. (oc)'!X429,0))</f>
        <v>1</v>
      </c>
      <c r="Y429" s="125">
        <f>IF('Quant. mod. (oc)'!Y429&lt;0,0,ROUND('Quant. mod. (oc)'!Y429,0))</f>
        <v>1</v>
      </c>
      <c r="Z429" s="125">
        <f>IF('Quant. mod. (oc)'!Z429&lt;0,0,ROUND('Quant. mod. (oc)'!Z429,0))</f>
        <v>1</v>
      </c>
      <c r="AA429" s="125">
        <f>IF('Quant. mod. (oc)'!AA429&lt;0,0,ROUND('Quant. mod. (oc)'!AA429,0))</f>
        <v>1</v>
      </c>
      <c r="AB429" s="125">
        <f>IF('Quant. mod. (oc)'!AB429&lt;0,0,ROUND('Quant. mod. (oc)'!AB429,0))</f>
        <v>1</v>
      </c>
      <c r="AC429" s="125">
        <f>IF('Quant. mod. (oc)'!AC429&lt;0,0,ROUND('Quant. mod. (oc)'!AC429,0))</f>
        <v>1</v>
      </c>
      <c r="AD429" s="125">
        <f>IF('Quant. mod. (oc)'!AD429&lt;0,0,ROUND('Quant. mod. (oc)'!AD429,0))</f>
        <v>1</v>
      </c>
      <c r="AE429" s="125">
        <f>IF('Quant. mod. (oc)'!AE429&lt;0,0,ROUND('Quant. mod. (oc)'!AE429,0))</f>
        <v>1</v>
      </c>
      <c r="AF429" s="125">
        <f>IF('Quant. mod. (oc)'!AF429&lt;0,0,ROUND('Quant. mod. (oc)'!AF429,0))</f>
        <v>1</v>
      </c>
      <c r="AG429" s="126">
        <f>IF('Quant. mod. (oc)'!AG429&lt;0,0,ROUND('Quant. mod. (oc)'!AG429,0))</f>
        <v>1</v>
      </c>
      <c r="AH429" s="22"/>
    </row>
    <row r="430" spans="1:34" x14ac:dyDescent="0.25">
      <c r="A430" s="112"/>
      <c r="B430" s="136" t="s">
        <v>138</v>
      </c>
      <c r="C430" s="67" t="s">
        <v>59</v>
      </c>
      <c r="D430" s="125">
        <f>IF('Quant. mod. (oc)'!D430&lt;0,0,ROUND('Quant. mod. (oc)'!D430,0))</f>
        <v>1</v>
      </c>
      <c r="E430" s="125">
        <f>IF('Quant. mod. (oc)'!E430&lt;0,0,ROUND('Quant. mod. (oc)'!E430,0))</f>
        <v>1</v>
      </c>
      <c r="F430" s="125">
        <f>IF('Quant. mod. (oc)'!F430&lt;0,0,ROUND('Quant. mod. (oc)'!F430,0))</f>
        <v>1</v>
      </c>
      <c r="G430" s="125">
        <f>IF('Quant. mod. (oc)'!G430&lt;0,0,ROUND('Quant. mod. (oc)'!G430,0))</f>
        <v>1</v>
      </c>
      <c r="H430" s="125">
        <f>IF('Quant. mod. (oc)'!H430&lt;0,0,ROUND('Quant. mod. (oc)'!H430,0))</f>
        <v>1</v>
      </c>
      <c r="I430" s="125">
        <f>IF('Quant. mod. (oc)'!I430&lt;0,0,ROUND('Quant. mod. (oc)'!I430,0))</f>
        <v>1</v>
      </c>
      <c r="J430" s="125">
        <f>IF('Quant. mod. (oc)'!J430&lt;0,0,ROUND('Quant. mod. (oc)'!J430,0))</f>
        <v>1</v>
      </c>
      <c r="K430" s="125">
        <f>IF('Quant. mod. (oc)'!K430&lt;0,0,ROUND('Quant. mod. (oc)'!K430,0))</f>
        <v>1</v>
      </c>
      <c r="L430" s="125">
        <f>IF('Quant. mod. (oc)'!L430&lt;0,0,ROUND('Quant. mod. (oc)'!L430,0))</f>
        <v>1</v>
      </c>
      <c r="M430" s="125">
        <f>IF('Quant. mod. (oc)'!M430&lt;0,0,ROUND('Quant. mod. (oc)'!M430,0))</f>
        <v>1</v>
      </c>
      <c r="N430" s="125">
        <f>IF('Quant. mod. (oc)'!N430&lt;0,0,ROUND('Quant. mod. (oc)'!N430,0))</f>
        <v>1</v>
      </c>
      <c r="O430" s="125">
        <f>IF('Quant. mod. (oc)'!O430&lt;0,0,ROUND('Quant. mod. (oc)'!O430,0))</f>
        <v>1</v>
      </c>
      <c r="P430" s="125">
        <f>IF('Quant. mod. (oc)'!P430&lt;0,0,ROUND('Quant. mod. (oc)'!P430,0))</f>
        <v>1</v>
      </c>
      <c r="Q430" s="125">
        <f>IF('Quant. mod. (oc)'!Q430&lt;0,0,ROUND('Quant. mod. (oc)'!Q430,0))</f>
        <v>1</v>
      </c>
      <c r="R430" s="125">
        <f>IF('Quant. mod. (oc)'!R430&lt;0,0,ROUND('Quant. mod. (oc)'!R430,0))</f>
        <v>1</v>
      </c>
      <c r="S430" s="125">
        <f>IF('Quant. mod. (oc)'!S430&lt;0,0,ROUND('Quant. mod. (oc)'!S430,0))</f>
        <v>1</v>
      </c>
      <c r="T430" s="125">
        <f>IF('Quant. mod. (oc)'!T430&lt;0,0,ROUND('Quant. mod. (oc)'!T430,0))</f>
        <v>1</v>
      </c>
      <c r="U430" s="125">
        <f>IF('Quant. mod. (oc)'!U430&lt;0,0,ROUND('Quant. mod. (oc)'!U430,0))</f>
        <v>1</v>
      </c>
      <c r="V430" s="125">
        <f>IF('Quant. mod. (oc)'!V430&lt;0,0,ROUND('Quant. mod. (oc)'!V430,0))</f>
        <v>1</v>
      </c>
      <c r="W430" s="125">
        <f>IF('Quant. mod. (oc)'!W430&lt;0,0,ROUND('Quant. mod. (oc)'!W430,0))</f>
        <v>1</v>
      </c>
      <c r="X430" s="125">
        <f>IF('Quant. mod. (oc)'!X430&lt;0,0,ROUND('Quant. mod. (oc)'!X430,0))</f>
        <v>1</v>
      </c>
      <c r="Y430" s="125">
        <f>IF('Quant. mod. (oc)'!Y430&lt;0,0,ROUND('Quant. mod. (oc)'!Y430,0))</f>
        <v>1</v>
      </c>
      <c r="Z430" s="125">
        <f>IF('Quant. mod. (oc)'!Z430&lt;0,0,ROUND('Quant. mod. (oc)'!Z430,0))</f>
        <v>1</v>
      </c>
      <c r="AA430" s="125">
        <f>IF('Quant. mod. (oc)'!AA430&lt;0,0,ROUND('Quant. mod. (oc)'!AA430,0))</f>
        <v>1</v>
      </c>
      <c r="AB430" s="125">
        <f>IF('Quant. mod. (oc)'!AB430&lt;0,0,ROUND('Quant. mod. (oc)'!AB430,0))</f>
        <v>1</v>
      </c>
      <c r="AC430" s="125">
        <f>IF('Quant. mod. (oc)'!AC430&lt;0,0,ROUND('Quant. mod. (oc)'!AC430,0))</f>
        <v>1</v>
      </c>
      <c r="AD430" s="125">
        <f>IF('Quant. mod. (oc)'!AD430&lt;0,0,ROUND('Quant. mod. (oc)'!AD430,0))</f>
        <v>1</v>
      </c>
      <c r="AE430" s="125">
        <f>IF('Quant. mod. (oc)'!AE430&lt;0,0,ROUND('Quant. mod. (oc)'!AE430,0))</f>
        <v>1</v>
      </c>
      <c r="AF430" s="125">
        <f>IF('Quant. mod. (oc)'!AF430&lt;0,0,ROUND('Quant. mod. (oc)'!AF430,0))</f>
        <v>1</v>
      </c>
      <c r="AG430" s="126">
        <f>IF('Quant. mod. (oc)'!AG430&lt;0,0,ROUND('Quant. mod. (oc)'!AG430,0))</f>
        <v>1</v>
      </c>
      <c r="AH430" s="22"/>
    </row>
    <row r="431" spans="1:34" x14ac:dyDescent="0.25">
      <c r="A431" s="112"/>
      <c r="B431" s="136" t="s">
        <v>139</v>
      </c>
      <c r="C431" s="67" t="s">
        <v>59</v>
      </c>
      <c r="D431" s="125">
        <f>IF('Quant. mod. (oc)'!D431&lt;0,0,ROUND('Quant. mod. (oc)'!D431,0))</f>
        <v>1</v>
      </c>
      <c r="E431" s="125">
        <f>IF('Quant. mod. (oc)'!E431&lt;0,0,ROUND('Quant. mod. (oc)'!E431,0))</f>
        <v>1</v>
      </c>
      <c r="F431" s="125">
        <f>IF('Quant. mod. (oc)'!F431&lt;0,0,ROUND('Quant. mod. (oc)'!F431,0))</f>
        <v>1</v>
      </c>
      <c r="G431" s="125">
        <f>IF('Quant. mod. (oc)'!G431&lt;0,0,ROUND('Quant. mod. (oc)'!G431,0))</f>
        <v>1</v>
      </c>
      <c r="H431" s="125">
        <f>IF('Quant. mod. (oc)'!H431&lt;0,0,ROUND('Quant. mod. (oc)'!H431,0))</f>
        <v>1</v>
      </c>
      <c r="I431" s="125">
        <f>IF('Quant. mod. (oc)'!I431&lt;0,0,ROUND('Quant. mod. (oc)'!I431,0))</f>
        <v>1</v>
      </c>
      <c r="J431" s="125">
        <f>IF('Quant. mod. (oc)'!J431&lt;0,0,ROUND('Quant. mod. (oc)'!J431,0))</f>
        <v>1</v>
      </c>
      <c r="K431" s="125">
        <f>IF('Quant. mod. (oc)'!K431&lt;0,0,ROUND('Quant. mod. (oc)'!K431,0))</f>
        <v>1</v>
      </c>
      <c r="L431" s="125">
        <f>IF('Quant. mod. (oc)'!L431&lt;0,0,ROUND('Quant. mod. (oc)'!L431,0))</f>
        <v>1</v>
      </c>
      <c r="M431" s="125">
        <f>IF('Quant. mod. (oc)'!M431&lt;0,0,ROUND('Quant. mod. (oc)'!M431,0))</f>
        <v>1</v>
      </c>
      <c r="N431" s="125">
        <f>IF('Quant. mod. (oc)'!N431&lt;0,0,ROUND('Quant. mod. (oc)'!N431,0))</f>
        <v>1</v>
      </c>
      <c r="O431" s="125">
        <f>IF('Quant. mod. (oc)'!O431&lt;0,0,ROUND('Quant. mod. (oc)'!O431,0))</f>
        <v>1</v>
      </c>
      <c r="P431" s="125">
        <f>IF('Quant. mod. (oc)'!P431&lt;0,0,ROUND('Quant. mod. (oc)'!P431,0))</f>
        <v>1</v>
      </c>
      <c r="Q431" s="125">
        <f>IF('Quant. mod. (oc)'!Q431&lt;0,0,ROUND('Quant. mod. (oc)'!Q431,0))</f>
        <v>1</v>
      </c>
      <c r="R431" s="125">
        <f>IF('Quant. mod. (oc)'!R431&lt;0,0,ROUND('Quant. mod. (oc)'!R431,0))</f>
        <v>1</v>
      </c>
      <c r="S431" s="125">
        <f>IF('Quant. mod. (oc)'!S431&lt;0,0,ROUND('Quant. mod. (oc)'!S431,0))</f>
        <v>1</v>
      </c>
      <c r="T431" s="125">
        <f>IF('Quant. mod. (oc)'!T431&lt;0,0,ROUND('Quant. mod. (oc)'!T431,0))</f>
        <v>1</v>
      </c>
      <c r="U431" s="125">
        <f>IF('Quant. mod. (oc)'!U431&lt;0,0,ROUND('Quant. mod. (oc)'!U431,0))</f>
        <v>1</v>
      </c>
      <c r="V431" s="125">
        <f>IF('Quant. mod. (oc)'!V431&lt;0,0,ROUND('Quant. mod. (oc)'!V431,0))</f>
        <v>1</v>
      </c>
      <c r="W431" s="125">
        <f>IF('Quant. mod. (oc)'!W431&lt;0,0,ROUND('Quant. mod. (oc)'!W431,0))</f>
        <v>1</v>
      </c>
      <c r="X431" s="125">
        <f>IF('Quant. mod. (oc)'!X431&lt;0,0,ROUND('Quant. mod. (oc)'!X431,0))</f>
        <v>1</v>
      </c>
      <c r="Y431" s="125">
        <f>IF('Quant. mod. (oc)'!Y431&lt;0,0,ROUND('Quant. mod. (oc)'!Y431,0))</f>
        <v>1</v>
      </c>
      <c r="Z431" s="125">
        <f>IF('Quant. mod. (oc)'!Z431&lt;0,0,ROUND('Quant. mod. (oc)'!Z431,0))</f>
        <v>1</v>
      </c>
      <c r="AA431" s="125">
        <f>IF('Quant. mod. (oc)'!AA431&lt;0,0,ROUND('Quant. mod. (oc)'!AA431,0))</f>
        <v>1</v>
      </c>
      <c r="AB431" s="125">
        <f>IF('Quant. mod. (oc)'!AB431&lt;0,0,ROUND('Quant. mod. (oc)'!AB431,0))</f>
        <v>1</v>
      </c>
      <c r="AC431" s="125">
        <f>IF('Quant. mod. (oc)'!AC431&lt;0,0,ROUND('Quant. mod. (oc)'!AC431,0))</f>
        <v>1</v>
      </c>
      <c r="AD431" s="125">
        <f>IF('Quant. mod. (oc)'!AD431&lt;0,0,ROUND('Quant. mod. (oc)'!AD431,0))</f>
        <v>1</v>
      </c>
      <c r="AE431" s="125">
        <f>IF('Quant. mod. (oc)'!AE431&lt;0,0,ROUND('Quant. mod. (oc)'!AE431,0))</f>
        <v>1</v>
      </c>
      <c r="AF431" s="125">
        <f>IF('Quant. mod. (oc)'!AF431&lt;0,0,ROUND('Quant. mod. (oc)'!AF431,0))</f>
        <v>1</v>
      </c>
      <c r="AG431" s="126">
        <f>IF('Quant. mod. (oc)'!AG431&lt;0,0,ROUND('Quant. mod. (oc)'!AG431,0))</f>
        <v>1</v>
      </c>
      <c r="AH431" s="22"/>
    </row>
    <row r="432" spans="1:34" x14ac:dyDescent="0.25">
      <c r="A432" s="112"/>
      <c r="B432" s="136" t="s">
        <v>140</v>
      </c>
      <c r="C432" s="67" t="s">
        <v>59</v>
      </c>
      <c r="D432" s="125">
        <f>IF('Quant. mod. (oc)'!D432&lt;0,0,ROUND('Quant. mod. (oc)'!D432,0))</f>
        <v>1</v>
      </c>
      <c r="E432" s="125">
        <f>IF('Quant. mod. (oc)'!E432&lt;0,0,ROUND('Quant. mod. (oc)'!E432,0))</f>
        <v>1</v>
      </c>
      <c r="F432" s="125">
        <f>IF('Quant. mod. (oc)'!F432&lt;0,0,ROUND('Quant. mod. (oc)'!F432,0))</f>
        <v>1</v>
      </c>
      <c r="G432" s="125">
        <f>IF('Quant. mod. (oc)'!G432&lt;0,0,ROUND('Quant. mod. (oc)'!G432,0))</f>
        <v>1</v>
      </c>
      <c r="H432" s="125">
        <f>IF('Quant. mod. (oc)'!H432&lt;0,0,ROUND('Quant. mod. (oc)'!H432,0))</f>
        <v>1</v>
      </c>
      <c r="I432" s="125">
        <f>IF('Quant. mod. (oc)'!I432&lt;0,0,ROUND('Quant. mod. (oc)'!I432,0))</f>
        <v>1</v>
      </c>
      <c r="J432" s="125">
        <f>IF('Quant. mod. (oc)'!J432&lt;0,0,ROUND('Quant. mod. (oc)'!J432,0))</f>
        <v>1</v>
      </c>
      <c r="K432" s="125">
        <f>IF('Quant. mod. (oc)'!K432&lt;0,0,ROUND('Quant. mod. (oc)'!K432,0))</f>
        <v>1</v>
      </c>
      <c r="L432" s="125">
        <f>IF('Quant. mod. (oc)'!L432&lt;0,0,ROUND('Quant. mod. (oc)'!L432,0))</f>
        <v>1</v>
      </c>
      <c r="M432" s="125">
        <f>IF('Quant. mod. (oc)'!M432&lt;0,0,ROUND('Quant. mod. (oc)'!M432,0))</f>
        <v>1</v>
      </c>
      <c r="N432" s="125">
        <f>IF('Quant. mod. (oc)'!N432&lt;0,0,ROUND('Quant. mod. (oc)'!N432,0))</f>
        <v>1</v>
      </c>
      <c r="O432" s="125">
        <f>IF('Quant. mod. (oc)'!O432&lt;0,0,ROUND('Quant. mod. (oc)'!O432,0))</f>
        <v>1</v>
      </c>
      <c r="P432" s="125">
        <f>IF('Quant. mod. (oc)'!P432&lt;0,0,ROUND('Quant. mod. (oc)'!P432,0))</f>
        <v>1</v>
      </c>
      <c r="Q432" s="125">
        <f>IF('Quant. mod. (oc)'!Q432&lt;0,0,ROUND('Quant. mod. (oc)'!Q432,0))</f>
        <v>1</v>
      </c>
      <c r="R432" s="125">
        <f>IF('Quant. mod. (oc)'!R432&lt;0,0,ROUND('Quant. mod. (oc)'!R432,0))</f>
        <v>1</v>
      </c>
      <c r="S432" s="125">
        <f>IF('Quant. mod. (oc)'!S432&lt;0,0,ROUND('Quant. mod. (oc)'!S432,0))</f>
        <v>1</v>
      </c>
      <c r="T432" s="125">
        <f>IF('Quant. mod. (oc)'!T432&lt;0,0,ROUND('Quant. mod. (oc)'!T432,0))</f>
        <v>1</v>
      </c>
      <c r="U432" s="125">
        <f>IF('Quant. mod. (oc)'!U432&lt;0,0,ROUND('Quant. mod. (oc)'!U432,0))</f>
        <v>1</v>
      </c>
      <c r="V432" s="125">
        <f>IF('Quant. mod. (oc)'!V432&lt;0,0,ROUND('Quant. mod. (oc)'!V432,0))</f>
        <v>1</v>
      </c>
      <c r="W432" s="125">
        <f>IF('Quant. mod. (oc)'!W432&lt;0,0,ROUND('Quant. mod. (oc)'!W432,0))</f>
        <v>1</v>
      </c>
      <c r="X432" s="125">
        <f>IF('Quant. mod. (oc)'!X432&lt;0,0,ROUND('Quant. mod. (oc)'!X432,0))</f>
        <v>1</v>
      </c>
      <c r="Y432" s="125">
        <f>IF('Quant. mod. (oc)'!Y432&lt;0,0,ROUND('Quant. mod. (oc)'!Y432,0))</f>
        <v>1</v>
      </c>
      <c r="Z432" s="125">
        <f>IF('Quant. mod. (oc)'!Z432&lt;0,0,ROUND('Quant. mod. (oc)'!Z432,0))</f>
        <v>1</v>
      </c>
      <c r="AA432" s="125">
        <f>IF('Quant. mod. (oc)'!AA432&lt;0,0,ROUND('Quant. mod. (oc)'!AA432,0))</f>
        <v>1</v>
      </c>
      <c r="AB432" s="125">
        <f>IF('Quant. mod. (oc)'!AB432&lt;0,0,ROUND('Quant. mod. (oc)'!AB432,0))</f>
        <v>1</v>
      </c>
      <c r="AC432" s="125">
        <f>IF('Quant. mod. (oc)'!AC432&lt;0,0,ROUND('Quant. mod. (oc)'!AC432,0))</f>
        <v>1</v>
      </c>
      <c r="AD432" s="125">
        <f>IF('Quant. mod. (oc)'!AD432&lt;0,0,ROUND('Quant. mod. (oc)'!AD432,0))</f>
        <v>1</v>
      </c>
      <c r="AE432" s="125">
        <f>IF('Quant. mod. (oc)'!AE432&lt;0,0,ROUND('Quant. mod. (oc)'!AE432,0))</f>
        <v>1</v>
      </c>
      <c r="AF432" s="125">
        <f>IF('Quant. mod. (oc)'!AF432&lt;0,0,ROUND('Quant. mod. (oc)'!AF432,0))</f>
        <v>1</v>
      </c>
      <c r="AG432" s="126">
        <f>IF('Quant. mod. (oc)'!AG432&lt;0,0,ROUND('Quant. mod. (oc)'!AG432,0))</f>
        <v>1</v>
      </c>
      <c r="AH432" s="22"/>
    </row>
    <row r="433" spans="1:34" x14ac:dyDescent="0.25">
      <c r="A433" s="112"/>
      <c r="B433" s="136" t="s">
        <v>141</v>
      </c>
      <c r="C433" s="67" t="s">
        <v>59</v>
      </c>
      <c r="D433" s="125">
        <f>IF('Quant. mod. (oc)'!D433&lt;0,0,ROUND('Quant. mod. (oc)'!D433,0))</f>
        <v>1</v>
      </c>
      <c r="E433" s="125">
        <f>IF('Quant. mod. (oc)'!E433&lt;0,0,ROUND('Quant. mod. (oc)'!E433,0))</f>
        <v>1</v>
      </c>
      <c r="F433" s="125">
        <f>IF('Quant. mod. (oc)'!F433&lt;0,0,ROUND('Quant. mod. (oc)'!F433,0))</f>
        <v>1</v>
      </c>
      <c r="G433" s="125">
        <f>IF('Quant. mod. (oc)'!G433&lt;0,0,ROUND('Quant. mod. (oc)'!G433,0))</f>
        <v>1</v>
      </c>
      <c r="H433" s="125">
        <f>IF('Quant. mod. (oc)'!H433&lt;0,0,ROUND('Quant. mod. (oc)'!H433,0))</f>
        <v>1</v>
      </c>
      <c r="I433" s="125">
        <f>IF('Quant. mod. (oc)'!I433&lt;0,0,ROUND('Quant. mod. (oc)'!I433,0))</f>
        <v>1</v>
      </c>
      <c r="J433" s="125">
        <f>IF('Quant. mod. (oc)'!J433&lt;0,0,ROUND('Quant. mod. (oc)'!J433,0))</f>
        <v>1</v>
      </c>
      <c r="K433" s="125">
        <f>IF('Quant. mod. (oc)'!K433&lt;0,0,ROUND('Quant. mod. (oc)'!K433,0))</f>
        <v>1</v>
      </c>
      <c r="L433" s="125">
        <f>IF('Quant. mod. (oc)'!L433&lt;0,0,ROUND('Quant. mod. (oc)'!L433,0))</f>
        <v>1</v>
      </c>
      <c r="M433" s="125">
        <f>IF('Quant. mod. (oc)'!M433&lt;0,0,ROUND('Quant. mod. (oc)'!M433,0))</f>
        <v>1</v>
      </c>
      <c r="N433" s="125">
        <f>IF('Quant. mod. (oc)'!N433&lt;0,0,ROUND('Quant. mod. (oc)'!N433,0))</f>
        <v>1</v>
      </c>
      <c r="O433" s="125">
        <f>IF('Quant. mod. (oc)'!O433&lt;0,0,ROUND('Quant. mod. (oc)'!O433,0))</f>
        <v>1</v>
      </c>
      <c r="P433" s="125">
        <f>IF('Quant. mod. (oc)'!P433&lt;0,0,ROUND('Quant. mod. (oc)'!P433,0))</f>
        <v>1</v>
      </c>
      <c r="Q433" s="125">
        <f>IF('Quant. mod. (oc)'!Q433&lt;0,0,ROUND('Quant. mod. (oc)'!Q433,0))</f>
        <v>1</v>
      </c>
      <c r="R433" s="125">
        <f>IF('Quant. mod. (oc)'!R433&lt;0,0,ROUND('Quant. mod. (oc)'!R433,0))</f>
        <v>1</v>
      </c>
      <c r="S433" s="125">
        <f>IF('Quant. mod. (oc)'!S433&lt;0,0,ROUND('Quant. mod. (oc)'!S433,0))</f>
        <v>1</v>
      </c>
      <c r="T433" s="125">
        <f>IF('Quant. mod. (oc)'!T433&lt;0,0,ROUND('Quant. mod. (oc)'!T433,0))</f>
        <v>1</v>
      </c>
      <c r="U433" s="125">
        <f>IF('Quant. mod. (oc)'!U433&lt;0,0,ROUND('Quant. mod. (oc)'!U433,0))</f>
        <v>1</v>
      </c>
      <c r="V433" s="125">
        <f>IF('Quant. mod. (oc)'!V433&lt;0,0,ROUND('Quant. mod. (oc)'!V433,0))</f>
        <v>1</v>
      </c>
      <c r="W433" s="125">
        <f>IF('Quant. mod. (oc)'!W433&lt;0,0,ROUND('Quant. mod. (oc)'!W433,0))</f>
        <v>1</v>
      </c>
      <c r="X433" s="125">
        <f>IF('Quant. mod. (oc)'!X433&lt;0,0,ROUND('Quant. mod. (oc)'!X433,0))</f>
        <v>1</v>
      </c>
      <c r="Y433" s="125">
        <f>IF('Quant. mod. (oc)'!Y433&lt;0,0,ROUND('Quant. mod. (oc)'!Y433,0))</f>
        <v>1</v>
      </c>
      <c r="Z433" s="125">
        <f>IF('Quant. mod. (oc)'!Z433&lt;0,0,ROUND('Quant. mod. (oc)'!Z433,0))</f>
        <v>1</v>
      </c>
      <c r="AA433" s="125">
        <f>IF('Quant. mod. (oc)'!AA433&lt;0,0,ROUND('Quant. mod. (oc)'!AA433,0))</f>
        <v>1</v>
      </c>
      <c r="AB433" s="125">
        <f>IF('Quant. mod. (oc)'!AB433&lt;0,0,ROUND('Quant. mod. (oc)'!AB433,0))</f>
        <v>1</v>
      </c>
      <c r="AC433" s="125">
        <f>IF('Quant. mod. (oc)'!AC433&lt;0,0,ROUND('Quant. mod. (oc)'!AC433,0))</f>
        <v>1</v>
      </c>
      <c r="AD433" s="125">
        <f>IF('Quant. mod. (oc)'!AD433&lt;0,0,ROUND('Quant. mod. (oc)'!AD433,0))</f>
        <v>1</v>
      </c>
      <c r="AE433" s="125">
        <f>IF('Quant. mod. (oc)'!AE433&lt;0,0,ROUND('Quant. mod. (oc)'!AE433,0))</f>
        <v>1</v>
      </c>
      <c r="AF433" s="125">
        <f>IF('Quant. mod. (oc)'!AF433&lt;0,0,ROUND('Quant. mod. (oc)'!AF433,0))</f>
        <v>1</v>
      </c>
      <c r="AG433" s="126">
        <f>IF('Quant. mod. (oc)'!AG433&lt;0,0,ROUND('Quant. mod. (oc)'!AG433,0))</f>
        <v>1</v>
      </c>
      <c r="AH433" s="22"/>
    </row>
    <row r="434" spans="1:34" x14ac:dyDescent="0.25">
      <c r="A434" s="112"/>
      <c r="B434" s="136" t="s">
        <v>142</v>
      </c>
      <c r="C434" s="67" t="s">
        <v>59</v>
      </c>
      <c r="D434" s="125">
        <f>IF('Quant. mod. (oc)'!D434&lt;0,0,ROUND('Quant. mod. (oc)'!D434,0))</f>
        <v>1</v>
      </c>
      <c r="E434" s="125">
        <f>IF('Quant. mod. (oc)'!E434&lt;0,0,ROUND('Quant. mod. (oc)'!E434,0))</f>
        <v>1</v>
      </c>
      <c r="F434" s="125">
        <f>IF('Quant. mod. (oc)'!F434&lt;0,0,ROUND('Quant. mod. (oc)'!F434,0))</f>
        <v>1</v>
      </c>
      <c r="G434" s="125">
        <f>IF('Quant. mod. (oc)'!G434&lt;0,0,ROUND('Quant. mod. (oc)'!G434,0))</f>
        <v>1</v>
      </c>
      <c r="H434" s="125">
        <f>IF('Quant. mod. (oc)'!H434&lt;0,0,ROUND('Quant. mod. (oc)'!H434,0))</f>
        <v>1</v>
      </c>
      <c r="I434" s="125">
        <f>IF('Quant. mod. (oc)'!I434&lt;0,0,ROUND('Quant. mod. (oc)'!I434,0))</f>
        <v>1</v>
      </c>
      <c r="J434" s="125">
        <f>IF('Quant. mod. (oc)'!J434&lt;0,0,ROUND('Quant. mod. (oc)'!J434,0))</f>
        <v>1</v>
      </c>
      <c r="K434" s="125">
        <f>IF('Quant. mod. (oc)'!K434&lt;0,0,ROUND('Quant. mod. (oc)'!K434,0))</f>
        <v>1</v>
      </c>
      <c r="L434" s="125">
        <f>IF('Quant. mod. (oc)'!L434&lt;0,0,ROUND('Quant. mod. (oc)'!L434,0))</f>
        <v>1</v>
      </c>
      <c r="M434" s="125">
        <f>IF('Quant. mod. (oc)'!M434&lt;0,0,ROUND('Quant. mod. (oc)'!M434,0))</f>
        <v>1</v>
      </c>
      <c r="N434" s="125">
        <f>IF('Quant. mod. (oc)'!N434&lt;0,0,ROUND('Quant. mod. (oc)'!N434,0))</f>
        <v>1</v>
      </c>
      <c r="O434" s="125">
        <f>IF('Quant. mod. (oc)'!O434&lt;0,0,ROUND('Quant. mod. (oc)'!O434,0))</f>
        <v>1</v>
      </c>
      <c r="P434" s="125">
        <f>IF('Quant. mod. (oc)'!P434&lt;0,0,ROUND('Quant. mod. (oc)'!P434,0))</f>
        <v>1</v>
      </c>
      <c r="Q434" s="125">
        <f>IF('Quant. mod. (oc)'!Q434&lt;0,0,ROUND('Quant. mod. (oc)'!Q434,0))</f>
        <v>1</v>
      </c>
      <c r="R434" s="125">
        <f>IF('Quant. mod. (oc)'!R434&lt;0,0,ROUND('Quant. mod. (oc)'!R434,0))</f>
        <v>1</v>
      </c>
      <c r="S434" s="125">
        <f>IF('Quant. mod. (oc)'!S434&lt;0,0,ROUND('Quant. mod. (oc)'!S434,0))</f>
        <v>1</v>
      </c>
      <c r="T434" s="125">
        <f>IF('Quant. mod. (oc)'!T434&lt;0,0,ROUND('Quant. mod. (oc)'!T434,0))</f>
        <v>1</v>
      </c>
      <c r="U434" s="125">
        <f>IF('Quant. mod. (oc)'!U434&lt;0,0,ROUND('Quant. mod. (oc)'!U434,0))</f>
        <v>1</v>
      </c>
      <c r="V434" s="125">
        <f>IF('Quant. mod. (oc)'!V434&lt;0,0,ROUND('Quant. mod. (oc)'!V434,0))</f>
        <v>1</v>
      </c>
      <c r="W434" s="125">
        <f>IF('Quant. mod. (oc)'!W434&lt;0,0,ROUND('Quant. mod. (oc)'!W434,0))</f>
        <v>1</v>
      </c>
      <c r="X434" s="125">
        <f>IF('Quant. mod. (oc)'!X434&lt;0,0,ROUND('Quant. mod. (oc)'!X434,0))</f>
        <v>1</v>
      </c>
      <c r="Y434" s="125">
        <f>IF('Quant. mod. (oc)'!Y434&lt;0,0,ROUND('Quant. mod. (oc)'!Y434,0))</f>
        <v>1</v>
      </c>
      <c r="Z434" s="125">
        <f>IF('Quant. mod. (oc)'!Z434&lt;0,0,ROUND('Quant. mod. (oc)'!Z434,0))</f>
        <v>1</v>
      </c>
      <c r="AA434" s="125">
        <f>IF('Quant. mod. (oc)'!AA434&lt;0,0,ROUND('Quant. mod. (oc)'!AA434,0))</f>
        <v>1</v>
      </c>
      <c r="AB434" s="125">
        <f>IF('Quant. mod. (oc)'!AB434&lt;0,0,ROUND('Quant. mod. (oc)'!AB434,0))</f>
        <v>1</v>
      </c>
      <c r="AC434" s="125">
        <f>IF('Quant. mod. (oc)'!AC434&lt;0,0,ROUND('Quant. mod. (oc)'!AC434,0))</f>
        <v>1</v>
      </c>
      <c r="AD434" s="125">
        <f>IF('Quant. mod. (oc)'!AD434&lt;0,0,ROUND('Quant. mod. (oc)'!AD434,0))</f>
        <v>1</v>
      </c>
      <c r="AE434" s="125">
        <f>IF('Quant. mod. (oc)'!AE434&lt;0,0,ROUND('Quant. mod. (oc)'!AE434,0))</f>
        <v>1</v>
      </c>
      <c r="AF434" s="125">
        <f>IF('Quant. mod. (oc)'!AF434&lt;0,0,ROUND('Quant. mod. (oc)'!AF434,0))</f>
        <v>1</v>
      </c>
      <c r="AG434" s="126">
        <f>IF('Quant. mod. (oc)'!AG434&lt;0,0,ROUND('Quant. mod. (oc)'!AG434,0))</f>
        <v>1</v>
      </c>
      <c r="AH434" s="22"/>
    </row>
    <row r="435" spans="1:34" x14ac:dyDescent="0.25">
      <c r="A435" s="112"/>
      <c r="B435" s="136" t="s">
        <v>143</v>
      </c>
      <c r="C435" s="67" t="s">
        <v>59</v>
      </c>
      <c r="D435" s="125">
        <f>IF('Quant. mod. (oc)'!D435&lt;0,0,ROUND('Quant. mod. (oc)'!D435,0))</f>
        <v>1</v>
      </c>
      <c r="E435" s="125">
        <f>IF('Quant. mod. (oc)'!E435&lt;0,0,ROUND('Quant. mod. (oc)'!E435,0))</f>
        <v>1</v>
      </c>
      <c r="F435" s="125">
        <f>IF('Quant. mod. (oc)'!F435&lt;0,0,ROUND('Quant. mod. (oc)'!F435,0))</f>
        <v>1</v>
      </c>
      <c r="G435" s="125">
        <f>IF('Quant. mod. (oc)'!G435&lt;0,0,ROUND('Quant. mod. (oc)'!G435,0))</f>
        <v>1</v>
      </c>
      <c r="H435" s="125">
        <f>IF('Quant. mod. (oc)'!H435&lt;0,0,ROUND('Quant. mod. (oc)'!H435,0))</f>
        <v>1</v>
      </c>
      <c r="I435" s="125">
        <f>IF('Quant. mod. (oc)'!I435&lt;0,0,ROUND('Quant. mod. (oc)'!I435,0))</f>
        <v>1</v>
      </c>
      <c r="J435" s="125">
        <f>IF('Quant. mod. (oc)'!J435&lt;0,0,ROUND('Quant. mod. (oc)'!J435,0))</f>
        <v>1</v>
      </c>
      <c r="K435" s="125">
        <f>IF('Quant. mod. (oc)'!K435&lt;0,0,ROUND('Quant. mod. (oc)'!K435,0))</f>
        <v>1</v>
      </c>
      <c r="L435" s="125">
        <f>IF('Quant. mod. (oc)'!L435&lt;0,0,ROUND('Quant. mod. (oc)'!L435,0))</f>
        <v>1</v>
      </c>
      <c r="M435" s="125">
        <f>IF('Quant. mod. (oc)'!M435&lt;0,0,ROUND('Quant. mod. (oc)'!M435,0))</f>
        <v>1</v>
      </c>
      <c r="N435" s="125">
        <f>IF('Quant. mod. (oc)'!N435&lt;0,0,ROUND('Quant. mod. (oc)'!N435,0))</f>
        <v>1</v>
      </c>
      <c r="O435" s="125">
        <f>IF('Quant. mod. (oc)'!O435&lt;0,0,ROUND('Quant. mod. (oc)'!O435,0))</f>
        <v>1</v>
      </c>
      <c r="P435" s="125">
        <f>IF('Quant. mod. (oc)'!P435&lt;0,0,ROUND('Quant. mod. (oc)'!P435,0))</f>
        <v>1</v>
      </c>
      <c r="Q435" s="125">
        <f>IF('Quant. mod. (oc)'!Q435&lt;0,0,ROUND('Quant. mod. (oc)'!Q435,0))</f>
        <v>1</v>
      </c>
      <c r="R435" s="125">
        <f>IF('Quant. mod. (oc)'!R435&lt;0,0,ROUND('Quant. mod. (oc)'!R435,0))</f>
        <v>1</v>
      </c>
      <c r="S435" s="125">
        <f>IF('Quant. mod. (oc)'!S435&lt;0,0,ROUND('Quant. mod. (oc)'!S435,0))</f>
        <v>1</v>
      </c>
      <c r="T435" s="125">
        <f>IF('Quant. mod. (oc)'!T435&lt;0,0,ROUND('Quant. mod. (oc)'!T435,0))</f>
        <v>1</v>
      </c>
      <c r="U435" s="125">
        <f>IF('Quant. mod. (oc)'!U435&lt;0,0,ROUND('Quant. mod. (oc)'!U435,0))</f>
        <v>1</v>
      </c>
      <c r="V435" s="125">
        <f>IF('Quant. mod. (oc)'!V435&lt;0,0,ROUND('Quant. mod. (oc)'!V435,0))</f>
        <v>1</v>
      </c>
      <c r="W435" s="125">
        <f>IF('Quant. mod. (oc)'!W435&lt;0,0,ROUND('Quant. mod. (oc)'!W435,0))</f>
        <v>1</v>
      </c>
      <c r="X435" s="125">
        <f>IF('Quant. mod. (oc)'!X435&lt;0,0,ROUND('Quant. mod. (oc)'!X435,0))</f>
        <v>1</v>
      </c>
      <c r="Y435" s="125">
        <f>IF('Quant. mod. (oc)'!Y435&lt;0,0,ROUND('Quant. mod. (oc)'!Y435,0))</f>
        <v>1</v>
      </c>
      <c r="Z435" s="125">
        <f>IF('Quant. mod. (oc)'!Z435&lt;0,0,ROUND('Quant. mod. (oc)'!Z435,0))</f>
        <v>1</v>
      </c>
      <c r="AA435" s="125">
        <f>IF('Quant. mod. (oc)'!AA435&lt;0,0,ROUND('Quant. mod. (oc)'!AA435,0))</f>
        <v>1</v>
      </c>
      <c r="AB435" s="125">
        <f>IF('Quant. mod. (oc)'!AB435&lt;0,0,ROUND('Quant. mod. (oc)'!AB435,0))</f>
        <v>1</v>
      </c>
      <c r="AC435" s="125">
        <f>IF('Quant. mod. (oc)'!AC435&lt;0,0,ROUND('Quant. mod. (oc)'!AC435,0))</f>
        <v>1</v>
      </c>
      <c r="AD435" s="125">
        <f>IF('Quant. mod. (oc)'!AD435&lt;0,0,ROUND('Quant. mod. (oc)'!AD435,0))</f>
        <v>1</v>
      </c>
      <c r="AE435" s="125">
        <f>IF('Quant. mod. (oc)'!AE435&lt;0,0,ROUND('Quant. mod. (oc)'!AE435,0))</f>
        <v>1</v>
      </c>
      <c r="AF435" s="125">
        <f>IF('Quant. mod. (oc)'!AF435&lt;0,0,ROUND('Quant. mod. (oc)'!AF435,0))</f>
        <v>1</v>
      </c>
      <c r="AG435" s="126">
        <f>IF('Quant. mod. (oc)'!AG435&lt;0,0,ROUND('Quant. mod. (oc)'!AG435,0))</f>
        <v>1</v>
      </c>
      <c r="AH435" s="22"/>
    </row>
    <row r="436" spans="1:34" x14ac:dyDescent="0.25">
      <c r="A436" s="112"/>
      <c r="B436" s="136" t="s">
        <v>144</v>
      </c>
      <c r="C436" s="67" t="s">
        <v>59</v>
      </c>
      <c r="D436" s="125">
        <f>IF('Quant. mod. (oc)'!D436&lt;0,0,ROUND('Quant. mod. (oc)'!D436,0))</f>
        <v>1</v>
      </c>
      <c r="E436" s="125">
        <f>IF('Quant. mod. (oc)'!E436&lt;0,0,ROUND('Quant. mod. (oc)'!E436,0))</f>
        <v>1</v>
      </c>
      <c r="F436" s="125">
        <f>IF('Quant. mod. (oc)'!F436&lt;0,0,ROUND('Quant. mod. (oc)'!F436,0))</f>
        <v>1</v>
      </c>
      <c r="G436" s="125">
        <f>IF('Quant. mod. (oc)'!G436&lt;0,0,ROUND('Quant. mod. (oc)'!G436,0))</f>
        <v>1</v>
      </c>
      <c r="H436" s="125">
        <f>IF('Quant. mod. (oc)'!H436&lt;0,0,ROUND('Quant. mod. (oc)'!H436,0))</f>
        <v>1</v>
      </c>
      <c r="I436" s="125">
        <f>IF('Quant. mod. (oc)'!I436&lt;0,0,ROUND('Quant. mod. (oc)'!I436,0))</f>
        <v>1</v>
      </c>
      <c r="J436" s="125">
        <f>IF('Quant. mod. (oc)'!J436&lt;0,0,ROUND('Quant. mod. (oc)'!J436,0))</f>
        <v>1</v>
      </c>
      <c r="K436" s="125">
        <f>IF('Quant. mod. (oc)'!K436&lt;0,0,ROUND('Quant. mod. (oc)'!K436,0))</f>
        <v>1</v>
      </c>
      <c r="L436" s="125">
        <f>IF('Quant. mod. (oc)'!L436&lt;0,0,ROUND('Quant. mod. (oc)'!L436,0))</f>
        <v>1</v>
      </c>
      <c r="M436" s="125">
        <f>IF('Quant. mod. (oc)'!M436&lt;0,0,ROUND('Quant. mod. (oc)'!M436,0))</f>
        <v>1</v>
      </c>
      <c r="N436" s="125">
        <f>IF('Quant. mod. (oc)'!N436&lt;0,0,ROUND('Quant. mod. (oc)'!N436,0))</f>
        <v>1</v>
      </c>
      <c r="O436" s="125">
        <f>IF('Quant. mod. (oc)'!O436&lt;0,0,ROUND('Quant. mod. (oc)'!O436,0))</f>
        <v>1</v>
      </c>
      <c r="P436" s="125">
        <f>IF('Quant. mod. (oc)'!P436&lt;0,0,ROUND('Quant. mod. (oc)'!P436,0))</f>
        <v>1</v>
      </c>
      <c r="Q436" s="125">
        <f>IF('Quant. mod. (oc)'!Q436&lt;0,0,ROUND('Quant. mod. (oc)'!Q436,0))</f>
        <v>1</v>
      </c>
      <c r="R436" s="125">
        <f>IF('Quant. mod. (oc)'!R436&lt;0,0,ROUND('Quant. mod. (oc)'!R436,0))</f>
        <v>1</v>
      </c>
      <c r="S436" s="125">
        <f>IF('Quant. mod. (oc)'!S436&lt;0,0,ROUND('Quant. mod. (oc)'!S436,0))</f>
        <v>1</v>
      </c>
      <c r="T436" s="125">
        <f>IF('Quant. mod. (oc)'!T436&lt;0,0,ROUND('Quant. mod. (oc)'!T436,0))</f>
        <v>1</v>
      </c>
      <c r="U436" s="125">
        <f>IF('Quant. mod. (oc)'!U436&lt;0,0,ROUND('Quant. mod. (oc)'!U436,0))</f>
        <v>1</v>
      </c>
      <c r="V436" s="125">
        <f>IF('Quant. mod. (oc)'!V436&lt;0,0,ROUND('Quant. mod. (oc)'!V436,0))</f>
        <v>1</v>
      </c>
      <c r="W436" s="125">
        <f>IF('Quant. mod. (oc)'!W436&lt;0,0,ROUND('Quant. mod. (oc)'!W436,0))</f>
        <v>1</v>
      </c>
      <c r="X436" s="125">
        <f>IF('Quant. mod. (oc)'!X436&lt;0,0,ROUND('Quant. mod. (oc)'!X436,0))</f>
        <v>1</v>
      </c>
      <c r="Y436" s="125">
        <f>IF('Quant. mod. (oc)'!Y436&lt;0,0,ROUND('Quant. mod. (oc)'!Y436,0))</f>
        <v>1</v>
      </c>
      <c r="Z436" s="125">
        <f>IF('Quant. mod. (oc)'!Z436&lt;0,0,ROUND('Quant. mod. (oc)'!Z436,0))</f>
        <v>1</v>
      </c>
      <c r="AA436" s="125">
        <f>IF('Quant. mod. (oc)'!AA436&lt;0,0,ROUND('Quant. mod. (oc)'!AA436,0))</f>
        <v>1</v>
      </c>
      <c r="AB436" s="125">
        <f>IF('Quant. mod. (oc)'!AB436&lt;0,0,ROUND('Quant. mod. (oc)'!AB436,0))</f>
        <v>1</v>
      </c>
      <c r="AC436" s="125">
        <f>IF('Quant. mod. (oc)'!AC436&lt;0,0,ROUND('Quant. mod. (oc)'!AC436,0))</f>
        <v>1</v>
      </c>
      <c r="AD436" s="125">
        <f>IF('Quant. mod. (oc)'!AD436&lt;0,0,ROUND('Quant. mod. (oc)'!AD436,0))</f>
        <v>1</v>
      </c>
      <c r="AE436" s="125">
        <f>IF('Quant. mod. (oc)'!AE436&lt;0,0,ROUND('Quant. mod. (oc)'!AE436,0))</f>
        <v>1</v>
      </c>
      <c r="AF436" s="125">
        <f>IF('Quant. mod. (oc)'!AF436&lt;0,0,ROUND('Quant. mod. (oc)'!AF436,0))</f>
        <v>1</v>
      </c>
      <c r="AG436" s="126">
        <f>IF('Quant. mod. (oc)'!AG436&lt;0,0,ROUND('Quant. mod. (oc)'!AG436,0))</f>
        <v>1</v>
      </c>
      <c r="AH436" s="22"/>
    </row>
    <row r="437" spans="1:34" x14ac:dyDescent="0.25">
      <c r="A437" s="112"/>
      <c r="B437" s="136" t="s">
        <v>145</v>
      </c>
      <c r="C437" s="67" t="s">
        <v>59</v>
      </c>
      <c r="D437" s="125">
        <f>IF('Quant. mod. (oc)'!D437&lt;0,0,ROUND('Quant. mod. (oc)'!D437,0))</f>
        <v>1</v>
      </c>
      <c r="E437" s="125">
        <f>IF('Quant. mod. (oc)'!E437&lt;0,0,ROUND('Quant. mod. (oc)'!E437,0))</f>
        <v>1</v>
      </c>
      <c r="F437" s="125">
        <f>IF('Quant. mod. (oc)'!F437&lt;0,0,ROUND('Quant. mod. (oc)'!F437,0))</f>
        <v>1</v>
      </c>
      <c r="G437" s="125">
        <f>IF('Quant. mod. (oc)'!G437&lt;0,0,ROUND('Quant. mod. (oc)'!G437,0))</f>
        <v>1</v>
      </c>
      <c r="H437" s="125">
        <f>IF('Quant. mod. (oc)'!H437&lt;0,0,ROUND('Quant. mod. (oc)'!H437,0))</f>
        <v>1</v>
      </c>
      <c r="I437" s="125">
        <f>IF('Quant. mod. (oc)'!I437&lt;0,0,ROUND('Quant. mod. (oc)'!I437,0))</f>
        <v>1</v>
      </c>
      <c r="J437" s="125">
        <f>IF('Quant. mod. (oc)'!J437&lt;0,0,ROUND('Quant. mod. (oc)'!J437,0))</f>
        <v>1</v>
      </c>
      <c r="K437" s="125">
        <f>IF('Quant. mod. (oc)'!K437&lt;0,0,ROUND('Quant. mod. (oc)'!K437,0))</f>
        <v>1</v>
      </c>
      <c r="L437" s="125">
        <f>IF('Quant. mod. (oc)'!L437&lt;0,0,ROUND('Quant. mod. (oc)'!L437,0))</f>
        <v>1</v>
      </c>
      <c r="M437" s="125">
        <f>IF('Quant. mod. (oc)'!M437&lt;0,0,ROUND('Quant. mod. (oc)'!M437,0))</f>
        <v>1</v>
      </c>
      <c r="N437" s="125">
        <f>IF('Quant. mod. (oc)'!N437&lt;0,0,ROUND('Quant. mod. (oc)'!N437,0))</f>
        <v>1</v>
      </c>
      <c r="O437" s="125">
        <f>IF('Quant. mod. (oc)'!O437&lt;0,0,ROUND('Quant. mod. (oc)'!O437,0))</f>
        <v>1</v>
      </c>
      <c r="P437" s="125">
        <f>IF('Quant. mod. (oc)'!P437&lt;0,0,ROUND('Quant. mod. (oc)'!P437,0))</f>
        <v>1</v>
      </c>
      <c r="Q437" s="125">
        <f>IF('Quant. mod. (oc)'!Q437&lt;0,0,ROUND('Quant. mod. (oc)'!Q437,0))</f>
        <v>1</v>
      </c>
      <c r="R437" s="125">
        <f>IF('Quant. mod. (oc)'!R437&lt;0,0,ROUND('Quant. mod. (oc)'!R437,0))</f>
        <v>1</v>
      </c>
      <c r="S437" s="125">
        <f>IF('Quant. mod. (oc)'!S437&lt;0,0,ROUND('Quant. mod. (oc)'!S437,0))</f>
        <v>1</v>
      </c>
      <c r="T437" s="125">
        <f>IF('Quant. mod. (oc)'!T437&lt;0,0,ROUND('Quant. mod. (oc)'!T437,0))</f>
        <v>1</v>
      </c>
      <c r="U437" s="125">
        <f>IF('Quant. mod. (oc)'!U437&lt;0,0,ROUND('Quant. mod. (oc)'!U437,0))</f>
        <v>1</v>
      </c>
      <c r="V437" s="125">
        <f>IF('Quant. mod. (oc)'!V437&lt;0,0,ROUND('Quant. mod. (oc)'!V437,0))</f>
        <v>1</v>
      </c>
      <c r="W437" s="125">
        <f>IF('Quant. mod. (oc)'!W437&lt;0,0,ROUND('Quant. mod. (oc)'!W437,0))</f>
        <v>1</v>
      </c>
      <c r="X437" s="125">
        <f>IF('Quant. mod. (oc)'!X437&lt;0,0,ROUND('Quant. mod. (oc)'!X437,0))</f>
        <v>1</v>
      </c>
      <c r="Y437" s="125">
        <f>IF('Quant. mod. (oc)'!Y437&lt;0,0,ROUND('Quant. mod. (oc)'!Y437,0))</f>
        <v>1</v>
      </c>
      <c r="Z437" s="125">
        <f>IF('Quant. mod. (oc)'!Z437&lt;0,0,ROUND('Quant. mod. (oc)'!Z437,0))</f>
        <v>1</v>
      </c>
      <c r="AA437" s="125">
        <f>IF('Quant. mod. (oc)'!AA437&lt;0,0,ROUND('Quant. mod. (oc)'!AA437,0))</f>
        <v>1</v>
      </c>
      <c r="AB437" s="125">
        <f>IF('Quant. mod. (oc)'!AB437&lt;0,0,ROUND('Quant. mod. (oc)'!AB437,0))</f>
        <v>1</v>
      </c>
      <c r="AC437" s="125">
        <f>IF('Quant. mod. (oc)'!AC437&lt;0,0,ROUND('Quant. mod. (oc)'!AC437,0))</f>
        <v>1</v>
      </c>
      <c r="AD437" s="125">
        <f>IF('Quant. mod. (oc)'!AD437&lt;0,0,ROUND('Quant. mod. (oc)'!AD437,0))</f>
        <v>1</v>
      </c>
      <c r="AE437" s="125">
        <f>IF('Quant. mod. (oc)'!AE437&lt;0,0,ROUND('Quant. mod. (oc)'!AE437,0))</f>
        <v>1</v>
      </c>
      <c r="AF437" s="125">
        <f>IF('Quant. mod. (oc)'!AF437&lt;0,0,ROUND('Quant. mod. (oc)'!AF437,0))</f>
        <v>1</v>
      </c>
      <c r="AG437" s="126">
        <f>IF('Quant. mod. (oc)'!AG437&lt;0,0,ROUND('Quant. mod. (oc)'!AG437,0))</f>
        <v>1</v>
      </c>
      <c r="AH437" s="22"/>
    </row>
    <row r="438" spans="1:34" x14ac:dyDescent="0.25">
      <c r="A438" s="112"/>
      <c r="B438" s="136" t="s">
        <v>146</v>
      </c>
      <c r="C438" s="67" t="s">
        <v>59</v>
      </c>
      <c r="D438" s="125">
        <f>IF('Quant. mod. (oc)'!D438&lt;0,0,ROUND('Quant. mod. (oc)'!D438,0))</f>
        <v>1</v>
      </c>
      <c r="E438" s="125">
        <f>IF('Quant. mod. (oc)'!E438&lt;0,0,ROUND('Quant. mod. (oc)'!E438,0))</f>
        <v>1</v>
      </c>
      <c r="F438" s="125">
        <f>IF('Quant. mod. (oc)'!F438&lt;0,0,ROUND('Quant. mod. (oc)'!F438,0))</f>
        <v>1</v>
      </c>
      <c r="G438" s="125">
        <f>IF('Quant. mod. (oc)'!G438&lt;0,0,ROUND('Quant. mod. (oc)'!G438,0))</f>
        <v>1</v>
      </c>
      <c r="H438" s="125">
        <f>IF('Quant. mod. (oc)'!H438&lt;0,0,ROUND('Quant. mod. (oc)'!H438,0))</f>
        <v>1</v>
      </c>
      <c r="I438" s="125">
        <f>IF('Quant. mod. (oc)'!I438&lt;0,0,ROUND('Quant. mod. (oc)'!I438,0))</f>
        <v>1</v>
      </c>
      <c r="J438" s="125">
        <f>IF('Quant. mod. (oc)'!J438&lt;0,0,ROUND('Quant. mod. (oc)'!J438,0))</f>
        <v>1</v>
      </c>
      <c r="K438" s="125">
        <f>IF('Quant. mod. (oc)'!K438&lt;0,0,ROUND('Quant. mod. (oc)'!K438,0))</f>
        <v>1</v>
      </c>
      <c r="L438" s="125">
        <f>IF('Quant. mod. (oc)'!L438&lt;0,0,ROUND('Quant. mod. (oc)'!L438,0))</f>
        <v>1</v>
      </c>
      <c r="M438" s="125">
        <f>IF('Quant. mod. (oc)'!M438&lt;0,0,ROUND('Quant. mod. (oc)'!M438,0))</f>
        <v>1</v>
      </c>
      <c r="N438" s="125">
        <f>IF('Quant. mod. (oc)'!N438&lt;0,0,ROUND('Quant. mod. (oc)'!N438,0))</f>
        <v>1</v>
      </c>
      <c r="O438" s="125">
        <f>IF('Quant. mod. (oc)'!O438&lt;0,0,ROUND('Quant. mod. (oc)'!O438,0))</f>
        <v>1</v>
      </c>
      <c r="P438" s="125">
        <f>IF('Quant. mod. (oc)'!P438&lt;0,0,ROUND('Quant. mod. (oc)'!P438,0))</f>
        <v>1</v>
      </c>
      <c r="Q438" s="125">
        <f>IF('Quant. mod. (oc)'!Q438&lt;0,0,ROUND('Quant. mod. (oc)'!Q438,0))</f>
        <v>1</v>
      </c>
      <c r="R438" s="125">
        <f>IF('Quant. mod. (oc)'!R438&lt;0,0,ROUND('Quant. mod. (oc)'!R438,0))</f>
        <v>1</v>
      </c>
      <c r="S438" s="125">
        <f>IF('Quant. mod. (oc)'!S438&lt;0,0,ROUND('Quant. mod. (oc)'!S438,0))</f>
        <v>1</v>
      </c>
      <c r="T438" s="125">
        <f>IF('Quant. mod. (oc)'!T438&lt;0,0,ROUND('Quant. mod. (oc)'!T438,0))</f>
        <v>1</v>
      </c>
      <c r="U438" s="125">
        <f>IF('Quant. mod. (oc)'!U438&lt;0,0,ROUND('Quant. mod. (oc)'!U438,0))</f>
        <v>1</v>
      </c>
      <c r="V438" s="125">
        <f>IF('Quant. mod. (oc)'!V438&lt;0,0,ROUND('Quant. mod. (oc)'!V438,0))</f>
        <v>1</v>
      </c>
      <c r="W438" s="125">
        <f>IF('Quant. mod. (oc)'!W438&lt;0,0,ROUND('Quant. mod. (oc)'!W438,0))</f>
        <v>1</v>
      </c>
      <c r="X438" s="125">
        <f>IF('Quant. mod. (oc)'!X438&lt;0,0,ROUND('Quant. mod. (oc)'!X438,0))</f>
        <v>1</v>
      </c>
      <c r="Y438" s="125">
        <f>IF('Quant. mod. (oc)'!Y438&lt;0,0,ROUND('Quant. mod. (oc)'!Y438,0))</f>
        <v>1</v>
      </c>
      <c r="Z438" s="125">
        <f>IF('Quant. mod. (oc)'!Z438&lt;0,0,ROUND('Quant. mod. (oc)'!Z438,0))</f>
        <v>1</v>
      </c>
      <c r="AA438" s="125">
        <f>IF('Quant. mod. (oc)'!AA438&lt;0,0,ROUND('Quant. mod. (oc)'!AA438,0))</f>
        <v>1</v>
      </c>
      <c r="AB438" s="125">
        <f>IF('Quant. mod. (oc)'!AB438&lt;0,0,ROUND('Quant. mod. (oc)'!AB438,0))</f>
        <v>1</v>
      </c>
      <c r="AC438" s="125">
        <f>IF('Quant. mod. (oc)'!AC438&lt;0,0,ROUND('Quant. mod. (oc)'!AC438,0))</f>
        <v>1</v>
      </c>
      <c r="AD438" s="125">
        <f>IF('Quant. mod. (oc)'!AD438&lt;0,0,ROUND('Quant. mod. (oc)'!AD438,0))</f>
        <v>1</v>
      </c>
      <c r="AE438" s="125">
        <f>IF('Quant. mod. (oc)'!AE438&lt;0,0,ROUND('Quant. mod. (oc)'!AE438,0))</f>
        <v>1</v>
      </c>
      <c r="AF438" s="125">
        <f>IF('Quant. mod. (oc)'!AF438&lt;0,0,ROUND('Quant. mod. (oc)'!AF438,0))</f>
        <v>1</v>
      </c>
      <c r="AG438" s="126">
        <f>IF('Quant. mod. (oc)'!AG438&lt;0,0,ROUND('Quant. mod. (oc)'!AG438,0))</f>
        <v>1</v>
      </c>
      <c r="AH438" s="22"/>
    </row>
    <row r="439" spans="1:34" x14ac:dyDescent="0.25">
      <c r="A439" s="112"/>
      <c r="B439" s="136" t="s">
        <v>147</v>
      </c>
      <c r="C439" s="67" t="s">
        <v>59</v>
      </c>
      <c r="D439" s="125">
        <f>IF('Quant. mod. (oc)'!D439&lt;0,0,ROUND('Quant. mod. (oc)'!D439,0))</f>
        <v>1</v>
      </c>
      <c r="E439" s="125">
        <f>IF('Quant. mod. (oc)'!E439&lt;0,0,ROUND('Quant. mod. (oc)'!E439,0))</f>
        <v>1</v>
      </c>
      <c r="F439" s="125">
        <f>IF('Quant. mod. (oc)'!F439&lt;0,0,ROUND('Quant. mod. (oc)'!F439,0))</f>
        <v>1</v>
      </c>
      <c r="G439" s="125">
        <f>IF('Quant. mod. (oc)'!G439&lt;0,0,ROUND('Quant. mod. (oc)'!G439,0))</f>
        <v>1</v>
      </c>
      <c r="H439" s="125">
        <f>IF('Quant. mod. (oc)'!H439&lt;0,0,ROUND('Quant. mod. (oc)'!H439,0))</f>
        <v>1</v>
      </c>
      <c r="I439" s="125">
        <f>IF('Quant. mod. (oc)'!I439&lt;0,0,ROUND('Quant. mod. (oc)'!I439,0))</f>
        <v>1</v>
      </c>
      <c r="J439" s="125">
        <f>IF('Quant. mod. (oc)'!J439&lt;0,0,ROUND('Quant. mod. (oc)'!J439,0))</f>
        <v>1</v>
      </c>
      <c r="K439" s="125">
        <f>IF('Quant. mod. (oc)'!K439&lt;0,0,ROUND('Quant. mod. (oc)'!K439,0))</f>
        <v>1</v>
      </c>
      <c r="L439" s="125">
        <f>IF('Quant. mod. (oc)'!L439&lt;0,0,ROUND('Quant. mod. (oc)'!L439,0))</f>
        <v>1</v>
      </c>
      <c r="M439" s="125">
        <f>IF('Quant. mod. (oc)'!M439&lt;0,0,ROUND('Quant. mod. (oc)'!M439,0))</f>
        <v>1</v>
      </c>
      <c r="N439" s="125">
        <f>IF('Quant. mod. (oc)'!N439&lt;0,0,ROUND('Quant. mod. (oc)'!N439,0))</f>
        <v>1</v>
      </c>
      <c r="O439" s="125">
        <f>IF('Quant. mod. (oc)'!O439&lt;0,0,ROUND('Quant. mod. (oc)'!O439,0))</f>
        <v>1</v>
      </c>
      <c r="P439" s="125">
        <f>IF('Quant. mod. (oc)'!P439&lt;0,0,ROUND('Quant. mod. (oc)'!P439,0))</f>
        <v>1</v>
      </c>
      <c r="Q439" s="125">
        <f>IF('Quant. mod. (oc)'!Q439&lt;0,0,ROUND('Quant. mod. (oc)'!Q439,0))</f>
        <v>1</v>
      </c>
      <c r="R439" s="125">
        <f>IF('Quant. mod. (oc)'!R439&lt;0,0,ROUND('Quant. mod. (oc)'!R439,0))</f>
        <v>1</v>
      </c>
      <c r="S439" s="125">
        <f>IF('Quant. mod. (oc)'!S439&lt;0,0,ROUND('Quant. mod. (oc)'!S439,0))</f>
        <v>1</v>
      </c>
      <c r="T439" s="125">
        <f>IF('Quant. mod. (oc)'!T439&lt;0,0,ROUND('Quant. mod. (oc)'!T439,0))</f>
        <v>1</v>
      </c>
      <c r="U439" s="125">
        <f>IF('Quant. mod. (oc)'!U439&lt;0,0,ROUND('Quant. mod. (oc)'!U439,0))</f>
        <v>1</v>
      </c>
      <c r="V439" s="125">
        <f>IF('Quant. mod. (oc)'!V439&lt;0,0,ROUND('Quant. mod. (oc)'!V439,0))</f>
        <v>1</v>
      </c>
      <c r="W439" s="125">
        <f>IF('Quant. mod. (oc)'!W439&lt;0,0,ROUND('Quant. mod. (oc)'!W439,0))</f>
        <v>1</v>
      </c>
      <c r="X439" s="125">
        <f>IF('Quant. mod. (oc)'!X439&lt;0,0,ROUND('Quant. mod. (oc)'!X439,0))</f>
        <v>1</v>
      </c>
      <c r="Y439" s="125">
        <f>IF('Quant. mod. (oc)'!Y439&lt;0,0,ROUND('Quant. mod. (oc)'!Y439,0))</f>
        <v>1</v>
      </c>
      <c r="Z439" s="125">
        <f>IF('Quant. mod. (oc)'!Z439&lt;0,0,ROUND('Quant. mod. (oc)'!Z439,0))</f>
        <v>1</v>
      </c>
      <c r="AA439" s="125">
        <f>IF('Quant. mod. (oc)'!AA439&lt;0,0,ROUND('Quant. mod. (oc)'!AA439,0))</f>
        <v>1</v>
      </c>
      <c r="AB439" s="125">
        <f>IF('Quant. mod. (oc)'!AB439&lt;0,0,ROUND('Quant. mod. (oc)'!AB439,0))</f>
        <v>1</v>
      </c>
      <c r="AC439" s="125">
        <f>IF('Quant. mod. (oc)'!AC439&lt;0,0,ROUND('Quant. mod. (oc)'!AC439,0))</f>
        <v>1</v>
      </c>
      <c r="AD439" s="125">
        <f>IF('Quant. mod. (oc)'!AD439&lt;0,0,ROUND('Quant. mod. (oc)'!AD439,0))</f>
        <v>1</v>
      </c>
      <c r="AE439" s="125">
        <f>IF('Quant. mod. (oc)'!AE439&lt;0,0,ROUND('Quant. mod. (oc)'!AE439,0))</f>
        <v>1</v>
      </c>
      <c r="AF439" s="125">
        <f>IF('Quant. mod. (oc)'!AF439&lt;0,0,ROUND('Quant. mod. (oc)'!AF439,0))</f>
        <v>1</v>
      </c>
      <c r="AG439" s="126">
        <f>IF('Quant. mod. (oc)'!AG439&lt;0,0,ROUND('Quant. mod. (oc)'!AG439,0))</f>
        <v>1</v>
      </c>
      <c r="AH439" s="22"/>
    </row>
    <row r="440" spans="1:34" x14ac:dyDescent="0.25">
      <c r="A440" s="112"/>
      <c r="B440" s="136" t="s">
        <v>148</v>
      </c>
      <c r="C440" s="67" t="s">
        <v>59</v>
      </c>
      <c r="D440" s="125">
        <f>IF('Quant. mod. (oc)'!D440&lt;0,0,ROUND('Quant. mod. (oc)'!D440,0))</f>
        <v>1</v>
      </c>
      <c r="E440" s="125">
        <f>IF('Quant. mod. (oc)'!E440&lt;0,0,ROUND('Quant. mod. (oc)'!E440,0))</f>
        <v>1</v>
      </c>
      <c r="F440" s="125">
        <f>IF('Quant. mod. (oc)'!F440&lt;0,0,ROUND('Quant. mod. (oc)'!F440,0))</f>
        <v>1</v>
      </c>
      <c r="G440" s="125">
        <f>IF('Quant. mod. (oc)'!G440&lt;0,0,ROUND('Quant. mod. (oc)'!G440,0))</f>
        <v>1</v>
      </c>
      <c r="H440" s="125">
        <f>IF('Quant. mod. (oc)'!H440&lt;0,0,ROUND('Quant. mod. (oc)'!H440,0))</f>
        <v>1</v>
      </c>
      <c r="I440" s="125">
        <f>IF('Quant. mod. (oc)'!I440&lt;0,0,ROUND('Quant. mod. (oc)'!I440,0))</f>
        <v>1</v>
      </c>
      <c r="J440" s="125">
        <f>IF('Quant. mod. (oc)'!J440&lt;0,0,ROUND('Quant. mod. (oc)'!J440,0))</f>
        <v>1</v>
      </c>
      <c r="K440" s="125">
        <f>IF('Quant. mod. (oc)'!K440&lt;0,0,ROUND('Quant. mod. (oc)'!K440,0))</f>
        <v>1</v>
      </c>
      <c r="L440" s="125">
        <f>IF('Quant. mod. (oc)'!L440&lt;0,0,ROUND('Quant. mod. (oc)'!L440,0))</f>
        <v>1</v>
      </c>
      <c r="M440" s="125">
        <f>IF('Quant. mod. (oc)'!M440&lt;0,0,ROUND('Quant. mod. (oc)'!M440,0))</f>
        <v>1</v>
      </c>
      <c r="N440" s="125">
        <f>IF('Quant. mod. (oc)'!N440&lt;0,0,ROUND('Quant. mod. (oc)'!N440,0))</f>
        <v>1</v>
      </c>
      <c r="O440" s="125">
        <f>IF('Quant. mod. (oc)'!O440&lt;0,0,ROUND('Quant. mod. (oc)'!O440,0))</f>
        <v>1</v>
      </c>
      <c r="P440" s="125">
        <f>IF('Quant. mod. (oc)'!P440&lt;0,0,ROUND('Quant. mod. (oc)'!P440,0))</f>
        <v>1</v>
      </c>
      <c r="Q440" s="125">
        <f>IF('Quant. mod. (oc)'!Q440&lt;0,0,ROUND('Quant. mod. (oc)'!Q440,0))</f>
        <v>1</v>
      </c>
      <c r="R440" s="125">
        <f>IF('Quant. mod. (oc)'!R440&lt;0,0,ROUND('Quant. mod. (oc)'!R440,0))</f>
        <v>1</v>
      </c>
      <c r="S440" s="125">
        <f>IF('Quant. mod. (oc)'!S440&lt;0,0,ROUND('Quant. mod. (oc)'!S440,0))</f>
        <v>1</v>
      </c>
      <c r="T440" s="125">
        <f>IF('Quant. mod. (oc)'!T440&lt;0,0,ROUND('Quant. mod. (oc)'!T440,0))</f>
        <v>1</v>
      </c>
      <c r="U440" s="125">
        <f>IF('Quant. mod. (oc)'!U440&lt;0,0,ROUND('Quant. mod. (oc)'!U440,0))</f>
        <v>1</v>
      </c>
      <c r="V440" s="125">
        <f>IF('Quant. mod. (oc)'!V440&lt;0,0,ROUND('Quant. mod. (oc)'!V440,0))</f>
        <v>1</v>
      </c>
      <c r="W440" s="125">
        <f>IF('Quant. mod. (oc)'!W440&lt;0,0,ROUND('Quant. mod. (oc)'!W440,0))</f>
        <v>1</v>
      </c>
      <c r="X440" s="125">
        <f>IF('Quant. mod. (oc)'!X440&lt;0,0,ROUND('Quant. mod. (oc)'!X440,0))</f>
        <v>1</v>
      </c>
      <c r="Y440" s="125">
        <f>IF('Quant. mod. (oc)'!Y440&lt;0,0,ROUND('Quant. mod. (oc)'!Y440,0))</f>
        <v>1</v>
      </c>
      <c r="Z440" s="125">
        <f>IF('Quant. mod. (oc)'!Z440&lt;0,0,ROUND('Quant. mod. (oc)'!Z440,0))</f>
        <v>1</v>
      </c>
      <c r="AA440" s="125">
        <f>IF('Quant. mod. (oc)'!AA440&lt;0,0,ROUND('Quant. mod. (oc)'!AA440,0))</f>
        <v>1</v>
      </c>
      <c r="AB440" s="125">
        <f>IF('Quant. mod. (oc)'!AB440&lt;0,0,ROUND('Quant. mod. (oc)'!AB440,0))</f>
        <v>1</v>
      </c>
      <c r="AC440" s="125">
        <f>IF('Quant. mod. (oc)'!AC440&lt;0,0,ROUND('Quant. mod. (oc)'!AC440,0))</f>
        <v>1</v>
      </c>
      <c r="AD440" s="125">
        <f>IF('Quant. mod. (oc)'!AD440&lt;0,0,ROUND('Quant. mod. (oc)'!AD440,0))</f>
        <v>1</v>
      </c>
      <c r="AE440" s="125">
        <f>IF('Quant. mod. (oc)'!AE440&lt;0,0,ROUND('Quant. mod. (oc)'!AE440,0))</f>
        <v>1</v>
      </c>
      <c r="AF440" s="125">
        <f>IF('Quant. mod. (oc)'!AF440&lt;0,0,ROUND('Quant. mod. (oc)'!AF440,0))</f>
        <v>1</v>
      </c>
      <c r="AG440" s="126">
        <f>IF('Quant. mod. (oc)'!AG440&lt;0,0,ROUND('Quant. mod. (oc)'!AG440,0))</f>
        <v>1</v>
      </c>
      <c r="AH440" s="22"/>
    </row>
    <row r="441" spans="1:34" x14ac:dyDescent="0.25">
      <c r="A441" s="112"/>
      <c r="B441" s="136" t="s">
        <v>149</v>
      </c>
      <c r="C441" s="67" t="s">
        <v>59</v>
      </c>
      <c r="D441" s="125">
        <f>IF('Quant. mod. (oc)'!D441&lt;0,0,ROUND('Quant. mod. (oc)'!D441,0))</f>
        <v>1</v>
      </c>
      <c r="E441" s="125">
        <f>IF('Quant. mod. (oc)'!E441&lt;0,0,ROUND('Quant. mod. (oc)'!E441,0))</f>
        <v>1</v>
      </c>
      <c r="F441" s="125">
        <f>IF('Quant. mod. (oc)'!F441&lt;0,0,ROUND('Quant. mod. (oc)'!F441,0))</f>
        <v>1</v>
      </c>
      <c r="G441" s="125">
        <f>IF('Quant. mod. (oc)'!G441&lt;0,0,ROUND('Quant. mod. (oc)'!G441,0))</f>
        <v>1</v>
      </c>
      <c r="H441" s="125">
        <f>IF('Quant. mod. (oc)'!H441&lt;0,0,ROUND('Quant. mod. (oc)'!H441,0))</f>
        <v>1</v>
      </c>
      <c r="I441" s="125">
        <f>IF('Quant. mod. (oc)'!I441&lt;0,0,ROUND('Quant. mod. (oc)'!I441,0))</f>
        <v>1</v>
      </c>
      <c r="J441" s="125">
        <f>IF('Quant. mod. (oc)'!J441&lt;0,0,ROUND('Quant. mod. (oc)'!J441,0))</f>
        <v>1</v>
      </c>
      <c r="K441" s="125">
        <f>IF('Quant. mod. (oc)'!K441&lt;0,0,ROUND('Quant. mod. (oc)'!K441,0))</f>
        <v>1</v>
      </c>
      <c r="L441" s="125">
        <f>IF('Quant. mod. (oc)'!L441&lt;0,0,ROUND('Quant. mod. (oc)'!L441,0))</f>
        <v>1</v>
      </c>
      <c r="M441" s="125">
        <f>IF('Quant. mod. (oc)'!M441&lt;0,0,ROUND('Quant. mod. (oc)'!M441,0))</f>
        <v>1</v>
      </c>
      <c r="N441" s="125">
        <f>IF('Quant. mod. (oc)'!N441&lt;0,0,ROUND('Quant. mod. (oc)'!N441,0))</f>
        <v>1</v>
      </c>
      <c r="O441" s="125">
        <f>IF('Quant. mod. (oc)'!O441&lt;0,0,ROUND('Quant. mod. (oc)'!O441,0))</f>
        <v>1</v>
      </c>
      <c r="P441" s="125">
        <f>IF('Quant. mod. (oc)'!P441&lt;0,0,ROUND('Quant. mod. (oc)'!P441,0))</f>
        <v>1</v>
      </c>
      <c r="Q441" s="125">
        <f>IF('Quant. mod. (oc)'!Q441&lt;0,0,ROUND('Quant. mod. (oc)'!Q441,0))</f>
        <v>1</v>
      </c>
      <c r="R441" s="125">
        <f>IF('Quant. mod. (oc)'!R441&lt;0,0,ROUND('Quant. mod. (oc)'!R441,0))</f>
        <v>1</v>
      </c>
      <c r="S441" s="125">
        <f>IF('Quant. mod. (oc)'!S441&lt;0,0,ROUND('Quant. mod. (oc)'!S441,0))</f>
        <v>1</v>
      </c>
      <c r="T441" s="125">
        <f>IF('Quant. mod. (oc)'!T441&lt;0,0,ROUND('Quant. mod. (oc)'!T441,0))</f>
        <v>1</v>
      </c>
      <c r="U441" s="125">
        <f>IF('Quant. mod. (oc)'!U441&lt;0,0,ROUND('Quant. mod. (oc)'!U441,0))</f>
        <v>1</v>
      </c>
      <c r="V441" s="125">
        <f>IF('Quant. mod. (oc)'!V441&lt;0,0,ROUND('Quant. mod. (oc)'!V441,0))</f>
        <v>1</v>
      </c>
      <c r="W441" s="125">
        <f>IF('Quant. mod. (oc)'!W441&lt;0,0,ROUND('Quant. mod. (oc)'!W441,0))</f>
        <v>1</v>
      </c>
      <c r="X441" s="125">
        <f>IF('Quant. mod. (oc)'!X441&lt;0,0,ROUND('Quant. mod. (oc)'!X441,0))</f>
        <v>1</v>
      </c>
      <c r="Y441" s="125">
        <f>IF('Quant. mod. (oc)'!Y441&lt;0,0,ROUND('Quant. mod. (oc)'!Y441,0))</f>
        <v>1</v>
      </c>
      <c r="Z441" s="125">
        <f>IF('Quant. mod. (oc)'!Z441&lt;0,0,ROUND('Quant. mod. (oc)'!Z441,0))</f>
        <v>1</v>
      </c>
      <c r="AA441" s="125">
        <f>IF('Quant. mod. (oc)'!AA441&lt;0,0,ROUND('Quant. mod. (oc)'!AA441,0))</f>
        <v>1</v>
      </c>
      <c r="AB441" s="125">
        <f>IF('Quant. mod. (oc)'!AB441&lt;0,0,ROUND('Quant. mod. (oc)'!AB441,0))</f>
        <v>1</v>
      </c>
      <c r="AC441" s="125">
        <f>IF('Quant. mod. (oc)'!AC441&lt;0,0,ROUND('Quant. mod. (oc)'!AC441,0))</f>
        <v>1</v>
      </c>
      <c r="AD441" s="125">
        <f>IF('Quant. mod. (oc)'!AD441&lt;0,0,ROUND('Quant. mod. (oc)'!AD441,0))</f>
        <v>1</v>
      </c>
      <c r="AE441" s="125">
        <f>IF('Quant. mod. (oc)'!AE441&lt;0,0,ROUND('Quant. mod. (oc)'!AE441,0))</f>
        <v>1</v>
      </c>
      <c r="AF441" s="125">
        <f>IF('Quant. mod. (oc)'!AF441&lt;0,0,ROUND('Quant. mod. (oc)'!AF441,0))</f>
        <v>1</v>
      </c>
      <c r="AG441" s="126">
        <f>IF('Quant. mod. (oc)'!AG441&lt;0,0,ROUND('Quant. mod. (oc)'!AG441,0))</f>
        <v>1</v>
      </c>
      <c r="AH441" s="22"/>
    </row>
    <row r="442" spans="1:34" x14ac:dyDescent="0.25">
      <c r="A442" s="112"/>
      <c r="B442" s="136" t="s">
        <v>150</v>
      </c>
      <c r="C442" s="67" t="s">
        <v>59</v>
      </c>
      <c r="D442" s="125">
        <f>IF('Quant. mod. (oc)'!D442&lt;0,0,ROUND('Quant. mod. (oc)'!D442,0))</f>
        <v>1</v>
      </c>
      <c r="E442" s="125">
        <f>IF('Quant. mod. (oc)'!E442&lt;0,0,ROUND('Quant. mod. (oc)'!E442,0))</f>
        <v>1</v>
      </c>
      <c r="F442" s="125">
        <f>IF('Quant. mod. (oc)'!F442&lt;0,0,ROUND('Quant. mod. (oc)'!F442,0))</f>
        <v>1</v>
      </c>
      <c r="G442" s="125">
        <f>IF('Quant. mod. (oc)'!G442&lt;0,0,ROUND('Quant. mod. (oc)'!G442,0))</f>
        <v>1</v>
      </c>
      <c r="H442" s="125">
        <f>IF('Quant. mod. (oc)'!H442&lt;0,0,ROUND('Quant. mod. (oc)'!H442,0))</f>
        <v>1</v>
      </c>
      <c r="I442" s="125">
        <f>IF('Quant. mod. (oc)'!I442&lt;0,0,ROUND('Quant. mod. (oc)'!I442,0))</f>
        <v>1</v>
      </c>
      <c r="J442" s="125">
        <f>IF('Quant. mod. (oc)'!J442&lt;0,0,ROUND('Quant. mod. (oc)'!J442,0))</f>
        <v>1</v>
      </c>
      <c r="K442" s="125">
        <f>IF('Quant. mod. (oc)'!K442&lt;0,0,ROUND('Quant. mod. (oc)'!K442,0))</f>
        <v>1</v>
      </c>
      <c r="L442" s="125">
        <f>IF('Quant. mod. (oc)'!L442&lt;0,0,ROUND('Quant. mod. (oc)'!L442,0))</f>
        <v>1</v>
      </c>
      <c r="M442" s="125">
        <f>IF('Quant. mod. (oc)'!M442&lt;0,0,ROUND('Quant. mod. (oc)'!M442,0))</f>
        <v>1</v>
      </c>
      <c r="N442" s="125">
        <f>IF('Quant. mod. (oc)'!N442&lt;0,0,ROUND('Quant. mod. (oc)'!N442,0))</f>
        <v>1</v>
      </c>
      <c r="O442" s="125">
        <f>IF('Quant. mod. (oc)'!O442&lt;0,0,ROUND('Quant. mod. (oc)'!O442,0))</f>
        <v>1</v>
      </c>
      <c r="P442" s="125">
        <f>IF('Quant. mod. (oc)'!P442&lt;0,0,ROUND('Quant. mod. (oc)'!P442,0))</f>
        <v>1</v>
      </c>
      <c r="Q442" s="125">
        <f>IF('Quant. mod. (oc)'!Q442&lt;0,0,ROUND('Quant. mod. (oc)'!Q442,0))</f>
        <v>1</v>
      </c>
      <c r="R442" s="125">
        <f>IF('Quant. mod. (oc)'!R442&lt;0,0,ROUND('Quant. mod. (oc)'!R442,0))</f>
        <v>1</v>
      </c>
      <c r="S442" s="125">
        <f>IF('Quant. mod. (oc)'!S442&lt;0,0,ROUND('Quant. mod. (oc)'!S442,0))</f>
        <v>1</v>
      </c>
      <c r="T442" s="125">
        <f>IF('Quant. mod. (oc)'!T442&lt;0,0,ROUND('Quant. mod. (oc)'!T442,0))</f>
        <v>1</v>
      </c>
      <c r="U442" s="125">
        <f>IF('Quant. mod. (oc)'!U442&lt;0,0,ROUND('Quant. mod. (oc)'!U442,0))</f>
        <v>1</v>
      </c>
      <c r="V442" s="125">
        <f>IF('Quant. mod. (oc)'!V442&lt;0,0,ROUND('Quant. mod. (oc)'!V442,0))</f>
        <v>1</v>
      </c>
      <c r="W442" s="125">
        <f>IF('Quant. mod. (oc)'!W442&lt;0,0,ROUND('Quant. mod. (oc)'!W442,0))</f>
        <v>1</v>
      </c>
      <c r="X442" s="125">
        <f>IF('Quant. mod. (oc)'!X442&lt;0,0,ROUND('Quant. mod. (oc)'!X442,0))</f>
        <v>1</v>
      </c>
      <c r="Y442" s="125">
        <f>IF('Quant. mod. (oc)'!Y442&lt;0,0,ROUND('Quant. mod. (oc)'!Y442,0))</f>
        <v>1</v>
      </c>
      <c r="Z442" s="125">
        <f>IF('Quant. mod. (oc)'!Z442&lt;0,0,ROUND('Quant. mod. (oc)'!Z442,0))</f>
        <v>1</v>
      </c>
      <c r="AA442" s="125">
        <f>IF('Quant. mod. (oc)'!AA442&lt;0,0,ROUND('Quant. mod. (oc)'!AA442,0))</f>
        <v>1</v>
      </c>
      <c r="AB442" s="125">
        <f>IF('Quant. mod. (oc)'!AB442&lt;0,0,ROUND('Quant. mod. (oc)'!AB442,0))</f>
        <v>1</v>
      </c>
      <c r="AC442" s="125">
        <f>IF('Quant. mod. (oc)'!AC442&lt;0,0,ROUND('Quant. mod. (oc)'!AC442,0))</f>
        <v>1</v>
      </c>
      <c r="AD442" s="125">
        <f>IF('Quant. mod. (oc)'!AD442&lt;0,0,ROUND('Quant. mod. (oc)'!AD442,0))</f>
        <v>1</v>
      </c>
      <c r="AE442" s="125">
        <f>IF('Quant. mod. (oc)'!AE442&lt;0,0,ROUND('Quant. mod. (oc)'!AE442,0))</f>
        <v>1</v>
      </c>
      <c r="AF442" s="125">
        <f>IF('Quant. mod. (oc)'!AF442&lt;0,0,ROUND('Quant. mod. (oc)'!AF442,0))</f>
        <v>1</v>
      </c>
      <c r="AG442" s="126">
        <f>IF('Quant. mod. (oc)'!AG442&lt;0,0,ROUND('Quant. mod. (oc)'!AG442,0))</f>
        <v>1</v>
      </c>
      <c r="AH442" s="22"/>
    </row>
    <row r="443" spans="1:34" x14ac:dyDescent="0.25">
      <c r="A443" s="112"/>
      <c r="B443" s="136" t="s">
        <v>151</v>
      </c>
      <c r="C443" s="67" t="s">
        <v>59</v>
      </c>
      <c r="D443" s="125">
        <f>IF('Quant. mod. (oc)'!D443&lt;0,0,ROUND('Quant. mod. (oc)'!D443,0))</f>
        <v>4</v>
      </c>
      <c r="E443" s="125">
        <f>IF('Quant. mod. (oc)'!E443&lt;0,0,ROUND('Quant. mod. (oc)'!E443,0))</f>
        <v>4</v>
      </c>
      <c r="F443" s="125">
        <f>IF('Quant. mod. (oc)'!F443&lt;0,0,ROUND('Quant. mod. (oc)'!F443,0))</f>
        <v>4</v>
      </c>
      <c r="G443" s="125">
        <f>IF('Quant. mod. (oc)'!G443&lt;0,0,ROUND('Quant. mod. (oc)'!G443,0))</f>
        <v>4</v>
      </c>
      <c r="H443" s="125">
        <f>IF('Quant. mod. (oc)'!H443&lt;0,0,ROUND('Quant. mod. (oc)'!H443,0))</f>
        <v>4</v>
      </c>
      <c r="I443" s="125">
        <f>IF('Quant. mod. (oc)'!I443&lt;0,0,ROUND('Quant. mod. (oc)'!I443,0))</f>
        <v>4</v>
      </c>
      <c r="J443" s="125">
        <f>IF('Quant. mod. (oc)'!J443&lt;0,0,ROUND('Quant. mod. (oc)'!J443,0))</f>
        <v>4</v>
      </c>
      <c r="K443" s="125">
        <f>IF('Quant. mod. (oc)'!K443&lt;0,0,ROUND('Quant. mod. (oc)'!K443,0))</f>
        <v>4</v>
      </c>
      <c r="L443" s="125">
        <f>IF('Quant. mod. (oc)'!L443&lt;0,0,ROUND('Quant. mod. (oc)'!L443,0))</f>
        <v>4</v>
      </c>
      <c r="M443" s="125">
        <f>IF('Quant. mod. (oc)'!M443&lt;0,0,ROUND('Quant. mod. (oc)'!M443,0))</f>
        <v>4</v>
      </c>
      <c r="N443" s="125">
        <f>IF('Quant. mod. (oc)'!N443&lt;0,0,ROUND('Quant. mod. (oc)'!N443,0))</f>
        <v>4</v>
      </c>
      <c r="O443" s="125">
        <f>IF('Quant. mod. (oc)'!O443&lt;0,0,ROUND('Quant. mod. (oc)'!O443,0))</f>
        <v>4</v>
      </c>
      <c r="P443" s="125">
        <f>IF('Quant. mod. (oc)'!P443&lt;0,0,ROUND('Quant. mod. (oc)'!P443,0))</f>
        <v>4</v>
      </c>
      <c r="Q443" s="125">
        <f>IF('Quant. mod. (oc)'!Q443&lt;0,0,ROUND('Quant. mod. (oc)'!Q443,0))</f>
        <v>4</v>
      </c>
      <c r="R443" s="125">
        <f>IF('Quant. mod. (oc)'!R443&lt;0,0,ROUND('Quant. mod. (oc)'!R443,0))</f>
        <v>4</v>
      </c>
      <c r="S443" s="125">
        <f>IF('Quant. mod. (oc)'!S443&lt;0,0,ROUND('Quant. mod. (oc)'!S443,0))</f>
        <v>4</v>
      </c>
      <c r="T443" s="125">
        <f>IF('Quant. mod. (oc)'!T443&lt;0,0,ROUND('Quant. mod. (oc)'!T443,0))</f>
        <v>4</v>
      </c>
      <c r="U443" s="125">
        <f>IF('Quant. mod. (oc)'!U443&lt;0,0,ROUND('Quant. mod. (oc)'!U443,0))</f>
        <v>4</v>
      </c>
      <c r="V443" s="125">
        <f>IF('Quant. mod. (oc)'!V443&lt;0,0,ROUND('Quant. mod. (oc)'!V443,0))</f>
        <v>4</v>
      </c>
      <c r="W443" s="125">
        <f>IF('Quant. mod. (oc)'!W443&lt;0,0,ROUND('Quant. mod. (oc)'!W443,0))</f>
        <v>4</v>
      </c>
      <c r="X443" s="125">
        <f>IF('Quant. mod. (oc)'!X443&lt;0,0,ROUND('Quant. mod. (oc)'!X443,0))</f>
        <v>4</v>
      </c>
      <c r="Y443" s="125">
        <f>IF('Quant. mod. (oc)'!Y443&lt;0,0,ROUND('Quant. mod. (oc)'!Y443,0))</f>
        <v>4</v>
      </c>
      <c r="Z443" s="125">
        <f>IF('Quant. mod. (oc)'!Z443&lt;0,0,ROUND('Quant. mod. (oc)'!Z443,0))</f>
        <v>4</v>
      </c>
      <c r="AA443" s="125">
        <f>IF('Quant. mod. (oc)'!AA443&lt;0,0,ROUND('Quant. mod. (oc)'!AA443,0))</f>
        <v>4</v>
      </c>
      <c r="AB443" s="125">
        <f>IF('Quant. mod. (oc)'!AB443&lt;0,0,ROUND('Quant. mod. (oc)'!AB443,0))</f>
        <v>4</v>
      </c>
      <c r="AC443" s="125">
        <f>IF('Quant. mod. (oc)'!AC443&lt;0,0,ROUND('Quant. mod. (oc)'!AC443,0))</f>
        <v>4</v>
      </c>
      <c r="AD443" s="125">
        <f>IF('Quant. mod. (oc)'!AD443&lt;0,0,ROUND('Quant. mod. (oc)'!AD443,0))</f>
        <v>4</v>
      </c>
      <c r="AE443" s="125">
        <f>IF('Quant. mod. (oc)'!AE443&lt;0,0,ROUND('Quant. mod. (oc)'!AE443,0))</f>
        <v>4</v>
      </c>
      <c r="AF443" s="125">
        <f>IF('Quant. mod. (oc)'!AF443&lt;0,0,ROUND('Quant. mod. (oc)'!AF443,0))</f>
        <v>4</v>
      </c>
      <c r="AG443" s="126">
        <f>IF('Quant. mod. (oc)'!AG443&lt;0,0,ROUND('Quant. mod. (oc)'!AG443,0))</f>
        <v>4</v>
      </c>
      <c r="AH443" s="22"/>
    </row>
    <row r="444" spans="1:34" x14ac:dyDescent="0.25">
      <c r="A444" s="112"/>
      <c r="B444" s="136" t="s">
        <v>152</v>
      </c>
      <c r="C444" s="67" t="s">
        <v>59</v>
      </c>
      <c r="D444" s="125">
        <f>IF('Quant. mod. (oc)'!D444&lt;0,0,ROUND('Quant. mod. (oc)'!D444,0))</f>
        <v>1</v>
      </c>
      <c r="E444" s="125">
        <f>IF('Quant. mod. (oc)'!E444&lt;0,0,ROUND('Quant. mod. (oc)'!E444,0))</f>
        <v>1</v>
      </c>
      <c r="F444" s="125">
        <f>IF('Quant. mod. (oc)'!F444&lt;0,0,ROUND('Quant. mod. (oc)'!F444,0))</f>
        <v>1</v>
      </c>
      <c r="G444" s="125">
        <f>IF('Quant. mod. (oc)'!G444&lt;0,0,ROUND('Quant. mod. (oc)'!G444,0))</f>
        <v>1</v>
      </c>
      <c r="H444" s="125">
        <f>IF('Quant. mod. (oc)'!H444&lt;0,0,ROUND('Quant. mod. (oc)'!H444,0))</f>
        <v>1</v>
      </c>
      <c r="I444" s="125">
        <f>IF('Quant. mod. (oc)'!I444&lt;0,0,ROUND('Quant. mod. (oc)'!I444,0))</f>
        <v>1</v>
      </c>
      <c r="J444" s="125">
        <f>IF('Quant. mod. (oc)'!J444&lt;0,0,ROUND('Quant. mod. (oc)'!J444,0))</f>
        <v>1</v>
      </c>
      <c r="K444" s="125">
        <f>IF('Quant. mod. (oc)'!K444&lt;0,0,ROUND('Quant. mod. (oc)'!K444,0))</f>
        <v>1</v>
      </c>
      <c r="L444" s="125">
        <f>IF('Quant. mod. (oc)'!L444&lt;0,0,ROUND('Quant. mod. (oc)'!L444,0))</f>
        <v>1</v>
      </c>
      <c r="M444" s="125">
        <f>IF('Quant. mod. (oc)'!M444&lt;0,0,ROUND('Quant. mod. (oc)'!M444,0))</f>
        <v>1</v>
      </c>
      <c r="N444" s="125">
        <f>IF('Quant. mod. (oc)'!N444&lt;0,0,ROUND('Quant. mod. (oc)'!N444,0))</f>
        <v>1</v>
      </c>
      <c r="O444" s="125">
        <f>IF('Quant. mod. (oc)'!O444&lt;0,0,ROUND('Quant. mod. (oc)'!O444,0))</f>
        <v>1</v>
      </c>
      <c r="P444" s="125">
        <f>IF('Quant. mod. (oc)'!P444&lt;0,0,ROUND('Quant. mod. (oc)'!P444,0))</f>
        <v>1</v>
      </c>
      <c r="Q444" s="125">
        <f>IF('Quant. mod. (oc)'!Q444&lt;0,0,ROUND('Quant. mod. (oc)'!Q444,0))</f>
        <v>1</v>
      </c>
      <c r="R444" s="125">
        <f>IF('Quant. mod. (oc)'!R444&lt;0,0,ROUND('Quant. mod. (oc)'!R444,0))</f>
        <v>1</v>
      </c>
      <c r="S444" s="125">
        <f>IF('Quant. mod. (oc)'!S444&lt;0,0,ROUND('Quant. mod. (oc)'!S444,0))</f>
        <v>1</v>
      </c>
      <c r="T444" s="125">
        <f>IF('Quant. mod. (oc)'!T444&lt;0,0,ROUND('Quant. mod. (oc)'!T444,0))</f>
        <v>1</v>
      </c>
      <c r="U444" s="125">
        <f>IF('Quant. mod. (oc)'!U444&lt;0,0,ROUND('Quant. mod. (oc)'!U444,0))</f>
        <v>1</v>
      </c>
      <c r="V444" s="125">
        <f>IF('Quant. mod. (oc)'!V444&lt;0,0,ROUND('Quant. mod. (oc)'!V444,0))</f>
        <v>1</v>
      </c>
      <c r="W444" s="125">
        <f>IF('Quant. mod. (oc)'!W444&lt;0,0,ROUND('Quant. mod. (oc)'!W444,0))</f>
        <v>1</v>
      </c>
      <c r="X444" s="125">
        <f>IF('Quant. mod. (oc)'!X444&lt;0,0,ROUND('Quant. mod. (oc)'!X444,0))</f>
        <v>1</v>
      </c>
      <c r="Y444" s="125">
        <f>IF('Quant. mod. (oc)'!Y444&lt;0,0,ROUND('Quant. mod. (oc)'!Y444,0))</f>
        <v>1</v>
      </c>
      <c r="Z444" s="125">
        <f>IF('Quant. mod. (oc)'!Z444&lt;0,0,ROUND('Quant. mod. (oc)'!Z444,0))</f>
        <v>1</v>
      </c>
      <c r="AA444" s="125">
        <f>IF('Quant. mod. (oc)'!AA444&lt;0,0,ROUND('Quant. mod. (oc)'!AA444,0))</f>
        <v>1</v>
      </c>
      <c r="AB444" s="125">
        <f>IF('Quant. mod. (oc)'!AB444&lt;0,0,ROUND('Quant. mod. (oc)'!AB444,0))</f>
        <v>1</v>
      </c>
      <c r="AC444" s="125">
        <f>IF('Quant. mod. (oc)'!AC444&lt;0,0,ROUND('Quant. mod. (oc)'!AC444,0))</f>
        <v>1</v>
      </c>
      <c r="AD444" s="125">
        <f>IF('Quant. mod. (oc)'!AD444&lt;0,0,ROUND('Quant. mod. (oc)'!AD444,0))</f>
        <v>1</v>
      </c>
      <c r="AE444" s="125">
        <f>IF('Quant. mod. (oc)'!AE444&lt;0,0,ROUND('Quant. mod. (oc)'!AE444,0))</f>
        <v>1</v>
      </c>
      <c r="AF444" s="125">
        <f>IF('Quant. mod. (oc)'!AF444&lt;0,0,ROUND('Quant. mod. (oc)'!AF444,0))</f>
        <v>1</v>
      </c>
      <c r="AG444" s="126">
        <f>IF('Quant. mod. (oc)'!AG444&lt;0,0,ROUND('Quant. mod. (oc)'!AG444,0))</f>
        <v>1</v>
      </c>
      <c r="AH444" s="22"/>
    </row>
    <row r="445" spans="1:34" x14ac:dyDescent="0.25">
      <c r="A445" s="112"/>
      <c r="B445" s="136" t="s">
        <v>153</v>
      </c>
      <c r="C445" s="67" t="s">
        <v>59</v>
      </c>
      <c r="D445" s="125">
        <f>IF('Quant. mod. (oc)'!D445&lt;0,0,ROUND('Quant. mod. (oc)'!D445,0))</f>
        <v>1</v>
      </c>
      <c r="E445" s="125">
        <f>IF('Quant. mod. (oc)'!E445&lt;0,0,ROUND('Quant. mod. (oc)'!E445,0))</f>
        <v>1</v>
      </c>
      <c r="F445" s="125">
        <f>IF('Quant. mod. (oc)'!F445&lt;0,0,ROUND('Quant. mod. (oc)'!F445,0))</f>
        <v>1</v>
      </c>
      <c r="G445" s="125">
        <f>IF('Quant. mod. (oc)'!G445&lt;0,0,ROUND('Quant. mod. (oc)'!G445,0))</f>
        <v>1</v>
      </c>
      <c r="H445" s="125">
        <f>IF('Quant. mod. (oc)'!H445&lt;0,0,ROUND('Quant. mod. (oc)'!H445,0))</f>
        <v>1</v>
      </c>
      <c r="I445" s="125">
        <f>IF('Quant. mod. (oc)'!I445&lt;0,0,ROUND('Quant. mod. (oc)'!I445,0))</f>
        <v>1</v>
      </c>
      <c r="J445" s="125">
        <f>IF('Quant. mod. (oc)'!J445&lt;0,0,ROUND('Quant. mod. (oc)'!J445,0))</f>
        <v>1</v>
      </c>
      <c r="K445" s="125">
        <f>IF('Quant. mod. (oc)'!K445&lt;0,0,ROUND('Quant. mod. (oc)'!K445,0))</f>
        <v>1</v>
      </c>
      <c r="L445" s="125">
        <f>IF('Quant. mod. (oc)'!L445&lt;0,0,ROUND('Quant. mod. (oc)'!L445,0))</f>
        <v>1</v>
      </c>
      <c r="M445" s="125">
        <f>IF('Quant. mod. (oc)'!M445&lt;0,0,ROUND('Quant. mod. (oc)'!M445,0))</f>
        <v>1</v>
      </c>
      <c r="N445" s="125">
        <f>IF('Quant. mod. (oc)'!N445&lt;0,0,ROUND('Quant. mod. (oc)'!N445,0))</f>
        <v>1</v>
      </c>
      <c r="O445" s="125">
        <f>IF('Quant. mod. (oc)'!O445&lt;0,0,ROUND('Quant. mod. (oc)'!O445,0))</f>
        <v>1</v>
      </c>
      <c r="P445" s="125">
        <f>IF('Quant. mod. (oc)'!P445&lt;0,0,ROUND('Quant. mod. (oc)'!P445,0))</f>
        <v>1</v>
      </c>
      <c r="Q445" s="125">
        <f>IF('Quant. mod. (oc)'!Q445&lt;0,0,ROUND('Quant. mod. (oc)'!Q445,0))</f>
        <v>1</v>
      </c>
      <c r="R445" s="125">
        <f>IF('Quant. mod. (oc)'!R445&lt;0,0,ROUND('Quant. mod. (oc)'!R445,0))</f>
        <v>1</v>
      </c>
      <c r="S445" s="125">
        <f>IF('Quant. mod. (oc)'!S445&lt;0,0,ROUND('Quant. mod. (oc)'!S445,0))</f>
        <v>1</v>
      </c>
      <c r="T445" s="125">
        <f>IF('Quant. mod. (oc)'!T445&lt;0,0,ROUND('Quant. mod. (oc)'!T445,0))</f>
        <v>1</v>
      </c>
      <c r="U445" s="125">
        <f>IF('Quant. mod. (oc)'!U445&lt;0,0,ROUND('Quant. mod. (oc)'!U445,0))</f>
        <v>1</v>
      </c>
      <c r="V445" s="125">
        <f>IF('Quant. mod. (oc)'!V445&lt;0,0,ROUND('Quant. mod. (oc)'!V445,0))</f>
        <v>1</v>
      </c>
      <c r="W445" s="125">
        <f>IF('Quant. mod. (oc)'!W445&lt;0,0,ROUND('Quant. mod. (oc)'!W445,0))</f>
        <v>1</v>
      </c>
      <c r="X445" s="125">
        <f>IF('Quant. mod. (oc)'!X445&lt;0,0,ROUND('Quant. mod. (oc)'!X445,0))</f>
        <v>1</v>
      </c>
      <c r="Y445" s="125">
        <f>IF('Quant. mod. (oc)'!Y445&lt;0,0,ROUND('Quant. mod. (oc)'!Y445,0))</f>
        <v>1</v>
      </c>
      <c r="Z445" s="125">
        <f>IF('Quant. mod. (oc)'!Z445&lt;0,0,ROUND('Quant. mod. (oc)'!Z445,0))</f>
        <v>1</v>
      </c>
      <c r="AA445" s="125">
        <f>IF('Quant. mod. (oc)'!AA445&lt;0,0,ROUND('Quant. mod. (oc)'!AA445,0))</f>
        <v>1</v>
      </c>
      <c r="AB445" s="125">
        <f>IF('Quant. mod. (oc)'!AB445&lt;0,0,ROUND('Quant. mod. (oc)'!AB445,0))</f>
        <v>1</v>
      </c>
      <c r="AC445" s="125">
        <f>IF('Quant. mod. (oc)'!AC445&lt;0,0,ROUND('Quant. mod. (oc)'!AC445,0))</f>
        <v>1</v>
      </c>
      <c r="AD445" s="125">
        <f>IF('Quant. mod. (oc)'!AD445&lt;0,0,ROUND('Quant. mod. (oc)'!AD445,0))</f>
        <v>1</v>
      </c>
      <c r="AE445" s="125">
        <f>IF('Quant. mod. (oc)'!AE445&lt;0,0,ROUND('Quant. mod. (oc)'!AE445,0))</f>
        <v>1</v>
      </c>
      <c r="AF445" s="125">
        <f>IF('Quant. mod. (oc)'!AF445&lt;0,0,ROUND('Quant. mod. (oc)'!AF445,0))</f>
        <v>1</v>
      </c>
      <c r="AG445" s="126">
        <f>IF('Quant. mod. (oc)'!AG445&lt;0,0,ROUND('Quant. mod. (oc)'!AG445,0))</f>
        <v>1</v>
      </c>
      <c r="AH445" s="22"/>
    </row>
    <row r="446" spans="1:34" x14ac:dyDescent="0.25">
      <c r="A446" s="112"/>
      <c r="B446" s="136" t="s">
        <v>154</v>
      </c>
      <c r="C446" s="67" t="s">
        <v>59</v>
      </c>
      <c r="D446" s="125">
        <f>IF('Quant. mod. (oc)'!D446&lt;0,0,ROUND('Quant. mod. (oc)'!D446,0))</f>
        <v>2</v>
      </c>
      <c r="E446" s="125">
        <f>IF('Quant. mod. (oc)'!E446&lt;0,0,ROUND('Quant. mod. (oc)'!E446,0))</f>
        <v>2</v>
      </c>
      <c r="F446" s="125">
        <f>IF('Quant. mod. (oc)'!F446&lt;0,0,ROUND('Quant. mod. (oc)'!F446,0))</f>
        <v>2</v>
      </c>
      <c r="G446" s="125">
        <f>IF('Quant. mod. (oc)'!G446&lt;0,0,ROUND('Quant. mod. (oc)'!G446,0))</f>
        <v>2</v>
      </c>
      <c r="H446" s="125">
        <f>IF('Quant. mod. (oc)'!H446&lt;0,0,ROUND('Quant. mod. (oc)'!H446,0))</f>
        <v>2</v>
      </c>
      <c r="I446" s="125">
        <f>IF('Quant. mod. (oc)'!I446&lt;0,0,ROUND('Quant. mod. (oc)'!I446,0))</f>
        <v>2</v>
      </c>
      <c r="J446" s="125">
        <f>IF('Quant. mod. (oc)'!J446&lt;0,0,ROUND('Quant. mod. (oc)'!J446,0))</f>
        <v>2</v>
      </c>
      <c r="K446" s="125">
        <f>IF('Quant. mod. (oc)'!K446&lt;0,0,ROUND('Quant. mod. (oc)'!K446,0))</f>
        <v>2</v>
      </c>
      <c r="L446" s="125">
        <f>IF('Quant. mod. (oc)'!L446&lt;0,0,ROUND('Quant. mod. (oc)'!L446,0))</f>
        <v>2</v>
      </c>
      <c r="M446" s="125">
        <f>IF('Quant. mod. (oc)'!M446&lt;0,0,ROUND('Quant. mod. (oc)'!M446,0))</f>
        <v>2</v>
      </c>
      <c r="N446" s="125">
        <f>IF('Quant. mod. (oc)'!N446&lt;0,0,ROUND('Quant. mod. (oc)'!N446,0))</f>
        <v>2</v>
      </c>
      <c r="O446" s="125">
        <f>IF('Quant. mod. (oc)'!O446&lt;0,0,ROUND('Quant. mod. (oc)'!O446,0))</f>
        <v>2</v>
      </c>
      <c r="P446" s="125">
        <f>IF('Quant. mod. (oc)'!P446&lt;0,0,ROUND('Quant. mod. (oc)'!P446,0))</f>
        <v>2</v>
      </c>
      <c r="Q446" s="125">
        <f>IF('Quant. mod. (oc)'!Q446&lt;0,0,ROUND('Quant. mod. (oc)'!Q446,0))</f>
        <v>2</v>
      </c>
      <c r="R446" s="125">
        <f>IF('Quant. mod. (oc)'!R446&lt;0,0,ROUND('Quant. mod. (oc)'!R446,0))</f>
        <v>2</v>
      </c>
      <c r="S446" s="125">
        <f>IF('Quant. mod. (oc)'!S446&lt;0,0,ROUND('Quant. mod. (oc)'!S446,0))</f>
        <v>2</v>
      </c>
      <c r="T446" s="125">
        <f>IF('Quant. mod. (oc)'!T446&lt;0,0,ROUND('Quant. mod. (oc)'!T446,0))</f>
        <v>2</v>
      </c>
      <c r="U446" s="125">
        <f>IF('Quant. mod. (oc)'!U446&lt;0,0,ROUND('Quant. mod. (oc)'!U446,0))</f>
        <v>2</v>
      </c>
      <c r="V446" s="125">
        <f>IF('Quant. mod. (oc)'!V446&lt;0,0,ROUND('Quant. mod. (oc)'!V446,0))</f>
        <v>2</v>
      </c>
      <c r="W446" s="125">
        <f>IF('Quant. mod. (oc)'!W446&lt;0,0,ROUND('Quant. mod. (oc)'!W446,0))</f>
        <v>2</v>
      </c>
      <c r="X446" s="125">
        <f>IF('Quant. mod. (oc)'!X446&lt;0,0,ROUND('Quant. mod. (oc)'!X446,0))</f>
        <v>2</v>
      </c>
      <c r="Y446" s="125">
        <f>IF('Quant. mod. (oc)'!Y446&lt;0,0,ROUND('Quant. mod. (oc)'!Y446,0))</f>
        <v>2</v>
      </c>
      <c r="Z446" s="125">
        <f>IF('Quant. mod. (oc)'!Z446&lt;0,0,ROUND('Quant. mod. (oc)'!Z446,0))</f>
        <v>2</v>
      </c>
      <c r="AA446" s="125">
        <f>IF('Quant. mod. (oc)'!AA446&lt;0,0,ROUND('Quant. mod. (oc)'!AA446,0))</f>
        <v>2</v>
      </c>
      <c r="AB446" s="125">
        <f>IF('Quant. mod. (oc)'!AB446&lt;0,0,ROUND('Quant. mod. (oc)'!AB446,0))</f>
        <v>2</v>
      </c>
      <c r="AC446" s="125">
        <f>IF('Quant. mod. (oc)'!AC446&lt;0,0,ROUND('Quant. mod. (oc)'!AC446,0))</f>
        <v>2</v>
      </c>
      <c r="AD446" s="125">
        <f>IF('Quant. mod. (oc)'!AD446&lt;0,0,ROUND('Quant. mod. (oc)'!AD446,0))</f>
        <v>2</v>
      </c>
      <c r="AE446" s="125">
        <f>IF('Quant. mod. (oc)'!AE446&lt;0,0,ROUND('Quant. mod. (oc)'!AE446,0))</f>
        <v>2</v>
      </c>
      <c r="AF446" s="125">
        <f>IF('Quant. mod. (oc)'!AF446&lt;0,0,ROUND('Quant. mod. (oc)'!AF446,0))</f>
        <v>2</v>
      </c>
      <c r="AG446" s="126">
        <f>IF('Quant. mod. (oc)'!AG446&lt;0,0,ROUND('Quant. mod. (oc)'!AG446,0))</f>
        <v>2</v>
      </c>
      <c r="AH446" s="22"/>
    </row>
    <row r="447" spans="1:34" x14ac:dyDescent="0.25">
      <c r="A447" s="112"/>
      <c r="B447" s="136" t="s">
        <v>155</v>
      </c>
      <c r="C447" s="67" t="s">
        <v>59</v>
      </c>
      <c r="D447" s="125">
        <f>IF('Quant. mod. (oc)'!D447&lt;0,0,ROUND('Quant. mod. (oc)'!D447,0))</f>
        <v>3</v>
      </c>
      <c r="E447" s="125">
        <f>IF('Quant. mod. (oc)'!E447&lt;0,0,ROUND('Quant. mod. (oc)'!E447,0))</f>
        <v>3</v>
      </c>
      <c r="F447" s="125">
        <f>IF('Quant. mod. (oc)'!F447&lt;0,0,ROUND('Quant. mod. (oc)'!F447,0))</f>
        <v>3</v>
      </c>
      <c r="G447" s="125">
        <f>IF('Quant. mod. (oc)'!G447&lt;0,0,ROUND('Quant. mod. (oc)'!G447,0))</f>
        <v>3</v>
      </c>
      <c r="H447" s="125">
        <f>IF('Quant. mod. (oc)'!H447&lt;0,0,ROUND('Quant. mod. (oc)'!H447,0))</f>
        <v>3</v>
      </c>
      <c r="I447" s="125">
        <f>IF('Quant. mod. (oc)'!I447&lt;0,0,ROUND('Quant. mod. (oc)'!I447,0))</f>
        <v>3</v>
      </c>
      <c r="J447" s="125">
        <f>IF('Quant. mod. (oc)'!J447&lt;0,0,ROUND('Quant. mod. (oc)'!J447,0))</f>
        <v>3</v>
      </c>
      <c r="K447" s="125">
        <f>IF('Quant. mod. (oc)'!K447&lt;0,0,ROUND('Quant. mod. (oc)'!K447,0))</f>
        <v>3</v>
      </c>
      <c r="L447" s="125">
        <f>IF('Quant. mod. (oc)'!L447&lt;0,0,ROUND('Quant. mod. (oc)'!L447,0))</f>
        <v>3</v>
      </c>
      <c r="M447" s="125">
        <f>IF('Quant. mod. (oc)'!M447&lt;0,0,ROUND('Quant. mod. (oc)'!M447,0))</f>
        <v>3</v>
      </c>
      <c r="N447" s="125">
        <f>IF('Quant. mod. (oc)'!N447&lt;0,0,ROUND('Quant. mod. (oc)'!N447,0))</f>
        <v>3</v>
      </c>
      <c r="O447" s="125">
        <f>IF('Quant. mod. (oc)'!O447&lt;0,0,ROUND('Quant. mod. (oc)'!O447,0))</f>
        <v>3</v>
      </c>
      <c r="P447" s="125">
        <f>IF('Quant. mod. (oc)'!P447&lt;0,0,ROUND('Quant. mod. (oc)'!P447,0))</f>
        <v>3</v>
      </c>
      <c r="Q447" s="125">
        <f>IF('Quant. mod. (oc)'!Q447&lt;0,0,ROUND('Quant. mod. (oc)'!Q447,0))</f>
        <v>3</v>
      </c>
      <c r="R447" s="125">
        <f>IF('Quant. mod. (oc)'!R447&lt;0,0,ROUND('Quant. mod. (oc)'!R447,0))</f>
        <v>3</v>
      </c>
      <c r="S447" s="125">
        <f>IF('Quant. mod. (oc)'!S447&lt;0,0,ROUND('Quant. mod. (oc)'!S447,0))</f>
        <v>3</v>
      </c>
      <c r="T447" s="125">
        <f>IF('Quant. mod. (oc)'!T447&lt;0,0,ROUND('Quant. mod. (oc)'!T447,0))</f>
        <v>3</v>
      </c>
      <c r="U447" s="125">
        <f>IF('Quant. mod. (oc)'!U447&lt;0,0,ROUND('Quant. mod. (oc)'!U447,0))</f>
        <v>3</v>
      </c>
      <c r="V447" s="125">
        <f>IF('Quant. mod. (oc)'!V447&lt;0,0,ROUND('Quant. mod. (oc)'!V447,0))</f>
        <v>3</v>
      </c>
      <c r="W447" s="125">
        <f>IF('Quant. mod. (oc)'!W447&lt;0,0,ROUND('Quant. mod. (oc)'!W447,0))</f>
        <v>3</v>
      </c>
      <c r="X447" s="125">
        <f>IF('Quant. mod. (oc)'!X447&lt;0,0,ROUND('Quant. mod. (oc)'!X447,0))</f>
        <v>3</v>
      </c>
      <c r="Y447" s="125">
        <f>IF('Quant. mod. (oc)'!Y447&lt;0,0,ROUND('Quant. mod. (oc)'!Y447,0))</f>
        <v>3</v>
      </c>
      <c r="Z447" s="125">
        <f>IF('Quant. mod. (oc)'!Z447&lt;0,0,ROUND('Quant. mod. (oc)'!Z447,0))</f>
        <v>3</v>
      </c>
      <c r="AA447" s="125">
        <f>IF('Quant. mod. (oc)'!AA447&lt;0,0,ROUND('Quant. mod. (oc)'!AA447,0))</f>
        <v>3</v>
      </c>
      <c r="AB447" s="125">
        <f>IF('Quant. mod. (oc)'!AB447&lt;0,0,ROUND('Quant. mod. (oc)'!AB447,0))</f>
        <v>3</v>
      </c>
      <c r="AC447" s="125">
        <f>IF('Quant. mod. (oc)'!AC447&lt;0,0,ROUND('Quant. mod. (oc)'!AC447,0))</f>
        <v>3</v>
      </c>
      <c r="AD447" s="125">
        <f>IF('Quant. mod. (oc)'!AD447&lt;0,0,ROUND('Quant. mod. (oc)'!AD447,0))</f>
        <v>3</v>
      </c>
      <c r="AE447" s="125">
        <f>IF('Quant. mod. (oc)'!AE447&lt;0,0,ROUND('Quant. mod. (oc)'!AE447,0))</f>
        <v>3</v>
      </c>
      <c r="AF447" s="125">
        <f>IF('Quant. mod. (oc)'!AF447&lt;0,0,ROUND('Quant. mod. (oc)'!AF447,0))</f>
        <v>3</v>
      </c>
      <c r="AG447" s="126">
        <f>IF('Quant. mod. (oc)'!AG447&lt;0,0,ROUND('Quant. mod. (oc)'!AG447,0))</f>
        <v>3</v>
      </c>
      <c r="AH447" s="22"/>
    </row>
    <row r="448" spans="1:34" x14ac:dyDescent="0.25">
      <c r="A448" s="112"/>
      <c r="B448" s="136" t="s">
        <v>156</v>
      </c>
      <c r="C448" s="67" t="s">
        <v>59</v>
      </c>
      <c r="D448" s="125">
        <f>IF('Quant. mod. (oc)'!D448&lt;0,0,ROUND('Quant. mod. (oc)'!D448,0))</f>
        <v>1</v>
      </c>
      <c r="E448" s="125">
        <f>IF('Quant. mod. (oc)'!E448&lt;0,0,ROUND('Quant. mod. (oc)'!E448,0))</f>
        <v>1</v>
      </c>
      <c r="F448" s="125">
        <f>IF('Quant. mod. (oc)'!F448&lt;0,0,ROUND('Quant. mod. (oc)'!F448,0))</f>
        <v>1</v>
      </c>
      <c r="G448" s="125">
        <f>IF('Quant. mod. (oc)'!G448&lt;0,0,ROUND('Quant. mod. (oc)'!G448,0))</f>
        <v>1</v>
      </c>
      <c r="H448" s="125">
        <f>IF('Quant. mod. (oc)'!H448&lt;0,0,ROUND('Quant. mod. (oc)'!H448,0))</f>
        <v>1</v>
      </c>
      <c r="I448" s="125">
        <f>IF('Quant. mod. (oc)'!I448&lt;0,0,ROUND('Quant. mod. (oc)'!I448,0))</f>
        <v>1</v>
      </c>
      <c r="J448" s="125">
        <f>IF('Quant. mod. (oc)'!J448&lt;0,0,ROUND('Quant. mod. (oc)'!J448,0))</f>
        <v>1</v>
      </c>
      <c r="K448" s="125">
        <f>IF('Quant. mod. (oc)'!K448&lt;0,0,ROUND('Quant. mod. (oc)'!K448,0))</f>
        <v>1</v>
      </c>
      <c r="L448" s="125">
        <f>IF('Quant. mod. (oc)'!L448&lt;0,0,ROUND('Quant. mod. (oc)'!L448,0))</f>
        <v>1</v>
      </c>
      <c r="M448" s="125">
        <f>IF('Quant. mod. (oc)'!M448&lt;0,0,ROUND('Quant. mod. (oc)'!M448,0))</f>
        <v>1</v>
      </c>
      <c r="N448" s="125">
        <f>IF('Quant. mod. (oc)'!N448&lt;0,0,ROUND('Quant. mod. (oc)'!N448,0))</f>
        <v>1</v>
      </c>
      <c r="O448" s="125">
        <f>IF('Quant. mod. (oc)'!O448&lt;0,0,ROUND('Quant. mod. (oc)'!O448,0))</f>
        <v>1</v>
      </c>
      <c r="P448" s="125">
        <f>IF('Quant. mod. (oc)'!P448&lt;0,0,ROUND('Quant. mod. (oc)'!P448,0))</f>
        <v>1</v>
      </c>
      <c r="Q448" s="125">
        <f>IF('Quant. mod. (oc)'!Q448&lt;0,0,ROUND('Quant. mod. (oc)'!Q448,0))</f>
        <v>1</v>
      </c>
      <c r="R448" s="125">
        <f>IF('Quant. mod. (oc)'!R448&lt;0,0,ROUND('Quant. mod. (oc)'!R448,0))</f>
        <v>1</v>
      </c>
      <c r="S448" s="125">
        <f>IF('Quant. mod. (oc)'!S448&lt;0,0,ROUND('Quant. mod. (oc)'!S448,0))</f>
        <v>1</v>
      </c>
      <c r="T448" s="125">
        <f>IF('Quant. mod. (oc)'!T448&lt;0,0,ROUND('Quant. mod. (oc)'!T448,0))</f>
        <v>1</v>
      </c>
      <c r="U448" s="125">
        <f>IF('Quant. mod. (oc)'!U448&lt;0,0,ROUND('Quant. mod. (oc)'!U448,0))</f>
        <v>1</v>
      </c>
      <c r="V448" s="125">
        <f>IF('Quant. mod. (oc)'!V448&lt;0,0,ROUND('Quant. mod. (oc)'!V448,0))</f>
        <v>1</v>
      </c>
      <c r="W448" s="125">
        <f>IF('Quant. mod. (oc)'!W448&lt;0,0,ROUND('Quant. mod. (oc)'!W448,0))</f>
        <v>1</v>
      </c>
      <c r="X448" s="125">
        <f>IF('Quant. mod. (oc)'!X448&lt;0,0,ROUND('Quant. mod. (oc)'!X448,0))</f>
        <v>1</v>
      </c>
      <c r="Y448" s="125">
        <f>IF('Quant. mod. (oc)'!Y448&lt;0,0,ROUND('Quant. mod. (oc)'!Y448,0))</f>
        <v>1</v>
      </c>
      <c r="Z448" s="125">
        <f>IF('Quant. mod. (oc)'!Z448&lt;0,0,ROUND('Quant. mod. (oc)'!Z448,0))</f>
        <v>1</v>
      </c>
      <c r="AA448" s="125">
        <f>IF('Quant. mod. (oc)'!AA448&lt;0,0,ROUND('Quant. mod. (oc)'!AA448,0))</f>
        <v>1</v>
      </c>
      <c r="AB448" s="125">
        <f>IF('Quant. mod. (oc)'!AB448&lt;0,0,ROUND('Quant. mod. (oc)'!AB448,0))</f>
        <v>1</v>
      </c>
      <c r="AC448" s="125">
        <f>IF('Quant. mod. (oc)'!AC448&lt;0,0,ROUND('Quant. mod. (oc)'!AC448,0))</f>
        <v>1</v>
      </c>
      <c r="AD448" s="125">
        <f>IF('Quant. mod. (oc)'!AD448&lt;0,0,ROUND('Quant. mod. (oc)'!AD448,0))</f>
        <v>1</v>
      </c>
      <c r="AE448" s="125">
        <f>IF('Quant. mod. (oc)'!AE448&lt;0,0,ROUND('Quant. mod. (oc)'!AE448,0))</f>
        <v>1</v>
      </c>
      <c r="AF448" s="125">
        <f>IF('Quant. mod. (oc)'!AF448&lt;0,0,ROUND('Quant. mod. (oc)'!AF448,0))</f>
        <v>1</v>
      </c>
      <c r="AG448" s="126">
        <f>IF('Quant. mod. (oc)'!AG448&lt;0,0,ROUND('Quant. mod. (oc)'!AG448,0))</f>
        <v>1</v>
      </c>
      <c r="AH448" s="22"/>
    </row>
    <row r="449" spans="1:34" x14ac:dyDescent="0.25">
      <c r="A449" s="112"/>
      <c r="B449" s="136" t="s">
        <v>451</v>
      </c>
      <c r="C449" s="67" t="s">
        <v>59</v>
      </c>
      <c r="D449" s="125">
        <f>IF('Quant. mod. (oc)'!D449&lt;0,0,ROUND('Quant. mod. (oc)'!D449,0))</f>
        <v>3</v>
      </c>
      <c r="E449" s="125">
        <f>IF('Quant. mod. (oc)'!E449&lt;0,0,ROUND('Quant. mod. (oc)'!E449,0))</f>
        <v>3</v>
      </c>
      <c r="F449" s="125">
        <f>IF('Quant. mod. (oc)'!F449&lt;0,0,ROUND('Quant. mod. (oc)'!F449,0))</f>
        <v>3</v>
      </c>
      <c r="G449" s="125">
        <f>IF('Quant. mod. (oc)'!G449&lt;0,0,ROUND('Quant. mod. (oc)'!G449,0))</f>
        <v>3</v>
      </c>
      <c r="H449" s="125">
        <f>IF('Quant. mod. (oc)'!H449&lt;0,0,ROUND('Quant. mod. (oc)'!H449,0))</f>
        <v>3</v>
      </c>
      <c r="I449" s="125">
        <f>IF('Quant. mod. (oc)'!I449&lt;0,0,ROUND('Quant. mod. (oc)'!I449,0))</f>
        <v>3</v>
      </c>
      <c r="J449" s="125">
        <f>IF('Quant. mod. (oc)'!J449&lt;0,0,ROUND('Quant. mod. (oc)'!J449,0))</f>
        <v>3</v>
      </c>
      <c r="K449" s="125">
        <f>IF('Quant. mod. (oc)'!K449&lt;0,0,ROUND('Quant. mod. (oc)'!K449,0))</f>
        <v>3</v>
      </c>
      <c r="L449" s="125">
        <f>IF('Quant. mod. (oc)'!L449&lt;0,0,ROUND('Quant. mod. (oc)'!L449,0))</f>
        <v>3</v>
      </c>
      <c r="M449" s="125">
        <f>IF('Quant. mod. (oc)'!M449&lt;0,0,ROUND('Quant. mod. (oc)'!M449,0))</f>
        <v>3</v>
      </c>
      <c r="N449" s="125">
        <f>IF('Quant. mod. (oc)'!N449&lt;0,0,ROUND('Quant. mod. (oc)'!N449,0))</f>
        <v>3</v>
      </c>
      <c r="O449" s="125">
        <f>IF('Quant. mod. (oc)'!O449&lt;0,0,ROUND('Quant. mod. (oc)'!O449,0))</f>
        <v>3</v>
      </c>
      <c r="P449" s="125">
        <f>IF('Quant. mod. (oc)'!P449&lt;0,0,ROUND('Quant. mod. (oc)'!P449,0))</f>
        <v>3</v>
      </c>
      <c r="Q449" s="125">
        <f>IF('Quant. mod. (oc)'!Q449&lt;0,0,ROUND('Quant. mod. (oc)'!Q449,0))</f>
        <v>3</v>
      </c>
      <c r="R449" s="125">
        <f>IF('Quant. mod. (oc)'!R449&lt;0,0,ROUND('Quant. mod. (oc)'!R449,0))</f>
        <v>3</v>
      </c>
      <c r="S449" s="125">
        <f>IF('Quant. mod. (oc)'!S449&lt;0,0,ROUND('Quant. mod. (oc)'!S449,0))</f>
        <v>3</v>
      </c>
      <c r="T449" s="125">
        <f>IF('Quant. mod. (oc)'!T449&lt;0,0,ROUND('Quant. mod. (oc)'!T449,0))</f>
        <v>3</v>
      </c>
      <c r="U449" s="125">
        <f>IF('Quant. mod. (oc)'!U449&lt;0,0,ROUND('Quant. mod. (oc)'!U449,0))</f>
        <v>3</v>
      </c>
      <c r="V449" s="125">
        <f>IF('Quant. mod. (oc)'!V449&lt;0,0,ROUND('Quant. mod. (oc)'!V449,0))</f>
        <v>3</v>
      </c>
      <c r="W449" s="125">
        <f>IF('Quant. mod. (oc)'!W449&lt;0,0,ROUND('Quant. mod. (oc)'!W449,0))</f>
        <v>3</v>
      </c>
      <c r="X449" s="125">
        <f>IF('Quant. mod. (oc)'!X449&lt;0,0,ROUND('Quant. mod. (oc)'!X449,0))</f>
        <v>3</v>
      </c>
      <c r="Y449" s="125">
        <f>IF('Quant. mod. (oc)'!Y449&lt;0,0,ROUND('Quant. mod. (oc)'!Y449,0))</f>
        <v>3</v>
      </c>
      <c r="Z449" s="125">
        <f>IF('Quant. mod. (oc)'!Z449&lt;0,0,ROUND('Quant. mod. (oc)'!Z449,0))</f>
        <v>3</v>
      </c>
      <c r="AA449" s="125">
        <f>IF('Quant. mod. (oc)'!AA449&lt;0,0,ROUND('Quant. mod. (oc)'!AA449,0))</f>
        <v>3</v>
      </c>
      <c r="AB449" s="125">
        <f>IF('Quant. mod. (oc)'!AB449&lt;0,0,ROUND('Quant. mod. (oc)'!AB449,0))</f>
        <v>3</v>
      </c>
      <c r="AC449" s="125">
        <f>IF('Quant. mod. (oc)'!AC449&lt;0,0,ROUND('Quant. mod. (oc)'!AC449,0))</f>
        <v>3</v>
      </c>
      <c r="AD449" s="125">
        <f>IF('Quant. mod. (oc)'!AD449&lt;0,0,ROUND('Quant. mod. (oc)'!AD449,0))</f>
        <v>3</v>
      </c>
      <c r="AE449" s="125">
        <f>IF('Quant. mod. (oc)'!AE449&lt;0,0,ROUND('Quant. mod. (oc)'!AE449,0))</f>
        <v>3</v>
      </c>
      <c r="AF449" s="125">
        <f>IF('Quant. mod. (oc)'!AF449&lt;0,0,ROUND('Quant. mod. (oc)'!AF449,0))</f>
        <v>3</v>
      </c>
      <c r="AG449" s="126">
        <f>IF('Quant. mod. (oc)'!AG449&lt;0,0,ROUND('Quant. mod. (oc)'!AG449,0))</f>
        <v>3</v>
      </c>
      <c r="AH449" s="22"/>
    </row>
    <row r="450" spans="1:34" x14ac:dyDescent="0.25">
      <c r="A450" s="112"/>
      <c r="B450" s="136" t="s">
        <v>452</v>
      </c>
      <c r="C450" s="67" t="s">
        <v>59</v>
      </c>
      <c r="D450" s="125">
        <f>IF('Quant. mod. (oc)'!D450&lt;0,0,ROUND('Quant. mod. (oc)'!D450,0))</f>
        <v>3</v>
      </c>
      <c r="E450" s="125">
        <f>IF('Quant. mod. (oc)'!E450&lt;0,0,ROUND('Quant. mod. (oc)'!E450,0))</f>
        <v>3</v>
      </c>
      <c r="F450" s="125">
        <f>IF('Quant. mod. (oc)'!F450&lt;0,0,ROUND('Quant. mod. (oc)'!F450,0))</f>
        <v>3</v>
      </c>
      <c r="G450" s="125">
        <f>IF('Quant. mod. (oc)'!G450&lt;0,0,ROUND('Quant. mod. (oc)'!G450,0))</f>
        <v>3</v>
      </c>
      <c r="H450" s="125">
        <f>IF('Quant. mod. (oc)'!H450&lt;0,0,ROUND('Quant. mod. (oc)'!H450,0))</f>
        <v>3</v>
      </c>
      <c r="I450" s="125">
        <f>IF('Quant. mod. (oc)'!I450&lt;0,0,ROUND('Quant. mod. (oc)'!I450,0))</f>
        <v>3</v>
      </c>
      <c r="J450" s="125">
        <f>IF('Quant. mod. (oc)'!J450&lt;0,0,ROUND('Quant. mod. (oc)'!J450,0))</f>
        <v>3</v>
      </c>
      <c r="K450" s="125">
        <f>IF('Quant. mod. (oc)'!K450&lt;0,0,ROUND('Quant. mod. (oc)'!K450,0))</f>
        <v>3</v>
      </c>
      <c r="L450" s="125">
        <f>IF('Quant. mod. (oc)'!L450&lt;0,0,ROUND('Quant. mod. (oc)'!L450,0))</f>
        <v>3</v>
      </c>
      <c r="M450" s="125">
        <f>IF('Quant. mod. (oc)'!M450&lt;0,0,ROUND('Quant. mod. (oc)'!M450,0))</f>
        <v>3</v>
      </c>
      <c r="N450" s="125">
        <f>IF('Quant. mod. (oc)'!N450&lt;0,0,ROUND('Quant. mod. (oc)'!N450,0))</f>
        <v>3</v>
      </c>
      <c r="O450" s="125">
        <f>IF('Quant. mod. (oc)'!O450&lt;0,0,ROUND('Quant. mod. (oc)'!O450,0))</f>
        <v>3</v>
      </c>
      <c r="P450" s="125">
        <f>IF('Quant. mod. (oc)'!P450&lt;0,0,ROUND('Quant. mod. (oc)'!P450,0))</f>
        <v>3</v>
      </c>
      <c r="Q450" s="125">
        <f>IF('Quant. mod. (oc)'!Q450&lt;0,0,ROUND('Quant. mod. (oc)'!Q450,0))</f>
        <v>3</v>
      </c>
      <c r="R450" s="125">
        <f>IF('Quant. mod. (oc)'!R450&lt;0,0,ROUND('Quant. mod. (oc)'!R450,0))</f>
        <v>3</v>
      </c>
      <c r="S450" s="125">
        <f>IF('Quant. mod. (oc)'!S450&lt;0,0,ROUND('Quant. mod. (oc)'!S450,0))</f>
        <v>3</v>
      </c>
      <c r="T450" s="125">
        <f>IF('Quant. mod. (oc)'!T450&lt;0,0,ROUND('Quant. mod. (oc)'!T450,0))</f>
        <v>3</v>
      </c>
      <c r="U450" s="125">
        <f>IF('Quant. mod. (oc)'!U450&lt;0,0,ROUND('Quant. mod. (oc)'!U450,0))</f>
        <v>3</v>
      </c>
      <c r="V450" s="125">
        <f>IF('Quant. mod. (oc)'!V450&lt;0,0,ROUND('Quant. mod. (oc)'!V450,0))</f>
        <v>3</v>
      </c>
      <c r="W450" s="125">
        <f>IF('Quant. mod. (oc)'!W450&lt;0,0,ROUND('Quant. mod. (oc)'!W450,0))</f>
        <v>3</v>
      </c>
      <c r="X450" s="125">
        <f>IF('Quant. mod. (oc)'!X450&lt;0,0,ROUND('Quant. mod. (oc)'!X450,0))</f>
        <v>3</v>
      </c>
      <c r="Y450" s="125">
        <f>IF('Quant. mod. (oc)'!Y450&lt;0,0,ROUND('Quant. mod. (oc)'!Y450,0))</f>
        <v>3</v>
      </c>
      <c r="Z450" s="125">
        <f>IF('Quant. mod. (oc)'!Z450&lt;0,0,ROUND('Quant. mod. (oc)'!Z450,0))</f>
        <v>3</v>
      </c>
      <c r="AA450" s="125">
        <f>IF('Quant. mod. (oc)'!AA450&lt;0,0,ROUND('Quant. mod. (oc)'!AA450,0))</f>
        <v>3</v>
      </c>
      <c r="AB450" s="125">
        <f>IF('Quant. mod. (oc)'!AB450&lt;0,0,ROUND('Quant. mod. (oc)'!AB450,0))</f>
        <v>3</v>
      </c>
      <c r="AC450" s="125">
        <f>IF('Quant. mod. (oc)'!AC450&lt;0,0,ROUND('Quant. mod. (oc)'!AC450,0))</f>
        <v>3</v>
      </c>
      <c r="AD450" s="125">
        <f>IF('Quant. mod. (oc)'!AD450&lt;0,0,ROUND('Quant. mod. (oc)'!AD450,0))</f>
        <v>3</v>
      </c>
      <c r="AE450" s="125">
        <f>IF('Quant. mod. (oc)'!AE450&lt;0,0,ROUND('Quant. mod. (oc)'!AE450,0))</f>
        <v>3</v>
      </c>
      <c r="AF450" s="125">
        <f>IF('Quant. mod. (oc)'!AF450&lt;0,0,ROUND('Quant. mod. (oc)'!AF450,0))</f>
        <v>3</v>
      </c>
      <c r="AG450" s="126">
        <f>IF('Quant. mod. (oc)'!AG450&lt;0,0,ROUND('Quant. mod. (oc)'!AG450,0))</f>
        <v>3</v>
      </c>
      <c r="AH450" s="22"/>
    </row>
    <row r="451" spans="1:34" x14ac:dyDescent="0.25">
      <c r="A451" s="112"/>
      <c r="B451" s="136" t="s">
        <v>453</v>
      </c>
      <c r="C451" s="67" t="s">
        <v>59</v>
      </c>
      <c r="D451" s="125">
        <f>IF('Quant. mod. (oc)'!D451&lt;0,0,ROUND('Quant. mod. (oc)'!D451,0))</f>
        <v>3</v>
      </c>
      <c r="E451" s="125">
        <f>IF('Quant. mod. (oc)'!E451&lt;0,0,ROUND('Quant. mod. (oc)'!E451,0))</f>
        <v>3</v>
      </c>
      <c r="F451" s="125">
        <f>IF('Quant. mod. (oc)'!F451&lt;0,0,ROUND('Quant. mod. (oc)'!F451,0))</f>
        <v>3</v>
      </c>
      <c r="G451" s="125">
        <f>IF('Quant. mod. (oc)'!G451&lt;0,0,ROUND('Quant. mod. (oc)'!G451,0))</f>
        <v>3</v>
      </c>
      <c r="H451" s="125">
        <f>IF('Quant. mod. (oc)'!H451&lt;0,0,ROUND('Quant. mod. (oc)'!H451,0))</f>
        <v>3</v>
      </c>
      <c r="I451" s="125">
        <f>IF('Quant. mod. (oc)'!I451&lt;0,0,ROUND('Quant. mod. (oc)'!I451,0))</f>
        <v>3</v>
      </c>
      <c r="J451" s="125">
        <f>IF('Quant. mod. (oc)'!J451&lt;0,0,ROUND('Quant. mod. (oc)'!J451,0))</f>
        <v>3</v>
      </c>
      <c r="K451" s="125">
        <f>IF('Quant. mod. (oc)'!K451&lt;0,0,ROUND('Quant. mod. (oc)'!K451,0))</f>
        <v>3</v>
      </c>
      <c r="L451" s="125">
        <f>IF('Quant. mod. (oc)'!L451&lt;0,0,ROUND('Quant. mod. (oc)'!L451,0))</f>
        <v>3</v>
      </c>
      <c r="M451" s="125">
        <f>IF('Quant. mod. (oc)'!M451&lt;0,0,ROUND('Quant. mod. (oc)'!M451,0))</f>
        <v>3</v>
      </c>
      <c r="N451" s="125">
        <f>IF('Quant. mod. (oc)'!N451&lt;0,0,ROUND('Quant. mod. (oc)'!N451,0))</f>
        <v>3</v>
      </c>
      <c r="O451" s="125">
        <f>IF('Quant. mod. (oc)'!O451&lt;0,0,ROUND('Quant. mod. (oc)'!O451,0))</f>
        <v>3</v>
      </c>
      <c r="P451" s="125">
        <f>IF('Quant. mod. (oc)'!P451&lt;0,0,ROUND('Quant. mod. (oc)'!P451,0))</f>
        <v>3</v>
      </c>
      <c r="Q451" s="125">
        <f>IF('Quant. mod. (oc)'!Q451&lt;0,0,ROUND('Quant. mod. (oc)'!Q451,0))</f>
        <v>3</v>
      </c>
      <c r="R451" s="125">
        <f>IF('Quant. mod. (oc)'!R451&lt;0,0,ROUND('Quant. mod. (oc)'!R451,0))</f>
        <v>3</v>
      </c>
      <c r="S451" s="125">
        <f>IF('Quant. mod. (oc)'!S451&lt;0,0,ROUND('Quant. mod. (oc)'!S451,0))</f>
        <v>3</v>
      </c>
      <c r="T451" s="125">
        <f>IF('Quant. mod. (oc)'!T451&lt;0,0,ROUND('Quant. mod. (oc)'!T451,0))</f>
        <v>3</v>
      </c>
      <c r="U451" s="125">
        <f>IF('Quant. mod. (oc)'!U451&lt;0,0,ROUND('Quant. mod. (oc)'!U451,0))</f>
        <v>3</v>
      </c>
      <c r="V451" s="125">
        <f>IF('Quant. mod. (oc)'!V451&lt;0,0,ROUND('Quant. mod. (oc)'!V451,0))</f>
        <v>3</v>
      </c>
      <c r="W451" s="125">
        <f>IF('Quant. mod. (oc)'!W451&lt;0,0,ROUND('Quant. mod. (oc)'!W451,0))</f>
        <v>3</v>
      </c>
      <c r="X451" s="125">
        <f>IF('Quant. mod. (oc)'!X451&lt;0,0,ROUND('Quant. mod. (oc)'!X451,0))</f>
        <v>3</v>
      </c>
      <c r="Y451" s="125">
        <f>IF('Quant. mod. (oc)'!Y451&lt;0,0,ROUND('Quant. mod. (oc)'!Y451,0))</f>
        <v>3</v>
      </c>
      <c r="Z451" s="125">
        <f>IF('Quant. mod. (oc)'!Z451&lt;0,0,ROUND('Quant. mod. (oc)'!Z451,0))</f>
        <v>3</v>
      </c>
      <c r="AA451" s="125">
        <f>IF('Quant. mod. (oc)'!AA451&lt;0,0,ROUND('Quant. mod. (oc)'!AA451,0))</f>
        <v>3</v>
      </c>
      <c r="AB451" s="125">
        <f>IF('Quant. mod. (oc)'!AB451&lt;0,0,ROUND('Quant. mod. (oc)'!AB451,0))</f>
        <v>3</v>
      </c>
      <c r="AC451" s="125">
        <f>IF('Quant. mod. (oc)'!AC451&lt;0,0,ROUND('Quant. mod. (oc)'!AC451,0))</f>
        <v>3</v>
      </c>
      <c r="AD451" s="125">
        <f>IF('Quant. mod. (oc)'!AD451&lt;0,0,ROUND('Quant. mod. (oc)'!AD451,0))</f>
        <v>3</v>
      </c>
      <c r="AE451" s="125">
        <f>IF('Quant. mod. (oc)'!AE451&lt;0,0,ROUND('Quant. mod. (oc)'!AE451,0))</f>
        <v>3</v>
      </c>
      <c r="AF451" s="125">
        <f>IF('Quant. mod. (oc)'!AF451&lt;0,0,ROUND('Quant. mod. (oc)'!AF451,0))</f>
        <v>3</v>
      </c>
      <c r="AG451" s="126">
        <f>IF('Quant. mod. (oc)'!AG451&lt;0,0,ROUND('Quant. mod. (oc)'!AG451,0))</f>
        <v>3</v>
      </c>
      <c r="AH451" s="22"/>
    </row>
    <row r="452" spans="1:34" x14ac:dyDescent="0.25">
      <c r="A452" s="112"/>
      <c r="B452" s="136" t="s">
        <v>157</v>
      </c>
      <c r="C452" s="67" t="s">
        <v>59</v>
      </c>
      <c r="D452" s="125">
        <f>IF('Quant. mod. (oc)'!D452&lt;0,0,ROUND('Quant. mod. (oc)'!D452,0))</f>
        <v>1</v>
      </c>
      <c r="E452" s="125">
        <f>IF('Quant. mod. (oc)'!E452&lt;0,0,ROUND('Quant. mod. (oc)'!E452,0))</f>
        <v>1</v>
      </c>
      <c r="F452" s="125">
        <f>IF('Quant. mod. (oc)'!F452&lt;0,0,ROUND('Quant. mod. (oc)'!F452,0))</f>
        <v>1</v>
      </c>
      <c r="G452" s="125">
        <f>IF('Quant. mod. (oc)'!G452&lt;0,0,ROUND('Quant. mod. (oc)'!G452,0))</f>
        <v>1</v>
      </c>
      <c r="H452" s="125">
        <f>IF('Quant. mod. (oc)'!H452&lt;0,0,ROUND('Quant. mod. (oc)'!H452,0))</f>
        <v>1</v>
      </c>
      <c r="I452" s="125">
        <f>IF('Quant. mod. (oc)'!I452&lt;0,0,ROUND('Quant. mod. (oc)'!I452,0))</f>
        <v>1</v>
      </c>
      <c r="J452" s="125">
        <f>IF('Quant. mod. (oc)'!J452&lt;0,0,ROUND('Quant. mod. (oc)'!J452,0))</f>
        <v>1</v>
      </c>
      <c r="K452" s="125">
        <f>IF('Quant. mod. (oc)'!K452&lt;0,0,ROUND('Quant. mod. (oc)'!K452,0))</f>
        <v>1</v>
      </c>
      <c r="L452" s="125">
        <f>IF('Quant. mod. (oc)'!L452&lt;0,0,ROUND('Quant. mod. (oc)'!L452,0))</f>
        <v>1</v>
      </c>
      <c r="M452" s="125">
        <f>IF('Quant. mod. (oc)'!M452&lt;0,0,ROUND('Quant. mod. (oc)'!M452,0))</f>
        <v>1</v>
      </c>
      <c r="N452" s="125">
        <f>IF('Quant. mod. (oc)'!N452&lt;0,0,ROUND('Quant. mod. (oc)'!N452,0))</f>
        <v>1</v>
      </c>
      <c r="O452" s="125">
        <f>IF('Quant. mod. (oc)'!O452&lt;0,0,ROUND('Quant. mod. (oc)'!O452,0))</f>
        <v>1</v>
      </c>
      <c r="P452" s="125">
        <f>IF('Quant. mod. (oc)'!P452&lt;0,0,ROUND('Quant. mod. (oc)'!P452,0))</f>
        <v>1</v>
      </c>
      <c r="Q452" s="125">
        <f>IF('Quant. mod. (oc)'!Q452&lt;0,0,ROUND('Quant. mod. (oc)'!Q452,0))</f>
        <v>1</v>
      </c>
      <c r="R452" s="125">
        <f>IF('Quant. mod. (oc)'!R452&lt;0,0,ROUND('Quant. mod. (oc)'!R452,0))</f>
        <v>1</v>
      </c>
      <c r="S452" s="125">
        <f>IF('Quant. mod. (oc)'!S452&lt;0,0,ROUND('Quant. mod. (oc)'!S452,0))</f>
        <v>1</v>
      </c>
      <c r="T452" s="125">
        <f>IF('Quant. mod. (oc)'!T452&lt;0,0,ROUND('Quant. mod. (oc)'!T452,0))</f>
        <v>1</v>
      </c>
      <c r="U452" s="125">
        <f>IF('Quant. mod. (oc)'!U452&lt;0,0,ROUND('Quant. mod. (oc)'!U452,0))</f>
        <v>1</v>
      </c>
      <c r="V452" s="125">
        <f>IF('Quant. mod. (oc)'!V452&lt;0,0,ROUND('Quant. mod. (oc)'!V452,0))</f>
        <v>1</v>
      </c>
      <c r="W452" s="125">
        <f>IF('Quant. mod. (oc)'!W452&lt;0,0,ROUND('Quant. mod. (oc)'!W452,0))</f>
        <v>1</v>
      </c>
      <c r="X452" s="125">
        <f>IF('Quant. mod. (oc)'!X452&lt;0,0,ROUND('Quant. mod. (oc)'!X452,0))</f>
        <v>1</v>
      </c>
      <c r="Y452" s="125">
        <f>IF('Quant. mod. (oc)'!Y452&lt;0,0,ROUND('Quant. mod. (oc)'!Y452,0))</f>
        <v>1</v>
      </c>
      <c r="Z452" s="125">
        <f>IF('Quant. mod. (oc)'!Z452&lt;0,0,ROUND('Quant. mod. (oc)'!Z452,0))</f>
        <v>1</v>
      </c>
      <c r="AA452" s="125">
        <f>IF('Quant. mod. (oc)'!AA452&lt;0,0,ROUND('Quant. mod. (oc)'!AA452,0))</f>
        <v>1</v>
      </c>
      <c r="AB452" s="125">
        <f>IF('Quant. mod. (oc)'!AB452&lt;0,0,ROUND('Quant. mod. (oc)'!AB452,0))</f>
        <v>1</v>
      </c>
      <c r="AC452" s="125">
        <f>IF('Quant. mod. (oc)'!AC452&lt;0,0,ROUND('Quant. mod. (oc)'!AC452,0))</f>
        <v>1</v>
      </c>
      <c r="AD452" s="125">
        <f>IF('Quant. mod. (oc)'!AD452&lt;0,0,ROUND('Quant. mod. (oc)'!AD452,0))</f>
        <v>1</v>
      </c>
      <c r="AE452" s="125">
        <f>IF('Quant. mod. (oc)'!AE452&lt;0,0,ROUND('Quant. mod. (oc)'!AE452,0))</f>
        <v>1</v>
      </c>
      <c r="AF452" s="125">
        <f>IF('Quant. mod. (oc)'!AF452&lt;0,0,ROUND('Quant. mod. (oc)'!AF452,0))</f>
        <v>1</v>
      </c>
      <c r="AG452" s="126">
        <f>IF('Quant. mod. (oc)'!AG452&lt;0,0,ROUND('Quant. mod. (oc)'!AG452,0))</f>
        <v>1</v>
      </c>
      <c r="AH452" s="22"/>
    </row>
    <row r="453" spans="1:34" x14ac:dyDescent="0.25">
      <c r="A453" s="112"/>
      <c r="B453" s="136" t="s">
        <v>158</v>
      </c>
      <c r="C453" s="67" t="s">
        <v>59</v>
      </c>
      <c r="D453" s="125">
        <f>IF('Quant. mod. (oc)'!D453&lt;0,0,ROUND('Quant. mod. (oc)'!D453,0))</f>
        <v>1</v>
      </c>
      <c r="E453" s="125">
        <f>IF('Quant. mod. (oc)'!E453&lt;0,0,ROUND('Quant. mod. (oc)'!E453,0))</f>
        <v>1</v>
      </c>
      <c r="F453" s="125">
        <f>IF('Quant. mod. (oc)'!F453&lt;0,0,ROUND('Quant. mod. (oc)'!F453,0))</f>
        <v>1</v>
      </c>
      <c r="G453" s="125">
        <f>IF('Quant. mod. (oc)'!G453&lt;0,0,ROUND('Quant. mod. (oc)'!G453,0))</f>
        <v>1</v>
      </c>
      <c r="H453" s="125">
        <f>IF('Quant. mod. (oc)'!H453&lt;0,0,ROUND('Quant. mod. (oc)'!H453,0))</f>
        <v>1</v>
      </c>
      <c r="I453" s="125">
        <f>IF('Quant. mod. (oc)'!I453&lt;0,0,ROUND('Quant. mod. (oc)'!I453,0))</f>
        <v>1</v>
      </c>
      <c r="J453" s="125">
        <f>IF('Quant. mod. (oc)'!J453&lt;0,0,ROUND('Quant. mod. (oc)'!J453,0))</f>
        <v>1</v>
      </c>
      <c r="K453" s="125">
        <f>IF('Quant. mod. (oc)'!K453&lt;0,0,ROUND('Quant. mod. (oc)'!K453,0))</f>
        <v>1</v>
      </c>
      <c r="L453" s="125">
        <f>IF('Quant. mod. (oc)'!L453&lt;0,0,ROUND('Quant. mod. (oc)'!L453,0))</f>
        <v>1</v>
      </c>
      <c r="M453" s="125">
        <f>IF('Quant. mod. (oc)'!M453&lt;0,0,ROUND('Quant. mod. (oc)'!M453,0))</f>
        <v>1</v>
      </c>
      <c r="N453" s="125">
        <f>IF('Quant. mod. (oc)'!N453&lt;0,0,ROUND('Quant. mod. (oc)'!N453,0))</f>
        <v>1</v>
      </c>
      <c r="O453" s="125">
        <f>IF('Quant. mod. (oc)'!O453&lt;0,0,ROUND('Quant. mod. (oc)'!O453,0))</f>
        <v>1</v>
      </c>
      <c r="P453" s="125">
        <f>IF('Quant. mod. (oc)'!P453&lt;0,0,ROUND('Quant. mod. (oc)'!P453,0))</f>
        <v>1</v>
      </c>
      <c r="Q453" s="125">
        <f>IF('Quant. mod. (oc)'!Q453&lt;0,0,ROUND('Quant. mod. (oc)'!Q453,0))</f>
        <v>1</v>
      </c>
      <c r="R453" s="125">
        <f>IF('Quant. mod. (oc)'!R453&lt;0,0,ROUND('Quant. mod. (oc)'!R453,0))</f>
        <v>1</v>
      </c>
      <c r="S453" s="125">
        <f>IF('Quant. mod. (oc)'!S453&lt;0,0,ROUND('Quant. mod. (oc)'!S453,0))</f>
        <v>1</v>
      </c>
      <c r="T453" s="125">
        <f>IF('Quant. mod. (oc)'!T453&lt;0,0,ROUND('Quant. mod. (oc)'!T453,0))</f>
        <v>1</v>
      </c>
      <c r="U453" s="125">
        <f>IF('Quant. mod. (oc)'!U453&lt;0,0,ROUND('Quant. mod. (oc)'!U453,0))</f>
        <v>1</v>
      </c>
      <c r="V453" s="125">
        <f>IF('Quant. mod. (oc)'!V453&lt;0,0,ROUND('Quant. mod. (oc)'!V453,0))</f>
        <v>1</v>
      </c>
      <c r="W453" s="125">
        <f>IF('Quant. mod. (oc)'!W453&lt;0,0,ROUND('Quant. mod. (oc)'!W453,0))</f>
        <v>1</v>
      </c>
      <c r="X453" s="125">
        <f>IF('Quant. mod. (oc)'!X453&lt;0,0,ROUND('Quant. mod. (oc)'!X453,0))</f>
        <v>1</v>
      </c>
      <c r="Y453" s="125">
        <f>IF('Quant. mod. (oc)'!Y453&lt;0,0,ROUND('Quant. mod. (oc)'!Y453,0))</f>
        <v>1</v>
      </c>
      <c r="Z453" s="125">
        <f>IF('Quant. mod. (oc)'!Z453&lt;0,0,ROUND('Quant. mod. (oc)'!Z453,0))</f>
        <v>1</v>
      </c>
      <c r="AA453" s="125">
        <f>IF('Quant. mod. (oc)'!AA453&lt;0,0,ROUND('Quant. mod. (oc)'!AA453,0))</f>
        <v>1</v>
      </c>
      <c r="AB453" s="125">
        <f>IF('Quant. mod. (oc)'!AB453&lt;0,0,ROUND('Quant. mod. (oc)'!AB453,0))</f>
        <v>1</v>
      </c>
      <c r="AC453" s="125">
        <f>IF('Quant. mod. (oc)'!AC453&lt;0,0,ROUND('Quant. mod. (oc)'!AC453,0))</f>
        <v>1</v>
      </c>
      <c r="AD453" s="125">
        <f>IF('Quant. mod. (oc)'!AD453&lt;0,0,ROUND('Quant. mod. (oc)'!AD453,0))</f>
        <v>1</v>
      </c>
      <c r="AE453" s="125">
        <f>IF('Quant. mod. (oc)'!AE453&lt;0,0,ROUND('Quant. mod. (oc)'!AE453,0))</f>
        <v>1</v>
      </c>
      <c r="AF453" s="125">
        <f>IF('Quant. mod. (oc)'!AF453&lt;0,0,ROUND('Quant. mod. (oc)'!AF453,0))</f>
        <v>1</v>
      </c>
      <c r="AG453" s="126">
        <f>IF('Quant. mod. (oc)'!AG453&lt;0,0,ROUND('Quant. mod. (oc)'!AG453,0))</f>
        <v>1</v>
      </c>
      <c r="AH453" s="22"/>
    </row>
    <row r="454" spans="1:34" x14ac:dyDescent="0.25">
      <c r="A454" s="112"/>
      <c r="B454" s="136" t="s">
        <v>159</v>
      </c>
      <c r="C454" s="67" t="s">
        <v>59</v>
      </c>
      <c r="D454" s="125">
        <f>IF('Quant. mod. (oc)'!D454&lt;0,0,ROUND('Quant. mod. (oc)'!D454,0))</f>
        <v>1</v>
      </c>
      <c r="E454" s="125">
        <f>IF('Quant. mod. (oc)'!E454&lt;0,0,ROUND('Quant. mod. (oc)'!E454,0))</f>
        <v>1</v>
      </c>
      <c r="F454" s="125">
        <f>IF('Quant. mod. (oc)'!F454&lt;0,0,ROUND('Quant. mod. (oc)'!F454,0))</f>
        <v>1</v>
      </c>
      <c r="G454" s="125">
        <f>IF('Quant. mod. (oc)'!G454&lt;0,0,ROUND('Quant. mod. (oc)'!G454,0))</f>
        <v>1</v>
      </c>
      <c r="H454" s="125">
        <f>IF('Quant. mod. (oc)'!H454&lt;0,0,ROUND('Quant. mod. (oc)'!H454,0))</f>
        <v>1</v>
      </c>
      <c r="I454" s="125">
        <f>IF('Quant. mod. (oc)'!I454&lt;0,0,ROUND('Quant. mod. (oc)'!I454,0))</f>
        <v>1</v>
      </c>
      <c r="J454" s="125">
        <f>IF('Quant. mod. (oc)'!J454&lt;0,0,ROUND('Quant. mod. (oc)'!J454,0))</f>
        <v>1</v>
      </c>
      <c r="K454" s="125">
        <f>IF('Quant. mod. (oc)'!K454&lt;0,0,ROUND('Quant. mod. (oc)'!K454,0))</f>
        <v>1</v>
      </c>
      <c r="L454" s="125">
        <f>IF('Quant. mod. (oc)'!L454&lt;0,0,ROUND('Quant. mod. (oc)'!L454,0))</f>
        <v>1</v>
      </c>
      <c r="M454" s="125">
        <f>IF('Quant. mod. (oc)'!M454&lt;0,0,ROUND('Quant. mod. (oc)'!M454,0))</f>
        <v>1</v>
      </c>
      <c r="N454" s="125">
        <f>IF('Quant. mod. (oc)'!N454&lt;0,0,ROUND('Quant. mod. (oc)'!N454,0))</f>
        <v>1</v>
      </c>
      <c r="O454" s="125">
        <f>IF('Quant. mod. (oc)'!O454&lt;0,0,ROUND('Quant. mod. (oc)'!O454,0))</f>
        <v>1</v>
      </c>
      <c r="P454" s="125">
        <f>IF('Quant. mod. (oc)'!P454&lt;0,0,ROUND('Quant. mod. (oc)'!P454,0))</f>
        <v>1</v>
      </c>
      <c r="Q454" s="125">
        <f>IF('Quant. mod. (oc)'!Q454&lt;0,0,ROUND('Quant. mod. (oc)'!Q454,0))</f>
        <v>1</v>
      </c>
      <c r="R454" s="125">
        <f>IF('Quant. mod. (oc)'!R454&lt;0,0,ROUND('Quant. mod. (oc)'!R454,0))</f>
        <v>1</v>
      </c>
      <c r="S454" s="125">
        <f>IF('Quant. mod. (oc)'!S454&lt;0,0,ROUND('Quant. mod. (oc)'!S454,0))</f>
        <v>1</v>
      </c>
      <c r="T454" s="125">
        <f>IF('Quant. mod. (oc)'!T454&lt;0,0,ROUND('Quant. mod. (oc)'!T454,0))</f>
        <v>1</v>
      </c>
      <c r="U454" s="125">
        <f>IF('Quant. mod. (oc)'!U454&lt;0,0,ROUND('Quant. mod. (oc)'!U454,0))</f>
        <v>1</v>
      </c>
      <c r="V454" s="125">
        <f>IF('Quant. mod. (oc)'!V454&lt;0,0,ROUND('Quant. mod. (oc)'!V454,0))</f>
        <v>1</v>
      </c>
      <c r="W454" s="125">
        <f>IF('Quant. mod. (oc)'!W454&lt;0,0,ROUND('Quant. mod. (oc)'!W454,0))</f>
        <v>1</v>
      </c>
      <c r="X454" s="125">
        <f>IF('Quant. mod. (oc)'!X454&lt;0,0,ROUND('Quant. mod. (oc)'!X454,0))</f>
        <v>1</v>
      </c>
      <c r="Y454" s="125">
        <f>IF('Quant. mod. (oc)'!Y454&lt;0,0,ROUND('Quant. mod. (oc)'!Y454,0))</f>
        <v>1</v>
      </c>
      <c r="Z454" s="125">
        <f>IF('Quant. mod. (oc)'!Z454&lt;0,0,ROUND('Quant. mod. (oc)'!Z454,0))</f>
        <v>1</v>
      </c>
      <c r="AA454" s="125">
        <f>IF('Quant. mod. (oc)'!AA454&lt;0,0,ROUND('Quant. mod. (oc)'!AA454,0))</f>
        <v>1</v>
      </c>
      <c r="AB454" s="125">
        <f>IF('Quant. mod. (oc)'!AB454&lt;0,0,ROUND('Quant. mod. (oc)'!AB454,0))</f>
        <v>1</v>
      </c>
      <c r="AC454" s="125">
        <f>IF('Quant. mod. (oc)'!AC454&lt;0,0,ROUND('Quant. mod. (oc)'!AC454,0))</f>
        <v>1</v>
      </c>
      <c r="AD454" s="125">
        <f>IF('Quant. mod. (oc)'!AD454&lt;0,0,ROUND('Quant. mod. (oc)'!AD454,0))</f>
        <v>1</v>
      </c>
      <c r="AE454" s="125">
        <f>IF('Quant. mod. (oc)'!AE454&lt;0,0,ROUND('Quant. mod. (oc)'!AE454,0))</f>
        <v>1</v>
      </c>
      <c r="AF454" s="125">
        <f>IF('Quant. mod. (oc)'!AF454&lt;0,0,ROUND('Quant. mod. (oc)'!AF454,0))</f>
        <v>1</v>
      </c>
      <c r="AG454" s="126">
        <f>IF('Quant. mod. (oc)'!AG454&lt;0,0,ROUND('Quant. mod. (oc)'!AG454,0))</f>
        <v>1</v>
      </c>
      <c r="AH454" s="22"/>
    </row>
    <row r="455" spans="1:34" x14ac:dyDescent="0.25">
      <c r="A455" s="112"/>
      <c r="B455" s="136" t="s">
        <v>160</v>
      </c>
      <c r="C455" s="67" t="s">
        <v>59</v>
      </c>
      <c r="D455" s="125">
        <f>IF('Quant. mod. (oc)'!D455&lt;0,0,ROUND('Quant. mod. (oc)'!D455,0))</f>
        <v>1</v>
      </c>
      <c r="E455" s="125">
        <f>IF('Quant. mod. (oc)'!E455&lt;0,0,ROUND('Quant. mod. (oc)'!E455,0))</f>
        <v>1</v>
      </c>
      <c r="F455" s="125">
        <f>IF('Quant. mod. (oc)'!F455&lt;0,0,ROUND('Quant. mod. (oc)'!F455,0))</f>
        <v>1</v>
      </c>
      <c r="G455" s="125">
        <f>IF('Quant. mod. (oc)'!G455&lt;0,0,ROUND('Quant. mod. (oc)'!G455,0))</f>
        <v>1</v>
      </c>
      <c r="H455" s="125">
        <f>IF('Quant. mod. (oc)'!H455&lt;0,0,ROUND('Quant. mod. (oc)'!H455,0))</f>
        <v>1</v>
      </c>
      <c r="I455" s="125">
        <f>IF('Quant. mod. (oc)'!I455&lt;0,0,ROUND('Quant. mod. (oc)'!I455,0))</f>
        <v>1</v>
      </c>
      <c r="J455" s="125">
        <f>IF('Quant. mod. (oc)'!J455&lt;0,0,ROUND('Quant. mod. (oc)'!J455,0))</f>
        <v>1</v>
      </c>
      <c r="K455" s="125">
        <f>IF('Quant. mod. (oc)'!K455&lt;0,0,ROUND('Quant. mod. (oc)'!K455,0))</f>
        <v>1</v>
      </c>
      <c r="L455" s="125">
        <f>IF('Quant. mod. (oc)'!L455&lt;0,0,ROUND('Quant. mod. (oc)'!L455,0))</f>
        <v>1</v>
      </c>
      <c r="M455" s="125">
        <f>IF('Quant. mod. (oc)'!M455&lt;0,0,ROUND('Quant. mod. (oc)'!M455,0))</f>
        <v>1</v>
      </c>
      <c r="N455" s="125">
        <f>IF('Quant. mod. (oc)'!N455&lt;0,0,ROUND('Quant. mod. (oc)'!N455,0))</f>
        <v>1</v>
      </c>
      <c r="O455" s="125">
        <f>IF('Quant. mod. (oc)'!O455&lt;0,0,ROUND('Quant. mod. (oc)'!O455,0))</f>
        <v>1</v>
      </c>
      <c r="P455" s="125">
        <f>IF('Quant. mod. (oc)'!P455&lt;0,0,ROUND('Quant. mod. (oc)'!P455,0))</f>
        <v>1</v>
      </c>
      <c r="Q455" s="125">
        <f>IF('Quant. mod. (oc)'!Q455&lt;0,0,ROUND('Quant. mod. (oc)'!Q455,0))</f>
        <v>1</v>
      </c>
      <c r="R455" s="125">
        <f>IF('Quant. mod. (oc)'!R455&lt;0,0,ROUND('Quant. mod. (oc)'!R455,0))</f>
        <v>1</v>
      </c>
      <c r="S455" s="125">
        <f>IF('Quant. mod. (oc)'!S455&lt;0,0,ROUND('Quant. mod. (oc)'!S455,0))</f>
        <v>1</v>
      </c>
      <c r="T455" s="125">
        <f>IF('Quant. mod. (oc)'!T455&lt;0,0,ROUND('Quant. mod. (oc)'!T455,0))</f>
        <v>1</v>
      </c>
      <c r="U455" s="125">
        <f>IF('Quant. mod. (oc)'!U455&lt;0,0,ROUND('Quant. mod. (oc)'!U455,0))</f>
        <v>1</v>
      </c>
      <c r="V455" s="125">
        <f>IF('Quant. mod. (oc)'!V455&lt;0,0,ROUND('Quant. mod. (oc)'!V455,0))</f>
        <v>1</v>
      </c>
      <c r="W455" s="125">
        <f>IF('Quant. mod. (oc)'!W455&lt;0,0,ROUND('Quant. mod. (oc)'!W455,0))</f>
        <v>1</v>
      </c>
      <c r="X455" s="125">
        <f>IF('Quant. mod. (oc)'!X455&lt;0,0,ROUND('Quant. mod. (oc)'!X455,0))</f>
        <v>1</v>
      </c>
      <c r="Y455" s="125">
        <f>IF('Quant. mod. (oc)'!Y455&lt;0,0,ROUND('Quant. mod. (oc)'!Y455,0))</f>
        <v>1</v>
      </c>
      <c r="Z455" s="125">
        <f>IF('Quant. mod. (oc)'!Z455&lt;0,0,ROUND('Quant. mod. (oc)'!Z455,0))</f>
        <v>1</v>
      </c>
      <c r="AA455" s="125">
        <f>IF('Quant. mod. (oc)'!AA455&lt;0,0,ROUND('Quant. mod. (oc)'!AA455,0))</f>
        <v>1</v>
      </c>
      <c r="AB455" s="125">
        <f>IF('Quant. mod. (oc)'!AB455&lt;0,0,ROUND('Quant. mod. (oc)'!AB455,0))</f>
        <v>1</v>
      </c>
      <c r="AC455" s="125">
        <f>IF('Quant. mod. (oc)'!AC455&lt;0,0,ROUND('Quant. mod. (oc)'!AC455,0))</f>
        <v>1</v>
      </c>
      <c r="AD455" s="125">
        <f>IF('Quant. mod. (oc)'!AD455&lt;0,0,ROUND('Quant. mod. (oc)'!AD455,0))</f>
        <v>1</v>
      </c>
      <c r="AE455" s="125">
        <f>IF('Quant. mod. (oc)'!AE455&lt;0,0,ROUND('Quant. mod. (oc)'!AE455,0))</f>
        <v>1</v>
      </c>
      <c r="AF455" s="125">
        <f>IF('Quant. mod. (oc)'!AF455&lt;0,0,ROUND('Quant. mod. (oc)'!AF455,0))</f>
        <v>1</v>
      </c>
      <c r="AG455" s="126">
        <f>IF('Quant. mod. (oc)'!AG455&lt;0,0,ROUND('Quant. mod. (oc)'!AG455,0))</f>
        <v>1</v>
      </c>
      <c r="AH455" s="22"/>
    </row>
    <row r="456" spans="1:34" x14ac:dyDescent="0.25">
      <c r="A456" s="112"/>
      <c r="B456" s="136" t="s">
        <v>161</v>
      </c>
      <c r="C456" s="67" t="s">
        <v>59</v>
      </c>
      <c r="D456" s="125">
        <f>IF('Quant. mod. (oc)'!D456&lt;0,0,ROUND('Quant. mod. (oc)'!D456,0))</f>
        <v>1</v>
      </c>
      <c r="E456" s="125">
        <f>IF('Quant. mod. (oc)'!E456&lt;0,0,ROUND('Quant. mod. (oc)'!E456,0))</f>
        <v>1</v>
      </c>
      <c r="F456" s="125">
        <f>IF('Quant. mod. (oc)'!F456&lt;0,0,ROUND('Quant. mod. (oc)'!F456,0))</f>
        <v>1</v>
      </c>
      <c r="G456" s="125">
        <f>IF('Quant. mod. (oc)'!G456&lt;0,0,ROUND('Quant. mod. (oc)'!G456,0))</f>
        <v>1</v>
      </c>
      <c r="H456" s="125">
        <f>IF('Quant. mod. (oc)'!H456&lt;0,0,ROUND('Quant. mod. (oc)'!H456,0))</f>
        <v>1</v>
      </c>
      <c r="I456" s="125">
        <f>IF('Quant. mod. (oc)'!I456&lt;0,0,ROUND('Quant. mod. (oc)'!I456,0))</f>
        <v>1</v>
      </c>
      <c r="J456" s="125">
        <f>IF('Quant. mod. (oc)'!J456&lt;0,0,ROUND('Quant. mod. (oc)'!J456,0))</f>
        <v>1</v>
      </c>
      <c r="K456" s="125">
        <f>IF('Quant. mod. (oc)'!K456&lt;0,0,ROUND('Quant. mod. (oc)'!K456,0))</f>
        <v>1</v>
      </c>
      <c r="L456" s="125">
        <f>IF('Quant. mod. (oc)'!L456&lt;0,0,ROUND('Quant. mod. (oc)'!L456,0))</f>
        <v>1</v>
      </c>
      <c r="M456" s="125">
        <f>IF('Quant. mod. (oc)'!M456&lt;0,0,ROUND('Quant. mod. (oc)'!M456,0))</f>
        <v>1</v>
      </c>
      <c r="N456" s="125">
        <f>IF('Quant. mod. (oc)'!N456&lt;0,0,ROUND('Quant. mod. (oc)'!N456,0))</f>
        <v>1</v>
      </c>
      <c r="O456" s="125">
        <f>IF('Quant. mod. (oc)'!O456&lt;0,0,ROUND('Quant. mod. (oc)'!O456,0))</f>
        <v>1</v>
      </c>
      <c r="P456" s="125">
        <f>IF('Quant. mod. (oc)'!P456&lt;0,0,ROUND('Quant. mod. (oc)'!P456,0))</f>
        <v>1</v>
      </c>
      <c r="Q456" s="125">
        <f>IF('Quant. mod. (oc)'!Q456&lt;0,0,ROUND('Quant. mod. (oc)'!Q456,0))</f>
        <v>1</v>
      </c>
      <c r="R456" s="125">
        <f>IF('Quant. mod. (oc)'!R456&lt;0,0,ROUND('Quant. mod. (oc)'!R456,0))</f>
        <v>1</v>
      </c>
      <c r="S456" s="125">
        <f>IF('Quant. mod. (oc)'!S456&lt;0,0,ROUND('Quant. mod. (oc)'!S456,0))</f>
        <v>1</v>
      </c>
      <c r="T456" s="125">
        <f>IF('Quant. mod. (oc)'!T456&lt;0,0,ROUND('Quant. mod. (oc)'!T456,0))</f>
        <v>1</v>
      </c>
      <c r="U456" s="125">
        <f>IF('Quant. mod. (oc)'!U456&lt;0,0,ROUND('Quant. mod. (oc)'!U456,0))</f>
        <v>1</v>
      </c>
      <c r="V456" s="125">
        <f>IF('Quant. mod. (oc)'!V456&lt;0,0,ROUND('Quant. mod. (oc)'!V456,0))</f>
        <v>1</v>
      </c>
      <c r="W456" s="125">
        <f>IF('Quant. mod. (oc)'!W456&lt;0,0,ROUND('Quant. mod. (oc)'!W456,0))</f>
        <v>1</v>
      </c>
      <c r="X456" s="125">
        <f>IF('Quant. mod. (oc)'!X456&lt;0,0,ROUND('Quant. mod. (oc)'!X456,0))</f>
        <v>1</v>
      </c>
      <c r="Y456" s="125">
        <f>IF('Quant. mod. (oc)'!Y456&lt;0,0,ROUND('Quant. mod. (oc)'!Y456,0))</f>
        <v>1</v>
      </c>
      <c r="Z456" s="125">
        <f>IF('Quant. mod. (oc)'!Z456&lt;0,0,ROUND('Quant. mod. (oc)'!Z456,0))</f>
        <v>1</v>
      </c>
      <c r="AA456" s="125">
        <f>IF('Quant. mod. (oc)'!AA456&lt;0,0,ROUND('Quant. mod. (oc)'!AA456,0))</f>
        <v>1</v>
      </c>
      <c r="AB456" s="125">
        <f>IF('Quant. mod. (oc)'!AB456&lt;0,0,ROUND('Quant. mod. (oc)'!AB456,0))</f>
        <v>1</v>
      </c>
      <c r="AC456" s="125">
        <f>IF('Quant. mod. (oc)'!AC456&lt;0,0,ROUND('Quant. mod. (oc)'!AC456,0))</f>
        <v>1</v>
      </c>
      <c r="AD456" s="125">
        <f>IF('Quant. mod. (oc)'!AD456&lt;0,0,ROUND('Quant. mod. (oc)'!AD456,0))</f>
        <v>1</v>
      </c>
      <c r="AE456" s="125">
        <f>IF('Quant. mod. (oc)'!AE456&lt;0,0,ROUND('Quant. mod. (oc)'!AE456,0))</f>
        <v>1</v>
      </c>
      <c r="AF456" s="125">
        <f>IF('Quant. mod. (oc)'!AF456&lt;0,0,ROUND('Quant. mod. (oc)'!AF456,0))</f>
        <v>1</v>
      </c>
      <c r="AG456" s="126">
        <f>IF('Quant. mod. (oc)'!AG456&lt;0,0,ROUND('Quant. mod. (oc)'!AG456,0))</f>
        <v>1</v>
      </c>
      <c r="AH456" s="22"/>
    </row>
    <row r="457" spans="1:34" x14ac:dyDescent="0.25">
      <c r="A457" s="112"/>
      <c r="B457" s="136" t="s">
        <v>162</v>
      </c>
      <c r="C457" s="67" t="s">
        <v>59</v>
      </c>
      <c r="D457" s="125">
        <f>IF('Quant. mod. (oc)'!D457&lt;0,0,ROUND('Quant. mod. (oc)'!D457,0))</f>
        <v>1</v>
      </c>
      <c r="E457" s="125">
        <f>IF('Quant. mod. (oc)'!E457&lt;0,0,ROUND('Quant. mod. (oc)'!E457,0))</f>
        <v>1</v>
      </c>
      <c r="F457" s="125">
        <f>IF('Quant. mod. (oc)'!F457&lt;0,0,ROUND('Quant. mod. (oc)'!F457,0))</f>
        <v>1</v>
      </c>
      <c r="G457" s="125">
        <f>IF('Quant. mod. (oc)'!G457&lt;0,0,ROUND('Quant. mod. (oc)'!G457,0))</f>
        <v>1</v>
      </c>
      <c r="H457" s="125">
        <f>IF('Quant. mod. (oc)'!H457&lt;0,0,ROUND('Quant. mod. (oc)'!H457,0))</f>
        <v>1</v>
      </c>
      <c r="I457" s="125">
        <f>IF('Quant. mod. (oc)'!I457&lt;0,0,ROUND('Quant. mod. (oc)'!I457,0))</f>
        <v>1</v>
      </c>
      <c r="J457" s="125">
        <f>IF('Quant. mod. (oc)'!J457&lt;0,0,ROUND('Quant. mod. (oc)'!J457,0))</f>
        <v>1</v>
      </c>
      <c r="K457" s="125">
        <f>IF('Quant. mod. (oc)'!K457&lt;0,0,ROUND('Quant. mod. (oc)'!K457,0))</f>
        <v>1</v>
      </c>
      <c r="L457" s="125">
        <f>IF('Quant. mod. (oc)'!L457&lt;0,0,ROUND('Quant. mod. (oc)'!L457,0))</f>
        <v>1</v>
      </c>
      <c r="M457" s="125">
        <f>IF('Quant. mod. (oc)'!M457&lt;0,0,ROUND('Quant. mod. (oc)'!M457,0))</f>
        <v>1</v>
      </c>
      <c r="N457" s="125">
        <f>IF('Quant. mod. (oc)'!N457&lt;0,0,ROUND('Quant. mod. (oc)'!N457,0))</f>
        <v>1</v>
      </c>
      <c r="O457" s="125">
        <f>IF('Quant. mod. (oc)'!O457&lt;0,0,ROUND('Quant. mod. (oc)'!O457,0))</f>
        <v>1</v>
      </c>
      <c r="P457" s="125">
        <f>IF('Quant. mod. (oc)'!P457&lt;0,0,ROUND('Quant. mod. (oc)'!P457,0))</f>
        <v>1</v>
      </c>
      <c r="Q457" s="125">
        <f>IF('Quant. mod. (oc)'!Q457&lt;0,0,ROUND('Quant. mod. (oc)'!Q457,0))</f>
        <v>1</v>
      </c>
      <c r="R457" s="125">
        <f>IF('Quant. mod. (oc)'!R457&lt;0,0,ROUND('Quant. mod. (oc)'!R457,0))</f>
        <v>1</v>
      </c>
      <c r="S457" s="125">
        <f>IF('Quant. mod. (oc)'!S457&lt;0,0,ROUND('Quant. mod. (oc)'!S457,0))</f>
        <v>1</v>
      </c>
      <c r="T457" s="125">
        <f>IF('Quant. mod. (oc)'!T457&lt;0,0,ROUND('Quant. mod. (oc)'!T457,0))</f>
        <v>1</v>
      </c>
      <c r="U457" s="125">
        <f>IF('Quant. mod. (oc)'!U457&lt;0,0,ROUND('Quant. mod. (oc)'!U457,0))</f>
        <v>1</v>
      </c>
      <c r="V457" s="125">
        <f>IF('Quant. mod. (oc)'!V457&lt;0,0,ROUND('Quant. mod. (oc)'!V457,0))</f>
        <v>1</v>
      </c>
      <c r="W457" s="125">
        <f>IF('Quant. mod. (oc)'!W457&lt;0,0,ROUND('Quant. mod. (oc)'!W457,0))</f>
        <v>1</v>
      </c>
      <c r="X457" s="125">
        <f>IF('Quant. mod. (oc)'!X457&lt;0,0,ROUND('Quant. mod. (oc)'!X457,0))</f>
        <v>1</v>
      </c>
      <c r="Y457" s="125">
        <f>IF('Quant. mod. (oc)'!Y457&lt;0,0,ROUND('Quant. mod. (oc)'!Y457,0))</f>
        <v>1</v>
      </c>
      <c r="Z457" s="125">
        <f>IF('Quant. mod. (oc)'!Z457&lt;0,0,ROUND('Quant. mod. (oc)'!Z457,0))</f>
        <v>1</v>
      </c>
      <c r="AA457" s="125">
        <f>IF('Quant. mod. (oc)'!AA457&lt;0,0,ROUND('Quant. mod. (oc)'!AA457,0))</f>
        <v>1</v>
      </c>
      <c r="AB457" s="125">
        <f>IF('Quant. mod. (oc)'!AB457&lt;0,0,ROUND('Quant. mod. (oc)'!AB457,0))</f>
        <v>1</v>
      </c>
      <c r="AC457" s="125">
        <f>IF('Quant. mod. (oc)'!AC457&lt;0,0,ROUND('Quant. mod. (oc)'!AC457,0))</f>
        <v>1</v>
      </c>
      <c r="AD457" s="125">
        <f>IF('Quant. mod. (oc)'!AD457&lt;0,0,ROUND('Quant. mod. (oc)'!AD457,0))</f>
        <v>1</v>
      </c>
      <c r="AE457" s="125">
        <f>IF('Quant. mod. (oc)'!AE457&lt;0,0,ROUND('Quant. mod. (oc)'!AE457,0))</f>
        <v>1</v>
      </c>
      <c r="AF457" s="125">
        <f>IF('Quant. mod. (oc)'!AF457&lt;0,0,ROUND('Quant. mod. (oc)'!AF457,0))</f>
        <v>1</v>
      </c>
      <c r="AG457" s="126">
        <f>IF('Quant. mod. (oc)'!AG457&lt;0,0,ROUND('Quant. mod. (oc)'!AG457,0))</f>
        <v>1</v>
      </c>
      <c r="AH457" s="22"/>
    </row>
    <row r="458" spans="1:34" x14ac:dyDescent="0.25">
      <c r="A458" s="112"/>
      <c r="B458" s="136" t="s">
        <v>163</v>
      </c>
      <c r="C458" s="67" t="s">
        <v>59</v>
      </c>
      <c r="D458" s="125">
        <f>IF('Quant. mod. (oc)'!D458&lt;0,0,ROUND('Quant. mod. (oc)'!D458,0))</f>
        <v>1</v>
      </c>
      <c r="E458" s="125">
        <f>IF('Quant. mod. (oc)'!E458&lt;0,0,ROUND('Quant. mod. (oc)'!E458,0))</f>
        <v>1</v>
      </c>
      <c r="F458" s="125">
        <f>IF('Quant. mod. (oc)'!F458&lt;0,0,ROUND('Quant. mod. (oc)'!F458,0))</f>
        <v>1</v>
      </c>
      <c r="G458" s="125">
        <f>IF('Quant. mod. (oc)'!G458&lt;0,0,ROUND('Quant. mod. (oc)'!G458,0))</f>
        <v>1</v>
      </c>
      <c r="H458" s="125">
        <f>IF('Quant. mod. (oc)'!H458&lt;0,0,ROUND('Quant. mod. (oc)'!H458,0))</f>
        <v>1</v>
      </c>
      <c r="I458" s="125">
        <f>IF('Quant. mod. (oc)'!I458&lt;0,0,ROUND('Quant. mod. (oc)'!I458,0))</f>
        <v>1</v>
      </c>
      <c r="J458" s="125">
        <f>IF('Quant. mod. (oc)'!J458&lt;0,0,ROUND('Quant. mod. (oc)'!J458,0))</f>
        <v>1</v>
      </c>
      <c r="K458" s="125">
        <f>IF('Quant. mod. (oc)'!K458&lt;0,0,ROUND('Quant. mod. (oc)'!K458,0))</f>
        <v>1</v>
      </c>
      <c r="L458" s="125">
        <f>IF('Quant. mod. (oc)'!L458&lt;0,0,ROUND('Quant. mod. (oc)'!L458,0))</f>
        <v>1</v>
      </c>
      <c r="M458" s="125">
        <f>IF('Quant. mod. (oc)'!M458&lt;0,0,ROUND('Quant. mod. (oc)'!M458,0))</f>
        <v>1</v>
      </c>
      <c r="N458" s="125">
        <f>IF('Quant. mod. (oc)'!N458&lt;0,0,ROUND('Quant. mod. (oc)'!N458,0))</f>
        <v>1</v>
      </c>
      <c r="O458" s="125">
        <f>IF('Quant. mod. (oc)'!O458&lt;0,0,ROUND('Quant. mod. (oc)'!O458,0))</f>
        <v>1</v>
      </c>
      <c r="P458" s="125">
        <f>IF('Quant. mod. (oc)'!P458&lt;0,0,ROUND('Quant. mod. (oc)'!P458,0))</f>
        <v>1</v>
      </c>
      <c r="Q458" s="125">
        <f>IF('Quant. mod. (oc)'!Q458&lt;0,0,ROUND('Quant. mod. (oc)'!Q458,0))</f>
        <v>1</v>
      </c>
      <c r="R458" s="125">
        <f>IF('Quant. mod. (oc)'!R458&lt;0,0,ROUND('Quant. mod. (oc)'!R458,0))</f>
        <v>1</v>
      </c>
      <c r="S458" s="125">
        <f>IF('Quant. mod. (oc)'!S458&lt;0,0,ROUND('Quant. mod. (oc)'!S458,0))</f>
        <v>1</v>
      </c>
      <c r="T458" s="125">
        <f>IF('Quant. mod. (oc)'!T458&lt;0,0,ROUND('Quant. mod. (oc)'!T458,0))</f>
        <v>1</v>
      </c>
      <c r="U458" s="125">
        <f>IF('Quant. mod. (oc)'!U458&lt;0,0,ROUND('Quant. mod. (oc)'!U458,0))</f>
        <v>1</v>
      </c>
      <c r="V458" s="125">
        <f>IF('Quant. mod. (oc)'!V458&lt;0,0,ROUND('Quant. mod. (oc)'!V458,0))</f>
        <v>1</v>
      </c>
      <c r="W458" s="125">
        <f>IF('Quant. mod. (oc)'!W458&lt;0,0,ROUND('Quant. mod. (oc)'!W458,0))</f>
        <v>1</v>
      </c>
      <c r="X458" s="125">
        <f>IF('Quant. mod. (oc)'!X458&lt;0,0,ROUND('Quant. mod. (oc)'!X458,0))</f>
        <v>1</v>
      </c>
      <c r="Y458" s="125">
        <f>IF('Quant. mod. (oc)'!Y458&lt;0,0,ROUND('Quant. mod. (oc)'!Y458,0))</f>
        <v>1</v>
      </c>
      <c r="Z458" s="125">
        <f>IF('Quant. mod. (oc)'!Z458&lt;0,0,ROUND('Quant. mod. (oc)'!Z458,0))</f>
        <v>1</v>
      </c>
      <c r="AA458" s="125">
        <f>IF('Quant. mod. (oc)'!AA458&lt;0,0,ROUND('Quant. mod. (oc)'!AA458,0))</f>
        <v>1</v>
      </c>
      <c r="AB458" s="125">
        <f>IF('Quant. mod. (oc)'!AB458&lt;0,0,ROUND('Quant. mod. (oc)'!AB458,0))</f>
        <v>1</v>
      </c>
      <c r="AC458" s="125">
        <f>IF('Quant. mod. (oc)'!AC458&lt;0,0,ROUND('Quant. mod. (oc)'!AC458,0))</f>
        <v>1</v>
      </c>
      <c r="AD458" s="125">
        <f>IF('Quant. mod. (oc)'!AD458&lt;0,0,ROUND('Quant. mod. (oc)'!AD458,0))</f>
        <v>1</v>
      </c>
      <c r="AE458" s="125">
        <f>IF('Quant. mod. (oc)'!AE458&lt;0,0,ROUND('Quant. mod. (oc)'!AE458,0))</f>
        <v>1</v>
      </c>
      <c r="AF458" s="125">
        <f>IF('Quant. mod. (oc)'!AF458&lt;0,0,ROUND('Quant. mod. (oc)'!AF458,0))</f>
        <v>1</v>
      </c>
      <c r="AG458" s="126">
        <f>IF('Quant. mod. (oc)'!AG458&lt;0,0,ROUND('Quant. mod. (oc)'!AG458,0))</f>
        <v>1</v>
      </c>
      <c r="AH458" s="22"/>
    </row>
    <row r="459" spans="1:34" x14ac:dyDescent="0.25">
      <c r="A459" s="112"/>
      <c r="B459" s="136" t="s">
        <v>164</v>
      </c>
      <c r="C459" s="67" t="s">
        <v>59</v>
      </c>
      <c r="D459" s="125">
        <f>IF('Quant. mod. (oc)'!D459&lt;0,0,ROUND('Quant. mod. (oc)'!D459,0))</f>
        <v>1</v>
      </c>
      <c r="E459" s="125">
        <f>IF('Quant. mod. (oc)'!E459&lt;0,0,ROUND('Quant. mod. (oc)'!E459,0))</f>
        <v>1</v>
      </c>
      <c r="F459" s="125">
        <f>IF('Quant. mod. (oc)'!F459&lt;0,0,ROUND('Quant. mod. (oc)'!F459,0))</f>
        <v>1</v>
      </c>
      <c r="G459" s="125">
        <f>IF('Quant. mod. (oc)'!G459&lt;0,0,ROUND('Quant. mod. (oc)'!G459,0))</f>
        <v>1</v>
      </c>
      <c r="H459" s="125">
        <f>IF('Quant. mod. (oc)'!H459&lt;0,0,ROUND('Quant. mod. (oc)'!H459,0))</f>
        <v>1</v>
      </c>
      <c r="I459" s="125">
        <f>IF('Quant. mod. (oc)'!I459&lt;0,0,ROUND('Quant. mod. (oc)'!I459,0))</f>
        <v>1</v>
      </c>
      <c r="J459" s="125">
        <f>IF('Quant. mod. (oc)'!J459&lt;0,0,ROUND('Quant. mod. (oc)'!J459,0))</f>
        <v>1</v>
      </c>
      <c r="K459" s="125">
        <f>IF('Quant. mod. (oc)'!K459&lt;0,0,ROUND('Quant. mod. (oc)'!K459,0))</f>
        <v>1</v>
      </c>
      <c r="L459" s="125">
        <f>IF('Quant. mod. (oc)'!L459&lt;0,0,ROUND('Quant. mod. (oc)'!L459,0))</f>
        <v>1</v>
      </c>
      <c r="M459" s="125">
        <f>IF('Quant. mod. (oc)'!M459&lt;0,0,ROUND('Quant. mod. (oc)'!M459,0))</f>
        <v>1</v>
      </c>
      <c r="N459" s="125">
        <f>IF('Quant. mod. (oc)'!N459&lt;0,0,ROUND('Quant. mod. (oc)'!N459,0))</f>
        <v>1</v>
      </c>
      <c r="O459" s="125">
        <f>IF('Quant. mod. (oc)'!O459&lt;0,0,ROUND('Quant. mod. (oc)'!O459,0))</f>
        <v>1</v>
      </c>
      <c r="P459" s="125">
        <f>IF('Quant. mod. (oc)'!P459&lt;0,0,ROUND('Quant. mod. (oc)'!P459,0))</f>
        <v>1</v>
      </c>
      <c r="Q459" s="125">
        <f>IF('Quant. mod. (oc)'!Q459&lt;0,0,ROUND('Quant. mod. (oc)'!Q459,0))</f>
        <v>1</v>
      </c>
      <c r="R459" s="125">
        <f>IF('Quant. mod. (oc)'!R459&lt;0,0,ROUND('Quant. mod. (oc)'!R459,0))</f>
        <v>1</v>
      </c>
      <c r="S459" s="125">
        <f>IF('Quant. mod. (oc)'!S459&lt;0,0,ROUND('Quant. mod. (oc)'!S459,0))</f>
        <v>1</v>
      </c>
      <c r="T459" s="125">
        <f>IF('Quant. mod. (oc)'!T459&lt;0,0,ROUND('Quant. mod. (oc)'!T459,0))</f>
        <v>1</v>
      </c>
      <c r="U459" s="125">
        <f>IF('Quant. mod. (oc)'!U459&lt;0,0,ROUND('Quant. mod. (oc)'!U459,0))</f>
        <v>1</v>
      </c>
      <c r="V459" s="125">
        <f>IF('Quant. mod. (oc)'!V459&lt;0,0,ROUND('Quant. mod. (oc)'!V459,0))</f>
        <v>1</v>
      </c>
      <c r="W459" s="125">
        <f>IF('Quant. mod. (oc)'!W459&lt;0,0,ROUND('Quant. mod. (oc)'!W459,0))</f>
        <v>1</v>
      </c>
      <c r="X459" s="125">
        <f>IF('Quant. mod. (oc)'!X459&lt;0,0,ROUND('Quant. mod. (oc)'!X459,0))</f>
        <v>1</v>
      </c>
      <c r="Y459" s="125">
        <f>IF('Quant. mod. (oc)'!Y459&lt;0,0,ROUND('Quant. mod. (oc)'!Y459,0))</f>
        <v>1</v>
      </c>
      <c r="Z459" s="125">
        <f>IF('Quant. mod. (oc)'!Z459&lt;0,0,ROUND('Quant. mod. (oc)'!Z459,0))</f>
        <v>1</v>
      </c>
      <c r="AA459" s="125">
        <f>IF('Quant. mod. (oc)'!AA459&lt;0,0,ROUND('Quant. mod. (oc)'!AA459,0))</f>
        <v>1</v>
      </c>
      <c r="AB459" s="125">
        <f>IF('Quant. mod. (oc)'!AB459&lt;0,0,ROUND('Quant. mod. (oc)'!AB459,0))</f>
        <v>1</v>
      </c>
      <c r="AC459" s="125">
        <f>IF('Quant. mod. (oc)'!AC459&lt;0,0,ROUND('Quant. mod. (oc)'!AC459,0))</f>
        <v>1</v>
      </c>
      <c r="AD459" s="125">
        <f>IF('Quant. mod. (oc)'!AD459&lt;0,0,ROUND('Quant. mod. (oc)'!AD459,0))</f>
        <v>1</v>
      </c>
      <c r="AE459" s="125">
        <f>IF('Quant. mod. (oc)'!AE459&lt;0,0,ROUND('Quant. mod. (oc)'!AE459,0))</f>
        <v>1</v>
      </c>
      <c r="AF459" s="125">
        <f>IF('Quant. mod. (oc)'!AF459&lt;0,0,ROUND('Quant. mod. (oc)'!AF459,0))</f>
        <v>1</v>
      </c>
      <c r="AG459" s="126">
        <f>IF('Quant. mod. (oc)'!AG459&lt;0,0,ROUND('Quant. mod. (oc)'!AG459,0))</f>
        <v>1</v>
      </c>
      <c r="AH459" s="22"/>
    </row>
    <row r="460" spans="1:34" x14ac:dyDescent="0.25">
      <c r="A460" s="112"/>
      <c r="B460" s="136" t="s">
        <v>165</v>
      </c>
      <c r="C460" s="67" t="s">
        <v>59</v>
      </c>
      <c r="D460" s="125">
        <f>IF('Quant. mod. (oc)'!D460&lt;0,0,ROUND('Quant. mod. (oc)'!D460,0))</f>
        <v>1</v>
      </c>
      <c r="E460" s="125">
        <f>IF('Quant. mod. (oc)'!E460&lt;0,0,ROUND('Quant. mod. (oc)'!E460,0))</f>
        <v>1</v>
      </c>
      <c r="F460" s="125">
        <f>IF('Quant. mod. (oc)'!F460&lt;0,0,ROUND('Quant. mod. (oc)'!F460,0))</f>
        <v>1</v>
      </c>
      <c r="G460" s="125">
        <f>IF('Quant. mod. (oc)'!G460&lt;0,0,ROUND('Quant. mod. (oc)'!G460,0))</f>
        <v>1</v>
      </c>
      <c r="H460" s="125">
        <f>IF('Quant. mod. (oc)'!H460&lt;0,0,ROUND('Quant. mod. (oc)'!H460,0))</f>
        <v>1</v>
      </c>
      <c r="I460" s="125">
        <f>IF('Quant. mod. (oc)'!I460&lt;0,0,ROUND('Quant. mod. (oc)'!I460,0))</f>
        <v>1</v>
      </c>
      <c r="J460" s="125">
        <f>IF('Quant. mod. (oc)'!J460&lt;0,0,ROUND('Quant. mod. (oc)'!J460,0))</f>
        <v>1</v>
      </c>
      <c r="K460" s="125">
        <f>IF('Quant. mod. (oc)'!K460&lt;0,0,ROUND('Quant. mod. (oc)'!K460,0))</f>
        <v>1</v>
      </c>
      <c r="L460" s="125">
        <f>IF('Quant. mod. (oc)'!L460&lt;0,0,ROUND('Quant. mod. (oc)'!L460,0))</f>
        <v>1</v>
      </c>
      <c r="M460" s="125">
        <f>IF('Quant. mod. (oc)'!M460&lt;0,0,ROUND('Quant. mod. (oc)'!M460,0))</f>
        <v>1</v>
      </c>
      <c r="N460" s="125">
        <f>IF('Quant. mod. (oc)'!N460&lt;0,0,ROUND('Quant. mod. (oc)'!N460,0))</f>
        <v>1</v>
      </c>
      <c r="O460" s="125">
        <f>IF('Quant. mod. (oc)'!O460&lt;0,0,ROUND('Quant. mod. (oc)'!O460,0))</f>
        <v>1</v>
      </c>
      <c r="P460" s="125">
        <f>IF('Quant. mod. (oc)'!P460&lt;0,0,ROUND('Quant. mod. (oc)'!P460,0))</f>
        <v>1</v>
      </c>
      <c r="Q460" s="125">
        <f>IF('Quant. mod. (oc)'!Q460&lt;0,0,ROUND('Quant. mod. (oc)'!Q460,0))</f>
        <v>1</v>
      </c>
      <c r="R460" s="125">
        <f>IF('Quant. mod. (oc)'!R460&lt;0,0,ROUND('Quant. mod. (oc)'!R460,0))</f>
        <v>1</v>
      </c>
      <c r="S460" s="125">
        <f>IF('Quant. mod. (oc)'!S460&lt;0,0,ROUND('Quant. mod. (oc)'!S460,0))</f>
        <v>1</v>
      </c>
      <c r="T460" s="125">
        <f>IF('Quant. mod. (oc)'!T460&lt;0,0,ROUND('Quant. mod. (oc)'!T460,0))</f>
        <v>1</v>
      </c>
      <c r="U460" s="125">
        <f>IF('Quant. mod. (oc)'!U460&lt;0,0,ROUND('Quant. mod. (oc)'!U460,0))</f>
        <v>1</v>
      </c>
      <c r="V460" s="125">
        <f>IF('Quant. mod. (oc)'!V460&lt;0,0,ROUND('Quant. mod. (oc)'!V460,0))</f>
        <v>1</v>
      </c>
      <c r="W460" s="125">
        <f>IF('Quant. mod. (oc)'!W460&lt;0,0,ROUND('Quant. mod. (oc)'!W460,0))</f>
        <v>1</v>
      </c>
      <c r="X460" s="125">
        <f>IF('Quant. mod. (oc)'!X460&lt;0,0,ROUND('Quant. mod. (oc)'!X460,0))</f>
        <v>1</v>
      </c>
      <c r="Y460" s="125">
        <f>IF('Quant. mod. (oc)'!Y460&lt;0,0,ROUND('Quant. mod. (oc)'!Y460,0))</f>
        <v>1</v>
      </c>
      <c r="Z460" s="125">
        <f>IF('Quant. mod. (oc)'!Z460&lt;0,0,ROUND('Quant. mod. (oc)'!Z460,0))</f>
        <v>1</v>
      </c>
      <c r="AA460" s="125">
        <f>IF('Quant. mod. (oc)'!AA460&lt;0,0,ROUND('Quant. mod. (oc)'!AA460,0))</f>
        <v>1</v>
      </c>
      <c r="AB460" s="125">
        <f>IF('Quant. mod. (oc)'!AB460&lt;0,0,ROUND('Quant. mod. (oc)'!AB460,0))</f>
        <v>1</v>
      </c>
      <c r="AC460" s="125">
        <f>IF('Quant. mod. (oc)'!AC460&lt;0,0,ROUND('Quant. mod. (oc)'!AC460,0))</f>
        <v>1</v>
      </c>
      <c r="AD460" s="125">
        <f>IF('Quant. mod. (oc)'!AD460&lt;0,0,ROUND('Quant. mod. (oc)'!AD460,0))</f>
        <v>1</v>
      </c>
      <c r="AE460" s="125">
        <f>IF('Quant. mod. (oc)'!AE460&lt;0,0,ROUND('Quant. mod. (oc)'!AE460,0))</f>
        <v>1</v>
      </c>
      <c r="AF460" s="125">
        <f>IF('Quant. mod. (oc)'!AF460&lt;0,0,ROUND('Quant. mod. (oc)'!AF460,0))</f>
        <v>1</v>
      </c>
      <c r="AG460" s="126">
        <f>IF('Quant. mod. (oc)'!AG460&lt;0,0,ROUND('Quant. mod. (oc)'!AG460,0))</f>
        <v>1</v>
      </c>
      <c r="AH460" s="22"/>
    </row>
    <row r="461" spans="1:34" x14ac:dyDescent="0.25">
      <c r="A461" s="112"/>
      <c r="B461" s="136" t="s">
        <v>166</v>
      </c>
      <c r="C461" s="67" t="s">
        <v>59</v>
      </c>
      <c r="D461" s="125">
        <f>IF('Quant. mod. (oc)'!D461&lt;0,0,ROUND('Quant. mod. (oc)'!D461,0))</f>
        <v>1</v>
      </c>
      <c r="E461" s="125">
        <f>IF('Quant. mod. (oc)'!E461&lt;0,0,ROUND('Quant. mod. (oc)'!E461,0))</f>
        <v>1</v>
      </c>
      <c r="F461" s="125">
        <f>IF('Quant. mod. (oc)'!F461&lt;0,0,ROUND('Quant. mod. (oc)'!F461,0))</f>
        <v>1</v>
      </c>
      <c r="G461" s="125">
        <f>IF('Quant. mod. (oc)'!G461&lt;0,0,ROUND('Quant. mod. (oc)'!G461,0))</f>
        <v>1</v>
      </c>
      <c r="H461" s="125">
        <f>IF('Quant. mod. (oc)'!H461&lt;0,0,ROUND('Quant. mod. (oc)'!H461,0))</f>
        <v>1</v>
      </c>
      <c r="I461" s="125">
        <f>IF('Quant. mod. (oc)'!I461&lt;0,0,ROUND('Quant. mod. (oc)'!I461,0))</f>
        <v>1</v>
      </c>
      <c r="J461" s="125">
        <f>IF('Quant. mod. (oc)'!J461&lt;0,0,ROUND('Quant. mod. (oc)'!J461,0))</f>
        <v>1</v>
      </c>
      <c r="K461" s="125">
        <f>IF('Quant. mod. (oc)'!K461&lt;0,0,ROUND('Quant. mod. (oc)'!K461,0))</f>
        <v>1</v>
      </c>
      <c r="L461" s="125">
        <f>IF('Quant. mod. (oc)'!L461&lt;0,0,ROUND('Quant. mod. (oc)'!L461,0))</f>
        <v>1</v>
      </c>
      <c r="M461" s="125">
        <f>IF('Quant. mod. (oc)'!M461&lt;0,0,ROUND('Quant. mod. (oc)'!M461,0))</f>
        <v>1</v>
      </c>
      <c r="N461" s="125">
        <f>IF('Quant. mod. (oc)'!N461&lt;0,0,ROUND('Quant. mod. (oc)'!N461,0))</f>
        <v>1</v>
      </c>
      <c r="O461" s="125">
        <f>IF('Quant. mod. (oc)'!O461&lt;0,0,ROUND('Quant. mod. (oc)'!O461,0))</f>
        <v>1</v>
      </c>
      <c r="P461" s="125">
        <f>IF('Quant. mod. (oc)'!P461&lt;0,0,ROUND('Quant. mod. (oc)'!P461,0))</f>
        <v>1</v>
      </c>
      <c r="Q461" s="125">
        <f>IF('Quant. mod. (oc)'!Q461&lt;0,0,ROUND('Quant. mod. (oc)'!Q461,0))</f>
        <v>1</v>
      </c>
      <c r="R461" s="125">
        <f>IF('Quant. mod. (oc)'!R461&lt;0,0,ROUND('Quant. mod. (oc)'!R461,0))</f>
        <v>1</v>
      </c>
      <c r="S461" s="125">
        <f>IF('Quant. mod. (oc)'!S461&lt;0,0,ROUND('Quant. mod. (oc)'!S461,0))</f>
        <v>1</v>
      </c>
      <c r="T461" s="125">
        <f>IF('Quant. mod. (oc)'!T461&lt;0,0,ROUND('Quant. mod. (oc)'!T461,0))</f>
        <v>1</v>
      </c>
      <c r="U461" s="125">
        <f>IF('Quant. mod. (oc)'!U461&lt;0,0,ROUND('Quant. mod. (oc)'!U461,0))</f>
        <v>1</v>
      </c>
      <c r="V461" s="125">
        <f>IF('Quant. mod. (oc)'!V461&lt;0,0,ROUND('Quant. mod. (oc)'!V461,0))</f>
        <v>1</v>
      </c>
      <c r="W461" s="125">
        <f>IF('Quant. mod. (oc)'!W461&lt;0,0,ROUND('Quant. mod. (oc)'!W461,0))</f>
        <v>1</v>
      </c>
      <c r="X461" s="125">
        <f>IF('Quant. mod. (oc)'!X461&lt;0,0,ROUND('Quant. mod. (oc)'!X461,0))</f>
        <v>1</v>
      </c>
      <c r="Y461" s="125">
        <f>IF('Quant. mod. (oc)'!Y461&lt;0,0,ROUND('Quant. mod. (oc)'!Y461,0))</f>
        <v>1</v>
      </c>
      <c r="Z461" s="125">
        <f>IF('Quant. mod. (oc)'!Z461&lt;0,0,ROUND('Quant. mod. (oc)'!Z461,0))</f>
        <v>1</v>
      </c>
      <c r="AA461" s="125">
        <f>IF('Quant. mod. (oc)'!AA461&lt;0,0,ROUND('Quant. mod. (oc)'!AA461,0))</f>
        <v>1</v>
      </c>
      <c r="AB461" s="125">
        <f>IF('Quant. mod. (oc)'!AB461&lt;0,0,ROUND('Quant. mod. (oc)'!AB461,0))</f>
        <v>1</v>
      </c>
      <c r="AC461" s="125">
        <f>IF('Quant. mod. (oc)'!AC461&lt;0,0,ROUND('Quant. mod. (oc)'!AC461,0))</f>
        <v>1</v>
      </c>
      <c r="AD461" s="125">
        <f>IF('Quant. mod. (oc)'!AD461&lt;0,0,ROUND('Quant. mod. (oc)'!AD461,0))</f>
        <v>1</v>
      </c>
      <c r="AE461" s="125">
        <f>IF('Quant. mod. (oc)'!AE461&lt;0,0,ROUND('Quant. mod. (oc)'!AE461,0))</f>
        <v>1</v>
      </c>
      <c r="AF461" s="125">
        <f>IF('Quant. mod. (oc)'!AF461&lt;0,0,ROUND('Quant. mod. (oc)'!AF461,0))</f>
        <v>1</v>
      </c>
      <c r="AG461" s="126">
        <f>IF('Quant. mod. (oc)'!AG461&lt;0,0,ROUND('Quant. mod. (oc)'!AG461,0))</f>
        <v>1</v>
      </c>
      <c r="AH461" s="22"/>
    </row>
    <row r="462" spans="1:34" x14ac:dyDescent="0.25">
      <c r="A462" s="112"/>
      <c r="B462" s="136" t="s">
        <v>167</v>
      </c>
      <c r="C462" s="67" t="s">
        <v>59</v>
      </c>
      <c r="D462" s="125">
        <f>IF('Quant. mod. (oc)'!D462&lt;0,0,ROUND('Quant. mod. (oc)'!D462,0))</f>
        <v>1</v>
      </c>
      <c r="E462" s="125">
        <f>IF('Quant. mod. (oc)'!E462&lt;0,0,ROUND('Quant. mod. (oc)'!E462,0))</f>
        <v>1</v>
      </c>
      <c r="F462" s="125">
        <f>IF('Quant. mod. (oc)'!F462&lt;0,0,ROUND('Quant. mod. (oc)'!F462,0))</f>
        <v>1</v>
      </c>
      <c r="G462" s="125">
        <f>IF('Quant. mod. (oc)'!G462&lt;0,0,ROUND('Quant. mod. (oc)'!G462,0))</f>
        <v>1</v>
      </c>
      <c r="H462" s="125">
        <f>IF('Quant. mod. (oc)'!H462&lt;0,0,ROUND('Quant. mod. (oc)'!H462,0))</f>
        <v>1</v>
      </c>
      <c r="I462" s="125">
        <f>IF('Quant. mod. (oc)'!I462&lt;0,0,ROUND('Quant. mod. (oc)'!I462,0))</f>
        <v>1</v>
      </c>
      <c r="J462" s="125">
        <f>IF('Quant. mod. (oc)'!J462&lt;0,0,ROUND('Quant. mod. (oc)'!J462,0))</f>
        <v>1</v>
      </c>
      <c r="K462" s="125">
        <f>IF('Quant. mod. (oc)'!K462&lt;0,0,ROUND('Quant. mod. (oc)'!K462,0))</f>
        <v>1</v>
      </c>
      <c r="L462" s="125">
        <f>IF('Quant. mod. (oc)'!L462&lt;0,0,ROUND('Quant. mod. (oc)'!L462,0))</f>
        <v>1</v>
      </c>
      <c r="M462" s="125">
        <f>IF('Quant. mod. (oc)'!M462&lt;0,0,ROUND('Quant. mod. (oc)'!M462,0))</f>
        <v>1</v>
      </c>
      <c r="N462" s="125">
        <f>IF('Quant. mod. (oc)'!N462&lt;0,0,ROUND('Quant. mod. (oc)'!N462,0))</f>
        <v>1</v>
      </c>
      <c r="O462" s="125">
        <f>IF('Quant. mod. (oc)'!O462&lt;0,0,ROUND('Quant. mod. (oc)'!O462,0))</f>
        <v>1</v>
      </c>
      <c r="P462" s="125">
        <f>IF('Quant. mod. (oc)'!P462&lt;0,0,ROUND('Quant. mod. (oc)'!P462,0))</f>
        <v>1</v>
      </c>
      <c r="Q462" s="125">
        <f>IF('Quant. mod. (oc)'!Q462&lt;0,0,ROUND('Quant. mod. (oc)'!Q462,0))</f>
        <v>1</v>
      </c>
      <c r="R462" s="125">
        <f>IF('Quant. mod. (oc)'!R462&lt;0,0,ROUND('Quant. mod. (oc)'!R462,0))</f>
        <v>1</v>
      </c>
      <c r="S462" s="125">
        <f>IF('Quant. mod. (oc)'!S462&lt;0,0,ROUND('Quant. mod. (oc)'!S462,0))</f>
        <v>1</v>
      </c>
      <c r="T462" s="125">
        <f>IF('Quant. mod. (oc)'!T462&lt;0,0,ROUND('Quant. mod. (oc)'!T462,0))</f>
        <v>1</v>
      </c>
      <c r="U462" s="125">
        <f>IF('Quant. mod. (oc)'!U462&lt;0,0,ROUND('Quant. mod. (oc)'!U462,0))</f>
        <v>1</v>
      </c>
      <c r="V462" s="125">
        <f>IF('Quant. mod. (oc)'!V462&lt;0,0,ROUND('Quant. mod. (oc)'!V462,0))</f>
        <v>1</v>
      </c>
      <c r="W462" s="125">
        <f>IF('Quant. mod. (oc)'!W462&lt;0,0,ROUND('Quant. mod. (oc)'!W462,0))</f>
        <v>1</v>
      </c>
      <c r="X462" s="125">
        <f>IF('Quant. mod. (oc)'!X462&lt;0,0,ROUND('Quant. mod. (oc)'!X462,0))</f>
        <v>1</v>
      </c>
      <c r="Y462" s="125">
        <f>IF('Quant. mod. (oc)'!Y462&lt;0,0,ROUND('Quant. mod. (oc)'!Y462,0))</f>
        <v>1</v>
      </c>
      <c r="Z462" s="125">
        <f>IF('Quant. mod. (oc)'!Z462&lt;0,0,ROUND('Quant. mod. (oc)'!Z462,0))</f>
        <v>1</v>
      </c>
      <c r="AA462" s="125">
        <f>IF('Quant. mod. (oc)'!AA462&lt;0,0,ROUND('Quant. mod. (oc)'!AA462,0))</f>
        <v>1</v>
      </c>
      <c r="AB462" s="125">
        <f>IF('Quant. mod. (oc)'!AB462&lt;0,0,ROUND('Quant. mod. (oc)'!AB462,0))</f>
        <v>1</v>
      </c>
      <c r="AC462" s="125">
        <f>IF('Quant. mod. (oc)'!AC462&lt;0,0,ROUND('Quant. mod. (oc)'!AC462,0))</f>
        <v>1</v>
      </c>
      <c r="AD462" s="125">
        <f>IF('Quant. mod. (oc)'!AD462&lt;0,0,ROUND('Quant. mod. (oc)'!AD462,0))</f>
        <v>1</v>
      </c>
      <c r="AE462" s="125">
        <f>IF('Quant. mod. (oc)'!AE462&lt;0,0,ROUND('Quant. mod. (oc)'!AE462,0))</f>
        <v>1</v>
      </c>
      <c r="AF462" s="125">
        <f>IF('Quant. mod. (oc)'!AF462&lt;0,0,ROUND('Quant. mod. (oc)'!AF462,0))</f>
        <v>1</v>
      </c>
      <c r="AG462" s="126">
        <f>IF('Quant. mod. (oc)'!AG462&lt;0,0,ROUND('Quant. mod. (oc)'!AG462,0))</f>
        <v>1</v>
      </c>
      <c r="AH462" s="22"/>
    </row>
    <row r="463" spans="1:34" x14ac:dyDescent="0.25">
      <c r="A463" s="112"/>
      <c r="B463" s="136" t="s">
        <v>168</v>
      </c>
      <c r="C463" s="67" t="s">
        <v>59</v>
      </c>
      <c r="D463" s="125">
        <f>IF('Quant. mod. (oc)'!D463&lt;0,0,ROUND('Quant. mod. (oc)'!D463,0))</f>
        <v>1</v>
      </c>
      <c r="E463" s="125">
        <f>IF('Quant. mod. (oc)'!E463&lt;0,0,ROUND('Quant. mod. (oc)'!E463,0))</f>
        <v>1</v>
      </c>
      <c r="F463" s="125">
        <f>IF('Quant. mod. (oc)'!F463&lt;0,0,ROUND('Quant. mod. (oc)'!F463,0))</f>
        <v>1</v>
      </c>
      <c r="G463" s="125">
        <f>IF('Quant. mod. (oc)'!G463&lt;0,0,ROUND('Quant. mod. (oc)'!G463,0))</f>
        <v>1</v>
      </c>
      <c r="H463" s="125">
        <f>IF('Quant. mod. (oc)'!H463&lt;0,0,ROUND('Quant. mod. (oc)'!H463,0))</f>
        <v>1</v>
      </c>
      <c r="I463" s="125">
        <f>IF('Quant. mod. (oc)'!I463&lt;0,0,ROUND('Quant. mod. (oc)'!I463,0))</f>
        <v>1</v>
      </c>
      <c r="J463" s="125">
        <f>IF('Quant. mod. (oc)'!J463&lt;0,0,ROUND('Quant. mod. (oc)'!J463,0))</f>
        <v>1</v>
      </c>
      <c r="K463" s="125">
        <f>IF('Quant. mod. (oc)'!K463&lt;0,0,ROUND('Quant. mod. (oc)'!K463,0))</f>
        <v>1</v>
      </c>
      <c r="L463" s="125">
        <f>IF('Quant. mod. (oc)'!L463&lt;0,0,ROUND('Quant. mod. (oc)'!L463,0))</f>
        <v>1</v>
      </c>
      <c r="M463" s="125">
        <f>IF('Quant. mod. (oc)'!M463&lt;0,0,ROUND('Quant. mod. (oc)'!M463,0))</f>
        <v>1</v>
      </c>
      <c r="N463" s="125">
        <f>IF('Quant. mod. (oc)'!N463&lt;0,0,ROUND('Quant. mod. (oc)'!N463,0))</f>
        <v>1</v>
      </c>
      <c r="O463" s="125">
        <f>IF('Quant. mod. (oc)'!O463&lt;0,0,ROUND('Quant. mod. (oc)'!O463,0))</f>
        <v>1</v>
      </c>
      <c r="P463" s="125">
        <f>IF('Quant. mod. (oc)'!P463&lt;0,0,ROUND('Quant. mod. (oc)'!P463,0))</f>
        <v>1</v>
      </c>
      <c r="Q463" s="125">
        <f>IF('Quant. mod. (oc)'!Q463&lt;0,0,ROUND('Quant. mod. (oc)'!Q463,0))</f>
        <v>1</v>
      </c>
      <c r="R463" s="125">
        <f>IF('Quant. mod. (oc)'!R463&lt;0,0,ROUND('Quant. mod. (oc)'!R463,0))</f>
        <v>1</v>
      </c>
      <c r="S463" s="125">
        <f>IF('Quant. mod. (oc)'!S463&lt;0,0,ROUND('Quant. mod. (oc)'!S463,0))</f>
        <v>1</v>
      </c>
      <c r="T463" s="125">
        <f>IF('Quant. mod. (oc)'!T463&lt;0,0,ROUND('Quant. mod. (oc)'!T463,0))</f>
        <v>1</v>
      </c>
      <c r="U463" s="125">
        <f>IF('Quant. mod. (oc)'!U463&lt;0,0,ROUND('Quant. mod. (oc)'!U463,0))</f>
        <v>1</v>
      </c>
      <c r="V463" s="125">
        <f>IF('Quant. mod. (oc)'!V463&lt;0,0,ROUND('Quant. mod. (oc)'!V463,0))</f>
        <v>1</v>
      </c>
      <c r="W463" s="125">
        <f>IF('Quant. mod. (oc)'!W463&lt;0,0,ROUND('Quant. mod. (oc)'!W463,0))</f>
        <v>1</v>
      </c>
      <c r="X463" s="125">
        <f>IF('Quant. mod. (oc)'!X463&lt;0,0,ROUND('Quant. mod. (oc)'!X463,0))</f>
        <v>1</v>
      </c>
      <c r="Y463" s="125">
        <f>IF('Quant. mod. (oc)'!Y463&lt;0,0,ROUND('Quant. mod. (oc)'!Y463,0))</f>
        <v>1</v>
      </c>
      <c r="Z463" s="125">
        <f>IF('Quant. mod. (oc)'!Z463&lt;0,0,ROUND('Quant. mod. (oc)'!Z463,0))</f>
        <v>1</v>
      </c>
      <c r="AA463" s="125">
        <f>IF('Quant. mod. (oc)'!AA463&lt;0,0,ROUND('Quant. mod. (oc)'!AA463,0))</f>
        <v>1</v>
      </c>
      <c r="AB463" s="125">
        <f>IF('Quant. mod. (oc)'!AB463&lt;0,0,ROUND('Quant. mod. (oc)'!AB463,0))</f>
        <v>1</v>
      </c>
      <c r="AC463" s="125">
        <f>IF('Quant. mod. (oc)'!AC463&lt;0,0,ROUND('Quant. mod. (oc)'!AC463,0))</f>
        <v>1</v>
      </c>
      <c r="AD463" s="125">
        <f>IF('Quant. mod. (oc)'!AD463&lt;0,0,ROUND('Quant. mod. (oc)'!AD463,0))</f>
        <v>1</v>
      </c>
      <c r="AE463" s="125">
        <f>IF('Quant. mod. (oc)'!AE463&lt;0,0,ROUND('Quant. mod. (oc)'!AE463,0))</f>
        <v>1</v>
      </c>
      <c r="AF463" s="125">
        <f>IF('Quant. mod. (oc)'!AF463&lt;0,0,ROUND('Quant. mod. (oc)'!AF463,0))</f>
        <v>1</v>
      </c>
      <c r="AG463" s="126">
        <f>IF('Quant. mod. (oc)'!AG463&lt;0,0,ROUND('Quant. mod. (oc)'!AG463,0))</f>
        <v>1</v>
      </c>
      <c r="AH463" s="22"/>
    </row>
    <row r="464" spans="1:34" x14ac:dyDescent="0.25">
      <c r="A464" s="112"/>
      <c r="B464" s="136" t="s">
        <v>169</v>
      </c>
      <c r="C464" s="67" t="s">
        <v>59</v>
      </c>
      <c r="D464" s="125">
        <f>IF('Quant. mod. (oc)'!D464&lt;0,0,ROUND('Quant. mod. (oc)'!D464,0))</f>
        <v>1</v>
      </c>
      <c r="E464" s="125">
        <f>IF('Quant. mod. (oc)'!E464&lt;0,0,ROUND('Quant. mod. (oc)'!E464,0))</f>
        <v>1</v>
      </c>
      <c r="F464" s="125">
        <f>IF('Quant. mod. (oc)'!F464&lt;0,0,ROUND('Quant. mod. (oc)'!F464,0))</f>
        <v>1</v>
      </c>
      <c r="G464" s="125">
        <f>IF('Quant. mod. (oc)'!G464&lt;0,0,ROUND('Quant. mod. (oc)'!G464,0))</f>
        <v>1</v>
      </c>
      <c r="H464" s="125">
        <f>IF('Quant. mod. (oc)'!H464&lt;0,0,ROUND('Quant. mod. (oc)'!H464,0))</f>
        <v>1</v>
      </c>
      <c r="I464" s="125">
        <f>IF('Quant. mod. (oc)'!I464&lt;0,0,ROUND('Quant. mod. (oc)'!I464,0))</f>
        <v>1</v>
      </c>
      <c r="J464" s="125">
        <f>IF('Quant. mod. (oc)'!J464&lt;0,0,ROUND('Quant. mod. (oc)'!J464,0))</f>
        <v>1</v>
      </c>
      <c r="K464" s="125">
        <f>IF('Quant. mod. (oc)'!K464&lt;0,0,ROUND('Quant. mod. (oc)'!K464,0))</f>
        <v>1</v>
      </c>
      <c r="L464" s="125">
        <f>IF('Quant. mod. (oc)'!L464&lt;0,0,ROUND('Quant. mod. (oc)'!L464,0))</f>
        <v>1</v>
      </c>
      <c r="M464" s="125">
        <f>IF('Quant. mod. (oc)'!M464&lt;0,0,ROUND('Quant. mod. (oc)'!M464,0))</f>
        <v>1</v>
      </c>
      <c r="N464" s="125">
        <f>IF('Quant. mod. (oc)'!N464&lt;0,0,ROUND('Quant. mod. (oc)'!N464,0))</f>
        <v>1</v>
      </c>
      <c r="O464" s="125">
        <f>IF('Quant. mod. (oc)'!O464&lt;0,0,ROUND('Quant. mod. (oc)'!O464,0))</f>
        <v>1</v>
      </c>
      <c r="P464" s="125">
        <f>IF('Quant. mod. (oc)'!P464&lt;0,0,ROUND('Quant. mod. (oc)'!P464,0))</f>
        <v>1</v>
      </c>
      <c r="Q464" s="125">
        <f>IF('Quant. mod. (oc)'!Q464&lt;0,0,ROUND('Quant. mod. (oc)'!Q464,0))</f>
        <v>1</v>
      </c>
      <c r="R464" s="125">
        <f>IF('Quant. mod. (oc)'!R464&lt;0,0,ROUND('Quant. mod. (oc)'!R464,0))</f>
        <v>1</v>
      </c>
      <c r="S464" s="125">
        <f>IF('Quant. mod. (oc)'!S464&lt;0,0,ROUND('Quant. mod. (oc)'!S464,0))</f>
        <v>1</v>
      </c>
      <c r="T464" s="125">
        <f>IF('Quant. mod. (oc)'!T464&lt;0,0,ROUND('Quant. mod. (oc)'!T464,0))</f>
        <v>1</v>
      </c>
      <c r="U464" s="125">
        <f>IF('Quant. mod. (oc)'!U464&lt;0,0,ROUND('Quant. mod. (oc)'!U464,0))</f>
        <v>1</v>
      </c>
      <c r="V464" s="125">
        <f>IF('Quant. mod. (oc)'!V464&lt;0,0,ROUND('Quant. mod. (oc)'!V464,0))</f>
        <v>1</v>
      </c>
      <c r="W464" s="125">
        <f>IF('Quant. mod. (oc)'!W464&lt;0,0,ROUND('Quant. mod. (oc)'!W464,0))</f>
        <v>1</v>
      </c>
      <c r="X464" s="125">
        <f>IF('Quant. mod. (oc)'!X464&lt;0,0,ROUND('Quant. mod. (oc)'!X464,0))</f>
        <v>1</v>
      </c>
      <c r="Y464" s="125">
        <f>IF('Quant. mod. (oc)'!Y464&lt;0,0,ROUND('Quant. mod. (oc)'!Y464,0))</f>
        <v>1</v>
      </c>
      <c r="Z464" s="125">
        <f>IF('Quant. mod. (oc)'!Z464&lt;0,0,ROUND('Quant. mod. (oc)'!Z464,0))</f>
        <v>1</v>
      </c>
      <c r="AA464" s="125">
        <f>IF('Quant. mod. (oc)'!AA464&lt;0,0,ROUND('Quant. mod. (oc)'!AA464,0))</f>
        <v>1</v>
      </c>
      <c r="AB464" s="125">
        <f>IF('Quant. mod. (oc)'!AB464&lt;0,0,ROUND('Quant. mod. (oc)'!AB464,0))</f>
        <v>1</v>
      </c>
      <c r="AC464" s="125">
        <f>IF('Quant. mod. (oc)'!AC464&lt;0,0,ROUND('Quant. mod. (oc)'!AC464,0))</f>
        <v>1</v>
      </c>
      <c r="AD464" s="125">
        <f>IF('Quant. mod. (oc)'!AD464&lt;0,0,ROUND('Quant. mod. (oc)'!AD464,0))</f>
        <v>1</v>
      </c>
      <c r="AE464" s="125">
        <f>IF('Quant. mod. (oc)'!AE464&lt;0,0,ROUND('Quant. mod. (oc)'!AE464,0))</f>
        <v>1</v>
      </c>
      <c r="AF464" s="125">
        <f>IF('Quant. mod. (oc)'!AF464&lt;0,0,ROUND('Quant. mod. (oc)'!AF464,0))</f>
        <v>1</v>
      </c>
      <c r="AG464" s="126">
        <f>IF('Quant. mod. (oc)'!AG464&lt;0,0,ROUND('Quant. mod. (oc)'!AG464,0))</f>
        <v>1</v>
      </c>
      <c r="AH464" s="22"/>
    </row>
    <row r="465" spans="1:34" x14ac:dyDescent="0.25">
      <c r="A465" s="112"/>
      <c r="B465" s="136" t="s">
        <v>170</v>
      </c>
      <c r="C465" s="67" t="s">
        <v>59</v>
      </c>
      <c r="D465" s="125">
        <f>IF('Quant. mod. (oc)'!D465&lt;0,0,ROUND('Quant. mod. (oc)'!D465,0))</f>
        <v>1</v>
      </c>
      <c r="E465" s="125">
        <f>IF('Quant. mod. (oc)'!E465&lt;0,0,ROUND('Quant. mod. (oc)'!E465,0))</f>
        <v>1</v>
      </c>
      <c r="F465" s="125">
        <f>IF('Quant. mod. (oc)'!F465&lt;0,0,ROUND('Quant. mod. (oc)'!F465,0))</f>
        <v>1</v>
      </c>
      <c r="G465" s="125">
        <f>IF('Quant. mod. (oc)'!G465&lt;0,0,ROUND('Quant. mod. (oc)'!G465,0))</f>
        <v>1</v>
      </c>
      <c r="H465" s="125">
        <f>IF('Quant. mod. (oc)'!H465&lt;0,0,ROUND('Quant. mod. (oc)'!H465,0))</f>
        <v>1</v>
      </c>
      <c r="I465" s="125">
        <f>IF('Quant. mod. (oc)'!I465&lt;0,0,ROUND('Quant. mod. (oc)'!I465,0))</f>
        <v>1</v>
      </c>
      <c r="J465" s="125">
        <f>IF('Quant. mod. (oc)'!J465&lt;0,0,ROUND('Quant. mod. (oc)'!J465,0))</f>
        <v>1</v>
      </c>
      <c r="K465" s="125">
        <f>IF('Quant. mod. (oc)'!K465&lt;0,0,ROUND('Quant. mod. (oc)'!K465,0))</f>
        <v>1</v>
      </c>
      <c r="L465" s="125">
        <f>IF('Quant. mod. (oc)'!L465&lt;0,0,ROUND('Quant. mod. (oc)'!L465,0))</f>
        <v>1</v>
      </c>
      <c r="M465" s="125">
        <f>IF('Quant. mod. (oc)'!M465&lt;0,0,ROUND('Quant. mod. (oc)'!M465,0))</f>
        <v>1</v>
      </c>
      <c r="N465" s="125">
        <f>IF('Quant. mod. (oc)'!N465&lt;0,0,ROUND('Quant. mod. (oc)'!N465,0))</f>
        <v>1</v>
      </c>
      <c r="O465" s="125">
        <f>IF('Quant. mod. (oc)'!O465&lt;0,0,ROUND('Quant. mod. (oc)'!O465,0))</f>
        <v>1</v>
      </c>
      <c r="P465" s="125">
        <f>IF('Quant. mod. (oc)'!P465&lt;0,0,ROUND('Quant. mod. (oc)'!P465,0))</f>
        <v>1</v>
      </c>
      <c r="Q465" s="125">
        <f>IF('Quant. mod. (oc)'!Q465&lt;0,0,ROUND('Quant. mod. (oc)'!Q465,0))</f>
        <v>1</v>
      </c>
      <c r="R465" s="125">
        <f>IF('Quant. mod. (oc)'!R465&lt;0,0,ROUND('Quant. mod. (oc)'!R465,0))</f>
        <v>1</v>
      </c>
      <c r="S465" s="125">
        <f>IF('Quant. mod. (oc)'!S465&lt;0,0,ROUND('Quant. mod. (oc)'!S465,0))</f>
        <v>1</v>
      </c>
      <c r="T465" s="125">
        <f>IF('Quant. mod. (oc)'!T465&lt;0,0,ROUND('Quant. mod. (oc)'!T465,0))</f>
        <v>1</v>
      </c>
      <c r="U465" s="125">
        <f>IF('Quant. mod. (oc)'!U465&lt;0,0,ROUND('Quant. mod. (oc)'!U465,0))</f>
        <v>1</v>
      </c>
      <c r="V465" s="125">
        <f>IF('Quant. mod. (oc)'!V465&lt;0,0,ROUND('Quant. mod. (oc)'!V465,0))</f>
        <v>1</v>
      </c>
      <c r="W465" s="125">
        <f>IF('Quant. mod. (oc)'!W465&lt;0,0,ROUND('Quant. mod. (oc)'!W465,0))</f>
        <v>1</v>
      </c>
      <c r="X465" s="125">
        <f>IF('Quant. mod. (oc)'!X465&lt;0,0,ROUND('Quant. mod. (oc)'!X465,0))</f>
        <v>1</v>
      </c>
      <c r="Y465" s="125">
        <f>IF('Quant. mod. (oc)'!Y465&lt;0,0,ROUND('Quant. mod. (oc)'!Y465,0))</f>
        <v>1</v>
      </c>
      <c r="Z465" s="125">
        <f>IF('Quant. mod. (oc)'!Z465&lt;0,0,ROUND('Quant. mod. (oc)'!Z465,0))</f>
        <v>1</v>
      </c>
      <c r="AA465" s="125">
        <f>IF('Quant. mod. (oc)'!AA465&lt;0,0,ROUND('Quant. mod. (oc)'!AA465,0))</f>
        <v>1</v>
      </c>
      <c r="AB465" s="125">
        <f>IF('Quant. mod. (oc)'!AB465&lt;0,0,ROUND('Quant. mod. (oc)'!AB465,0))</f>
        <v>1</v>
      </c>
      <c r="AC465" s="125">
        <f>IF('Quant. mod. (oc)'!AC465&lt;0,0,ROUND('Quant. mod. (oc)'!AC465,0))</f>
        <v>1</v>
      </c>
      <c r="AD465" s="125">
        <f>IF('Quant. mod. (oc)'!AD465&lt;0,0,ROUND('Quant. mod. (oc)'!AD465,0))</f>
        <v>1</v>
      </c>
      <c r="AE465" s="125">
        <f>IF('Quant. mod. (oc)'!AE465&lt;0,0,ROUND('Quant. mod. (oc)'!AE465,0))</f>
        <v>1</v>
      </c>
      <c r="AF465" s="125">
        <f>IF('Quant. mod. (oc)'!AF465&lt;0,0,ROUND('Quant. mod. (oc)'!AF465,0))</f>
        <v>1</v>
      </c>
      <c r="AG465" s="126">
        <f>IF('Quant. mod. (oc)'!AG465&lt;0,0,ROUND('Quant. mod. (oc)'!AG465,0))</f>
        <v>1</v>
      </c>
      <c r="AH465" s="22"/>
    </row>
    <row r="466" spans="1:34" x14ac:dyDescent="0.25">
      <c r="A466" s="112"/>
      <c r="B466" s="136" t="s">
        <v>171</v>
      </c>
      <c r="C466" s="67" t="s">
        <v>59</v>
      </c>
      <c r="D466" s="125">
        <f>IF('Quant. mod. (oc)'!D466&lt;0,0,ROUND('Quant. mod. (oc)'!D466,0))</f>
        <v>1</v>
      </c>
      <c r="E466" s="125">
        <f>IF('Quant. mod. (oc)'!E466&lt;0,0,ROUND('Quant. mod. (oc)'!E466,0))</f>
        <v>1</v>
      </c>
      <c r="F466" s="125">
        <f>IF('Quant. mod. (oc)'!F466&lt;0,0,ROUND('Quant. mod. (oc)'!F466,0))</f>
        <v>1</v>
      </c>
      <c r="G466" s="125">
        <f>IF('Quant. mod. (oc)'!G466&lt;0,0,ROUND('Quant. mod. (oc)'!G466,0))</f>
        <v>1</v>
      </c>
      <c r="H466" s="125">
        <f>IF('Quant. mod. (oc)'!H466&lt;0,0,ROUND('Quant. mod. (oc)'!H466,0))</f>
        <v>1</v>
      </c>
      <c r="I466" s="125">
        <f>IF('Quant. mod. (oc)'!I466&lt;0,0,ROUND('Quant. mod. (oc)'!I466,0))</f>
        <v>1</v>
      </c>
      <c r="J466" s="125">
        <f>IF('Quant. mod. (oc)'!J466&lt;0,0,ROUND('Quant. mod. (oc)'!J466,0))</f>
        <v>1</v>
      </c>
      <c r="K466" s="125">
        <f>IF('Quant. mod. (oc)'!K466&lt;0,0,ROUND('Quant. mod. (oc)'!K466,0))</f>
        <v>1</v>
      </c>
      <c r="L466" s="125">
        <f>IF('Quant. mod. (oc)'!L466&lt;0,0,ROUND('Quant. mod. (oc)'!L466,0))</f>
        <v>1</v>
      </c>
      <c r="M466" s="125">
        <f>IF('Quant. mod. (oc)'!M466&lt;0,0,ROUND('Quant. mod. (oc)'!M466,0))</f>
        <v>1</v>
      </c>
      <c r="N466" s="125">
        <f>IF('Quant. mod. (oc)'!N466&lt;0,0,ROUND('Quant. mod. (oc)'!N466,0))</f>
        <v>1</v>
      </c>
      <c r="O466" s="125">
        <f>IF('Quant. mod. (oc)'!O466&lt;0,0,ROUND('Quant. mod. (oc)'!O466,0))</f>
        <v>1</v>
      </c>
      <c r="P466" s="125">
        <f>IF('Quant. mod. (oc)'!P466&lt;0,0,ROUND('Quant. mod. (oc)'!P466,0))</f>
        <v>1</v>
      </c>
      <c r="Q466" s="125">
        <f>IF('Quant. mod. (oc)'!Q466&lt;0,0,ROUND('Quant. mod. (oc)'!Q466,0))</f>
        <v>1</v>
      </c>
      <c r="R466" s="125">
        <f>IF('Quant. mod. (oc)'!R466&lt;0,0,ROUND('Quant. mod. (oc)'!R466,0))</f>
        <v>1</v>
      </c>
      <c r="S466" s="125">
        <f>IF('Quant. mod. (oc)'!S466&lt;0,0,ROUND('Quant. mod. (oc)'!S466,0))</f>
        <v>1</v>
      </c>
      <c r="T466" s="125">
        <f>IF('Quant. mod. (oc)'!T466&lt;0,0,ROUND('Quant. mod. (oc)'!T466,0))</f>
        <v>1</v>
      </c>
      <c r="U466" s="125">
        <f>IF('Quant. mod. (oc)'!U466&lt;0,0,ROUND('Quant. mod. (oc)'!U466,0))</f>
        <v>1</v>
      </c>
      <c r="V466" s="125">
        <f>IF('Quant. mod. (oc)'!V466&lt;0,0,ROUND('Quant. mod. (oc)'!V466,0))</f>
        <v>1</v>
      </c>
      <c r="W466" s="125">
        <f>IF('Quant. mod. (oc)'!W466&lt;0,0,ROUND('Quant. mod. (oc)'!W466,0))</f>
        <v>1</v>
      </c>
      <c r="X466" s="125">
        <f>IF('Quant. mod. (oc)'!X466&lt;0,0,ROUND('Quant. mod. (oc)'!X466,0))</f>
        <v>1</v>
      </c>
      <c r="Y466" s="125">
        <f>IF('Quant. mod. (oc)'!Y466&lt;0,0,ROUND('Quant. mod. (oc)'!Y466,0))</f>
        <v>1</v>
      </c>
      <c r="Z466" s="125">
        <f>IF('Quant. mod. (oc)'!Z466&lt;0,0,ROUND('Quant. mod. (oc)'!Z466,0))</f>
        <v>1</v>
      </c>
      <c r="AA466" s="125">
        <f>IF('Quant. mod. (oc)'!AA466&lt;0,0,ROUND('Quant. mod. (oc)'!AA466,0))</f>
        <v>1</v>
      </c>
      <c r="AB466" s="125">
        <f>IF('Quant. mod. (oc)'!AB466&lt;0,0,ROUND('Quant. mod. (oc)'!AB466,0))</f>
        <v>1</v>
      </c>
      <c r="AC466" s="125">
        <f>IF('Quant. mod. (oc)'!AC466&lt;0,0,ROUND('Quant. mod. (oc)'!AC466,0))</f>
        <v>1</v>
      </c>
      <c r="AD466" s="125">
        <f>IF('Quant. mod. (oc)'!AD466&lt;0,0,ROUND('Quant. mod. (oc)'!AD466,0))</f>
        <v>1</v>
      </c>
      <c r="AE466" s="125">
        <f>IF('Quant. mod. (oc)'!AE466&lt;0,0,ROUND('Quant. mod. (oc)'!AE466,0))</f>
        <v>1</v>
      </c>
      <c r="AF466" s="125">
        <f>IF('Quant. mod. (oc)'!AF466&lt;0,0,ROUND('Quant. mod. (oc)'!AF466,0))</f>
        <v>1</v>
      </c>
      <c r="AG466" s="126">
        <f>IF('Quant. mod. (oc)'!AG466&lt;0,0,ROUND('Quant. mod. (oc)'!AG466,0))</f>
        <v>1</v>
      </c>
      <c r="AH466" s="22"/>
    </row>
    <row r="467" spans="1:34" x14ac:dyDescent="0.25">
      <c r="A467" s="112"/>
      <c r="B467" s="136" t="s">
        <v>172</v>
      </c>
      <c r="C467" s="67" t="s">
        <v>59</v>
      </c>
      <c r="D467" s="125">
        <f>IF('Quant. mod. (oc)'!D467&lt;0,0,ROUND('Quant. mod. (oc)'!D467,0))</f>
        <v>2</v>
      </c>
      <c r="E467" s="125">
        <f>IF('Quant. mod. (oc)'!E467&lt;0,0,ROUND('Quant. mod. (oc)'!E467,0))</f>
        <v>2</v>
      </c>
      <c r="F467" s="125">
        <f>IF('Quant. mod. (oc)'!F467&lt;0,0,ROUND('Quant. mod. (oc)'!F467,0))</f>
        <v>2</v>
      </c>
      <c r="G467" s="125">
        <f>IF('Quant. mod. (oc)'!G467&lt;0,0,ROUND('Quant. mod. (oc)'!G467,0))</f>
        <v>2</v>
      </c>
      <c r="H467" s="125">
        <f>IF('Quant. mod. (oc)'!H467&lt;0,0,ROUND('Quant. mod. (oc)'!H467,0))</f>
        <v>2</v>
      </c>
      <c r="I467" s="125">
        <f>IF('Quant. mod. (oc)'!I467&lt;0,0,ROUND('Quant. mod. (oc)'!I467,0))</f>
        <v>2</v>
      </c>
      <c r="J467" s="125">
        <f>IF('Quant. mod. (oc)'!J467&lt;0,0,ROUND('Quant. mod. (oc)'!J467,0))</f>
        <v>2</v>
      </c>
      <c r="K467" s="125">
        <f>IF('Quant. mod. (oc)'!K467&lt;0,0,ROUND('Quant. mod. (oc)'!K467,0))</f>
        <v>2</v>
      </c>
      <c r="L467" s="125">
        <f>IF('Quant. mod. (oc)'!L467&lt;0,0,ROUND('Quant. mod. (oc)'!L467,0))</f>
        <v>2</v>
      </c>
      <c r="M467" s="125">
        <f>IF('Quant. mod. (oc)'!M467&lt;0,0,ROUND('Quant. mod. (oc)'!M467,0))</f>
        <v>2</v>
      </c>
      <c r="N467" s="125">
        <f>IF('Quant. mod. (oc)'!N467&lt;0,0,ROUND('Quant. mod. (oc)'!N467,0))</f>
        <v>2</v>
      </c>
      <c r="O467" s="125">
        <f>IF('Quant. mod. (oc)'!O467&lt;0,0,ROUND('Quant. mod. (oc)'!O467,0))</f>
        <v>2</v>
      </c>
      <c r="P467" s="125">
        <f>IF('Quant. mod. (oc)'!P467&lt;0,0,ROUND('Quant. mod. (oc)'!P467,0))</f>
        <v>2</v>
      </c>
      <c r="Q467" s="125">
        <f>IF('Quant. mod. (oc)'!Q467&lt;0,0,ROUND('Quant. mod. (oc)'!Q467,0))</f>
        <v>2</v>
      </c>
      <c r="R467" s="125">
        <f>IF('Quant. mod. (oc)'!R467&lt;0,0,ROUND('Quant. mod. (oc)'!R467,0))</f>
        <v>2</v>
      </c>
      <c r="S467" s="125">
        <f>IF('Quant. mod. (oc)'!S467&lt;0,0,ROUND('Quant. mod. (oc)'!S467,0))</f>
        <v>2</v>
      </c>
      <c r="T467" s="125">
        <f>IF('Quant. mod. (oc)'!T467&lt;0,0,ROUND('Quant. mod. (oc)'!T467,0))</f>
        <v>2</v>
      </c>
      <c r="U467" s="125">
        <f>IF('Quant. mod. (oc)'!U467&lt;0,0,ROUND('Quant. mod. (oc)'!U467,0))</f>
        <v>2</v>
      </c>
      <c r="V467" s="125">
        <f>IF('Quant. mod. (oc)'!V467&lt;0,0,ROUND('Quant. mod. (oc)'!V467,0))</f>
        <v>2</v>
      </c>
      <c r="W467" s="125">
        <f>IF('Quant. mod. (oc)'!W467&lt;0,0,ROUND('Quant. mod. (oc)'!W467,0))</f>
        <v>2</v>
      </c>
      <c r="X467" s="125">
        <f>IF('Quant. mod. (oc)'!X467&lt;0,0,ROUND('Quant. mod. (oc)'!X467,0))</f>
        <v>2</v>
      </c>
      <c r="Y467" s="125">
        <f>IF('Quant. mod. (oc)'!Y467&lt;0,0,ROUND('Quant. mod. (oc)'!Y467,0))</f>
        <v>2</v>
      </c>
      <c r="Z467" s="125">
        <f>IF('Quant. mod. (oc)'!Z467&lt;0,0,ROUND('Quant. mod. (oc)'!Z467,0))</f>
        <v>2</v>
      </c>
      <c r="AA467" s="125">
        <f>IF('Quant. mod. (oc)'!AA467&lt;0,0,ROUND('Quant. mod. (oc)'!AA467,0))</f>
        <v>2</v>
      </c>
      <c r="AB467" s="125">
        <f>IF('Quant. mod. (oc)'!AB467&lt;0,0,ROUND('Quant. mod. (oc)'!AB467,0))</f>
        <v>2</v>
      </c>
      <c r="AC467" s="125">
        <f>IF('Quant. mod. (oc)'!AC467&lt;0,0,ROUND('Quant. mod. (oc)'!AC467,0))</f>
        <v>2</v>
      </c>
      <c r="AD467" s="125">
        <f>IF('Quant. mod. (oc)'!AD467&lt;0,0,ROUND('Quant. mod. (oc)'!AD467,0))</f>
        <v>2</v>
      </c>
      <c r="AE467" s="125">
        <f>IF('Quant. mod. (oc)'!AE467&lt;0,0,ROUND('Quant. mod. (oc)'!AE467,0))</f>
        <v>2</v>
      </c>
      <c r="AF467" s="125">
        <f>IF('Quant. mod. (oc)'!AF467&lt;0,0,ROUND('Quant. mod. (oc)'!AF467,0))</f>
        <v>2</v>
      </c>
      <c r="AG467" s="126">
        <f>IF('Quant. mod. (oc)'!AG467&lt;0,0,ROUND('Quant. mod. (oc)'!AG467,0))</f>
        <v>2</v>
      </c>
      <c r="AH467" s="22"/>
    </row>
    <row r="468" spans="1:34" x14ac:dyDescent="0.25">
      <c r="A468" s="112"/>
      <c r="B468" s="136" t="s">
        <v>173</v>
      </c>
      <c r="C468" s="67" t="s">
        <v>59</v>
      </c>
      <c r="D468" s="125">
        <f>IF('Quant. mod. (oc)'!D468&lt;0,0,ROUND('Quant. mod. (oc)'!D468,0))</f>
        <v>2</v>
      </c>
      <c r="E468" s="125">
        <f>IF('Quant. mod. (oc)'!E468&lt;0,0,ROUND('Quant. mod. (oc)'!E468,0))</f>
        <v>2</v>
      </c>
      <c r="F468" s="125">
        <f>IF('Quant. mod. (oc)'!F468&lt;0,0,ROUND('Quant. mod. (oc)'!F468,0))</f>
        <v>2</v>
      </c>
      <c r="G468" s="125">
        <f>IF('Quant. mod. (oc)'!G468&lt;0,0,ROUND('Quant. mod. (oc)'!G468,0))</f>
        <v>2</v>
      </c>
      <c r="H468" s="125">
        <f>IF('Quant. mod. (oc)'!H468&lt;0,0,ROUND('Quant. mod. (oc)'!H468,0))</f>
        <v>2</v>
      </c>
      <c r="I468" s="125">
        <f>IF('Quant. mod. (oc)'!I468&lt;0,0,ROUND('Quant. mod. (oc)'!I468,0))</f>
        <v>2</v>
      </c>
      <c r="J468" s="125">
        <f>IF('Quant. mod. (oc)'!J468&lt;0,0,ROUND('Quant. mod. (oc)'!J468,0))</f>
        <v>2</v>
      </c>
      <c r="K468" s="125">
        <f>IF('Quant. mod. (oc)'!K468&lt;0,0,ROUND('Quant. mod. (oc)'!K468,0))</f>
        <v>2</v>
      </c>
      <c r="L468" s="125">
        <f>IF('Quant. mod. (oc)'!L468&lt;0,0,ROUND('Quant. mod. (oc)'!L468,0))</f>
        <v>2</v>
      </c>
      <c r="M468" s="125">
        <f>IF('Quant. mod. (oc)'!M468&lt;0,0,ROUND('Quant. mod. (oc)'!M468,0))</f>
        <v>2</v>
      </c>
      <c r="N468" s="125">
        <f>IF('Quant. mod. (oc)'!N468&lt;0,0,ROUND('Quant. mod. (oc)'!N468,0))</f>
        <v>2</v>
      </c>
      <c r="O468" s="125">
        <f>IF('Quant. mod. (oc)'!O468&lt;0,0,ROUND('Quant. mod. (oc)'!O468,0))</f>
        <v>2</v>
      </c>
      <c r="P468" s="125">
        <f>IF('Quant. mod. (oc)'!P468&lt;0,0,ROUND('Quant. mod. (oc)'!P468,0))</f>
        <v>2</v>
      </c>
      <c r="Q468" s="125">
        <f>IF('Quant. mod. (oc)'!Q468&lt;0,0,ROUND('Quant. mod. (oc)'!Q468,0))</f>
        <v>2</v>
      </c>
      <c r="R468" s="125">
        <f>IF('Quant. mod. (oc)'!R468&lt;0,0,ROUND('Quant. mod. (oc)'!R468,0))</f>
        <v>2</v>
      </c>
      <c r="S468" s="125">
        <f>IF('Quant. mod. (oc)'!S468&lt;0,0,ROUND('Quant. mod. (oc)'!S468,0))</f>
        <v>2</v>
      </c>
      <c r="T468" s="125">
        <f>IF('Quant. mod. (oc)'!T468&lt;0,0,ROUND('Quant. mod. (oc)'!T468,0))</f>
        <v>2</v>
      </c>
      <c r="U468" s="125">
        <f>IF('Quant. mod. (oc)'!U468&lt;0,0,ROUND('Quant. mod. (oc)'!U468,0))</f>
        <v>2</v>
      </c>
      <c r="V468" s="125">
        <f>IF('Quant. mod. (oc)'!V468&lt;0,0,ROUND('Quant. mod. (oc)'!V468,0))</f>
        <v>2</v>
      </c>
      <c r="W468" s="125">
        <f>IF('Quant. mod. (oc)'!W468&lt;0,0,ROUND('Quant. mod. (oc)'!W468,0))</f>
        <v>2</v>
      </c>
      <c r="X468" s="125">
        <f>IF('Quant. mod. (oc)'!X468&lt;0,0,ROUND('Quant. mod. (oc)'!X468,0))</f>
        <v>2</v>
      </c>
      <c r="Y468" s="125">
        <f>IF('Quant. mod. (oc)'!Y468&lt;0,0,ROUND('Quant. mod. (oc)'!Y468,0))</f>
        <v>2</v>
      </c>
      <c r="Z468" s="125">
        <f>IF('Quant. mod. (oc)'!Z468&lt;0,0,ROUND('Quant. mod. (oc)'!Z468,0))</f>
        <v>2</v>
      </c>
      <c r="AA468" s="125">
        <f>IF('Quant. mod. (oc)'!AA468&lt;0,0,ROUND('Quant. mod. (oc)'!AA468,0))</f>
        <v>2</v>
      </c>
      <c r="AB468" s="125">
        <f>IF('Quant. mod. (oc)'!AB468&lt;0,0,ROUND('Quant. mod. (oc)'!AB468,0))</f>
        <v>2</v>
      </c>
      <c r="AC468" s="125">
        <f>IF('Quant. mod. (oc)'!AC468&lt;0,0,ROUND('Quant. mod. (oc)'!AC468,0))</f>
        <v>2</v>
      </c>
      <c r="AD468" s="125">
        <f>IF('Quant. mod. (oc)'!AD468&lt;0,0,ROUND('Quant. mod. (oc)'!AD468,0))</f>
        <v>2</v>
      </c>
      <c r="AE468" s="125">
        <f>IF('Quant. mod. (oc)'!AE468&lt;0,0,ROUND('Quant. mod. (oc)'!AE468,0))</f>
        <v>2</v>
      </c>
      <c r="AF468" s="125">
        <f>IF('Quant. mod. (oc)'!AF468&lt;0,0,ROUND('Quant. mod. (oc)'!AF468,0))</f>
        <v>2</v>
      </c>
      <c r="AG468" s="126">
        <f>IF('Quant. mod. (oc)'!AG468&lt;0,0,ROUND('Quant. mod. (oc)'!AG468,0))</f>
        <v>2</v>
      </c>
      <c r="AH468" s="22"/>
    </row>
    <row r="469" spans="1:34" x14ac:dyDescent="0.25">
      <c r="A469" s="112"/>
      <c r="B469" s="136" t="s">
        <v>174</v>
      </c>
      <c r="C469" s="67" t="s">
        <v>59</v>
      </c>
      <c r="D469" s="125">
        <f>IF('Quant. mod. (oc)'!D469&lt;0,0,ROUND('Quant. mod. (oc)'!D469,0))</f>
        <v>1</v>
      </c>
      <c r="E469" s="125">
        <f>IF('Quant. mod. (oc)'!E469&lt;0,0,ROUND('Quant. mod. (oc)'!E469,0))</f>
        <v>1</v>
      </c>
      <c r="F469" s="125">
        <f>IF('Quant. mod. (oc)'!F469&lt;0,0,ROUND('Quant. mod. (oc)'!F469,0))</f>
        <v>1</v>
      </c>
      <c r="G469" s="125">
        <f>IF('Quant. mod. (oc)'!G469&lt;0,0,ROUND('Quant. mod. (oc)'!G469,0))</f>
        <v>1</v>
      </c>
      <c r="H469" s="125">
        <f>IF('Quant. mod. (oc)'!H469&lt;0,0,ROUND('Quant. mod. (oc)'!H469,0))</f>
        <v>1</v>
      </c>
      <c r="I469" s="125">
        <f>IF('Quant. mod. (oc)'!I469&lt;0,0,ROUND('Quant. mod. (oc)'!I469,0))</f>
        <v>1</v>
      </c>
      <c r="J469" s="125">
        <f>IF('Quant. mod. (oc)'!J469&lt;0,0,ROUND('Quant. mod. (oc)'!J469,0))</f>
        <v>1</v>
      </c>
      <c r="K469" s="125">
        <f>IF('Quant. mod. (oc)'!K469&lt;0,0,ROUND('Quant. mod. (oc)'!K469,0))</f>
        <v>1</v>
      </c>
      <c r="L469" s="125">
        <f>IF('Quant. mod. (oc)'!L469&lt;0,0,ROUND('Quant. mod. (oc)'!L469,0))</f>
        <v>1</v>
      </c>
      <c r="M469" s="125">
        <f>IF('Quant. mod. (oc)'!M469&lt;0,0,ROUND('Quant. mod. (oc)'!M469,0))</f>
        <v>1</v>
      </c>
      <c r="N469" s="125">
        <f>IF('Quant. mod. (oc)'!N469&lt;0,0,ROUND('Quant. mod. (oc)'!N469,0))</f>
        <v>1</v>
      </c>
      <c r="O469" s="125">
        <f>IF('Quant. mod. (oc)'!O469&lt;0,0,ROUND('Quant. mod. (oc)'!O469,0))</f>
        <v>1</v>
      </c>
      <c r="P469" s="125">
        <f>IF('Quant. mod. (oc)'!P469&lt;0,0,ROUND('Quant. mod. (oc)'!P469,0))</f>
        <v>1</v>
      </c>
      <c r="Q469" s="125">
        <f>IF('Quant. mod. (oc)'!Q469&lt;0,0,ROUND('Quant. mod. (oc)'!Q469,0))</f>
        <v>1</v>
      </c>
      <c r="R469" s="125">
        <f>IF('Quant. mod. (oc)'!R469&lt;0,0,ROUND('Quant. mod. (oc)'!R469,0))</f>
        <v>1</v>
      </c>
      <c r="S469" s="125">
        <f>IF('Quant. mod. (oc)'!S469&lt;0,0,ROUND('Quant. mod. (oc)'!S469,0))</f>
        <v>1</v>
      </c>
      <c r="T469" s="125">
        <f>IF('Quant. mod. (oc)'!T469&lt;0,0,ROUND('Quant. mod. (oc)'!T469,0))</f>
        <v>1</v>
      </c>
      <c r="U469" s="125">
        <f>IF('Quant. mod. (oc)'!U469&lt;0,0,ROUND('Quant. mod. (oc)'!U469,0))</f>
        <v>1</v>
      </c>
      <c r="V469" s="125">
        <f>IF('Quant. mod. (oc)'!V469&lt;0,0,ROUND('Quant. mod. (oc)'!V469,0))</f>
        <v>1</v>
      </c>
      <c r="W469" s="125">
        <f>IF('Quant. mod. (oc)'!W469&lt;0,0,ROUND('Quant. mod. (oc)'!W469,0))</f>
        <v>1</v>
      </c>
      <c r="X469" s="125">
        <f>IF('Quant. mod. (oc)'!X469&lt;0,0,ROUND('Quant. mod. (oc)'!X469,0))</f>
        <v>1</v>
      </c>
      <c r="Y469" s="125">
        <f>IF('Quant. mod. (oc)'!Y469&lt;0,0,ROUND('Quant. mod. (oc)'!Y469,0))</f>
        <v>1</v>
      </c>
      <c r="Z469" s="125">
        <f>IF('Quant. mod. (oc)'!Z469&lt;0,0,ROUND('Quant. mod. (oc)'!Z469,0))</f>
        <v>1</v>
      </c>
      <c r="AA469" s="125">
        <f>IF('Quant. mod. (oc)'!AA469&lt;0,0,ROUND('Quant. mod. (oc)'!AA469,0))</f>
        <v>1</v>
      </c>
      <c r="AB469" s="125">
        <f>IF('Quant. mod. (oc)'!AB469&lt;0,0,ROUND('Quant. mod. (oc)'!AB469,0))</f>
        <v>1</v>
      </c>
      <c r="AC469" s="125">
        <f>IF('Quant. mod. (oc)'!AC469&lt;0,0,ROUND('Quant. mod. (oc)'!AC469,0))</f>
        <v>1</v>
      </c>
      <c r="AD469" s="125">
        <f>IF('Quant. mod. (oc)'!AD469&lt;0,0,ROUND('Quant. mod. (oc)'!AD469,0))</f>
        <v>1</v>
      </c>
      <c r="AE469" s="125">
        <f>IF('Quant. mod. (oc)'!AE469&lt;0,0,ROUND('Quant. mod. (oc)'!AE469,0))</f>
        <v>1</v>
      </c>
      <c r="AF469" s="125">
        <f>IF('Quant. mod. (oc)'!AF469&lt;0,0,ROUND('Quant. mod. (oc)'!AF469,0))</f>
        <v>1</v>
      </c>
      <c r="AG469" s="126">
        <f>IF('Quant. mod. (oc)'!AG469&lt;0,0,ROUND('Quant. mod. (oc)'!AG469,0))</f>
        <v>1</v>
      </c>
      <c r="AH469" s="22"/>
    </row>
    <row r="470" spans="1:34" x14ac:dyDescent="0.25">
      <c r="A470" s="112"/>
      <c r="B470" s="136" t="s">
        <v>175</v>
      </c>
      <c r="C470" s="67" t="s">
        <v>59</v>
      </c>
      <c r="D470" s="125">
        <f>IF('Quant. mod. (oc)'!D470&lt;0,0,ROUND('Quant. mod. (oc)'!D470,0))</f>
        <v>5</v>
      </c>
      <c r="E470" s="125">
        <f>IF('Quant. mod. (oc)'!E470&lt;0,0,ROUND('Quant. mod. (oc)'!E470,0))</f>
        <v>5</v>
      </c>
      <c r="F470" s="125">
        <f>IF('Quant. mod. (oc)'!F470&lt;0,0,ROUND('Quant. mod. (oc)'!F470,0))</f>
        <v>5</v>
      </c>
      <c r="G470" s="125">
        <f>IF('Quant. mod. (oc)'!G470&lt;0,0,ROUND('Quant. mod. (oc)'!G470,0))</f>
        <v>5</v>
      </c>
      <c r="H470" s="125">
        <f>IF('Quant. mod. (oc)'!H470&lt;0,0,ROUND('Quant. mod. (oc)'!H470,0))</f>
        <v>5</v>
      </c>
      <c r="I470" s="125">
        <f>IF('Quant. mod. (oc)'!I470&lt;0,0,ROUND('Quant. mod. (oc)'!I470,0))</f>
        <v>5</v>
      </c>
      <c r="J470" s="125">
        <f>IF('Quant. mod. (oc)'!J470&lt;0,0,ROUND('Quant. mod. (oc)'!J470,0))</f>
        <v>5</v>
      </c>
      <c r="K470" s="125">
        <f>IF('Quant. mod. (oc)'!K470&lt;0,0,ROUND('Quant. mod. (oc)'!K470,0))</f>
        <v>5</v>
      </c>
      <c r="L470" s="125">
        <f>IF('Quant. mod. (oc)'!L470&lt;0,0,ROUND('Quant. mod. (oc)'!L470,0))</f>
        <v>5</v>
      </c>
      <c r="M470" s="125">
        <f>IF('Quant. mod. (oc)'!M470&lt;0,0,ROUND('Quant. mod. (oc)'!M470,0))</f>
        <v>5</v>
      </c>
      <c r="N470" s="125">
        <f>IF('Quant. mod. (oc)'!N470&lt;0,0,ROUND('Quant. mod. (oc)'!N470,0))</f>
        <v>5</v>
      </c>
      <c r="O470" s="125">
        <f>IF('Quant. mod. (oc)'!O470&lt;0,0,ROUND('Quant. mod. (oc)'!O470,0))</f>
        <v>5</v>
      </c>
      <c r="P470" s="125">
        <f>IF('Quant. mod. (oc)'!P470&lt;0,0,ROUND('Quant. mod. (oc)'!P470,0))</f>
        <v>5</v>
      </c>
      <c r="Q470" s="125">
        <f>IF('Quant. mod. (oc)'!Q470&lt;0,0,ROUND('Quant. mod. (oc)'!Q470,0))</f>
        <v>5</v>
      </c>
      <c r="R470" s="125">
        <f>IF('Quant. mod. (oc)'!R470&lt;0,0,ROUND('Quant. mod. (oc)'!R470,0))</f>
        <v>5</v>
      </c>
      <c r="S470" s="125">
        <f>IF('Quant. mod. (oc)'!S470&lt;0,0,ROUND('Quant. mod. (oc)'!S470,0))</f>
        <v>5</v>
      </c>
      <c r="T470" s="125">
        <f>IF('Quant. mod. (oc)'!T470&lt;0,0,ROUND('Quant. mod. (oc)'!T470,0))</f>
        <v>5</v>
      </c>
      <c r="U470" s="125">
        <f>IF('Quant. mod. (oc)'!U470&lt;0,0,ROUND('Quant. mod. (oc)'!U470,0))</f>
        <v>5</v>
      </c>
      <c r="V470" s="125">
        <f>IF('Quant. mod. (oc)'!V470&lt;0,0,ROUND('Quant. mod. (oc)'!V470,0))</f>
        <v>5</v>
      </c>
      <c r="W470" s="125">
        <f>IF('Quant. mod. (oc)'!W470&lt;0,0,ROUND('Quant. mod. (oc)'!W470,0))</f>
        <v>5</v>
      </c>
      <c r="X470" s="125">
        <f>IF('Quant. mod. (oc)'!X470&lt;0,0,ROUND('Quant. mod. (oc)'!X470,0))</f>
        <v>5</v>
      </c>
      <c r="Y470" s="125">
        <f>IF('Quant. mod. (oc)'!Y470&lt;0,0,ROUND('Quant. mod. (oc)'!Y470,0))</f>
        <v>5</v>
      </c>
      <c r="Z470" s="125">
        <f>IF('Quant. mod. (oc)'!Z470&lt;0,0,ROUND('Quant. mod. (oc)'!Z470,0))</f>
        <v>5</v>
      </c>
      <c r="AA470" s="125">
        <f>IF('Quant. mod. (oc)'!AA470&lt;0,0,ROUND('Quant. mod. (oc)'!AA470,0))</f>
        <v>5</v>
      </c>
      <c r="AB470" s="125">
        <f>IF('Quant. mod. (oc)'!AB470&lt;0,0,ROUND('Quant. mod. (oc)'!AB470,0))</f>
        <v>5</v>
      </c>
      <c r="AC470" s="125">
        <f>IF('Quant. mod. (oc)'!AC470&lt;0,0,ROUND('Quant. mod. (oc)'!AC470,0))</f>
        <v>5</v>
      </c>
      <c r="AD470" s="125">
        <f>IF('Quant. mod. (oc)'!AD470&lt;0,0,ROUND('Quant. mod. (oc)'!AD470,0))</f>
        <v>5</v>
      </c>
      <c r="AE470" s="125">
        <f>IF('Quant. mod. (oc)'!AE470&lt;0,0,ROUND('Quant. mod. (oc)'!AE470,0))</f>
        <v>5</v>
      </c>
      <c r="AF470" s="125">
        <f>IF('Quant. mod. (oc)'!AF470&lt;0,0,ROUND('Quant. mod. (oc)'!AF470,0))</f>
        <v>5</v>
      </c>
      <c r="AG470" s="126">
        <f>IF('Quant. mod. (oc)'!AG470&lt;0,0,ROUND('Quant. mod. (oc)'!AG470,0))</f>
        <v>5</v>
      </c>
      <c r="AH470" s="22"/>
    </row>
    <row r="471" spans="1:34" x14ac:dyDescent="0.25">
      <c r="A471" s="112"/>
      <c r="B471" s="136" t="s">
        <v>176</v>
      </c>
      <c r="C471" s="67" t="s">
        <v>59</v>
      </c>
      <c r="D471" s="125">
        <f>IF('Quant. mod. (oc)'!D471&lt;0,0,ROUND('Quant. mod. (oc)'!D471,0))</f>
        <v>2</v>
      </c>
      <c r="E471" s="125">
        <f>IF('Quant. mod. (oc)'!E471&lt;0,0,ROUND('Quant. mod. (oc)'!E471,0))</f>
        <v>2</v>
      </c>
      <c r="F471" s="125">
        <f>IF('Quant. mod. (oc)'!F471&lt;0,0,ROUND('Quant. mod. (oc)'!F471,0))</f>
        <v>2</v>
      </c>
      <c r="G471" s="125">
        <f>IF('Quant. mod. (oc)'!G471&lt;0,0,ROUND('Quant. mod. (oc)'!G471,0))</f>
        <v>2</v>
      </c>
      <c r="H471" s="125">
        <f>IF('Quant. mod. (oc)'!H471&lt;0,0,ROUND('Quant. mod. (oc)'!H471,0))</f>
        <v>2</v>
      </c>
      <c r="I471" s="125">
        <f>IF('Quant. mod. (oc)'!I471&lt;0,0,ROUND('Quant. mod. (oc)'!I471,0))</f>
        <v>2</v>
      </c>
      <c r="J471" s="125">
        <f>IF('Quant. mod. (oc)'!J471&lt;0,0,ROUND('Quant. mod. (oc)'!J471,0))</f>
        <v>2</v>
      </c>
      <c r="K471" s="125">
        <f>IF('Quant. mod. (oc)'!K471&lt;0,0,ROUND('Quant. mod. (oc)'!K471,0))</f>
        <v>2</v>
      </c>
      <c r="L471" s="125">
        <f>IF('Quant. mod. (oc)'!L471&lt;0,0,ROUND('Quant. mod. (oc)'!L471,0))</f>
        <v>2</v>
      </c>
      <c r="M471" s="125">
        <f>IF('Quant. mod. (oc)'!M471&lt;0,0,ROUND('Quant. mod. (oc)'!M471,0))</f>
        <v>2</v>
      </c>
      <c r="N471" s="125">
        <f>IF('Quant. mod. (oc)'!N471&lt;0,0,ROUND('Quant. mod. (oc)'!N471,0))</f>
        <v>2</v>
      </c>
      <c r="O471" s="125">
        <f>IF('Quant. mod. (oc)'!O471&lt;0,0,ROUND('Quant. mod. (oc)'!O471,0))</f>
        <v>2</v>
      </c>
      <c r="P471" s="125">
        <f>IF('Quant. mod. (oc)'!P471&lt;0,0,ROUND('Quant. mod. (oc)'!P471,0))</f>
        <v>2</v>
      </c>
      <c r="Q471" s="125">
        <f>IF('Quant. mod. (oc)'!Q471&lt;0,0,ROUND('Quant. mod. (oc)'!Q471,0))</f>
        <v>2</v>
      </c>
      <c r="R471" s="125">
        <f>IF('Quant. mod. (oc)'!R471&lt;0,0,ROUND('Quant. mod. (oc)'!R471,0))</f>
        <v>2</v>
      </c>
      <c r="S471" s="125">
        <f>IF('Quant. mod. (oc)'!S471&lt;0,0,ROUND('Quant. mod. (oc)'!S471,0))</f>
        <v>2</v>
      </c>
      <c r="T471" s="125">
        <f>IF('Quant. mod. (oc)'!T471&lt;0,0,ROUND('Quant. mod. (oc)'!T471,0))</f>
        <v>2</v>
      </c>
      <c r="U471" s="125">
        <f>IF('Quant. mod. (oc)'!U471&lt;0,0,ROUND('Quant. mod. (oc)'!U471,0))</f>
        <v>2</v>
      </c>
      <c r="V471" s="125">
        <f>IF('Quant. mod. (oc)'!V471&lt;0,0,ROUND('Quant. mod. (oc)'!V471,0))</f>
        <v>2</v>
      </c>
      <c r="W471" s="125">
        <f>IF('Quant. mod. (oc)'!W471&lt;0,0,ROUND('Quant. mod. (oc)'!W471,0))</f>
        <v>2</v>
      </c>
      <c r="X471" s="125">
        <f>IF('Quant. mod. (oc)'!X471&lt;0,0,ROUND('Quant. mod. (oc)'!X471,0))</f>
        <v>2</v>
      </c>
      <c r="Y471" s="125">
        <f>IF('Quant. mod. (oc)'!Y471&lt;0,0,ROUND('Quant. mod. (oc)'!Y471,0))</f>
        <v>2</v>
      </c>
      <c r="Z471" s="125">
        <f>IF('Quant. mod. (oc)'!Z471&lt;0,0,ROUND('Quant. mod. (oc)'!Z471,0))</f>
        <v>2</v>
      </c>
      <c r="AA471" s="125">
        <f>IF('Quant. mod. (oc)'!AA471&lt;0,0,ROUND('Quant. mod. (oc)'!AA471,0))</f>
        <v>2</v>
      </c>
      <c r="AB471" s="125">
        <f>IF('Quant. mod. (oc)'!AB471&lt;0,0,ROUND('Quant. mod. (oc)'!AB471,0))</f>
        <v>2</v>
      </c>
      <c r="AC471" s="125">
        <f>IF('Quant. mod. (oc)'!AC471&lt;0,0,ROUND('Quant. mod. (oc)'!AC471,0))</f>
        <v>2</v>
      </c>
      <c r="AD471" s="125">
        <f>IF('Quant. mod. (oc)'!AD471&lt;0,0,ROUND('Quant. mod. (oc)'!AD471,0))</f>
        <v>2</v>
      </c>
      <c r="AE471" s="125">
        <f>IF('Quant. mod. (oc)'!AE471&lt;0,0,ROUND('Quant. mod. (oc)'!AE471,0))</f>
        <v>2</v>
      </c>
      <c r="AF471" s="125">
        <f>IF('Quant. mod. (oc)'!AF471&lt;0,0,ROUND('Quant. mod. (oc)'!AF471,0))</f>
        <v>2</v>
      </c>
      <c r="AG471" s="126">
        <f>IF('Quant. mod. (oc)'!AG471&lt;0,0,ROUND('Quant. mod. (oc)'!AG471,0))</f>
        <v>2</v>
      </c>
      <c r="AH471" s="22"/>
    </row>
    <row r="472" spans="1:34" x14ac:dyDescent="0.25">
      <c r="A472" s="112"/>
      <c r="B472" s="136" t="s">
        <v>177</v>
      </c>
      <c r="C472" s="67" t="s">
        <v>59</v>
      </c>
      <c r="D472" s="125">
        <f>IF('Quant. mod. (oc)'!D472&lt;0,0,ROUND('Quant. mod. (oc)'!D472,0))</f>
        <v>2</v>
      </c>
      <c r="E472" s="125">
        <f>IF('Quant. mod. (oc)'!E472&lt;0,0,ROUND('Quant. mod. (oc)'!E472,0))</f>
        <v>2</v>
      </c>
      <c r="F472" s="125">
        <f>IF('Quant. mod. (oc)'!F472&lt;0,0,ROUND('Quant. mod. (oc)'!F472,0))</f>
        <v>2</v>
      </c>
      <c r="G472" s="125">
        <f>IF('Quant. mod. (oc)'!G472&lt;0,0,ROUND('Quant. mod. (oc)'!G472,0))</f>
        <v>2</v>
      </c>
      <c r="H472" s="125">
        <f>IF('Quant. mod. (oc)'!H472&lt;0,0,ROUND('Quant. mod. (oc)'!H472,0))</f>
        <v>2</v>
      </c>
      <c r="I472" s="125">
        <f>IF('Quant. mod. (oc)'!I472&lt;0,0,ROUND('Quant. mod. (oc)'!I472,0))</f>
        <v>2</v>
      </c>
      <c r="J472" s="125">
        <f>IF('Quant. mod. (oc)'!J472&lt;0,0,ROUND('Quant. mod. (oc)'!J472,0))</f>
        <v>2</v>
      </c>
      <c r="K472" s="125">
        <f>IF('Quant. mod. (oc)'!K472&lt;0,0,ROUND('Quant. mod. (oc)'!K472,0))</f>
        <v>2</v>
      </c>
      <c r="L472" s="125">
        <f>IF('Quant. mod. (oc)'!L472&lt;0,0,ROUND('Quant. mod. (oc)'!L472,0))</f>
        <v>2</v>
      </c>
      <c r="M472" s="125">
        <f>IF('Quant. mod. (oc)'!M472&lt;0,0,ROUND('Quant. mod. (oc)'!M472,0))</f>
        <v>2</v>
      </c>
      <c r="N472" s="125">
        <f>IF('Quant. mod. (oc)'!N472&lt;0,0,ROUND('Quant. mod. (oc)'!N472,0))</f>
        <v>2</v>
      </c>
      <c r="O472" s="125">
        <f>IF('Quant. mod. (oc)'!O472&lt;0,0,ROUND('Quant. mod. (oc)'!O472,0))</f>
        <v>2</v>
      </c>
      <c r="P472" s="125">
        <f>IF('Quant. mod. (oc)'!P472&lt;0,0,ROUND('Quant. mod. (oc)'!P472,0))</f>
        <v>2</v>
      </c>
      <c r="Q472" s="125">
        <f>IF('Quant. mod. (oc)'!Q472&lt;0,0,ROUND('Quant. mod. (oc)'!Q472,0))</f>
        <v>2</v>
      </c>
      <c r="R472" s="125">
        <f>IF('Quant. mod. (oc)'!R472&lt;0,0,ROUND('Quant. mod. (oc)'!R472,0))</f>
        <v>2</v>
      </c>
      <c r="S472" s="125">
        <f>IF('Quant. mod. (oc)'!S472&lt;0,0,ROUND('Quant. mod. (oc)'!S472,0))</f>
        <v>2</v>
      </c>
      <c r="T472" s="125">
        <f>IF('Quant. mod. (oc)'!T472&lt;0,0,ROUND('Quant. mod. (oc)'!T472,0))</f>
        <v>2</v>
      </c>
      <c r="U472" s="125">
        <f>IF('Quant. mod. (oc)'!U472&lt;0,0,ROUND('Quant. mod. (oc)'!U472,0))</f>
        <v>2</v>
      </c>
      <c r="V472" s="125">
        <f>IF('Quant. mod. (oc)'!V472&lt;0,0,ROUND('Quant. mod. (oc)'!V472,0))</f>
        <v>2</v>
      </c>
      <c r="W472" s="125">
        <f>IF('Quant. mod. (oc)'!W472&lt;0,0,ROUND('Quant. mod. (oc)'!W472,0))</f>
        <v>2</v>
      </c>
      <c r="X472" s="125">
        <f>IF('Quant. mod. (oc)'!X472&lt;0,0,ROUND('Quant. mod. (oc)'!X472,0))</f>
        <v>2</v>
      </c>
      <c r="Y472" s="125">
        <f>IF('Quant. mod. (oc)'!Y472&lt;0,0,ROUND('Quant. mod. (oc)'!Y472,0))</f>
        <v>2</v>
      </c>
      <c r="Z472" s="125">
        <f>IF('Quant. mod. (oc)'!Z472&lt;0,0,ROUND('Quant. mod. (oc)'!Z472,0))</f>
        <v>2</v>
      </c>
      <c r="AA472" s="125">
        <f>IF('Quant. mod. (oc)'!AA472&lt;0,0,ROUND('Quant. mod. (oc)'!AA472,0))</f>
        <v>2</v>
      </c>
      <c r="AB472" s="125">
        <f>IF('Quant. mod. (oc)'!AB472&lt;0,0,ROUND('Quant. mod. (oc)'!AB472,0))</f>
        <v>2</v>
      </c>
      <c r="AC472" s="125">
        <f>IF('Quant. mod. (oc)'!AC472&lt;0,0,ROUND('Quant. mod. (oc)'!AC472,0))</f>
        <v>2</v>
      </c>
      <c r="AD472" s="125">
        <f>IF('Quant. mod. (oc)'!AD472&lt;0,0,ROUND('Quant. mod. (oc)'!AD472,0))</f>
        <v>2</v>
      </c>
      <c r="AE472" s="125">
        <f>IF('Quant. mod. (oc)'!AE472&lt;0,0,ROUND('Quant. mod. (oc)'!AE472,0))</f>
        <v>2</v>
      </c>
      <c r="AF472" s="125">
        <f>IF('Quant. mod. (oc)'!AF472&lt;0,0,ROUND('Quant. mod. (oc)'!AF472,0))</f>
        <v>2</v>
      </c>
      <c r="AG472" s="126">
        <f>IF('Quant. mod. (oc)'!AG472&lt;0,0,ROUND('Quant. mod. (oc)'!AG472,0))</f>
        <v>2</v>
      </c>
      <c r="AH472" s="22"/>
    </row>
    <row r="473" spans="1:34" x14ac:dyDescent="0.25">
      <c r="A473" s="112"/>
      <c r="B473" s="136" t="s">
        <v>178</v>
      </c>
      <c r="C473" s="67" t="s">
        <v>59</v>
      </c>
      <c r="D473" s="125">
        <f>IF('Quant. mod. (oc)'!D473&lt;0,0,ROUND('Quant. mod. (oc)'!D473,0))</f>
        <v>2</v>
      </c>
      <c r="E473" s="125">
        <f>IF('Quant. mod. (oc)'!E473&lt;0,0,ROUND('Quant. mod. (oc)'!E473,0))</f>
        <v>2</v>
      </c>
      <c r="F473" s="125">
        <f>IF('Quant. mod. (oc)'!F473&lt;0,0,ROUND('Quant. mod. (oc)'!F473,0))</f>
        <v>2</v>
      </c>
      <c r="G473" s="125">
        <f>IF('Quant. mod. (oc)'!G473&lt;0,0,ROUND('Quant. mod. (oc)'!G473,0))</f>
        <v>2</v>
      </c>
      <c r="H473" s="125">
        <f>IF('Quant. mod. (oc)'!H473&lt;0,0,ROUND('Quant. mod. (oc)'!H473,0))</f>
        <v>2</v>
      </c>
      <c r="I473" s="125">
        <f>IF('Quant. mod. (oc)'!I473&lt;0,0,ROUND('Quant. mod. (oc)'!I473,0))</f>
        <v>2</v>
      </c>
      <c r="J473" s="125">
        <f>IF('Quant. mod. (oc)'!J473&lt;0,0,ROUND('Quant. mod. (oc)'!J473,0))</f>
        <v>2</v>
      </c>
      <c r="K473" s="125">
        <f>IF('Quant. mod. (oc)'!K473&lt;0,0,ROUND('Quant. mod. (oc)'!K473,0))</f>
        <v>2</v>
      </c>
      <c r="L473" s="125">
        <f>IF('Quant. mod. (oc)'!L473&lt;0,0,ROUND('Quant. mod. (oc)'!L473,0))</f>
        <v>2</v>
      </c>
      <c r="M473" s="125">
        <f>IF('Quant. mod. (oc)'!M473&lt;0,0,ROUND('Quant. mod. (oc)'!M473,0))</f>
        <v>2</v>
      </c>
      <c r="N473" s="125">
        <f>IF('Quant. mod. (oc)'!N473&lt;0,0,ROUND('Quant. mod. (oc)'!N473,0))</f>
        <v>2</v>
      </c>
      <c r="O473" s="125">
        <f>IF('Quant. mod. (oc)'!O473&lt;0,0,ROUND('Quant. mod. (oc)'!O473,0))</f>
        <v>2</v>
      </c>
      <c r="P473" s="125">
        <f>IF('Quant. mod. (oc)'!P473&lt;0,0,ROUND('Quant. mod. (oc)'!P473,0))</f>
        <v>2</v>
      </c>
      <c r="Q473" s="125">
        <f>IF('Quant. mod. (oc)'!Q473&lt;0,0,ROUND('Quant. mod. (oc)'!Q473,0))</f>
        <v>2</v>
      </c>
      <c r="R473" s="125">
        <f>IF('Quant. mod. (oc)'!R473&lt;0,0,ROUND('Quant. mod. (oc)'!R473,0))</f>
        <v>2</v>
      </c>
      <c r="S473" s="125">
        <f>IF('Quant. mod. (oc)'!S473&lt;0,0,ROUND('Quant. mod. (oc)'!S473,0))</f>
        <v>2</v>
      </c>
      <c r="T473" s="125">
        <f>IF('Quant. mod. (oc)'!T473&lt;0,0,ROUND('Quant. mod. (oc)'!T473,0))</f>
        <v>2</v>
      </c>
      <c r="U473" s="125">
        <f>IF('Quant. mod. (oc)'!U473&lt;0,0,ROUND('Quant. mod. (oc)'!U473,0))</f>
        <v>2</v>
      </c>
      <c r="V473" s="125">
        <f>IF('Quant. mod. (oc)'!V473&lt;0,0,ROUND('Quant. mod. (oc)'!V473,0))</f>
        <v>2</v>
      </c>
      <c r="W473" s="125">
        <f>IF('Quant. mod. (oc)'!W473&lt;0,0,ROUND('Quant. mod. (oc)'!W473,0))</f>
        <v>2</v>
      </c>
      <c r="X473" s="125">
        <f>IF('Quant. mod. (oc)'!X473&lt;0,0,ROUND('Quant. mod. (oc)'!X473,0))</f>
        <v>2</v>
      </c>
      <c r="Y473" s="125">
        <f>IF('Quant. mod. (oc)'!Y473&lt;0,0,ROUND('Quant. mod. (oc)'!Y473,0))</f>
        <v>2</v>
      </c>
      <c r="Z473" s="125">
        <f>IF('Quant. mod. (oc)'!Z473&lt;0,0,ROUND('Quant. mod. (oc)'!Z473,0))</f>
        <v>2</v>
      </c>
      <c r="AA473" s="125">
        <f>IF('Quant. mod. (oc)'!AA473&lt;0,0,ROUND('Quant. mod. (oc)'!AA473,0))</f>
        <v>2</v>
      </c>
      <c r="AB473" s="125">
        <f>IF('Quant. mod. (oc)'!AB473&lt;0,0,ROUND('Quant. mod. (oc)'!AB473,0))</f>
        <v>2</v>
      </c>
      <c r="AC473" s="125">
        <f>IF('Quant. mod. (oc)'!AC473&lt;0,0,ROUND('Quant. mod. (oc)'!AC473,0))</f>
        <v>2</v>
      </c>
      <c r="AD473" s="125">
        <f>IF('Quant. mod. (oc)'!AD473&lt;0,0,ROUND('Quant. mod. (oc)'!AD473,0))</f>
        <v>2</v>
      </c>
      <c r="AE473" s="125">
        <f>IF('Quant. mod. (oc)'!AE473&lt;0,0,ROUND('Quant. mod. (oc)'!AE473,0))</f>
        <v>2</v>
      </c>
      <c r="AF473" s="125">
        <f>IF('Quant. mod. (oc)'!AF473&lt;0,0,ROUND('Quant. mod. (oc)'!AF473,0))</f>
        <v>2</v>
      </c>
      <c r="AG473" s="126">
        <f>IF('Quant. mod. (oc)'!AG473&lt;0,0,ROUND('Quant. mod. (oc)'!AG473,0))</f>
        <v>2</v>
      </c>
      <c r="AH473" s="22"/>
    </row>
    <row r="474" spans="1:34" x14ac:dyDescent="0.25">
      <c r="A474" s="112"/>
      <c r="B474" s="136" t="s">
        <v>179</v>
      </c>
      <c r="C474" s="67" t="s">
        <v>59</v>
      </c>
      <c r="D474" s="125">
        <f>IF('Quant. mod. (oc)'!D474&lt;0,0,ROUND('Quant. mod. (oc)'!D474,0))</f>
        <v>2</v>
      </c>
      <c r="E474" s="125">
        <f>IF('Quant. mod. (oc)'!E474&lt;0,0,ROUND('Quant. mod. (oc)'!E474,0))</f>
        <v>2</v>
      </c>
      <c r="F474" s="125">
        <f>IF('Quant. mod. (oc)'!F474&lt;0,0,ROUND('Quant. mod. (oc)'!F474,0))</f>
        <v>2</v>
      </c>
      <c r="G474" s="125">
        <f>IF('Quant. mod. (oc)'!G474&lt;0,0,ROUND('Quant. mod. (oc)'!G474,0))</f>
        <v>2</v>
      </c>
      <c r="H474" s="125">
        <f>IF('Quant. mod. (oc)'!H474&lt;0,0,ROUND('Quant. mod. (oc)'!H474,0))</f>
        <v>2</v>
      </c>
      <c r="I474" s="125">
        <f>IF('Quant. mod. (oc)'!I474&lt;0,0,ROUND('Quant. mod. (oc)'!I474,0))</f>
        <v>2</v>
      </c>
      <c r="J474" s="125">
        <f>IF('Quant. mod. (oc)'!J474&lt;0,0,ROUND('Quant. mod. (oc)'!J474,0))</f>
        <v>2</v>
      </c>
      <c r="K474" s="125">
        <f>IF('Quant. mod. (oc)'!K474&lt;0,0,ROUND('Quant. mod. (oc)'!K474,0))</f>
        <v>2</v>
      </c>
      <c r="L474" s="125">
        <f>IF('Quant. mod. (oc)'!L474&lt;0,0,ROUND('Quant. mod. (oc)'!L474,0))</f>
        <v>2</v>
      </c>
      <c r="M474" s="125">
        <f>IF('Quant. mod. (oc)'!M474&lt;0,0,ROUND('Quant. mod. (oc)'!M474,0))</f>
        <v>2</v>
      </c>
      <c r="N474" s="125">
        <f>IF('Quant. mod. (oc)'!N474&lt;0,0,ROUND('Quant. mod. (oc)'!N474,0))</f>
        <v>2</v>
      </c>
      <c r="O474" s="125">
        <f>IF('Quant. mod. (oc)'!O474&lt;0,0,ROUND('Quant. mod. (oc)'!O474,0))</f>
        <v>2</v>
      </c>
      <c r="P474" s="125">
        <f>IF('Quant. mod. (oc)'!P474&lt;0,0,ROUND('Quant. mod. (oc)'!P474,0))</f>
        <v>2</v>
      </c>
      <c r="Q474" s="125">
        <f>IF('Quant. mod. (oc)'!Q474&lt;0,0,ROUND('Quant. mod. (oc)'!Q474,0))</f>
        <v>2</v>
      </c>
      <c r="R474" s="125">
        <f>IF('Quant. mod. (oc)'!R474&lt;0,0,ROUND('Quant. mod. (oc)'!R474,0))</f>
        <v>2</v>
      </c>
      <c r="S474" s="125">
        <f>IF('Quant. mod. (oc)'!S474&lt;0,0,ROUND('Quant. mod. (oc)'!S474,0))</f>
        <v>2</v>
      </c>
      <c r="T474" s="125">
        <f>IF('Quant. mod. (oc)'!T474&lt;0,0,ROUND('Quant. mod. (oc)'!T474,0))</f>
        <v>2</v>
      </c>
      <c r="U474" s="125">
        <f>IF('Quant. mod. (oc)'!U474&lt;0,0,ROUND('Quant. mod. (oc)'!U474,0))</f>
        <v>2</v>
      </c>
      <c r="V474" s="125">
        <f>IF('Quant. mod. (oc)'!V474&lt;0,0,ROUND('Quant. mod. (oc)'!V474,0))</f>
        <v>2</v>
      </c>
      <c r="W474" s="125">
        <f>IF('Quant. mod. (oc)'!W474&lt;0,0,ROUND('Quant. mod. (oc)'!W474,0))</f>
        <v>2</v>
      </c>
      <c r="X474" s="125">
        <f>IF('Quant. mod. (oc)'!X474&lt;0,0,ROUND('Quant. mod. (oc)'!X474,0))</f>
        <v>2</v>
      </c>
      <c r="Y474" s="125">
        <f>IF('Quant. mod. (oc)'!Y474&lt;0,0,ROUND('Quant. mod. (oc)'!Y474,0))</f>
        <v>2</v>
      </c>
      <c r="Z474" s="125">
        <f>IF('Quant. mod. (oc)'!Z474&lt;0,0,ROUND('Quant. mod. (oc)'!Z474,0))</f>
        <v>2</v>
      </c>
      <c r="AA474" s="125">
        <f>IF('Quant. mod. (oc)'!AA474&lt;0,0,ROUND('Quant. mod. (oc)'!AA474,0))</f>
        <v>2</v>
      </c>
      <c r="AB474" s="125">
        <f>IF('Quant. mod. (oc)'!AB474&lt;0,0,ROUND('Quant. mod. (oc)'!AB474,0))</f>
        <v>2</v>
      </c>
      <c r="AC474" s="125">
        <f>IF('Quant. mod. (oc)'!AC474&lt;0,0,ROUND('Quant. mod. (oc)'!AC474,0))</f>
        <v>2</v>
      </c>
      <c r="AD474" s="125">
        <f>IF('Quant. mod. (oc)'!AD474&lt;0,0,ROUND('Quant. mod. (oc)'!AD474,0))</f>
        <v>2</v>
      </c>
      <c r="AE474" s="125">
        <f>IF('Quant. mod. (oc)'!AE474&lt;0,0,ROUND('Quant. mod. (oc)'!AE474,0))</f>
        <v>2</v>
      </c>
      <c r="AF474" s="125">
        <f>IF('Quant. mod. (oc)'!AF474&lt;0,0,ROUND('Quant. mod. (oc)'!AF474,0))</f>
        <v>2</v>
      </c>
      <c r="AG474" s="126">
        <f>IF('Quant. mod. (oc)'!AG474&lt;0,0,ROUND('Quant. mod. (oc)'!AG474,0))</f>
        <v>2</v>
      </c>
      <c r="AH474" s="22"/>
    </row>
    <row r="475" spans="1:34" x14ac:dyDescent="0.25">
      <c r="A475" s="112"/>
      <c r="B475" s="120" t="s">
        <v>782</v>
      </c>
      <c r="C475" s="121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8"/>
      <c r="AH475" s="22"/>
    </row>
    <row r="476" spans="1:34" ht="25.5" x14ac:dyDescent="0.25">
      <c r="A476" s="112"/>
      <c r="B476" s="136" t="s">
        <v>99</v>
      </c>
      <c r="C476" s="67" t="s">
        <v>59</v>
      </c>
      <c r="D476" s="125">
        <f>IF('Quant. mod. (oc)'!D476&lt;0,0,ROUND('Quant. mod. (oc)'!D476,0))</f>
        <v>1</v>
      </c>
      <c r="E476" s="125">
        <f>IF('Quant. mod. (oc)'!E476&lt;0,0,ROUND('Quant. mod. (oc)'!E476,0))</f>
        <v>1</v>
      </c>
      <c r="F476" s="125">
        <f>IF('Quant. mod. (oc)'!F476&lt;0,0,ROUND('Quant. mod. (oc)'!F476,0))</f>
        <v>1</v>
      </c>
      <c r="G476" s="125">
        <f>IF('Quant. mod. (oc)'!G476&lt;0,0,ROUND('Quant. mod. (oc)'!G476,0))</f>
        <v>1</v>
      </c>
      <c r="H476" s="125">
        <f>IF('Quant. mod. (oc)'!H476&lt;0,0,ROUND('Quant. mod. (oc)'!H476,0))</f>
        <v>1</v>
      </c>
      <c r="I476" s="125">
        <f>IF('Quant. mod. (oc)'!I476&lt;0,0,ROUND('Quant. mod. (oc)'!I476,0))</f>
        <v>1</v>
      </c>
      <c r="J476" s="125">
        <f>IF('Quant. mod. (oc)'!J476&lt;0,0,ROUND('Quant. mod. (oc)'!J476,0))</f>
        <v>1</v>
      </c>
      <c r="K476" s="125">
        <f>IF('Quant. mod. (oc)'!K476&lt;0,0,ROUND('Quant. mod. (oc)'!K476,0))</f>
        <v>1</v>
      </c>
      <c r="L476" s="125">
        <f>IF('Quant. mod. (oc)'!L476&lt;0,0,ROUND('Quant. mod. (oc)'!L476,0))</f>
        <v>1</v>
      </c>
      <c r="M476" s="125">
        <f>IF('Quant. mod. (oc)'!M476&lt;0,0,ROUND('Quant. mod. (oc)'!M476,0))</f>
        <v>1</v>
      </c>
      <c r="N476" s="125">
        <f>IF('Quant. mod. (oc)'!N476&lt;0,0,ROUND('Quant. mod. (oc)'!N476,0))</f>
        <v>1</v>
      </c>
      <c r="O476" s="125">
        <f>IF('Quant. mod. (oc)'!O476&lt;0,0,ROUND('Quant. mod. (oc)'!O476,0))</f>
        <v>1</v>
      </c>
      <c r="P476" s="125">
        <f>IF('Quant. mod. (oc)'!P476&lt;0,0,ROUND('Quant. mod. (oc)'!P476,0))</f>
        <v>1</v>
      </c>
      <c r="Q476" s="125">
        <f>IF('Quant. mod. (oc)'!Q476&lt;0,0,ROUND('Quant. mod. (oc)'!Q476,0))</f>
        <v>1</v>
      </c>
      <c r="R476" s="125">
        <f>IF('Quant. mod. (oc)'!R476&lt;0,0,ROUND('Quant. mod. (oc)'!R476,0))</f>
        <v>1</v>
      </c>
      <c r="S476" s="125">
        <f>IF('Quant. mod. (oc)'!S476&lt;0,0,ROUND('Quant. mod. (oc)'!S476,0))</f>
        <v>1</v>
      </c>
      <c r="T476" s="125">
        <f>IF('Quant. mod. (oc)'!T476&lt;0,0,ROUND('Quant. mod. (oc)'!T476,0))</f>
        <v>1</v>
      </c>
      <c r="U476" s="125">
        <f>IF('Quant. mod. (oc)'!U476&lt;0,0,ROUND('Quant. mod. (oc)'!U476,0))</f>
        <v>1</v>
      </c>
      <c r="V476" s="125">
        <f>IF('Quant. mod. (oc)'!V476&lt;0,0,ROUND('Quant. mod. (oc)'!V476,0))</f>
        <v>1</v>
      </c>
      <c r="W476" s="125">
        <f>IF('Quant. mod. (oc)'!W476&lt;0,0,ROUND('Quant. mod. (oc)'!W476,0))</f>
        <v>1</v>
      </c>
      <c r="X476" s="125">
        <f>IF('Quant. mod. (oc)'!X476&lt;0,0,ROUND('Quant. mod. (oc)'!X476,0))</f>
        <v>1</v>
      </c>
      <c r="Y476" s="125">
        <f>IF('Quant. mod. (oc)'!Y476&lt;0,0,ROUND('Quant. mod. (oc)'!Y476,0))</f>
        <v>1</v>
      </c>
      <c r="Z476" s="125">
        <f>IF('Quant. mod. (oc)'!Z476&lt;0,0,ROUND('Quant. mod. (oc)'!Z476,0))</f>
        <v>1</v>
      </c>
      <c r="AA476" s="125">
        <f>IF('Quant. mod. (oc)'!AA476&lt;0,0,ROUND('Quant. mod. (oc)'!AA476,0))</f>
        <v>1</v>
      </c>
      <c r="AB476" s="125">
        <f>IF('Quant. mod. (oc)'!AB476&lt;0,0,ROUND('Quant. mod. (oc)'!AB476,0))</f>
        <v>1</v>
      </c>
      <c r="AC476" s="125">
        <f>IF('Quant. mod. (oc)'!AC476&lt;0,0,ROUND('Quant. mod. (oc)'!AC476,0))</f>
        <v>1</v>
      </c>
      <c r="AD476" s="125">
        <f>IF('Quant. mod. (oc)'!AD476&lt;0,0,ROUND('Quant. mod. (oc)'!AD476,0))</f>
        <v>1</v>
      </c>
      <c r="AE476" s="125">
        <f>IF('Quant. mod. (oc)'!AE476&lt;0,0,ROUND('Quant. mod. (oc)'!AE476,0))</f>
        <v>1</v>
      </c>
      <c r="AF476" s="125">
        <f>IF('Quant. mod. (oc)'!AF476&lt;0,0,ROUND('Quant. mod. (oc)'!AF476,0))</f>
        <v>1</v>
      </c>
      <c r="AG476" s="126">
        <f>IF('Quant. mod. (oc)'!AG476&lt;0,0,ROUND('Quant. mod. (oc)'!AG476,0))</f>
        <v>1</v>
      </c>
      <c r="AH476" s="22"/>
    </row>
    <row r="477" spans="1:34" x14ac:dyDescent="0.25">
      <c r="A477" s="112"/>
      <c r="B477" s="136" t="s">
        <v>448</v>
      </c>
      <c r="C477" s="67" t="s">
        <v>59</v>
      </c>
      <c r="D477" s="125">
        <f>IF('Quant. mod. (oc)'!D477&lt;0,0,ROUND('Quant. mod. (oc)'!D477,0))</f>
        <v>2</v>
      </c>
      <c r="E477" s="125">
        <f>IF('Quant. mod. (oc)'!E477&lt;0,0,ROUND('Quant. mod. (oc)'!E477,0))</f>
        <v>2</v>
      </c>
      <c r="F477" s="125">
        <f>IF('Quant. mod. (oc)'!F477&lt;0,0,ROUND('Quant. mod. (oc)'!F477,0))</f>
        <v>2</v>
      </c>
      <c r="G477" s="125">
        <f>IF('Quant. mod. (oc)'!G477&lt;0,0,ROUND('Quant. mod. (oc)'!G477,0))</f>
        <v>2</v>
      </c>
      <c r="H477" s="125">
        <f>IF('Quant. mod. (oc)'!H477&lt;0,0,ROUND('Quant. mod. (oc)'!H477,0))</f>
        <v>2</v>
      </c>
      <c r="I477" s="125">
        <f>IF('Quant. mod. (oc)'!I477&lt;0,0,ROUND('Quant. mod. (oc)'!I477,0))</f>
        <v>2</v>
      </c>
      <c r="J477" s="125">
        <f>IF('Quant. mod. (oc)'!J477&lt;0,0,ROUND('Quant. mod. (oc)'!J477,0))</f>
        <v>2</v>
      </c>
      <c r="K477" s="125">
        <f>IF('Quant. mod. (oc)'!K477&lt;0,0,ROUND('Quant. mod. (oc)'!K477,0))</f>
        <v>2</v>
      </c>
      <c r="L477" s="125">
        <f>IF('Quant. mod. (oc)'!L477&lt;0,0,ROUND('Quant. mod. (oc)'!L477,0))</f>
        <v>2</v>
      </c>
      <c r="M477" s="125">
        <f>IF('Quant. mod. (oc)'!M477&lt;0,0,ROUND('Quant. mod. (oc)'!M477,0))</f>
        <v>2</v>
      </c>
      <c r="N477" s="125">
        <f>IF('Quant. mod. (oc)'!N477&lt;0,0,ROUND('Quant. mod. (oc)'!N477,0))</f>
        <v>2</v>
      </c>
      <c r="O477" s="125">
        <f>IF('Quant. mod. (oc)'!O477&lt;0,0,ROUND('Quant. mod. (oc)'!O477,0))</f>
        <v>2</v>
      </c>
      <c r="P477" s="125">
        <f>IF('Quant. mod. (oc)'!P477&lt;0,0,ROUND('Quant. mod. (oc)'!P477,0))</f>
        <v>2</v>
      </c>
      <c r="Q477" s="125">
        <f>IF('Quant. mod. (oc)'!Q477&lt;0,0,ROUND('Quant. mod. (oc)'!Q477,0))</f>
        <v>2</v>
      </c>
      <c r="R477" s="125">
        <f>IF('Quant. mod. (oc)'!R477&lt;0,0,ROUND('Quant. mod. (oc)'!R477,0))</f>
        <v>2</v>
      </c>
      <c r="S477" s="125">
        <f>IF('Quant. mod. (oc)'!S477&lt;0,0,ROUND('Quant. mod. (oc)'!S477,0))</f>
        <v>2</v>
      </c>
      <c r="T477" s="125">
        <f>IF('Quant. mod. (oc)'!T477&lt;0,0,ROUND('Quant. mod. (oc)'!T477,0))</f>
        <v>2</v>
      </c>
      <c r="U477" s="125">
        <f>IF('Quant. mod. (oc)'!U477&lt;0,0,ROUND('Quant. mod. (oc)'!U477,0))</f>
        <v>2</v>
      </c>
      <c r="V477" s="125">
        <f>IF('Quant. mod. (oc)'!V477&lt;0,0,ROUND('Quant. mod. (oc)'!V477,0))</f>
        <v>2</v>
      </c>
      <c r="W477" s="125">
        <f>IF('Quant. mod. (oc)'!W477&lt;0,0,ROUND('Quant. mod. (oc)'!W477,0))</f>
        <v>2</v>
      </c>
      <c r="X477" s="125">
        <f>IF('Quant. mod. (oc)'!X477&lt;0,0,ROUND('Quant. mod. (oc)'!X477,0))</f>
        <v>2</v>
      </c>
      <c r="Y477" s="125">
        <f>IF('Quant. mod. (oc)'!Y477&lt;0,0,ROUND('Quant. mod. (oc)'!Y477,0))</f>
        <v>2</v>
      </c>
      <c r="Z477" s="125">
        <f>IF('Quant. mod. (oc)'!Z477&lt;0,0,ROUND('Quant. mod. (oc)'!Z477,0))</f>
        <v>2</v>
      </c>
      <c r="AA477" s="125">
        <f>IF('Quant. mod. (oc)'!AA477&lt;0,0,ROUND('Quant. mod. (oc)'!AA477,0))</f>
        <v>2</v>
      </c>
      <c r="AB477" s="125">
        <f>IF('Quant. mod. (oc)'!AB477&lt;0,0,ROUND('Quant. mod. (oc)'!AB477,0))</f>
        <v>2</v>
      </c>
      <c r="AC477" s="125">
        <f>IF('Quant. mod. (oc)'!AC477&lt;0,0,ROUND('Quant. mod. (oc)'!AC477,0))</f>
        <v>2</v>
      </c>
      <c r="AD477" s="125">
        <f>IF('Quant. mod. (oc)'!AD477&lt;0,0,ROUND('Quant. mod. (oc)'!AD477,0))</f>
        <v>2</v>
      </c>
      <c r="AE477" s="125">
        <f>IF('Quant. mod. (oc)'!AE477&lt;0,0,ROUND('Quant. mod. (oc)'!AE477,0))</f>
        <v>2</v>
      </c>
      <c r="AF477" s="125">
        <f>IF('Quant. mod. (oc)'!AF477&lt;0,0,ROUND('Quant. mod. (oc)'!AF477,0))</f>
        <v>2</v>
      </c>
      <c r="AG477" s="126">
        <f>IF('Quant. mod. (oc)'!AG477&lt;0,0,ROUND('Quant. mod. (oc)'!AG477,0))</f>
        <v>2</v>
      </c>
      <c r="AH477" s="22"/>
    </row>
    <row r="478" spans="1:34" x14ac:dyDescent="0.25">
      <c r="A478" s="112"/>
      <c r="B478" s="136" t="s">
        <v>100</v>
      </c>
      <c r="C478" s="67" t="s">
        <v>59</v>
      </c>
      <c r="D478" s="125">
        <f>IF('Quant. mod. (oc)'!D478&lt;0,0,ROUND('Quant. mod. (oc)'!D478,0))</f>
        <v>2</v>
      </c>
      <c r="E478" s="125">
        <f>IF('Quant. mod. (oc)'!E478&lt;0,0,ROUND('Quant. mod. (oc)'!E478,0))</f>
        <v>2</v>
      </c>
      <c r="F478" s="125">
        <f>IF('Quant. mod. (oc)'!F478&lt;0,0,ROUND('Quant. mod. (oc)'!F478,0))</f>
        <v>2</v>
      </c>
      <c r="G478" s="125">
        <f>IF('Quant. mod. (oc)'!G478&lt;0,0,ROUND('Quant. mod. (oc)'!G478,0))</f>
        <v>2</v>
      </c>
      <c r="H478" s="125">
        <f>IF('Quant. mod. (oc)'!H478&lt;0,0,ROUND('Quant. mod. (oc)'!H478,0))</f>
        <v>2</v>
      </c>
      <c r="I478" s="125">
        <f>IF('Quant. mod. (oc)'!I478&lt;0,0,ROUND('Quant. mod. (oc)'!I478,0))</f>
        <v>2</v>
      </c>
      <c r="J478" s="125">
        <f>IF('Quant. mod. (oc)'!J478&lt;0,0,ROUND('Quant. mod. (oc)'!J478,0))</f>
        <v>2</v>
      </c>
      <c r="K478" s="125">
        <f>IF('Quant. mod. (oc)'!K478&lt;0,0,ROUND('Quant. mod. (oc)'!K478,0))</f>
        <v>2</v>
      </c>
      <c r="L478" s="125">
        <f>IF('Quant. mod. (oc)'!L478&lt;0,0,ROUND('Quant. mod. (oc)'!L478,0))</f>
        <v>2</v>
      </c>
      <c r="M478" s="125">
        <f>IF('Quant. mod. (oc)'!M478&lt;0,0,ROUND('Quant. mod. (oc)'!M478,0))</f>
        <v>2</v>
      </c>
      <c r="N478" s="125">
        <f>IF('Quant. mod. (oc)'!N478&lt;0,0,ROUND('Quant. mod. (oc)'!N478,0))</f>
        <v>2</v>
      </c>
      <c r="O478" s="125">
        <f>IF('Quant. mod. (oc)'!O478&lt;0,0,ROUND('Quant. mod. (oc)'!O478,0))</f>
        <v>2</v>
      </c>
      <c r="P478" s="125">
        <f>IF('Quant. mod. (oc)'!P478&lt;0,0,ROUND('Quant. mod. (oc)'!P478,0))</f>
        <v>2</v>
      </c>
      <c r="Q478" s="125">
        <f>IF('Quant. mod. (oc)'!Q478&lt;0,0,ROUND('Quant. mod. (oc)'!Q478,0))</f>
        <v>2</v>
      </c>
      <c r="R478" s="125">
        <f>IF('Quant. mod. (oc)'!R478&lt;0,0,ROUND('Quant. mod. (oc)'!R478,0))</f>
        <v>2</v>
      </c>
      <c r="S478" s="125">
        <f>IF('Quant. mod. (oc)'!S478&lt;0,0,ROUND('Quant. mod. (oc)'!S478,0))</f>
        <v>2</v>
      </c>
      <c r="T478" s="125">
        <f>IF('Quant. mod. (oc)'!T478&lt;0,0,ROUND('Quant. mod. (oc)'!T478,0))</f>
        <v>2</v>
      </c>
      <c r="U478" s="125">
        <f>IF('Quant. mod. (oc)'!U478&lt;0,0,ROUND('Quant. mod. (oc)'!U478,0))</f>
        <v>2</v>
      </c>
      <c r="V478" s="125">
        <f>IF('Quant. mod. (oc)'!V478&lt;0,0,ROUND('Quant. mod. (oc)'!V478,0))</f>
        <v>2</v>
      </c>
      <c r="W478" s="125">
        <f>IF('Quant. mod. (oc)'!W478&lt;0,0,ROUND('Quant. mod. (oc)'!W478,0))</f>
        <v>2</v>
      </c>
      <c r="X478" s="125">
        <f>IF('Quant. mod. (oc)'!X478&lt;0,0,ROUND('Quant. mod. (oc)'!X478,0))</f>
        <v>2</v>
      </c>
      <c r="Y478" s="125">
        <f>IF('Quant. mod. (oc)'!Y478&lt;0,0,ROUND('Quant. mod. (oc)'!Y478,0))</f>
        <v>2</v>
      </c>
      <c r="Z478" s="125">
        <f>IF('Quant. mod. (oc)'!Z478&lt;0,0,ROUND('Quant. mod. (oc)'!Z478,0))</f>
        <v>2</v>
      </c>
      <c r="AA478" s="125">
        <f>IF('Quant. mod. (oc)'!AA478&lt;0,0,ROUND('Quant. mod. (oc)'!AA478,0))</f>
        <v>2</v>
      </c>
      <c r="AB478" s="125">
        <f>IF('Quant. mod. (oc)'!AB478&lt;0,0,ROUND('Quant. mod. (oc)'!AB478,0))</f>
        <v>2</v>
      </c>
      <c r="AC478" s="125">
        <f>IF('Quant. mod. (oc)'!AC478&lt;0,0,ROUND('Quant. mod. (oc)'!AC478,0))</f>
        <v>2</v>
      </c>
      <c r="AD478" s="125">
        <f>IF('Quant. mod. (oc)'!AD478&lt;0,0,ROUND('Quant. mod. (oc)'!AD478,0))</f>
        <v>2</v>
      </c>
      <c r="AE478" s="125">
        <f>IF('Quant. mod. (oc)'!AE478&lt;0,0,ROUND('Quant. mod. (oc)'!AE478,0))</f>
        <v>2</v>
      </c>
      <c r="AF478" s="125">
        <f>IF('Quant. mod. (oc)'!AF478&lt;0,0,ROUND('Quant. mod. (oc)'!AF478,0))</f>
        <v>2</v>
      </c>
      <c r="AG478" s="126">
        <f>IF('Quant. mod. (oc)'!AG478&lt;0,0,ROUND('Quant. mod. (oc)'!AG478,0))</f>
        <v>2</v>
      </c>
      <c r="AH478" s="22"/>
    </row>
    <row r="479" spans="1:34" x14ac:dyDescent="0.25">
      <c r="A479" s="112"/>
      <c r="B479" s="136" t="s">
        <v>101</v>
      </c>
      <c r="C479" s="67" t="s">
        <v>59</v>
      </c>
      <c r="D479" s="125">
        <f>IF('Quant. mod. (oc)'!D479&lt;0,0,ROUND('Quant. mod. (oc)'!D479,0))</f>
        <v>2</v>
      </c>
      <c r="E479" s="125">
        <f>IF('Quant. mod. (oc)'!E479&lt;0,0,ROUND('Quant. mod. (oc)'!E479,0))</f>
        <v>2</v>
      </c>
      <c r="F479" s="125">
        <f>IF('Quant. mod. (oc)'!F479&lt;0,0,ROUND('Quant. mod. (oc)'!F479,0))</f>
        <v>2</v>
      </c>
      <c r="G479" s="125">
        <f>IF('Quant. mod. (oc)'!G479&lt;0,0,ROUND('Quant. mod. (oc)'!G479,0))</f>
        <v>2</v>
      </c>
      <c r="H479" s="125">
        <f>IF('Quant. mod. (oc)'!H479&lt;0,0,ROUND('Quant. mod. (oc)'!H479,0))</f>
        <v>2</v>
      </c>
      <c r="I479" s="125">
        <f>IF('Quant. mod. (oc)'!I479&lt;0,0,ROUND('Quant. mod. (oc)'!I479,0))</f>
        <v>2</v>
      </c>
      <c r="J479" s="125">
        <f>IF('Quant. mod. (oc)'!J479&lt;0,0,ROUND('Quant. mod. (oc)'!J479,0))</f>
        <v>2</v>
      </c>
      <c r="K479" s="125">
        <f>IF('Quant. mod. (oc)'!K479&lt;0,0,ROUND('Quant. mod. (oc)'!K479,0))</f>
        <v>2</v>
      </c>
      <c r="L479" s="125">
        <f>IF('Quant. mod. (oc)'!L479&lt;0,0,ROUND('Quant. mod. (oc)'!L479,0))</f>
        <v>2</v>
      </c>
      <c r="M479" s="125">
        <f>IF('Quant. mod. (oc)'!M479&lt;0,0,ROUND('Quant. mod. (oc)'!M479,0))</f>
        <v>2</v>
      </c>
      <c r="N479" s="125">
        <f>IF('Quant. mod. (oc)'!N479&lt;0,0,ROUND('Quant. mod. (oc)'!N479,0))</f>
        <v>2</v>
      </c>
      <c r="O479" s="125">
        <f>IF('Quant. mod. (oc)'!O479&lt;0,0,ROUND('Quant. mod. (oc)'!O479,0))</f>
        <v>2</v>
      </c>
      <c r="P479" s="125">
        <f>IF('Quant. mod. (oc)'!P479&lt;0,0,ROUND('Quant. mod. (oc)'!P479,0))</f>
        <v>2</v>
      </c>
      <c r="Q479" s="125">
        <f>IF('Quant. mod. (oc)'!Q479&lt;0,0,ROUND('Quant. mod. (oc)'!Q479,0))</f>
        <v>2</v>
      </c>
      <c r="R479" s="125">
        <f>IF('Quant. mod. (oc)'!R479&lt;0,0,ROUND('Quant. mod. (oc)'!R479,0))</f>
        <v>2</v>
      </c>
      <c r="S479" s="125">
        <f>IF('Quant. mod. (oc)'!S479&lt;0,0,ROUND('Quant. mod. (oc)'!S479,0))</f>
        <v>2</v>
      </c>
      <c r="T479" s="125">
        <f>IF('Quant. mod. (oc)'!T479&lt;0,0,ROUND('Quant. mod. (oc)'!T479,0))</f>
        <v>2</v>
      </c>
      <c r="U479" s="125">
        <f>IF('Quant. mod. (oc)'!U479&lt;0,0,ROUND('Quant. mod. (oc)'!U479,0))</f>
        <v>2</v>
      </c>
      <c r="V479" s="125">
        <f>IF('Quant. mod. (oc)'!V479&lt;0,0,ROUND('Quant. mod. (oc)'!V479,0))</f>
        <v>2</v>
      </c>
      <c r="W479" s="125">
        <f>IF('Quant. mod. (oc)'!W479&lt;0,0,ROUND('Quant. mod. (oc)'!W479,0))</f>
        <v>2</v>
      </c>
      <c r="X479" s="125">
        <f>IF('Quant. mod. (oc)'!X479&lt;0,0,ROUND('Quant. mod. (oc)'!X479,0))</f>
        <v>2</v>
      </c>
      <c r="Y479" s="125">
        <f>IF('Quant. mod. (oc)'!Y479&lt;0,0,ROUND('Quant. mod. (oc)'!Y479,0))</f>
        <v>2</v>
      </c>
      <c r="Z479" s="125">
        <f>IF('Quant. mod. (oc)'!Z479&lt;0,0,ROUND('Quant. mod. (oc)'!Z479,0))</f>
        <v>2</v>
      </c>
      <c r="AA479" s="125">
        <f>IF('Quant. mod. (oc)'!AA479&lt;0,0,ROUND('Quant. mod. (oc)'!AA479,0))</f>
        <v>2</v>
      </c>
      <c r="AB479" s="125">
        <f>IF('Quant. mod. (oc)'!AB479&lt;0,0,ROUND('Quant. mod. (oc)'!AB479,0))</f>
        <v>2</v>
      </c>
      <c r="AC479" s="125">
        <f>IF('Quant. mod. (oc)'!AC479&lt;0,0,ROUND('Quant. mod. (oc)'!AC479,0))</f>
        <v>2</v>
      </c>
      <c r="AD479" s="125">
        <f>IF('Quant. mod. (oc)'!AD479&lt;0,0,ROUND('Quant. mod. (oc)'!AD479,0))</f>
        <v>2</v>
      </c>
      <c r="AE479" s="125">
        <f>IF('Quant. mod. (oc)'!AE479&lt;0,0,ROUND('Quant. mod. (oc)'!AE479,0))</f>
        <v>2</v>
      </c>
      <c r="AF479" s="125">
        <f>IF('Quant. mod. (oc)'!AF479&lt;0,0,ROUND('Quant. mod. (oc)'!AF479,0))</f>
        <v>2</v>
      </c>
      <c r="AG479" s="126">
        <f>IF('Quant. mod. (oc)'!AG479&lt;0,0,ROUND('Quant. mod. (oc)'!AG479,0))</f>
        <v>2</v>
      </c>
      <c r="AH479" s="22"/>
    </row>
    <row r="480" spans="1:34" x14ac:dyDescent="0.25">
      <c r="A480" s="112"/>
      <c r="B480" s="136" t="s">
        <v>102</v>
      </c>
      <c r="C480" s="67" t="s">
        <v>59</v>
      </c>
      <c r="D480" s="125">
        <f>IF('Quant. mod. (oc)'!D480&lt;0,0,ROUND('Quant. mod. (oc)'!D480,0))</f>
        <v>2</v>
      </c>
      <c r="E480" s="125">
        <f>IF('Quant. mod. (oc)'!E480&lt;0,0,ROUND('Quant. mod. (oc)'!E480,0))</f>
        <v>2</v>
      </c>
      <c r="F480" s="125">
        <f>IF('Quant. mod. (oc)'!F480&lt;0,0,ROUND('Quant. mod. (oc)'!F480,0))</f>
        <v>2</v>
      </c>
      <c r="G480" s="125">
        <f>IF('Quant. mod. (oc)'!G480&lt;0,0,ROUND('Quant. mod. (oc)'!G480,0))</f>
        <v>2</v>
      </c>
      <c r="H480" s="125">
        <f>IF('Quant. mod. (oc)'!H480&lt;0,0,ROUND('Quant. mod. (oc)'!H480,0))</f>
        <v>2</v>
      </c>
      <c r="I480" s="125">
        <f>IF('Quant. mod. (oc)'!I480&lt;0,0,ROUND('Quant. mod. (oc)'!I480,0))</f>
        <v>2</v>
      </c>
      <c r="J480" s="125">
        <f>IF('Quant. mod. (oc)'!J480&lt;0,0,ROUND('Quant. mod. (oc)'!J480,0))</f>
        <v>2</v>
      </c>
      <c r="K480" s="125">
        <f>IF('Quant. mod. (oc)'!K480&lt;0,0,ROUND('Quant. mod. (oc)'!K480,0))</f>
        <v>2</v>
      </c>
      <c r="L480" s="125">
        <f>IF('Quant. mod. (oc)'!L480&lt;0,0,ROUND('Quant. mod. (oc)'!L480,0))</f>
        <v>2</v>
      </c>
      <c r="M480" s="125">
        <f>IF('Quant. mod. (oc)'!M480&lt;0,0,ROUND('Quant. mod. (oc)'!M480,0))</f>
        <v>2</v>
      </c>
      <c r="N480" s="125">
        <f>IF('Quant. mod. (oc)'!N480&lt;0,0,ROUND('Quant. mod. (oc)'!N480,0))</f>
        <v>2</v>
      </c>
      <c r="O480" s="125">
        <f>IF('Quant. mod. (oc)'!O480&lt;0,0,ROUND('Quant. mod. (oc)'!O480,0))</f>
        <v>2</v>
      </c>
      <c r="P480" s="125">
        <f>IF('Quant. mod. (oc)'!P480&lt;0,0,ROUND('Quant. mod. (oc)'!P480,0))</f>
        <v>2</v>
      </c>
      <c r="Q480" s="125">
        <f>IF('Quant. mod. (oc)'!Q480&lt;0,0,ROUND('Quant. mod. (oc)'!Q480,0))</f>
        <v>2</v>
      </c>
      <c r="R480" s="125">
        <f>IF('Quant. mod. (oc)'!R480&lt;0,0,ROUND('Quant. mod. (oc)'!R480,0))</f>
        <v>2</v>
      </c>
      <c r="S480" s="125">
        <f>IF('Quant. mod. (oc)'!S480&lt;0,0,ROUND('Quant. mod. (oc)'!S480,0))</f>
        <v>2</v>
      </c>
      <c r="T480" s="125">
        <f>IF('Quant. mod. (oc)'!T480&lt;0,0,ROUND('Quant. mod. (oc)'!T480,0))</f>
        <v>2</v>
      </c>
      <c r="U480" s="125">
        <f>IF('Quant. mod. (oc)'!U480&lt;0,0,ROUND('Quant. mod. (oc)'!U480,0))</f>
        <v>2</v>
      </c>
      <c r="V480" s="125">
        <f>IF('Quant. mod. (oc)'!V480&lt;0,0,ROUND('Quant. mod. (oc)'!V480,0))</f>
        <v>2</v>
      </c>
      <c r="W480" s="125">
        <f>IF('Quant. mod. (oc)'!W480&lt;0,0,ROUND('Quant. mod. (oc)'!W480,0))</f>
        <v>2</v>
      </c>
      <c r="X480" s="125">
        <f>IF('Quant. mod. (oc)'!X480&lt;0,0,ROUND('Quant. mod. (oc)'!X480,0))</f>
        <v>2</v>
      </c>
      <c r="Y480" s="125">
        <f>IF('Quant. mod. (oc)'!Y480&lt;0,0,ROUND('Quant. mod. (oc)'!Y480,0))</f>
        <v>2</v>
      </c>
      <c r="Z480" s="125">
        <f>IF('Quant. mod. (oc)'!Z480&lt;0,0,ROUND('Quant. mod. (oc)'!Z480,0))</f>
        <v>2</v>
      </c>
      <c r="AA480" s="125">
        <f>IF('Quant. mod. (oc)'!AA480&lt;0,0,ROUND('Quant. mod. (oc)'!AA480,0))</f>
        <v>2</v>
      </c>
      <c r="AB480" s="125">
        <f>IF('Quant. mod. (oc)'!AB480&lt;0,0,ROUND('Quant. mod. (oc)'!AB480,0))</f>
        <v>2</v>
      </c>
      <c r="AC480" s="125">
        <f>IF('Quant. mod. (oc)'!AC480&lt;0,0,ROUND('Quant. mod. (oc)'!AC480,0))</f>
        <v>2</v>
      </c>
      <c r="AD480" s="125">
        <f>IF('Quant. mod. (oc)'!AD480&lt;0,0,ROUND('Quant. mod. (oc)'!AD480,0))</f>
        <v>2</v>
      </c>
      <c r="AE480" s="125">
        <f>IF('Quant. mod. (oc)'!AE480&lt;0,0,ROUND('Quant. mod. (oc)'!AE480,0))</f>
        <v>2</v>
      </c>
      <c r="AF480" s="125">
        <f>IF('Quant. mod. (oc)'!AF480&lt;0,0,ROUND('Quant. mod. (oc)'!AF480,0))</f>
        <v>2</v>
      </c>
      <c r="AG480" s="126">
        <f>IF('Quant. mod. (oc)'!AG480&lt;0,0,ROUND('Quant. mod. (oc)'!AG480,0))</f>
        <v>2</v>
      </c>
      <c r="AH480" s="22"/>
    </row>
    <row r="481" spans="1:34" x14ac:dyDescent="0.25">
      <c r="A481" s="112"/>
      <c r="B481" s="136" t="s">
        <v>103</v>
      </c>
      <c r="C481" s="67" t="s">
        <v>59</v>
      </c>
      <c r="D481" s="125">
        <f>IF('Quant. mod. (oc)'!D481&lt;0,0,ROUND('Quant. mod. (oc)'!D481,0))</f>
        <v>2</v>
      </c>
      <c r="E481" s="125">
        <f>IF('Quant. mod. (oc)'!E481&lt;0,0,ROUND('Quant. mod. (oc)'!E481,0))</f>
        <v>2</v>
      </c>
      <c r="F481" s="125">
        <f>IF('Quant. mod. (oc)'!F481&lt;0,0,ROUND('Quant. mod. (oc)'!F481,0))</f>
        <v>2</v>
      </c>
      <c r="G481" s="125">
        <f>IF('Quant. mod. (oc)'!G481&lt;0,0,ROUND('Quant. mod. (oc)'!G481,0))</f>
        <v>2</v>
      </c>
      <c r="H481" s="125">
        <f>IF('Quant. mod. (oc)'!H481&lt;0,0,ROUND('Quant. mod. (oc)'!H481,0))</f>
        <v>2</v>
      </c>
      <c r="I481" s="125">
        <f>IF('Quant. mod. (oc)'!I481&lt;0,0,ROUND('Quant. mod. (oc)'!I481,0))</f>
        <v>2</v>
      </c>
      <c r="J481" s="125">
        <f>IF('Quant. mod. (oc)'!J481&lt;0,0,ROUND('Quant. mod. (oc)'!J481,0))</f>
        <v>2</v>
      </c>
      <c r="K481" s="125">
        <f>IF('Quant. mod. (oc)'!K481&lt;0,0,ROUND('Quant. mod. (oc)'!K481,0))</f>
        <v>2</v>
      </c>
      <c r="L481" s="125">
        <f>IF('Quant. mod. (oc)'!L481&lt;0,0,ROUND('Quant. mod. (oc)'!L481,0))</f>
        <v>2</v>
      </c>
      <c r="M481" s="125">
        <f>IF('Quant. mod. (oc)'!M481&lt;0,0,ROUND('Quant. mod. (oc)'!M481,0))</f>
        <v>2</v>
      </c>
      <c r="N481" s="125">
        <f>IF('Quant. mod. (oc)'!N481&lt;0,0,ROUND('Quant. mod. (oc)'!N481,0))</f>
        <v>2</v>
      </c>
      <c r="O481" s="125">
        <f>IF('Quant. mod. (oc)'!O481&lt;0,0,ROUND('Quant. mod. (oc)'!O481,0))</f>
        <v>2</v>
      </c>
      <c r="P481" s="125">
        <f>IF('Quant. mod. (oc)'!P481&lt;0,0,ROUND('Quant. mod. (oc)'!P481,0))</f>
        <v>2</v>
      </c>
      <c r="Q481" s="125">
        <f>IF('Quant. mod. (oc)'!Q481&lt;0,0,ROUND('Quant. mod. (oc)'!Q481,0))</f>
        <v>2</v>
      </c>
      <c r="R481" s="125">
        <f>IF('Quant. mod. (oc)'!R481&lt;0,0,ROUND('Quant. mod. (oc)'!R481,0))</f>
        <v>2</v>
      </c>
      <c r="S481" s="125">
        <f>IF('Quant. mod. (oc)'!S481&lt;0,0,ROUND('Quant. mod. (oc)'!S481,0))</f>
        <v>2</v>
      </c>
      <c r="T481" s="125">
        <f>IF('Quant. mod. (oc)'!T481&lt;0,0,ROUND('Quant. mod. (oc)'!T481,0))</f>
        <v>2</v>
      </c>
      <c r="U481" s="125">
        <f>IF('Quant. mod. (oc)'!U481&lt;0,0,ROUND('Quant. mod. (oc)'!U481,0))</f>
        <v>2</v>
      </c>
      <c r="V481" s="125">
        <f>IF('Quant. mod. (oc)'!V481&lt;0,0,ROUND('Quant. mod. (oc)'!V481,0))</f>
        <v>2</v>
      </c>
      <c r="W481" s="125">
        <f>IF('Quant. mod. (oc)'!W481&lt;0,0,ROUND('Quant. mod. (oc)'!W481,0))</f>
        <v>2</v>
      </c>
      <c r="X481" s="125">
        <f>IF('Quant. mod. (oc)'!X481&lt;0,0,ROUND('Quant. mod. (oc)'!X481,0))</f>
        <v>2</v>
      </c>
      <c r="Y481" s="125">
        <f>IF('Quant. mod. (oc)'!Y481&lt;0,0,ROUND('Quant. mod. (oc)'!Y481,0))</f>
        <v>2</v>
      </c>
      <c r="Z481" s="125">
        <f>IF('Quant. mod. (oc)'!Z481&lt;0,0,ROUND('Quant. mod. (oc)'!Z481,0))</f>
        <v>2</v>
      </c>
      <c r="AA481" s="125">
        <f>IF('Quant. mod. (oc)'!AA481&lt;0,0,ROUND('Quant. mod. (oc)'!AA481,0))</f>
        <v>2</v>
      </c>
      <c r="AB481" s="125">
        <f>IF('Quant. mod. (oc)'!AB481&lt;0,0,ROUND('Quant. mod. (oc)'!AB481,0))</f>
        <v>2</v>
      </c>
      <c r="AC481" s="125">
        <f>IF('Quant. mod. (oc)'!AC481&lt;0,0,ROUND('Quant. mod. (oc)'!AC481,0))</f>
        <v>2</v>
      </c>
      <c r="AD481" s="125">
        <f>IF('Quant. mod. (oc)'!AD481&lt;0,0,ROUND('Quant. mod. (oc)'!AD481,0))</f>
        <v>2</v>
      </c>
      <c r="AE481" s="125">
        <f>IF('Quant. mod. (oc)'!AE481&lt;0,0,ROUND('Quant. mod. (oc)'!AE481,0))</f>
        <v>2</v>
      </c>
      <c r="AF481" s="125">
        <f>IF('Quant. mod. (oc)'!AF481&lt;0,0,ROUND('Quant. mod. (oc)'!AF481,0))</f>
        <v>2</v>
      </c>
      <c r="AG481" s="126">
        <f>IF('Quant. mod. (oc)'!AG481&lt;0,0,ROUND('Quant. mod. (oc)'!AG481,0))</f>
        <v>2</v>
      </c>
      <c r="AH481" s="22"/>
    </row>
    <row r="482" spans="1:34" x14ac:dyDescent="0.25">
      <c r="A482" s="112"/>
      <c r="B482" s="136" t="s">
        <v>104</v>
      </c>
      <c r="C482" s="67" t="s">
        <v>59</v>
      </c>
      <c r="D482" s="125">
        <f>IF('Quant. mod. (oc)'!D482&lt;0,0,ROUND('Quant. mod. (oc)'!D482,0))</f>
        <v>2</v>
      </c>
      <c r="E482" s="125">
        <f>IF('Quant. mod. (oc)'!E482&lt;0,0,ROUND('Quant. mod. (oc)'!E482,0))</f>
        <v>2</v>
      </c>
      <c r="F482" s="125">
        <f>IF('Quant. mod. (oc)'!F482&lt;0,0,ROUND('Quant. mod. (oc)'!F482,0))</f>
        <v>2</v>
      </c>
      <c r="G482" s="125">
        <f>IF('Quant. mod. (oc)'!G482&lt;0,0,ROUND('Quant. mod. (oc)'!G482,0))</f>
        <v>2</v>
      </c>
      <c r="H482" s="125">
        <f>IF('Quant. mod. (oc)'!H482&lt;0,0,ROUND('Quant. mod. (oc)'!H482,0))</f>
        <v>2</v>
      </c>
      <c r="I482" s="125">
        <f>IF('Quant. mod. (oc)'!I482&lt;0,0,ROUND('Quant. mod. (oc)'!I482,0))</f>
        <v>2</v>
      </c>
      <c r="J482" s="125">
        <f>IF('Quant. mod. (oc)'!J482&lt;0,0,ROUND('Quant. mod. (oc)'!J482,0))</f>
        <v>2</v>
      </c>
      <c r="K482" s="125">
        <f>IF('Quant. mod. (oc)'!K482&lt;0,0,ROUND('Quant. mod. (oc)'!K482,0))</f>
        <v>2</v>
      </c>
      <c r="L482" s="125">
        <f>IF('Quant. mod. (oc)'!L482&lt;0,0,ROUND('Quant. mod. (oc)'!L482,0))</f>
        <v>2</v>
      </c>
      <c r="M482" s="125">
        <f>IF('Quant. mod. (oc)'!M482&lt;0,0,ROUND('Quant. mod. (oc)'!M482,0))</f>
        <v>2</v>
      </c>
      <c r="N482" s="125">
        <f>IF('Quant. mod. (oc)'!N482&lt;0,0,ROUND('Quant. mod. (oc)'!N482,0))</f>
        <v>2</v>
      </c>
      <c r="O482" s="125">
        <f>IF('Quant. mod. (oc)'!O482&lt;0,0,ROUND('Quant. mod. (oc)'!O482,0))</f>
        <v>2</v>
      </c>
      <c r="P482" s="125">
        <f>IF('Quant. mod. (oc)'!P482&lt;0,0,ROUND('Quant. mod. (oc)'!P482,0))</f>
        <v>2</v>
      </c>
      <c r="Q482" s="125">
        <f>IF('Quant. mod. (oc)'!Q482&lt;0,0,ROUND('Quant. mod. (oc)'!Q482,0))</f>
        <v>2</v>
      </c>
      <c r="R482" s="125">
        <f>IF('Quant. mod. (oc)'!R482&lt;0,0,ROUND('Quant. mod. (oc)'!R482,0))</f>
        <v>2</v>
      </c>
      <c r="S482" s="125">
        <f>IF('Quant. mod. (oc)'!S482&lt;0,0,ROUND('Quant. mod. (oc)'!S482,0))</f>
        <v>2</v>
      </c>
      <c r="T482" s="125">
        <f>IF('Quant. mod. (oc)'!T482&lt;0,0,ROUND('Quant. mod. (oc)'!T482,0))</f>
        <v>2</v>
      </c>
      <c r="U482" s="125">
        <f>IF('Quant. mod. (oc)'!U482&lt;0,0,ROUND('Quant. mod. (oc)'!U482,0))</f>
        <v>2</v>
      </c>
      <c r="V482" s="125">
        <f>IF('Quant. mod. (oc)'!V482&lt;0,0,ROUND('Quant. mod. (oc)'!V482,0))</f>
        <v>2</v>
      </c>
      <c r="W482" s="125">
        <f>IF('Quant. mod. (oc)'!W482&lt;0,0,ROUND('Quant. mod. (oc)'!W482,0))</f>
        <v>2</v>
      </c>
      <c r="X482" s="125">
        <f>IF('Quant. mod. (oc)'!X482&lt;0,0,ROUND('Quant. mod. (oc)'!X482,0))</f>
        <v>2</v>
      </c>
      <c r="Y482" s="125">
        <f>IF('Quant. mod. (oc)'!Y482&lt;0,0,ROUND('Quant. mod. (oc)'!Y482,0))</f>
        <v>2</v>
      </c>
      <c r="Z482" s="125">
        <f>IF('Quant. mod. (oc)'!Z482&lt;0,0,ROUND('Quant. mod. (oc)'!Z482,0))</f>
        <v>2</v>
      </c>
      <c r="AA482" s="125">
        <f>IF('Quant. mod. (oc)'!AA482&lt;0,0,ROUND('Quant. mod. (oc)'!AA482,0))</f>
        <v>2</v>
      </c>
      <c r="AB482" s="125">
        <f>IF('Quant. mod. (oc)'!AB482&lt;0,0,ROUND('Quant. mod. (oc)'!AB482,0))</f>
        <v>2</v>
      </c>
      <c r="AC482" s="125">
        <f>IF('Quant. mod. (oc)'!AC482&lt;0,0,ROUND('Quant. mod. (oc)'!AC482,0))</f>
        <v>2</v>
      </c>
      <c r="AD482" s="125">
        <f>IF('Quant. mod. (oc)'!AD482&lt;0,0,ROUND('Quant. mod. (oc)'!AD482,0))</f>
        <v>2</v>
      </c>
      <c r="AE482" s="125">
        <f>IF('Quant. mod. (oc)'!AE482&lt;0,0,ROUND('Quant. mod. (oc)'!AE482,0))</f>
        <v>2</v>
      </c>
      <c r="AF482" s="125">
        <f>IF('Quant. mod. (oc)'!AF482&lt;0,0,ROUND('Quant. mod. (oc)'!AF482,0))</f>
        <v>2</v>
      </c>
      <c r="AG482" s="126">
        <f>IF('Quant. mod. (oc)'!AG482&lt;0,0,ROUND('Quant. mod. (oc)'!AG482,0))</f>
        <v>2</v>
      </c>
      <c r="AH482" s="22"/>
    </row>
    <row r="483" spans="1:34" x14ac:dyDescent="0.25">
      <c r="A483" s="112"/>
      <c r="B483" s="136" t="s">
        <v>105</v>
      </c>
      <c r="C483" s="67" t="s">
        <v>59</v>
      </c>
      <c r="D483" s="125">
        <f>IF('Quant. mod. (oc)'!D483&lt;0,0,ROUND('Quant. mod. (oc)'!D483,0))</f>
        <v>2</v>
      </c>
      <c r="E483" s="125">
        <f>IF('Quant. mod. (oc)'!E483&lt;0,0,ROUND('Quant. mod. (oc)'!E483,0))</f>
        <v>2</v>
      </c>
      <c r="F483" s="125">
        <f>IF('Quant. mod. (oc)'!F483&lt;0,0,ROUND('Quant. mod. (oc)'!F483,0))</f>
        <v>2</v>
      </c>
      <c r="G483" s="125">
        <f>IF('Quant. mod. (oc)'!G483&lt;0,0,ROUND('Quant. mod. (oc)'!G483,0))</f>
        <v>2</v>
      </c>
      <c r="H483" s="125">
        <f>IF('Quant. mod. (oc)'!H483&lt;0,0,ROUND('Quant. mod. (oc)'!H483,0))</f>
        <v>2</v>
      </c>
      <c r="I483" s="125">
        <f>IF('Quant. mod. (oc)'!I483&lt;0,0,ROUND('Quant. mod. (oc)'!I483,0))</f>
        <v>2</v>
      </c>
      <c r="J483" s="125">
        <f>IF('Quant. mod. (oc)'!J483&lt;0,0,ROUND('Quant. mod. (oc)'!J483,0))</f>
        <v>2</v>
      </c>
      <c r="K483" s="125">
        <f>IF('Quant. mod. (oc)'!K483&lt;0,0,ROUND('Quant. mod. (oc)'!K483,0))</f>
        <v>2</v>
      </c>
      <c r="L483" s="125">
        <f>IF('Quant. mod. (oc)'!L483&lt;0,0,ROUND('Quant. mod. (oc)'!L483,0))</f>
        <v>2</v>
      </c>
      <c r="M483" s="125">
        <f>IF('Quant. mod. (oc)'!M483&lt;0,0,ROUND('Quant. mod. (oc)'!M483,0))</f>
        <v>2</v>
      </c>
      <c r="N483" s="125">
        <f>IF('Quant. mod. (oc)'!N483&lt;0,0,ROUND('Quant. mod. (oc)'!N483,0))</f>
        <v>2</v>
      </c>
      <c r="O483" s="125">
        <f>IF('Quant. mod. (oc)'!O483&lt;0,0,ROUND('Quant. mod. (oc)'!O483,0))</f>
        <v>2</v>
      </c>
      <c r="P483" s="125">
        <f>IF('Quant. mod. (oc)'!P483&lt;0,0,ROUND('Quant. mod. (oc)'!P483,0))</f>
        <v>2</v>
      </c>
      <c r="Q483" s="125">
        <f>IF('Quant. mod. (oc)'!Q483&lt;0,0,ROUND('Quant. mod. (oc)'!Q483,0))</f>
        <v>2</v>
      </c>
      <c r="R483" s="125">
        <f>IF('Quant. mod. (oc)'!R483&lt;0,0,ROUND('Quant. mod. (oc)'!R483,0))</f>
        <v>2</v>
      </c>
      <c r="S483" s="125">
        <f>IF('Quant. mod. (oc)'!S483&lt;0,0,ROUND('Quant. mod. (oc)'!S483,0))</f>
        <v>2</v>
      </c>
      <c r="T483" s="125">
        <f>IF('Quant. mod. (oc)'!T483&lt;0,0,ROUND('Quant. mod. (oc)'!T483,0))</f>
        <v>2</v>
      </c>
      <c r="U483" s="125">
        <f>IF('Quant. mod. (oc)'!U483&lt;0,0,ROUND('Quant. mod. (oc)'!U483,0))</f>
        <v>2</v>
      </c>
      <c r="V483" s="125">
        <f>IF('Quant. mod. (oc)'!V483&lt;0,0,ROUND('Quant. mod. (oc)'!V483,0))</f>
        <v>2</v>
      </c>
      <c r="W483" s="125">
        <f>IF('Quant. mod. (oc)'!W483&lt;0,0,ROUND('Quant. mod. (oc)'!W483,0))</f>
        <v>2</v>
      </c>
      <c r="X483" s="125">
        <f>IF('Quant. mod. (oc)'!X483&lt;0,0,ROUND('Quant. mod. (oc)'!X483,0))</f>
        <v>2</v>
      </c>
      <c r="Y483" s="125">
        <f>IF('Quant. mod. (oc)'!Y483&lt;0,0,ROUND('Quant. mod. (oc)'!Y483,0))</f>
        <v>2</v>
      </c>
      <c r="Z483" s="125">
        <f>IF('Quant. mod. (oc)'!Z483&lt;0,0,ROUND('Quant. mod. (oc)'!Z483,0))</f>
        <v>2</v>
      </c>
      <c r="AA483" s="125">
        <f>IF('Quant. mod. (oc)'!AA483&lt;0,0,ROUND('Quant. mod. (oc)'!AA483,0))</f>
        <v>2</v>
      </c>
      <c r="AB483" s="125">
        <f>IF('Quant. mod. (oc)'!AB483&lt;0,0,ROUND('Quant. mod. (oc)'!AB483,0))</f>
        <v>2</v>
      </c>
      <c r="AC483" s="125">
        <f>IF('Quant. mod. (oc)'!AC483&lt;0,0,ROUND('Quant. mod. (oc)'!AC483,0))</f>
        <v>2</v>
      </c>
      <c r="AD483" s="125">
        <f>IF('Quant. mod. (oc)'!AD483&lt;0,0,ROUND('Quant. mod. (oc)'!AD483,0))</f>
        <v>2</v>
      </c>
      <c r="AE483" s="125">
        <f>IF('Quant. mod. (oc)'!AE483&lt;0,0,ROUND('Quant. mod. (oc)'!AE483,0))</f>
        <v>2</v>
      </c>
      <c r="AF483" s="125">
        <f>IF('Quant. mod. (oc)'!AF483&lt;0,0,ROUND('Quant. mod. (oc)'!AF483,0))</f>
        <v>2</v>
      </c>
      <c r="AG483" s="126">
        <f>IF('Quant. mod. (oc)'!AG483&lt;0,0,ROUND('Quant. mod. (oc)'!AG483,0))</f>
        <v>2</v>
      </c>
      <c r="AH483" s="22"/>
    </row>
    <row r="484" spans="1:34" x14ac:dyDescent="0.25">
      <c r="A484" s="112"/>
      <c r="B484" s="136" t="s">
        <v>106</v>
      </c>
      <c r="C484" s="67" t="s">
        <v>59</v>
      </c>
      <c r="D484" s="125">
        <f>IF('Quant. mod. (oc)'!D484&lt;0,0,ROUND('Quant. mod. (oc)'!D484,0))</f>
        <v>2</v>
      </c>
      <c r="E484" s="125">
        <f>IF('Quant. mod. (oc)'!E484&lt;0,0,ROUND('Quant. mod. (oc)'!E484,0))</f>
        <v>2</v>
      </c>
      <c r="F484" s="125">
        <f>IF('Quant. mod. (oc)'!F484&lt;0,0,ROUND('Quant. mod. (oc)'!F484,0))</f>
        <v>2</v>
      </c>
      <c r="G484" s="125">
        <f>IF('Quant. mod. (oc)'!G484&lt;0,0,ROUND('Quant. mod. (oc)'!G484,0))</f>
        <v>2</v>
      </c>
      <c r="H484" s="125">
        <f>IF('Quant. mod. (oc)'!H484&lt;0,0,ROUND('Quant. mod. (oc)'!H484,0))</f>
        <v>2</v>
      </c>
      <c r="I484" s="125">
        <f>IF('Quant. mod. (oc)'!I484&lt;0,0,ROUND('Quant. mod. (oc)'!I484,0))</f>
        <v>2</v>
      </c>
      <c r="J484" s="125">
        <f>IF('Quant. mod. (oc)'!J484&lt;0,0,ROUND('Quant. mod. (oc)'!J484,0))</f>
        <v>2</v>
      </c>
      <c r="K484" s="125">
        <f>IF('Quant. mod. (oc)'!K484&lt;0,0,ROUND('Quant. mod. (oc)'!K484,0))</f>
        <v>2</v>
      </c>
      <c r="L484" s="125">
        <f>IF('Quant. mod. (oc)'!L484&lt;0,0,ROUND('Quant. mod. (oc)'!L484,0))</f>
        <v>2</v>
      </c>
      <c r="M484" s="125">
        <f>IF('Quant. mod. (oc)'!M484&lt;0,0,ROUND('Quant. mod. (oc)'!M484,0))</f>
        <v>2</v>
      </c>
      <c r="N484" s="125">
        <f>IF('Quant. mod. (oc)'!N484&lt;0,0,ROUND('Quant. mod. (oc)'!N484,0))</f>
        <v>2</v>
      </c>
      <c r="O484" s="125">
        <f>IF('Quant. mod. (oc)'!O484&lt;0,0,ROUND('Quant. mod. (oc)'!O484,0))</f>
        <v>2</v>
      </c>
      <c r="P484" s="125">
        <f>IF('Quant. mod. (oc)'!P484&lt;0,0,ROUND('Quant. mod. (oc)'!P484,0))</f>
        <v>2</v>
      </c>
      <c r="Q484" s="125">
        <f>IF('Quant. mod. (oc)'!Q484&lt;0,0,ROUND('Quant. mod. (oc)'!Q484,0))</f>
        <v>2</v>
      </c>
      <c r="R484" s="125">
        <f>IF('Quant. mod. (oc)'!R484&lt;0,0,ROUND('Quant. mod. (oc)'!R484,0))</f>
        <v>2</v>
      </c>
      <c r="S484" s="125">
        <f>IF('Quant. mod. (oc)'!S484&lt;0,0,ROUND('Quant. mod. (oc)'!S484,0))</f>
        <v>2</v>
      </c>
      <c r="T484" s="125">
        <f>IF('Quant. mod. (oc)'!T484&lt;0,0,ROUND('Quant. mod. (oc)'!T484,0))</f>
        <v>2</v>
      </c>
      <c r="U484" s="125">
        <f>IF('Quant. mod. (oc)'!U484&lt;0,0,ROUND('Quant. mod. (oc)'!U484,0))</f>
        <v>2</v>
      </c>
      <c r="V484" s="125">
        <f>IF('Quant. mod. (oc)'!V484&lt;0,0,ROUND('Quant. mod. (oc)'!V484,0))</f>
        <v>2</v>
      </c>
      <c r="W484" s="125">
        <f>IF('Quant. mod. (oc)'!W484&lt;0,0,ROUND('Quant. mod. (oc)'!W484,0))</f>
        <v>2</v>
      </c>
      <c r="X484" s="125">
        <f>IF('Quant. mod. (oc)'!X484&lt;0,0,ROUND('Quant. mod. (oc)'!X484,0))</f>
        <v>2</v>
      </c>
      <c r="Y484" s="125">
        <f>IF('Quant. mod. (oc)'!Y484&lt;0,0,ROUND('Quant. mod. (oc)'!Y484,0))</f>
        <v>2</v>
      </c>
      <c r="Z484" s="125">
        <f>IF('Quant. mod. (oc)'!Z484&lt;0,0,ROUND('Quant. mod. (oc)'!Z484,0))</f>
        <v>2</v>
      </c>
      <c r="AA484" s="125">
        <f>IF('Quant. mod. (oc)'!AA484&lt;0,0,ROUND('Quant. mod. (oc)'!AA484,0))</f>
        <v>2</v>
      </c>
      <c r="AB484" s="125">
        <f>IF('Quant. mod. (oc)'!AB484&lt;0,0,ROUND('Quant. mod. (oc)'!AB484,0))</f>
        <v>2</v>
      </c>
      <c r="AC484" s="125">
        <f>IF('Quant. mod. (oc)'!AC484&lt;0,0,ROUND('Quant. mod. (oc)'!AC484,0))</f>
        <v>2</v>
      </c>
      <c r="AD484" s="125">
        <f>IF('Quant. mod. (oc)'!AD484&lt;0,0,ROUND('Quant. mod. (oc)'!AD484,0))</f>
        <v>2</v>
      </c>
      <c r="AE484" s="125">
        <f>IF('Quant. mod. (oc)'!AE484&lt;0,0,ROUND('Quant. mod. (oc)'!AE484,0))</f>
        <v>2</v>
      </c>
      <c r="AF484" s="125">
        <f>IF('Quant. mod. (oc)'!AF484&lt;0,0,ROUND('Quant. mod. (oc)'!AF484,0))</f>
        <v>2</v>
      </c>
      <c r="AG484" s="126">
        <f>IF('Quant. mod. (oc)'!AG484&lt;0,0,ROUND('Quant. mod. (oc)'!AG484,0))</f>
        <v>2</v>
      </c>
      <c r="AH484" s="22"/>
    </row>
    <row r="485" spans="1:34" x14ac:dyDescent="0.25">
      <c r="A485" s="112"/>
      <c r="B485" s="136" t="s">
        <v>107</v>
      </c>
      <c r="C485" s="67" t="s">
        <v>59</v>
      </c>
      <c r="D485" s="125">
        <f>IF('Quant. mod. (oc)'!D485&lt;0,0,ROUND('Quant. mod. (oc)'!D485,0))</f>
        <v>2</v>
      </c>
      <c r="E485" s="125">
        <f>IF('Quant. mod. (oc)'!E485&lt;0,0,ROUND('Quant. mod. (oc)'!E485,0))</f>
        <v>2</v>
      </c>
      <c r="F485" s="125">
        <f>IF('Quant. mod. (oc)'!F485&lt;0,0,ROUND('Quant. mod. (oc)'!F485,0))</f>
        <v>2</v>
      </c>
      <c r="G485" s="125">
        <f>IF('Quant. mod. (oc)'!G485&lt;0,0,ROUND('Quant. mod. (oc)'!G485,0))</f>
        <v>2</v>
      </c>
      <c r="H485" s="125">
        <f>IF('Quant. mod. (oc)'!H485&lt;0,0,ROUND('Quant. mod. (oc)'!H485,0))</f>
        <v>2</v>
      </c>
      <c r="I485" s="125">
        <f>IF('Quant. mod. (oc)'!I485&lt;0,0,ROUND('Quant. mod. (oc)'!I485,0))</f>
        <v>2</v>
      </c>
      <c r="J485" s="125">
        <f>IF('Quant. mod. (oc)'!J485&lt;0,0,ROUND('Quant. mod. (oc)'!J485,0))</f>
        <v>2</v>
      </c>
      <c r="K485" s="125">
        <f>IF('Quant. mod. (oc)'!K485&lt;0,0,ROUND('Quant. mod. (oc)'!K485,0))</f>
        <v>2</v>
      </c>
      <c r="L485" s="125">
        <f>IF('Quant. mod. (oc)'!L485&lt;0,0,ROUND('Quant. mod. (oc)'!L485,0))</f>
        <v>2</v>
      </c>
      <c r="M485" s="125">
        <f>IF('Quant. mod. (oc)'!M485&lt;0,0,ROUND('Quant. mod. (oc)'!M485,0))</f>
        <v>2</v>
      </c>
      <c r="N485" s="125">
        <f>IF('Quant. mod. (oc)'!N485&lt;0,0,ROUND('Quant. mod. (oc)'!N485,0))</f>
        <v>2</v>
      </c>
      <c r="O485" s="125">
        <f>IF('Quant. mod. (oc)'!O485&lt;0,0,ROUND('Quant. mod. (oc)'!O485,0))</f>
        <v>2</v>
      </c>
      <c r="P485" s="125">
        <f>IF('Quant. mod. (oc)'!P485&lt;0,0,ROUND('Quant. mod. (oc)'!P485,0))</f>
        <v>2</v>
      </c>
      <c r="Q485" s="125">
        <f>IF('Quant. mod. (oc)'!Q485&lt;0,0,ROUND('Quant. mod. (oc)'!Q485,0))</f>
        <v>2</v>
      </c>
      <c r="R485" s="125">
        <f>IF('Quant. mod. (oc)'!R485&lt;0,0,ROUND('Quant. mod. (oc)'!R485,0))</f>
        <v>2</v>
      </c>
      <c r="S485" s="125">
        <f>IF('Quant. mod. (oc)'!S485&lt;0,0,ROUND('Quant. mod. (oc)'!S485,0))</f>
        <v>2</v>
      </c>
      <c r="T485" s="125">
        <f>IF('Quant. mod. (oc)'!T485&lt;0,0,ROUND('Quant. mod. (oc)'!T485,0))</f>
        <v>2</v>
      </c>
      <c r="U485" s="125">
        <f>IF('Quant. mod. (oc)'!U485&lt;0,0,ROUND('Quant. mod. (oc)'!U485,0))</f>
        <v>2</v>
      </c>
      <c r="V485" s="125">
        <f>IF('Quant. mod. (oc)'!V485&lt;0,0,ROUND('Quant. mod. (oc)'!V485,0))</f>
        <v>2</v>
      </c>
      <c r="W485" s="125">
        <f>IF('Quant. mod. (oc)'!W485&lt;0,0,ROUND('Quant. mod. (oc)'!W485,0))</f>
        <v>2</v>
      </c>
      <c r="X485" s="125">
        <f>IF('Quant. mod. (oc)'!X485&lt;0,0,ROUND('Quant. mod. (oc)'!X485,0))</f>
        <v>2</v>
      </c>
      <c r="Y485" s="125">
        <f>IF('Quant. mod. (oc)'!Y485&lt;0,0,ROUND('Quant. mod. (oc)'!Y485,0))</f>
        <v>2</v>
      </c>
      <c r="Z485" s="125">
        <f>IF('Quant. mod. (oc)'!Z485&lt;0,0,ROUND('Quant. mod. (oc)'!Z485,0))</f>
        <v>2</v>
      </c>
      <c r="AA485" s="125">
        <f>IF('Quant. mod. (oc)'!AA485&lt;0,0,ROUND('Quant. mod. (oc)'!AA485,0))</f>
        <v>2</v>
      </c>
      <c r="AB485" s="125">
        <f>IF('Quant. mod. (oc)'!AB485&lt;0,0,ROUND('Quant. mod. (oc)'!AB485,0))</f>
        <v>2</v>
      </c>
      <c r="AC485" s="125">
        <f>IF('Quant. mod. (oc)'!AC485&lt;0,0,ROUND('Quant. mod. (oc)'!AC485,0))</f>
        <v>2</v>
      </c>
      <c r="AD485" s="125">
        <f>IF('Quant. mod. (oc)'!AD485&lt;0,0,ROUND('Quant. mod. (oc)'!AD485,0))</f>
        <v>2</v>
      </c>
      <c r="AE485" s="125">
        <f>IF('Quant. mod. (oc)'!AE485&lt;0,0,ROUND('Quant. mod. (oc)'!AE485,0))</f>
        <v>2</v>
      </c>
      <c r="AF485" s="125">
        <f>IF('Quant. mod. (oc)'!AF485&lt;0,0,ROUND('Quant. mod. (oc)'!AF485,0))</f>
        <v>2</v>
      </c>
      <c r="AG485" s="126">
        <f>IF('Quant. mod. (oc)'!AG485&lt;0,0,ROUND('Quant. mod. (oc)'!AG485,0))</f>
        <v>2</v>
      </c>
      <c r="AH485" s="22"/>
    </row>
    <row r="486" spans="1:34" x14ac:dyDescent="0.25">
      <c r="A486" s="112"/>
      <c r="B486" s="136" t="s">
        <v>108</v>
      </c>
      <c r="C486" s="67" t="s">
        <v>59</v>
      </c>
      <c r="D486" s="125">
        <f>IF('Quant. mod. (oc)'!D486&lt;0,0,ROUND('Quant. mod. (oc)'!D486,0))</f>
        <v>2</v>
      </c>
      <c r="E486" s="125">
        <f>IF('Quant. mod. (oc)'!E486&lt;0,0,ROUND('Quant. mod. (oc)'!E486,0))</f>
        <v>2</v>
      </c>
      <c r="F486" s="125">
        <f>IF('Quant. mod. (oc)'!F486&lt;0,0,ROUND('Quant. mod. (oc)'!F486,0))</f>
        <v>2</v>
      </c>
      <c r="G486" s="125">
        <f>IF('Quant. mod. (oc)'!G486&lt;0,0,ROUND('Quant. mod. (oc)'!G486,0))</f>
        <v>2</v>
      </c>
      <c r="H486" s="125">
        <f>IF('Quant. mod. (oc)'!H486&lt;0,0,ROUND('Quant. mod. (oc)'!H486,0))</f>
        <v>2</v>
      </c>
      <c r="I486" s="125">
        <f>IF('Quant. mod. (oc)'!I486&lt;0,0,ROUND('Quant. mod. (oc)'!I486,0))</f>
        <v>2</v>
      </c>
      <c r="J486" s="125">
        <f>IF('Quant. mod. (oc)'!J486&lt;0,0,ROUND('Quant. mod. (oc)'!J486,0))</f>
        <v>2</v>
      </c>
      <c r="K486" s="125">
        <f>IF('Quant. mod. (oc)'!K486&lt;0,0,ROUND('Quant. mod. (oc)'!K486,0))</f>
        <v>2</v>
      </c>
      <c r="L486" s="125">
        <f>IF('Quant. mod. (oc)'!L486&lt;0,0,ROUND('Quant. mod. (oc)'!L486,0))</f>
        <v>2</v>
      </c>
      <c r="M486" s="125">
        <f>IF('Quant. mod. (oc)'!M486&lt;0,0,ROUND('Quant. mod. (oc)'!M486,0))</f>
        <v>2</v>
      </c>
      <c r="N486" s="125">
        <f>IF('Quant. mod. (oc)'!N486&lt;0,0,ROUND('Quant. mod. (oc)'!N486,0))</f>
        <v>2</v>
      </c>
      <c r="O486" s="125">
        <f>IF('Quant. mod. (oc)'!O486&lt;0,0,ROUND('Quant. mod. (oc)'!O486,0))</f>
        <v>2</v>
      </c>
      <c r="P486" s="125">
        <f>IF('Quant. mod. (oc)'!P486&lt;0,0,ROUND('Quant. mod. (oc)'!P486,0))</f>
        <v>2</v>
      </c>
      <c r="Q486" s="125">
        <f>IF('Quant. mod. (oc)'!Q486&lt;0,0,ROUND('Quant. mod. (oc)'!Q486,0))</f>
        <v>2</v>
      </c>
      <c r="R486" s="125">
        <f>IF('Quant. mod. (oc)'!R486&lt;0,0,ROUND('Quant. mod. (oc)'!R486,0))</f>
        <v>2</v>
      </c>
      <c r="S486" s="125">
        <f>IF('Quant. mod. (oc)'!S486&lt;0,0,ROUND('Quant. mod. (oc)'!S486,0))</f>
        <v>2</v>
      </c>
      <c r="T486" s="125">
        <f>IF('Quant. mod. (oc)'!T486&lt;0,0,ROUND('Quant. mod. (oc)'!T486,0))</f>
        <v>2</v>
      </c>
      <c r="U486" s="125">
        <f>IF('Quant. mod. (oc)'!U486&lt;0,0,ROUND('Quant. mod. (oc)'!U486,0))</f>
        <v>2</v>
      </c>
      <c r="V486" s="125">
        <f>IF('Quant. mod. (oc)'!V486&lt;0,0,ROUND('Quant. mod. (oc)'!V486,0))</f>
        <v>2</v>
      </c>
      <c r="W486" s="125">
        <f>IF('Quant. mod. (oc)'!W486&lt;0,0,ROUND('Quant. mod. (oc)'!W486,0))</f>
        <v>2</v>
      </c>
      <c r="X486" s="125">
        <f>IF('Quant. mod. (oc)'!X486&lt;0,0,ROUND('Quant. mod. (oc)'!X486,0))</f>
        <v>2</v>
      </c>
      <c r="Y486" s="125">
        <f>IF('Quant. mod. (oc)'!Y486&lt;0,0,ROUND('Quant. mod. (oc)'!Y486,0))</f>
        <v>2</v>
      </c>
      <c r="Z486" s="125">
        <f>IF('Quant. mod. (oc)'!Z486&lt;0,0,ROUND('Quant. mod. (oc)'!Z486,0))</f>
        <v>2</v>
      </c>
      <c r="AA486" s="125">
        <f>IF('Quant. mod. (oc)'!AA486&lt;0,0,ROUND('Quant. mod. (oc)'!AA486,0))</f>
        <v>2</v>
      </c>
      <c r="AB486" s="125">
        <f>IF('Quant. mod. (oc)'!AB486&lt;0,0,ROUND('Quant. mod. (oc)'!AB486,0))</f>
        <v>2</v>
      </c>
      <c r="AC486" s="125">
        <f>IF('Quant. mod. (oc)'!AC486&lt;0,0,ROUND('Quant. mod. (oc)'!AC486,0))</f>
        <v>2</v>
      </c>
      <c r="AD486" s="125">
        <f>IF('Quant. mod. (oc)'!AD486&lt;0,0,ROUND('Quant. mod. (oc)'!AD486,0))</f>
        <v>2</v>
      </c>
      <c r="AE486" s="125">
        <f>IF('Quant. mod. (oc)'!AE486&lt;0,0,ROUND('Quant. mod. (oc)'!AE486,0))</f>
        <v>2</v>
      </c>
      <c r="AF486" s="125">
        <f>IF('Quant. mod. (oc)'!AF486&lt;0,0,ROUND('Quant. mod. (oc)'!AF486,0))</f>
        <v>2</v>
      </c>
      <c r="AG486" s="126">
        <f>IF('Quant. mod. (oc)'!AG486&lt;0,0,ROUND('Quant. mod. (oc)'!AG486,0))</f>
        <v>2</v>
      </c>
      <c r="AH486" s="22"/>
    </row>
    <row r="487" spans="1:34" x14ac:dyDescent="0.25">
      <c r="A487" s="112"/>
      <c r="B487" s="136" t="s">
        <v>109</v>
      </c>
      <c r="C487" s="67" t="s">
        <v>59</v>
      </c>
      <c r="D487" s="125">
        <f>IF('Quant. mod. (oc)'!D487&lt;0,0,ROUND('Quant. mod. (oc)'!D487,0))</f>
        <v>2</v>
      </c>
      <c r="E487" s="125">
        <f>IF('Quant. mod. (oc)'!E487&lt;0,0,ROUND('Quant. mod. (oc)'!E487,0))</f>
        <v>2</v>
      </c>
      <c r="F487" s="125">
        <f>IF('Quant. mod. (oc)'!F487&lt;0,0,ROUND('Quant. mod. (oc)'!F487,0))</f>
        <v>2</v>
      </c>
      <c r="G487" s="125">
        <f>IF('Quant. mod. (oc)'!G487&lt;0,0,ROUND('Quant. mod. (oc)'!G487,0))</f>
        <v>2</v>
      </c>
      <c r="H487" s="125">
        <f>IF('Quant. mod. (oc)'!H487&lt;0,0,ROUND('Quant. mod. (oc)'!H487,0))</f>
        <v>2</v>
      </c>
      <c r="I487" s="125">
        <f>IF('Quant. mod. (oc)'!I487&lt;0,0,ROUND('Quant. mod. (oc)'!I487,0))</f>
        <v>2</v>
      </c>
      <c r="J487" s="125">
        <f>IF('Quant. mod. (oc)'!J487&lt;0,0,ROUND('Quant. mod. (oc)'!J487,0))</f>
        <v>2</v>
      </c>
      <c r="K487" s="125">
        <f>IF('Quant. mod. (oc)'!K487&lt;0,0,ROUND('Quant. mod. (oc)'!K487,0))</f>
        <v>2</v>
      </c>
      <c r="L487" s="125">
        <f>IF('Quant. mod. (oc)'!L487&lt;0,0,ROUND('Quant. mod. (oc)'!L487,0))</f>
        <v>2</v>
      </c>
      <c r="M487" s="125">
        <f>IF('Quant. mod. (oc)'!M487&lt;0,0,ROUND('Quant. mod. (oc)'!M487,0))</f>
        <v>2</v>
      </c>
      <c r="N487" s="125">
        <f>IF('Quant. mod. (oc)'!N487&lt;0,0,ROUND('Quant. mod. (oc)'!N487,0))</f>
        <v>2</v>
      </c>
      <c r="O487" s="125">
        <f>IF('Quant. mod. (oc)'!O487&lt;0,0,ROUND('Quant. mod. (oc)'!O487,0))</f>
        <v>2</v>
      </c>
      <c r="P487" s="125">
        <f>IF('Quant. mod. (oc)'!P487&lt;0,0,ROUND('Quant. mod. (oc)'!P487,0))</f>
        <v>2</v>
      </c>
      <c r="Q487" s="125">
        <f>IF('Quant. mod. (oc)'!Q487&lt;0,0,ROUND('Quant. mod. (oc)'!Q487,0))</f>
        <v>2</v>
      </c>
      <c r="R487" s="125">
        <f>IF('Quant. mod. (oc)'!R487&lt;0,0,ROUND('Quant. mod. (oc)'!R487,0))</f>
        <v>2</v>
      </c>
      <c r="S487" s="125">
        <f>IF('Quant. mod. (oc)'!S487&lt;0,0,ROUND('Quant. mod. (oc)'!S487,0))</f>
        <v>2</v>
      </c>
      <c r="T487" s="125">
        <f>IF('Quant. mod. (oc)'!T487&lt;0,0,ROUND('Quant. mod. (oc)'!T487,0))</f>
        <v>2</v>
      </c>
      <c r="U487" s="125">
        <f>IF('Quant. mod. (oc)'!U487&lt;0,0,ROUND('Quant. mod. (oc)'!U487,0))</f>
        <v>2</v>
      </c>
      <c r="V487" s="125">
        <f>IF('Quant. mod. (oc)'!V487&lt;0,0,ROUND('Quant. mod. (oc)'!V487,0))</f>
        <v>2</v>
      </c>
      <c r="W487" s="125">
        <f>IF('Quant. mod. (oc)'!W487&lt;0,0,ROUND('Quant. mod. (oc)'!W487,0))</f>
        <v>2</v>
      </c>
      <c r="X487" s="125">
        <f>IF('Quant. mod. (oc)'!X487&lt;0,0,ROUND('Quant. mod. (oc)'!X487,0))</f>
        <v>2</v>
      </c>
      <c r="Y487" s="125">
        <f>IF('Quant. mod. (oc)'!Y487&lt;0,0,ROUND('Quant. mod. (oc)'!Y487,0))</f>
        <v>2</v>
      </c>
      <c r="Z487" s="125">
        <f>IF('Quant. mod. (oc)'!Z487&lt;0,0,ROUND('Quant. mod. (oc)'!Z487,0))</f>
        <v>2</v>
      </c>
      <c r="AA487" s="125">
        <f>IF('Quant. mod. (oc)'!AA487&lt;0,0,ROUND('Quant. mod. (oc)'!AA487,0))</f>
        <v>2</v>
      </c>
      <c r="AB487" s="125">
        <f>IF('Quant. mod. (oc)'!AB487&lt;0,0,ROUND('Quant. mod. (oc)'!AB487,0))</f>
        <v>2</v>
      </c>
      <c r="AC487" s="125">
        <f>IF('Quant. mod. (oc)'!AC487&lt;0,0,ROUND('Quant. mod. (oc)'!AC487,0))</f>
        <v>2</v>
      </c>
      <c r="AD487" s="125">
        <f>IF('Quant. mod. (oc)'!AD487&lt;0,0,ROUND('Quant. mod. (oc)'!AD487,0))</f>
        <v>2</v>
      </c>
      <c r="AE487" s="125">
        <f>IF('Quant. mod. (oc)'!AE487&lt;0,0,ROUND('Quant. mod. (oc)'!AE487,0))</f>
        <v>2</v>
      </c>
      <c r="AF487" s="125">
        <f>IF('Quant. mod. (oc)'!AF487&lt;0,0,ROUND('Quant. mod. (oc)'!AF487,0))</f>
        <v>2</v>
      </c>
      <c r="AG487" s="126">
        <f>IF('Quant. mod. (oc)'!AG487&lt;0,0,ROUND('Quant. mod. (oc)'!AG487,0))</f>
        <v>2</v>
      </c>
      <c r="AH487" s="22"/>
    </row>
    <row r="488" spans="1:34" x14ac:dyDescent="0.25">
      <c r="A488" s="112"/>
      <c r="B488" s="136" t="s">
        <v>449</v>
      </c>
      <c r="C488" s="67" t="s">
        <v>59</v>
      </c>
      <c r="D488" s="125">
        <f>IF('Quant. mod. (oc)'!D488&lt;0,0,ROUND('Quant. mod. (oc)'!D488,0))</f>
        <v>2</v>
      </c>
      <c r="E488" s="125">
        <f>IF('Quant. mod. (oc)'!E488&lt;0,0,ROUND('Quant. mod. (oc)'!E488,0))</f>
        <v>2</v>
      </c>
      <c r="F488" s="125">
        <f>IF('Quant. mod. (oc)'!F488&lt;0,0,ROUND('Quant. mod. (oc)'!F488,0))</f>
        <v>2</v>
      </c>
      <c r="G488" s="125">
        <f>IF('Quant. mod. (oc)'!G488&lt;0,0,ROUND('Quant. mod. (oc)'!G488,0))</f>
        <v>2</v>
      </c>
      <c r="H488" s="125">
        <f>IF('Quant. mod. (oc)'!H488&lt;0,0,ROUND('Quant. mod. (oc)'!H488,0))</f>
        <v>2</v>
      </c>
      <c r="I488" s="125">
        <f>IF('Quant. mod. (oc)'!I488&lt;0,0,ROUND('Quant. mod. (oc)'!I488,0))</f>
        <v>2</v>
      </c>
      <c r="J488" s="125">
        <f>IF('Quant. mod. (oc)'!J488&lt;0,0,ROUND('Quant. mod. (oc)'!J488,0))</f>
        <v>2</v>
      </c>
      <c r="K488" s="125">
        <f>IF('Quant. mod. (oc)'!K488&lt;0,0,ROUND('Quant. mod. (oc)'!K488,0))</f>
        <v>2</v>
      </c>
      <c r="L488" s="125">
        <f>IF('Quant. mod. (oc)'!L488&lt;0,0,ROUND('Quant. mod. (oc)'!L488,0))</f>
        <v>2</v>
      </c>
      <c r="M488" s="125">
        <f>IF('Quant. mod. (oc)'!M488&lt;0,0,ROUND('Quant. mod. (oc)'!M488,0))</f>
        <v>2</v>
      </c>
      <c r="N488" s="125">
        <f>IF('Quant. mod. (oc)'!N488&lt;0,0,ROUND('Quant. mod. (oc)'!N488,0))</f>
        <v>2</v>
      </c>
      <c r="O488" s="125">
        <f>IF('Quant. mod. (oc)'!O488&lt;0,0,ROUND('Quant. mod. (oc)'!O488,0))</f>
        <v>2</v>
      </c>
      <c r="P488" s="125">
        <f>IF('Quant. mod. (oc)'!P488&lt;0,0,ROUND('Quant. mod. (oc)'!P488,0))</f>
        <v>2</v>
      </c>
      <c r="Q488" s="125">
        <f>IF('Quant. mod. (oc)'!Q488&lt;0,0,ROUND('Quant. mod. (oc)'!Q488,0))</f>
        <v>2</v>
      </c>
      <c r="R488" s="125">
        <f>IF('Quant. mod. (oc)'!R488&lt;0,0,ROUND('Quant. mod. (oc)'!R488,0))</f>
        <v>2</v>
      </c>
      <c r="S488" s="125">
        <f>IF('Quant. mod. (oc)'!S488&lt;0,0,ROUND('Quant. mod. (oc)'!S488,0))</f>
        <v>2</v>
      </c>
      <c r="T488" s="125">
        <f>IF('Quant. mod. (oc)'!T488&lt;0,0,ROUND('Quant. mod. (oc)'!T488,0))</f>
        <v>2</v>
      </c>
      <c r="U488" s="125">
        <f>IF('Quant. mod. (oc)'!U488&lt;0,0,ROUND('Quant. mod. (oc)'!U488,0))</f>
        <v>2</v>
      </c>
      <c r="V488" s="125">
        <f>IF('Quant. mod. (oc)'!V488&lt;0,0,ROUND('Quant. mod. (oc)'!V488,0))</f>
        <v>2</v>
      </c>
      <c r="W488" s="125">
        <f>IF('Quant. mod. (oc)'!W488&lt;0,0,ROUND('Quant. mod. (oc)'!W488,0))</f>
        <v>2</v>
      </c>
      <c r="X488" s="125">
        <f>IF('Quant. mod. (oc)'!X488&lt;0,0,ROUND('Quant. mod. (oc)'!X488,0))</f>
        <v>2</v>
      </c>
      <c r="Y488" s="125">
        <f>IF('Quant. mod. (oc)'!Y488&lt;0,0,ROUND('Quant. mod. (oc)'!Y488,0))</f>
        <v>2</v>
      </c>
      <c r="Z488" s="125">
        <f>IF('Quant. mod. (oc)'!Z488&lt;0,0,ROUND('Quant. mod. (oc)'!Z488,0))</f>
        <v>2</v>
      </c>
      <c r="AA488" s="125">
        <f>IF('Quant. mod. (oc)'!AA488&lt;0,0,ROUND('Quant. mod. (oc)'!AA488,0))</f>
        <v>2</v>
      </c>
      <c r="AB488" s="125">
        <f>IF('Quant. mod. (oc)'!AB488&lt;0,0,ROUND('Quant. mod. (oc)'!AB488,0))</f>
        <v>2</v>
      </c>
      <c r="AC488" s="125">
        <f>IF('Quant. mod. (oc)'!AC488&lt;0,0,ROUND('Quant. mod. (oc)'!AC488,0))</f>
        <v>2</v>
      </c>
      <c r="AD488" s="125">
        <f>IF('Quant. mod. (oc)'!AD488&lt;0,0,ROUND('Quant. mod. (oc)'!AD488,0))</f>
        <v>2</v>
      </c>
      <c r="AE488" s="125">
        <f>IF('Quant. mod. (oc)'!AE488&lt;0,0,ROUND('Quant. mod. (oc)'!AE488,0))</f>
        <v>2</v>
      </c>
      <c r="AF488" s="125">
        <f>IF('Quant. mod. (oc)'!AF488&lt;0,0,ROUND('Quant. mod. (oc)'!AF488,0))</f>
        <v>2</v>
      </c>
      <c r="AG488" s="126">
        <f>IF('Quant. mod. (oc)'!AG488&lt;0,0,ROUND('Quant. mod. (oc)'!AG488,0))</f>
        <v>2</v>
      </c>
      <c r="AH488" s="22"/>
    </row>
    <row r="489" spans="1:34" x14ac:dyDescent="0.25">
      <c r="A489" s="112"/>
      <c r="B489" s="136" t="s">
        <v>110</v>
      </c>
      <c r="C489" s="67" t="s">
        <v>59</v>
      </c>
      <c r="D489" s="125">
        <f>IF('Quant. mod. (oc)'!D489&lt;0,0,ROUND('Quant. mod. (oc)'!D489,0))</f>
        <v>2</v>
      </c>
      <c r="E489" s="125">
        <f>IF('Quant. mod. (oc)'!E489&lt;0,0,ROUND('Quant. mod. (oc)'!E489,0))</f>
        <v>2</v>
      </c>
      <c r="F489" s="125">
        <f>IF('Quant. mod. (oc)'!F489&lt;0,0,ROUND('Quant. mod. (oc)'!F489,0))</f>
        <v>2</v>
      </c>
      <c r="G489" s="125">
        <f>IF('Quant. mod. (oc)'!G489&lt;0,0,ROUND('Quant. mod. (oc)'!G489,0))</f>
        <v>2</v>
      </c>
      <c r="H489" s="125">
        <f>IF('Quant. mod. (oc)'!H489&lt;0,0,ROUND('Quant. mod. (oc)'!H489,0))</f>
        <v>2</v>
      </c>
      <c r="I489" s="125">
        <f>IF('Quant. mod. (oc)'!I489&lt;0,0,ROUND('Quant. mod. (oc)'!I489,0))</f>
        <v>2</v>
      </c>
      <c r="J489" s="125">
        <f>IF('Quant. mod. (oc)'!J489&lt;0,0,ROUND('Quant. mod. (oc)'!J489,0))</f>
        <v>2</v>
      </c>
      <c r="K489" s="125">
        <f>IF('Quant. mod. (oc)'!K489&lt;0,0,ROUND('Quant. mod. (oc)'!K489,0))</f>
        <v>2</v>
      </c>
      <c r="L489" s="125">
        <f>IF('Quant. mod. (oc)'!L489&lt;0,0,ROUND('Quant. mod. (oc)'!L489,0))</f>
        <v>2</v>
      </c>
      <c r="M489" s="125">
        <f>IF('Quant. mod. (oc)'!M489&lt;0,0,ROUND('Quant. mod. (oc)'!M489,0))</f>
        <v>2</v>
      </c>
      <c r="N489" s="125">
        <f>IF('Quant. mod. (oc)'!N489&lt;0,0,ROUND('Quant. mod. (oc)'!N489,0))</f>
        <v>2</v>
      </c>
      <c r="O489" s="125">
        <f>IF('Quant. mod. (oc)'!O489&lt;0,0,ROUND('Quant. mod. (oc)'!O489,0))</f>
        <v>2</v>
      </c>
      <c r="P489" s="125">
        <f>IF('Quant. mod. (oc)'!P489&lt;0,0,ROUND('Quant. mod. (oc)'!P489,0))</f>
        <v>2</v>
      </c>
      <c r="Q489" s="125">
        <f>IF('Quant. mod. (oc)'!Q489&lt;0,0,ROUND('Quant. mod. (oc)'!Q489,0))</f>
        <v>2</v>
      </c>
      <c r="R489" s="125">
        <f>IF('Quant. mod. (oc)'!R489&lt;0,0,ROUND('Quant. mod. (oc)'!R489,0))</f>
        <v>2</v>
      </c>
      <c r="S489" s="125">
        <f>IF('Quant. mod. (oc)'!S489&lt;0,0,ROUND('Quant. mod. (oc)'!S489,0))</f>
        <v>2</v>
      </c>
      <c r="T489" s="125">
        <f>IF('Quant. mod. (oc)'!T489&lt;0,0,ROUND('Quant. mod. (oc)'!T489,0))</f>
        <v>2</v>
      </c>
      <c r="U489" s="125">
        <f>IF('Quant. mod. (oc)'!U489&lt;0,0,ROUND('Quant. mod. (oc)'!U489,0))</f>
        <v>2</v>
      </c>
      <c r="V489" s="125">
        <f>IF('Quant. mod. (oc)'!V489&lt;0,0,ROUND('Quant. mod. (oc)'!V489,0))</f>
        <v>2</v>
      </c>
      <c r="W489" s="125">
        <f>IF('Quant. mod. (oc)'!W489&lt;0,0,ROUND('Quant. mod. (oc)'!W489,0))</f>
        <v>2</v>
      </c>
      <c r="X489" s="125">
        <f>IF('Quant. mod. (oc)'!X489&lt;0,0,ROUND('Quant. mod. (oc)'!X489,0))</f>
        <v>2</v>
      </c>
      <c r="Y489" s="125">
        <f>IF('Quant. mod. (oc)'!Y489&lt;0,0,ROUND('Quant. mod. (oc)'!Y489,0))</f>
        <v>2</v>
      </c>
      <c r="Z489" s="125">
        <f>IF('Quant. mod. (oc)'!Z489&lt;0,0,ROUND('Quant. mod. (oc)'!Z489,0))</f>
        <v>2</v>
      </c>
      <c r="AA489" s="125">
        <f>IF('Quant. mod. (oc)'!AA489&lt;0,0,ROUND('Quant. mod. (oc)'!AA489,0))</f>
        <v>2</v>
      </c>
      <c r="AB489" s="125">
        <f>IF('Quant. mod. (oc)'!AB489&lt;0,0,ROUND('Quant. mod. (oc)'!AB489,0))</f>
        <v>2</v>
      </c>
      <c r="AC489" s="125">
        <f>IF('Quant. mod. (oc)'!AC489&lt;0,0,ROUND('Quant. mod. (oc)'!AC489,0))</f>
        <v>2</v>
      </c>
      <c r="AD489" s="125">
        <f>IF('Quant. mod. (oc)'!AD489&lt;0,0,ROUND('Quant. mod. (oc)'!AD489,0))</f>
        <v>2</v>
      </c>
      <c r="AE489" s="125">
        <f>IF('Quant. mod. (oc)'!AE489&lt;0,0,ROUND('Quant. mod. (oc)'!AE489,0))</f>
        <v>2</v>
      </c>
      <c r="AF489" s="125">
        <f>IF('Quant. mod. (oc)'!AF489&lt;0,0,ROUND('Quant. mod. (oc)'!AF489,0))</f>
        <v>2</v>
      </c>
      <c r="AG489" s="126">
        <f>IF('Quant. mod. (oc)'!AG489&lt;0,0,ROUND('Quant. mod. (oc)'!AG489,0))</f>
        <v>2</v>
      </c>
      <c r="AH489" s="22"/>
    </row>
    <row r="490" spans="1:34" x14ac:dyDescent="0.25">
      <c r="A490" s="112"/>
      <c r="B490" s="136" t="s">
        <v>450</v>
      </c>
      <c r="C490" s="67" t="s">
        <v>59</v>
      </c>
      <c r="D490" s="125">
        <f>IF('Quant. mod. (oc)'!D490&lt;0,0,ROUND('Quant. mod. (oc)'!D490,0))</f>
        <v>2</v>
      </c>
      <c r="E490" s="125">
        <f>IF('Quant. mod. (oc)'!E490&lt;0,0,ROUND('Quant. mod. (oc)'!E490,0))</f>
        <v>2</v>
      </c>
      <c r="F490" s="125">
        <f>IF('Quant. mod. (oc)'!F490&lt;0,0,ROUND('Quant. mod. (oc)'!F490,0))</f>
        <v>2</v>
      </c>
      <c r="G490" s="125">
        <f>IF('Quant. mod. (oc)'!G490&lt;0,0,ROUND('Quant. mod. (oc)'!G490,0))</f>
        <v>2</v>
      </c>
      <c r="H490" s="125">
        <f>IF('Quant. mod. (oc)'!H490&lt;0,0,ROUND('Quant. mod. (oc)'!H490,0))</f>
        <v>2</v>
      </c>
      <c r="I490" s="125">
        <f>IF('Quant. mod. (oc)'!I490&lt;0,0,ROUND('Quant. mod. (oc)'!I490,0))</f>
        <v>2</v>
      </c>
      <c r="J490" s="125">
        <f>IF('Quant. mod. (oc)'!J490&lt;0,0,ROUND('Quant. mod. (oc)'!J490,0))</f>
        <v>2</v>
      </c>
      <c r="K490" s="125">
        <f>IF('Quant. mod. (oc)'!K490&lt;0,0,ROUND('Quant. mod. (oc)'!K490,0))</f>
        <v>2</v>
      </c>
      <c r="L490" s="125">
        <f>IF('Quant. mod. (oc)'!L490&lt;0,0,ROUND('Quant. mod. (oc)'!L490,0))</f>
        <v>2</v>
      </c>
      <c r="M490" s="125">
        <f>IF('Quant. mod. (oc)'!M490&lt;0,0,ROUND('Quant. mod. (oc)'!M490,0))</f>
        <v>2</v>
      </c>
      <c r="N490" s="125">
        <f>IF('Quant. mod. (oc)'!N490&lt;0,0,ROUND('Quant. mod. (oc)'!N490,0))</f>
        <v>2</v>
      </c>
      <c r="O490" s="125">
        <f>IF('Quant. mod. (oc)'!O490&lt;0,0,ROUND('Quant. mod. (oc)'!O490,0))</f>
        <v>2</v>
      </c>
      <c r="P490" s="125">
        <f>IF('Quant. mod. (oc)'!P490&lt;0,0,ROUND('Quant. mod. (oc)'!P490,0))</f>
        <v>2</v>
      </c>
      <c r="Q490" s="125">
        <f>IF('Quant. mod. (oc)'!Q490&lt;0,0,ROUND('Quant. mod. (oc)'!Q490,0))</f>
        <v>2</v>
      </c>
      <c r="R490" s="125">
        <f>IF('Quant. mod. (oc)'!R490&lt;0,0,ROUND('Quant. mod. (oc)'!R490,0))</f>
        <v>2</v>
      </c>
      <c r="S490" s="125">
        <f>IF('Quant. mod. (oc)'!S490&lt;0,0,ROUND('Quant. mod. (oc)'!S490,0))</f>
        <v>2</v>
      </c>
      <c r="T490" s="125">
        <f>IF('Quant. mod. (oc)'!T490&lt;0,0,ROUND('Quant. mod. (oc)'!T490,0))</f>
        <v>2</v>
      </c>
      <c r="U490" s="125">
        <f>IF('Quant. mod. (oc)'!U490&lt;0,0,ROUND('Quant. mod. (oc)'!U490,0))</f>
        <v>2</v>
      </c>
      <c r="V490" s="125">
        <f>IF('Quant. mod. (oc)'!V490&lt;0,0,ROUND('Quant. mod. (oc)'!V490,0))</f>
        <v>2</v>
      </c>
      <c r="W490" s="125">
        <f>IF('Quant. mod. (oc)'!W490&lt;0,0,ROUND('Quant. mod. (oc)'!W490,0))</f>
        <v>2</v>
      </c>
      <c r="X490" s="125">
        <f>IF('Quant. mod. (oc)'!X490&lt;0,0,ROUND('Quant. mod. (oc)'!X490,0))</f>
        <v>2</v>
      </c>
      <c r="Y490" s="125">
        <f>IF('Quant. mod. (oc)'!Y490&lt;0,0,ROUND('Quant. mod. (oc)'!Y490,0))</f>
        <v>2</v>
      </c>
      <c r="Z490" s="125">
        <f>IF('Quant. mod. (oc)'!Z490&lt;0,0,ROUND('Quant. mod. (oc)'!Z490,0))</f>
        <v>2</v>
      </c>
      <c r="AA490" s="125">
        <f>IF('Quant. mod. (oc)'!AA490&lt;0,0,ROUND('Quant. mod. (oc)'!AA490,0))</f>
        <v>2</v>
      </c>
      <c r="AB490" s="125">
        <f>IF('Quant. mod. (oc)'!AB490&lt;0,0,ROUND('Quant. mod. (oc)'!AB490,0))</f>
        <v>2</v>
      </c>
      <c r="AC490" s="125">
        <f>IF('Quant. mod. (oc)'!AC490&lt;0,0,ROUND('Quant. mod. (oc)'!AC490,0))</f>
        <v>2</v>
      </c>
      <c r="AD490" s="125">
        <f>IF('Quant. mod. (oc)'!AD490&lt;0,0,ROUND('Quant. mod. (oc)'!AD490,0))</f>
        <v>2</v>
      </c>
      <c r="AE490" s="125">
        <f>IF('Quant. mod. (oc)'!AE490&lt;0,0,ROUND('Quant. mod. (oc)'!AE490,0))</f>
        <v>2</v>
      </c>
      <c r="AF490" s="125">
        <f>IF('Quant. mod. (oc)'!AF490&lt;0,0,ROUND('Quant. mod. (oc)'!AF490,0))</f>
        <v>2</v>
      </c>
      <c r="AG490" s="126">
        <f>IF('Quant. mod. (oc)'!AG490&lt;0,0,ROUND('Quant. mod. (oc)'!AG490,0))</f>
        <v>2</v>
      </c>
      <c r="AH490" s="22"/>
    </row>
    <row r="491" spans="1:34" x14ac:dyDescent="0.25">
      <c r="A491" s="112"/>
      <c r="B491" s="136" t="s">
        <v>111</v>
      </c>
      <c r="C491" s="67" t="s">
        <v>59</v>
      </c>
      <c r="D491" s="125">
        <f>IF('Quant. mod. (oc)'!D491&lt;0,0,ROUND('Quant. mod. (oc)'!D491,0))</f>
        <v>1</v>
      </c>
      <c r="E491" s="125">
        <f>IF('Quant. mod. (oc)'!E491&lt;0,0,ROUND('Quant. mod. (oc)'!E491,0))</f>
        <v>1</v>
      </c>
      <c r="F491" s="125">
        <f>IF('Quant. mod. (oc)'!F491&lt;0,0,ROUND('Quant. mod. (oc)'!F491,0))</f>
        <v>1</v>
      </c>
      <c r="G491" s="125">
        <f>IF('Quant. mod. (oc)'!G491&lt;0,0,ROUND('Quant. mod. (oc)'!G491,0))</f>
        <v>1</v>
      </c>
      <c r="H491" s="125">
        <f>IF('Quant. mod. (oc)'!H491&lt;0,0,ROUND('Quant. mod. (oc)'!H491,0))</f>
        <v>1</v>
      </c>
      <c r="I491" s="125">
        <f>IF('Quant. mod. (oc)'!I491&lt;0,0,ROUND('Quant. mod. (oc)'!I491,0))</f>
        <v>1</v>
      </c>
      <c r="J491" s="125">
        <f>IF('Quant. mod. (oc)'!J491&lt;0,0,ROUND('Quant. mod. (oc)'!J491,0))</f>
        <v>1</v>
      </c>
      <c r="K491" s="125">
        <f>IF('Quant. mod. (oc)'!K491&lt;0,0,ROUND('Quant. mod. (oc)'!K491,0))</f>
        <v>1</v>
      </c>
      <c r="L491" s="125">
        <f>IF('Quant. mod. (oc)'!L491&lt;0,0,ROUND('Quant. mod. (oc)'!L491,0))</f>
        <v>1</v>
      </c>
      <c r="M491" s="125">
        <f>IF('Quant. mod. (oc)'!M491&lt;0,0,ROUND('Quant. mod. (oc)'!M491,0))</f>
        <v>1</v>
      </c>
      <c r="N491" s="125">
        <f>IF('Quant. mod. (oc)'!N491&lt;0,0,ROUND('Quant. mod. (oc)'!N491,0))</f>
        <v>1</v>
      </c>
      <c r="O491" s="125">
        <f>IF('Quant. mod. (oc)'!O491&lt;0,0,ROUND('Quant. mod. (oc)'!O491,0))</f>
        <v>1</v>
      </c>
      <c r="P491" s="125">
        <f>IF('Quant. mod. (oc)'!P491&lt;0,0,ROUND('Quant. mod. (oc)'!P491,0))</f>
        <v>1</v>
      </c>
      <c r="Q491" s="125">
        <f>IF('Quant. mod. (oc)'!Q491&lt;0,0,ROUND('Quant. mod. (oc)'!Q491,0))</f>
        <v>1</v>
      </c>
      <c r="R491" s="125">
        <f>IF('Quant. mod. (oc)'!R491&lt;0,0,ROUND('Quant. mod. (oc)'!R491,0))</f>
        <v>1</v>
      </c>
      <c r="S491" s="125">
        <f>IF('Quant. mod. (oc)'!S491&lt;0,0,ROUND('Quant. mod. (oc)'!S491,0))</f>
        <v>1</v>
      </c>
      <c r="T491" s="125">
        <f>IF('Quant. mod. (oc)'!T491&lt;0,0,ROUND('Quant. mod. (oc)'!T491,0))</f>
        <v>1</v>
      </c>
      <c r="U491" s="125">
        <f>IF('Quant. mod. (oc)'!U491&lt;0,0,ROUND('Quant. mod. (oc)'!U491,0))</f>
        <v>1</v>
      </c>
      <c r="V491" s="125">
        <f>IF('Quant. mod. (oc)'!V491&lt;0,0,ROUND('Quant. mod. (oc)'!V491,0))</f>
        <v>1</v>
      </c>
      <c r="W491" s="125">
        <f>IF('Quant. mod. (oc)'!W491&lt;0,0,ROUND('Quant. mod. (oc)'!W491,0))</f>
        <v>1</v>
      </c>
      <c r="X491" s="125">
        <f>IF('Quant. mod. (oc)'!X491&lt;0,0,ROUND('Quant. mod. (oc)'!X491,0))</f>
        <v>1</v>
      </c>
      <c r="Y491" s="125">
        <f>IF('Quant. mod. (oc)'!Y491&lt;0,0,ROUND('Quant. mod. (oc)'!Y491,0))</f>
        <v>1</v>
      </c>
      <c r="Z491" s="125">
        <f>IF('Quant. mod. (oc)'!Z491&lt;0,0,ROUND('Quant. mod. (oc)'!Z491,0))</f>
        <v>1</v>
      </c>
      <c r="AA491" s="125">
        <f>IF('Quant. mod. (oc)'!AA491&lt;0,0,ROUND('Quant. mod. (oc)'!AA491,0))</f>
        <v>1</v>
      </c>
      <c r="AB491" s="125">
        <f>IF('Quant. mod. (oc)'!AB491&lt;0,0,ROUND('Quant. mod. (oc)'!AB491,0))</f>
        <v>1</v>
      </c>
      <c r="AC491" s="125">
        <f>IF('Quant. mod. (oc)'!AC491&lt;0,0,ROUND('Quant. mod. (oc)'!AC491,0))</f>
        <v>1</v>
      </c>
      <c r="AD491" s="125">
        <f>IF('Quant. mod. (oc)'!AD491&lt;0,0,ROUND('Quant. mod. (oc)'!AD491,0))</f>
        <v>1</v>
      </c>
      <c r="AE491" s="125">
        <f>IF('Quant. mod. (oc)'!AE491&lt;0,0,ROUND('Quant. mod. (oc)'!AE491,0))</f>
        <v>1</v>
      </c>
      <c r="AF491" s="125">
        <f>IF('Quant. mod. (oc)'!AF491&lt;0,0,ROUND('Quant. mod. (oc)'!AF491,0))</f>
        <v>1</v>
      </c>
      <c r="AG491" s="126">
        <f>IF('Quant. mod. (oc)'!AG491&lt;0,0,ROUND('Quant. mod. (oc)'!AG491,0))</f>
        <v>1</v>
      </c>
      <c r="AH491" s="22"/>
    </row>
    <row r="492" spans="1:34" x14ac:dyDescent="0.25">
      <c r="A492" s="112"/>
      <c r="B492" s="136" t="s">
        <v>112</v>
      </c>
      <c r="C492" s="67" t="s">
        <v>59</v>
      </c>
      <c r="D492" s="125">
        <f>IF('Quant. mod. (oc)'!D492&lt;0,0,ROUND('Quant. mod. (oc)'!D492,0))</f>
        <v>1</v>
      </c>
      <c r="E492" s="125">
        <f>IF('Quant. mod. (oc)'!E492&lt;0,0,ROUND('Quant. mod. (oc)'!E492,0))</f>
        <v>1</v>
      </c>
      <c r="F492" s="125">
        <f>IF('Quant. mod. (oc)'!F492&lt;0,0,ROUND('Quant. mod. (oc)'!F492,0))</f>
        <v>1</v>
      </c>
      <c r="G492" s="125">
        <f>IF('Quant. mod. (oc)'!G492&lt;0,0,ROUND('Quant. mod. (oc)'!G492,0))</f>
        <v>1</v>
      </c>
      <c r="H492" s="125">
        <f>IF('Quant. mod. (oc)'!H492&lt;0,0,ROUND('Quant. mod. (oc)'!H492,0))</f>
        <v>1</v>
      </c>
      <c r="I492" s="125">
        <f>IF('Quant. mod. (oc)'!I492&lt;0,0,ROUND('Quant. mod. (oc)'!I492,0))</f>
        <v>1</v>
      </c>
      <c r="J492" s="125">
        <f>IF('Quant. mod. (oc)'!J492&lt;0,0,ROUND('Quant. mod. (oc)'!J492,0))</f>
        <v>1</v>
      </c>
      <c r="K492" s="125">
        <f>IF('Quant. mod. (oc)'!K492&lt;0,0,ROUND('Quant. mod. (oc)'!K492,0))</f>
        <v>1</v>
      </c>
      <c r="L492" s="125">
        <f>IF('Quant. mod. (oc)'!L492&lt;0,0,ROUND('Quant. mod. (oc)'!L492,0))</f>
        <v>1</v>
      </c>
      <c r="M492" s="125">
        <f>IF('Quant. mod. (oc)'!M492&lt;0,0,ROUND('Quant. mod. (oc)'!M492,0))</f>
        <v>1</v>
      </c>
      <c r="N492" s="125">
        <f>IF('Quant. mod. (oc)'!N492&lt;0,0,ROUND('Quant. mod. (oc)'!N492,0))</f>
        <v>1</v>
      </c>
      <c r="O492" s="125">
        <f>IF('Quant. mod. (oc)'!O492&lt;0,0,ROUND('Quant. mod. (oc)'!O492,0))</f>
        <v>1</v>
      </c>
      <c r="P492" s="125">
        <f>IF('Quant. mod. (oc)'!P492&lt;0,0,ROUND('Quant. mod. (oc)'!P492,0))</f>
        <v>1</v>
      </c>
      <c r="Q492" s="125">
        <f>IF('Quant. mod. (oc)'!Q492&lt;0,0,ROUND('Quant. mod. (oc)'!Q492,0))</f>
        <v>1</v>
      </c>
      <c r="R492" s="125">
        <f>IF('Quant. mod. (oc)'!R492&lt;0,0,ROUND('Quant. mod. (oc)'!R492,0))</f>
        <v>1</v>
      </c>
      <c r="S492" s="125">
        <f>IF('Quant. mod. (oc)'!S492&lt;0,0,ROUND('Quant. mod. (oc)'!S492,0))</f>
        <v>1</v>
      </c>
      <c r="T492" s="125">
        <f>IF('Quant. mod. (oc)'!T492&lt;0,0,ROUND('Quant. mod. (oc)'!T492,0))</f>
        <v>1</v>
      </c>
      <c r="U492" s="125">
        <f>IF('Quant. mod. (oc)'!U492&lt;0,0,ROUND('Quant. mod. (oc)'!U492,0))</f>
        <v>1</v>
      </c>
      <c r="V492" s="125">
        <f>IF('Quant. mod. (oc)'!V492&lt;0,0,ROUND('Quant. mod. (oc)'!V492,0))</f>
        <v>1</v>
      </c>
      <c r="W492" s="125">
        <f>IF('Quant. mod. (oc)'!W492&lt;0,0,ROUND('Quant. mod. (oc)'!W492,0))</f>
        <v>1</v>
      </c>
      <c r="X492" s="125">
        <f>IF('Quant. mod. (oc)'!X492&lt;0,0,ROUND('Quant. mod. (oc)'!X492,0))</f>
        <v>1</v>
      </c>
      <c r="Y492" s="125">
        <f>IF('Quant. mod. (oc)'!Y492&lt;0,0,ROUND('Quant. mod. (oc)'!Y492,0))</f>
        <v>1</v>
      </c>
      <c r="Z492" s="125">
        <f>IF('Quant. mod. (oc)'!Z492&lt;0,0,ROUND('Quant. mod. (oc)'!Z492,0))</f>
        <v>1</v>
      </c>
      <c r="AA492" s="125">
        <f>IF('Quant. mod. (oc)'!AA492&lt;0,0,ROUND('Quant. mod. (oc)'!AA492,0))</f>
        <v>1</v>
      </c>
      <c r="AB492" s="125">
        <f>IF('Quant. mod. (oc)'!AB492&lt;0,0,ROUND('Quant. mod. (oc)'!AB492,0))</f>
        <v>1</v>
      </c>
      <c r="AC492" s="125">
        <f>IF('Quant. mod. (oc)'!AC492&lt;0,0,ROUND('Quant. mod. (oc)'!AC492,0))</f>
        <v>1</v>
      </c>
      <c r="AD492" s="125">
        <f>IF('Quant. mod. (oc)'!AD492&lt;0,0,ROUND('Quant. mod. (oc)'!AD492,0))</f>
        <v>1</v>
      </c>
      <c r="AE492" s="125">
        <f>IF('Quant. mod. (oc)'!AE492&lt;0,0,ROUND('Quant. mod. (oc)'!AE492,0))</f>
        <v>1</v>
      </c>
      <c r="AF492" s="125">
        <f>IF('Quant. mod. (oc)'!AF492&lt;0,0,ROUND('Quant. mod. (oc)'!AF492,0))</f>
        <v>1</v>
      </c>
      <c r="AG492" s="126">
        <f>IF('Quant. mod. (oc)'!AG492&lt;0,0,ROUND('Quant. mod. (oc)'!AG492,0))</f>
        <v>1</v>
      </c>
      <c r="AH492" s="22"/>
    </row>
    <row r="493" spans="1:34" x14ac:dyDescent="0.25">
      <c r="A493" s="112"/>
      <c r="B493" s="136" t="s">
        <v>113</v>
      </c>
      <c r="C493" s="67" t="s">
        <v>59</v>
      </c>
      <c r="D493" s="125">
        <f>IF('Quant. mod. (oc)'!D493&lt;0,0,ROUND('Quant. mod. (oc)'!D493,0))</f>
        <v>1</v>
      </c>
      <c r="E493" s="125">
        <f>IF('Quant. mod. (oc)'!E493&lt;0,0,ROUND('Quant. mod. (oc)'!E493,0))</f>
        <v>1</v>
      </c>
      <c r="F493" s="125">
        <f>IF('Quant. mod. (oc)'!F493&lt;0,0,ROUND('Quant. mod. (oc)'!F493,0))</f>
        <v>1</v>
      </c>
      <c r="G493" s="125">
        <f>IF('Quant. mod. (oc)'!G493&lt;0,0,ROUND('Quant. mod. (oc)'!G493,0))</f>
        <v>1</v>
      </c>
      <c r="H493" s="125">
        <f>IF('Quant. mod. (oc)'!H493&lt;0,0,ROUND('Quant. mod. (oc)'!H493,0))</f>
        <v>1</v>
      </c>
      <c r="I493" s="125">
        <f>IF('Quant. mod. (oc)'!I493&lt;0,0,ROUND('Quant. mod. (oc)'!I493,0))</f>
        <v>1</v>
      </c>
      <c r="J493" s="125">
        <f>IF('Quant. mod. (oc)'!J493&lt;0,0,ROUND('Quant. mod. (oc)'!J493,0))</f>
        <v>1</v>
      </c>
      <c r="K493" s="125">
        <f>IF('Quant. mod. (oc)'!K493&lt;0,0,ROUND('Quant. mod. (oc)'!K493,0))</f>
        <v>1</v>
      </c>
      <c r="L493" s="125">
        <f>IF('Quant. mod. (oc)'!L493&lt;0,0,ROUND('Quant. mod. (oc)'!L493,0))</f>
        <v>1</v>
      </c>
      <c r="M493" s="125">
        <f>IF('Quant. mod. (oc)'!M493&lt;0,0,ROUND('Quant. mod. (oc)'!M493,0))</f>
        <v>1</v>
      </c>
      <c r="N493" s="125">
        <f>IF('Quant. mod. (oc)'!N493&lt;0,0,ROUND('Quant. mod. (oc)'!N493,0))</f>
        <v>1</v>
      </c>
      <c r="O493" s="125">
        <f>IF('Quant. mod. (oc)'!O493&lt;0,0,ROUND('Quant. mod. (oc)'!O493,0))</f>
        <v>1</v>
      </c>
      <c r="P493" s="125">
        <f>IF('Quant. mod. (oc)'!P493&lt;0,0,ROUND('Quant. mod. (oc)'!P493,0))</f>
        <v>1</v>
      </c>
      <c r="Q493" s="125">
        <f>IF('Quant. mod. (oc)'!Q493&lt;0,0,ROUND('Quant. mod. (oc)'!Q493,0))</f>
        <v>1</v>
      </c>
      <c r="R493" s="125">
        <f>IF('Quant. mod. (oc)'!R493&lt;0,0,ROUND('Quant. mod. (oc)'!R493,0))</f>
        <v>1</v>
      </c>
      <c r="S493" s="125">
        <f>IF('Quant. mod. (oc)'!S493&lt;0,0,ROUND('Quant. mod. (oc)'!S493,0))</f>
        <v>1</v>
      </c>
      <c r="T493" s="125">
        <f>IF('Quant. mod. (oc)'!T493&lt;0,0,ROUND('Quant. mod. (oc)'!T493,0))</f>
        <v>1</v>
      </c>
      <c r="U493" s="125">
        <f>IF('Quant. mod. (oc)'!U493&lt;0,0,ROUND('Quant. mod. (oc)'!U493,0))</f>
        <v>1</v>
      </c>
      <c r="V493" s="125">
        <f>IF('Quant. mod. (oc)'!V493&lt;0,0,ROUND('Quant. mod. (oc)'!V493,0))</f>
        <v>1</v>
      </c>
      <c r="W493" s="125">
        <f>IF('Quant. mod. (oc)'!W493&lt;0,0,ROUND('Quant. mod. (oc)'!W493,0))</f>
        <v>1</v>
      </c>
      <c r="X493" s="125">
        <f>IF('Quant. mod. (oc)'!X493&lt;0,0,ROUND('Quant. mod. (oc)'!X493,0))</f>
        <v>1</v>
      </c>
      <c r="Y493" s="125">
        <f>IF('Quant. mod. (oc)'!Y493&lt;0,0,ROUND('Quant. mod. (oc)'!Y493,0))</f>
        <v>1</v>
      </c>
      <c r="Z493" s="125">
        <f>IF('Quant. mod. (oc)'!Z493&lt;0,0,ROUND('Quant. mod. (oc)'!Z493,0))</f>
        <v>1</v>
      </c>
      <c r="AA493" s="125">
        <f>IF('Quant. mod. (oc)'!AA493&lt;0,0,ROUND('Quant. mod. (oc)'!AA493,0))</f>
        <v>1</v>
      </c>
      <c r="AB493" s="125">
        <f>IF('Quant. mod. (oc)'!AB493&lt;0,0,ROUND('Quant. mod. (oc)'!AB493,0))</f>
        <v>1</v>
      </c>
      <c r="AC493" s="125">
        <f>IF('Quant. mod. (oc)'!AC493&lt;0,0,ROUND('Quant. mod. (oc)'!AC493,0))</f>
        <v>1</v>
      </c>
      <c r="AD493" s="125">
        <f>IF('Quant. mod. (oc)'!AD493&lt;0,0,ROUND('Quant. mod. (oc)'!AD493,0))</f>
        <v>1</v>
      </c>
      <c r="AE493" s="125">
        <f>IF('Quant. mod. (oc)'!AE493&lt;0,0,ROUND('Quant. mod. (oc)'!AE493,0))</f>
        <v>1</v>
      </c>
      <c r="AF493" s="125">
        <f>IF('Quant. mod. (oc)'!AF493&lt;0,0,ROUND('Quant. mod. (oc)'!AF493,0))</f>
        <v>1</v>
      </c>
      <c r="AG493" s="126">
        <f>IF('Quant. mod. (oc)'!AG493&lt;0,0,ROUND('Quant. mod. (oc)'!AG493,0))</f>
        <v>1</v>
      </c>
      <c r="AH493" s="22"/>
    </row>
    <row r="494" spans="1:34" x14ac:dyDescent="0.25">
      <c r="A494" s="112"/>
      <c r="B494" s="136" t="s">
        <v>114</v>
      </c>
      <c r="C494" s="67" t="s">
        <v>59</v>
      </c>
      <c r="D494" s="125">
        <f>IF('Quant. mod. (oc)'!D494&lt;0,0,ROUND('Quant. mod. (oc)'!D494,0))</f>
        <v>1</v>
      </c>
      <c r="E494" s="125">
        <f>IF('Quant. mod. (oc)'!E494&lt;0,0,ROUND('Quant. mod. (oc)'!E494,0))</f>
        <v>1</v>
      </c>
      <c r="F494" s="125">
        <f>IF('Quant. mod. (oc)'!F494&lt;0,0,ROUND('Quant. mod. (oc)'!F494,0))</f>
        <v>1</v>
      </c>
      <c r="G494" s="125">
        <f>IF('Quant. mod. (oc)'!G494&lt;0,0,ROUND('Quant. mod. (oc)'!G494,0))</f>
        <v>1</v>
      </c>
      <c r="H494" s="125">
        <f>IF('Quant. mod. (oc)'!H494&lt;0,0,ROUND('Quant. mod. (oc)'!H494,0))</f>
        <v>1</v>
      </c>
      <c r="I494" s="125">
        <f>IF('Quant. mod. (oc)'!I494&lt;0,0,ROUND('Quant. mod. (oc)'!I494,0))</f>
        <v>1</v>
      </c>
      <c r="J494" s="125">
        <f>IF('Quant. mod. (oc)'!J494&lt;0,0,ROUND('Quant. mod. (oc)'!J494,0))</f>
        <v>1</v>
      </c>
      <c r="K494" s="125">
        <f>IF('Quant. mod. (oc)'!K494&lt;0,0,ROUND('Quant. mod. (oc)'!K494,0))</f>
        <v>1</v>
      </c>
      <c r="L494" s="125">
        <f>IF('Quant. mod. (oc)'!L494&lt;0,0,ROUND('Quant. mod. (oc)'!L494,0))</f>
        <v>1</v>
      </c>
      <c r="M494" s="125">
        <f>IF('Quant. mod. (oc)'!M494&lt;0,0,ROUND('Quant. mod. (oc)'!M494,0))</f>
        <v>1</v>
      </c>
      <c r="N494" s="125">
        <f>IF('Quant. mod. (oc)'!N494&lt;0,0,ROUND('Quant. mod. (oc)'!N494,0))</f>
        <v>1</v>
      </c>
      <c r="O494" s="125">
        <f>IF('Quant. mod. (oc)'!O494&lt;0,0,ROUND('Quant. mod. (oc)'!O494,0))</f>
        <v>1</v>
      </c>
      <c r="P494" s="125">
        <f>IF('Quant. mod. (oc)'!P494&lt;0,0,ROUND('Quant. mod. (oc)'!P494,0))</f>
        <v>1</v>
      </c>
      <c r="Q494" s="125">
        <f>IF('Quant. mod. (oc)'!Q494&lt;0,0,ROUND('Quant. mod. (oc)'!Q494,0))</f>
        <v>1</v>
      </c>
      <c r="R494" s="125">
        <f>IF('Quant. mod. (oc)'!R494&lt;0,0,ROUND('Quant. mod. (oc)'!R494,0))</f>
        <v>1</v>
      </c>
      <c r="S494" s="125">
        <f>IF('Quant. mod. (oc)'!S494&lt;0,0,ROUND('Quant. mod. (oc)'!S494,0))</f>
        <v>1</v>
      </c>
      <c r="T494" s="125">
        <f>IF('Quant. mod. (oc)'!T494&lt;0,0,ROUND('Quant. mod. (oc)'!T494,0))</f>
        <v>1</v>
      </c>
      <c r="U494" s="125">
        <f>IF('Quant. mod. (oc)'!U494&lt;0,0,ROUND('Quant. mod. (oc)'!U494,0))</f>
        <v>1</v>
      </c>
      <c r="V494" s="125">
        <f>IF('Quant. mod. (oc)'!V494&lt;0,0,ROUND('Quant. mod. (oc)'!V494,0))</f>
        <v>1</v>
      </c>
      <c r="W494" s="125">
        <f>IF('Quant. mod. (oc)'!W494&lt;0,0,ROUND('Quant. mod. (oc)'!W494,0))</f>
        <v>1</v>
      </c>
      <c r="X494" s="125">
        <f>IF('Quant. mod. (oc)'!X494&lt;0,0,ROUND('Quant. mod. (oc)'!X494,0))</f>
        <v>1</v>
      </c>
      <c r="Y494" s="125">
        <f>IF('Quant. mod. (oc)'!Y494&lt;0,0,ROUND('Quant. mod. (oc)'!Y494,0))</f>
        <v>1</v>
      </c>
      <c r="Z494" s="125">
        <f>IF('Quant. mod. (oc)'!Z494&lt;0,0,ROUND('Quant. mod. (oc)'!Z494,0))</f>
        <v>1</v>
      </c>
      <c r="AA494" s="125">
        <f>IF('Quant. mod. (oc)'!AA494&lt;0,0,ROUND('Quant. mod. (oc)'!AA494,0))</f>
        <v>1</v>
      </c>
      <c r="AB494" s="125">
        <f>IF('Quant. mod. (oc)'!AB494&lt;0,0,ROUND('Quant. mod. (oc)'!AB494,0))</f>
        <v>1</v>
      </c>
      <c r="AC494" s="125">
        <f>IF('Quant. mod. (oc)'!AC494&lt;0,0,ROUND('Quant. mod. (oc)'!AC494,0))</f>
        <v>1</v>
      </c>
      <c r="AD494" s="125">
        <f>IF('Quant. mod. (oc)'!AD494&lt;0,0,ROUND('Quant. mod. (oc)'!AD494,0))</f>
        <v>1</v>
      </c>
      <c r="AE494" s="125">
        <f>IF('Quant. mod. (oc)'!AE494&lt;0,0,ROUND('Quant. mod. (oc)'!AE494,0))</f>
        <v>1</v>
      </c>
      <c r="AF494" s="125">
        <f>IF('Quant. mod. (oc)'!AF494&lt;0,0,ROUND('Quant. mod. (oc)'!AF494,0))</f>
        <v>1</v>
      </c>
      <c r="AG494" s="126">
        <f>IF('Quant. mod. (oc)'!AG494&lt;0,0,ROUND('Quant. mod. (oc)'!AG494,0))</f>
        <v>1</v>
      </c>
      <c r="AH494" s="22"/>
    </row>
    <row r="495" spans="1:34" x14ac:dyDescent="0.25">
      <c r="A495" s="112"/>
      <c r="B495" s="136" t="s">
        <v>115</v>
      </c>
      <c r="C495" s="67" t="s">
        <v>59</v>
      </c>
      <c r="D495" s="125">
        <f>IF('Quant. mod. (oc)'!D495&lt;0,0,ROUND('Quant. mod. (oc)'!D495,0))</f>
        <v>1</v>
      </c>
      <c r="E495" s="125">
        <f>IF('Quant. mod. (oc)'!E495&lt;0,0,ROUND('Quant. mod. (oc)'!E495,0))</f>
        <v>1</v>
      </c>
      <c r="F495" s="125">
        <f>IF('Quant. mod. (oc)'!F495&lt;0,0,ROUND('Quant. mod. (oc)'!F495,0))</f>
        <v>1</v>
      </c>
      <c r="G495" s="125">
        <f>IF('Quant. mod. (oc)'!G495&lt;0,0,ROUND('Quant. mod. (oc)'!G495,0))</f>
        <v>1</v>
      </c>
      <c r="H495" s="125">
        <f>IF('Quant. mod. (oc)'!H495&lt;0,0,ROUND('Quant. mod. (oc)'!H495,0))</f>
        <v>1</v>
      </c>
      <c r="I495" s="125">
        <f>IF('Quant. mod. (oc)'!I495&lt;0,0,ROUND('Quant. mod. (oc)'!I495,0))</f>
        <v>1</v>
      </c>
      <c r="J495" s="125">
        <f>IF('Quant. mod. (oc)'!J495&lt;0,0,ROUND('Quant. mod. (oc)'!J495,0))</f>
        <v>1</v>
      </c>
      <c r="K495" s="125">
        <f>IF('Quant. mod. (oc)'!K495&lt;0,0,ROUND('Quant. mod. (oc)'!K495,0))</f>
        <v>1</v>
      </c>
      <c r="L495" s="125">
        <f>IF('Quant. mod. (oc)'!L495&lt;0,0,ROUND('Quant. mod. (oc)'!L495,0))</f>
        <v>1</v>
      </c>
      <c r="M495" s="125">
        <f>IF('Quant. mod. (oc)'!M495&lt;0,0,ROUND('Quant. mod. (oc)'!M495,0))</f>
        <v>1</v>
      </c>
      <c r="N495" s="125">
        <f>IF('Quant. mod. (oc)'!N495&lt;0,0,ROUND('Quant. mod. (oc)'!N495,0))</f>
        <v>1</v>
      </c>
      <c r="O495" s="125">
        <f>IF('Quant. mod. (oc)'!O495&lt;0,0,ROUND('Quant. mod. (oc)'!O495,0))</f>
        <v>1</v>
      </c>
      <c r="P495" s="125">
        <f>IF('Quant. mod. (oc)'!P495&lt;0,0,ROUND('Quant. mod. (oc)'!P495,0))</f>
        <v>1</v>
      </c>
      <c r="Q495" s="125">
        <f>IF('Quant. mod. (oc)'!Q495&lt;0,0,ROUND('Quant. mod. (oc)'!Q495,0))</f>
        <v>1</v>
      </c>
      <c r="R495" s="125">
        <f>IF('Quant. mod. (oc)'!R495&lt;0,0,ROUND('Quant. mod. (oc)'!R495,0))</f>
        <v>1</v>
      </c>
      <c r="S495" s="125">
        <f>IF('Quant. mod. (oc)'!S495&lt;0,0,ROUND('Quant. mod. (oc)'!S495,0))</f>
        <v>1</v>
      </c>
      <c r="T495" s="125">
        <f>IF('Quant. mod. (oc)'!T495&lt;0,0,ROUND('Quant. mod. (oc)'!T495,0))</f>
        <v>1</v>
      </c>
      <c r="U495" s="125">
        <f>IF('Quant. mod. (oc)'!U495&lt;0,0,ROUND('Quant. mod. (oc)'!U495,0))</f>
        <v>1</v>
      </c>
      <c r="V495" s="125">
        <f>IF('Quant. mod. (oc)'!V495&lt;0,0,ROUND('Quant. mod. (oc)'!V495,0))</f>
        <v>1</v>
      </c>
      <c r="W495" s="125">
        <f>IF('Quant. mod. (oc)'!W495&lt;0,0,ROUND('Quant. mod. (oc)'!W495,0))</f>
        <v>1</v>
      </c>
      <c r="X495" s="125">
        <f>IF('Quant. mod. (oc)'!X495&lt;0,0,ROUND('Quant. mod. (oc)'!X495,0))</f>
        <v>1</v>
      </c>
      <c r="Y495" s="125">
        <f>IF('Quant. mod. (oc)'!Y495&lt;0,0,ROUND('Quant. mod. (oc)'!Y495,0))</f>
        <v>1</v>
      </c>
      <c r="Z495" s="125">
        <f>IF('Quant. mod. (oc)'!Z495&lt;0,0,ROUND('Quant. mod. (oc)'!Z495,0))</f>
        <v>1</v>
      </c>
      <c r="AA495" s="125">
        <f>IF('Quant. mod. (oc)'!AA495&lt;0,0,ROUND('Quant. mod. (oc)'!AA495,0))</f>
        <v>1</v>
      </c>
      <c r="AB495" s="125">
        <f>IF('Quant. mod. (oc)'!AB495&lt;0,0,ROUND('Quant. mod. (oc)'!AB495,0))</f>
        <v>1</v>
      </c>
      <c r="AC495" s="125">
        <f>IF('Quant. mod. (oc)'!AC495&lt;0,0,ROUND('Quant. mod. (oc)'!AC495,0))</f>
        <v>1</v>
      </c>
      <c r="AD495" s="125">
        <f>IF('Quant. mod. (oc)'!AD495&lt;0,0,ROUND('Quant. mod. (oc)'!AD495,0))</f>
        <v>1</v>
      </c>
      <c r="AE495" s="125">
        <f>IF('Quant. mod. (oc)'!AE495&lt;0,0,ROUND('Quant. mod. (oc)'!AE495,0))</f>
        <v>1</v>
      </c>
      <c r="AF495" s="125">
        <f>IF('Quant. mod. (oc)'!AF495&lt;0,0,ROUND('Quant. mod. (oc)'!AF495,0))</f>
        <v>1</v>
      </c>
      <c r="AG495" s="126">
        <f>IF('Quant. mod. (oc)'!AG495&lt;0,0,ROUND('Quant. mod. (oc)'!AG495,0))</f>
        <v>1</v>
      </c>
      <c r="AH495" s="22"/>
    </row>
    <row r="496" spans="1:34" x14ac:dyDescent="0.25">
      <c r="A496" s="112"/>
      <c r="B496" s="136" t="s">
        <v>116</v>
      </c>
      <c r="C496" s="67" t="s">
        <v>59</v>
      </c>
      <c r="D496" s="125">
        <f>IF('Quant. mod. (oc)'!D496&lt;0,0,ROUND('Quant. mod. (oc)'!D496,0))</f>
        <v>1</v>
      </c>
      <c r="E496" s="125">
        <f>IF('Quant. mod. (oc)'!E496&lt;0,0,ROUND('Quant. mod. (oc)'!E496,0))</f>
        <v>1</v>
      </c>
      <c r="F496" s="125">
        <f>IF('Quant. mod. (oc)'!F496&lt;0,0,ROUND('Quant. mod. (oc)'!F496,0))</f>
        <v>1</v>
      </c>
      <c r="G496" s="125">
        <f>IF('Quant. mod. (oc)'!G496&lt;0,0,ROUND('Quant. mod. (oc)'!G496,0))</f>
        <v>1</v>
      </c>
      <c r="H496" s="125">
        <f>IF('Quant. mod. (oc)'!H496&lt;0,0,ROUND('Quant. mod. (oc)'!H496,0))</f>
        <v>1</v>
      </c>
      <c r="I496" s="125">
        <f>IF('Quant. mod. (oc)'!I496&lt;0,0,ROUND('Quant. mod. (oc)'!I496,0))</f>
        <v>1</v>
      </c>
      <c r="J496" s="125">
        <f>IF('Quant. mod. (oc)'!J496&lt;0,0,ROUND('Quant. mod. (oc)'!J496,0))</f>
        <v>1</v>
      </c>
      <c r="K496" s="125">
        <f>IF('Quant. mod. (oc)'!K496&lt;0,0,ROUND('Quant. mod. (oc)'!K496,0))</f>
        <v>1</v>
      </c>
      <c r="L496" s="125">
        <f>IF('Quant. mod. (oc)'!L496&lt;0,0,ROUND('Quant. mod. (oc)'!L496,0))</f>
        <v>1</v>
      </c>
      <c r="M496" s="125">
        <f>IF('Quant. mod. (oc)'!M496&lt;0,0,ROUND('Quant. mod. (oc)'!M496,0))</f>
        <v>1</v>
      </c>
      <c r="N496" s="125">
        <f>IF('Quant. mod. (oc)'!N496&lt;0,0,ROUND('Quant. mod. (oc)'!N496,0))</f>
        <v>1</v>
      </c>
      <c r="O496" s="125">
        <f>IF('Quant. mod. (oc)'!O496&lt;0,0,ROUND('Quant. mod. (oc)'!O496,0))</f>
        <v>1</v>
      </c>
      <c r="P496" s="125">
        <f>IF('Quant. mod. (oc)'!P496&lt;0,0,ROUND('Quant. mod. (oc)'!P496,0))</f>
        <v>1</v>
      </c>
      <c r="Q496" s="125">
        <f>IF('Quant. mod. (oc)'!Q496&lt;0,0,ROUND('Quant. mod. (oc)'!Q496,0))</f>
        <v>1</v>
      </c>
      <c r="R496" s="125">
        <f>IF('Quant. mod. (oc)'!R496&lt;0,0,ROUND('Quant. mod. (oc)'!R496,0))</f>
        <v>1</v>
      </c>
      <c r="S496" s="125">
        <f>IF('Quant. mod. (oc)'!S496&lt;0,0,ROUND('Quant. mod. (oc)'!S496,0))</f>
        <v>1</v>
      </c>
      <c r="T496" s="125">
        <f>IF('Quant. mod. (oc)'!T496&lt;0,0,ROUND('Quant. mod. (oc)'!T496,0))</f>
        <v>1</v>
      </c>
      <c r="U496" s="125">
        <f>IF('Quant. mod. (oc)'!U496&lt;0,0,ROUND('Quant. mod. (oc)'!U496,0))</f>
        <v>1</v>
      </c>
      <c r="V496" s="125">
        <f>IF('Quant. mod. (oc)'!V496&lt;0,0,ROUND('Quant. mod. (oc)'!V496,0))</f>
        <v>1</v>
      </c>
      <c r="W496" s="125">
        <f>IF('Quant. mod. (oc)'!W496&lt;0,0,ROUND('Quant. mod. (oc)'!W496,0))</f>
        <v>1</v>
      </c>
      <c r="X496" s="125">
        <f>IF('Quant. mod. (oc)'!X496&lt;0,0,ROUND('Quant. mod. (oc)'!X496,0))</f>
        <v>1</v>
      </c>
      <c r="Y496" s="125">
        <f>IF('Quant. mod. (oc)'!Y496&lt;0,0,ROUND('Quant. mod. (oc)'!Y496,0))</f>
        <v>1</v>
      </c>
      <c r="Z496" s="125">
        <f>IF('Quant. mod. (oc)'!Z496&lt;0,0,ROUND('Quant. mod. (oc)'!Z496,0))</f>
        <v>1</v>
      </c>
      <c r="AA496" s="125">
        <f>IF('Quant. mod. (oc)'!AA496&lt;0,0,ROUND('Quant. mod. (oc)'!AA496,0))</f>
        <v>1</v>
      </c>
      <c r="AB496" s="125">
        <f>IF('Quant. mod. (oc)'!AB496&lt;0,0,ROUND('Quant. mod. (oc)'!AB496,0))</f>
        <v>1</v>
      </c>
      <c r="AC496" s="125">
        <f>IF('Quant. mod. (oc)'!AC496&lt;0,0,ROUND('Quant. mod. (oc)'!AC496,0))</f>
        <v>1</v>
      </c>
      <c r="AD496" s="125">
        <f>IF('Quant. mod. (oc)'!AD496&lt;0,0,ROUND('Quant. mod. (oc)'!AD496,0))</f>
        <v>1</v>
      </c>
      <c r="AE496" s="125">
        <f>IF('Quant. mod. (oc)'!AE496&lt;0,0,ROUND('Quant. mod. (oc)'!AE496,0))</f>
        <v>1</v>
      </c>
      <c r="AF496" s="125">
        <f>IF('Quant. mod. (oc)'!AF496&lt;0,0,ROUND('Quant. mod. (oc)'!AF496,0))</f>
        <v>1</v>
      </c>
      <c r="AG496" s="126">
        <f>IF('Quant. mod. (oc)'!AG496&lt;0,0,ROUND('Quant. mod. (oc)'!AG496,0))</f>
        <v>1</v>
      </c>
      <c r="AH496" s="22"/>
    </row>
    <row r="497" spans="1:34" x14ac:dyDescent="0.25">
      <c r="A497" s="112"/>
      <c r="B497" s="136" t="s">
        <v>117</v>
      </c>
      <c r="C497" s="67" t="s">
        <v>59</v>
      </c>
      <c r="D497" s="125">
        <f>IF('Quant. mod. (oc)'!D497&lt;0,0,ROUND('Quant. mod. (oc)'!D497,0))</f>
        <v>1</v>
      </c>
      <c r="E497" s="125">
        <f>IF('Quant. mod. (oc)'!E497&lt;0,0,ROUND('Quant. mod. (oc)'!E497,0))</f>
        <v>1</v>
      </c>
      <c r="F497" s="125">
        <f>IF('Quant. mod. (oc)'!F497&lt;0,0,ROUND('Quant. mod. (oc)'!F497,0))</f>
        <v>1</v>
      </c>
      <c r="G497" s="125">
        <f>IF('Quant. mod. (oc)'!G497&lt;0,0,ROUND('Quant. mod. (oc)'!G497,0))</f>
        <v>1</v>
      </c>
      <c r="H497" s="125">
        <f>IF('Quant. mod. (oc)'!H497&lt;0,0,ROUND('Quant. mod. (oc)'!H497,0))</f>
        <v>1</v>
      </c>
      <c r="I497" s="125">
        <f>IF('Quant. mod. (oc)'!I497&lt;0,0,ROUND('Quant. mod. (oc)'!I497,0))</f>
        <v>1</v>
      </c>
      <c r="J497" s="125">
        <f>IF('Quant. mod. (oc)'!J497&lt;0,0,ROUND('Quant. mod. (oc)'!J497,0))</f>
        <v>1</v>
      </c>
      <c r="K497" s="125">
        <f>IF('Quant. mod. (oc)'!K497&lt;0,0,ROUND('Quant. mod. (oc)'!K497,0))</f>
        <v>1</v>
      </c>
      <c r="L497" s="125">
        <f>IF('Quant. mod. (oc)'!L497&lt;0,0,ROUND('Quant. mod. (oc)'!L497,0))</f>
        <v>1</v>
      </c>
      <c r="M497" s="125">
        <f>IF('Quant. mod. (oc)'!M497&lt;0,0,ROUND('Quant. mod. (oc)'!M497,0))</f>
        <v>1</v>
      </c>
      <c r="N497" s="125">
        <f>IF('Quant. mod. (oc)'!N497&lt;0,0,ROUND('Quant. mod. (oc)'!N497,0))</f>
        <v>1</v>
      </c>
      <c r="O497" s="125">
        <f>IF('Quant. mod. (oc)'!O497&lt;0,0,ROUND('Quant. mod. (oc)'!O497,0))</f>
        <v>1</v>
      </c>
      <c r="P497" s="125">
        <f>IF('Quant. mod. (oc)'!P497&lt;0,0,ROUND('Quant. mod. (oc)'!P497,0))</f>
        <v>1</v>
      </c>
      <c r="Q497" s="125">
        <f>IF('Quant. mod. (oc)'!Q497&lt;0,0,ROUND('Quant. mod. (oc)'!Q497,0))</f>
        <v>1</v>
      </c>
      <c r="R497" s="125">
        <f>IF('Quant. mod. (oc)'!R497&lt;0,0,ROUND('Quant. mod. (oc)'!R497,0))</f>
        <v>1</v>
      </c>
      <c r="S497" s="125">
        <f>IF('Quant. mod. (oc)'!S497&lt;0,0,ROUND('Quant. mod. (oc)'!S497,0))</f>
        <v>1</v>
      </c>
      <c r="T497" s="125">
        <f>IF('Quant. mod. (oc)'!T497&lt;0,0,ROUND('Quant. mod. (oc)'!T497,0))</f>
        <v>1</v>
      </c>
      <c r="U497" s="125">
        <f>IF('Quant. mod. (oc)'!U497&lt;0,0,ROUND('Quant. mod. (oc)'!U497,0))</f>
        <v>1</v>
      </c>
      <c r="V497" s="125">
        <f>IF('Quant. mod. (oc)'!V497&lt;0,0,ROUND('Quant. mod. (oc)'!V497,0))</f>
        <v>1</v>
      </c>
      <c r="W497" s="125">
        <f>IF('Quant. mod. (oc)'!W497&lt;0,0,ROUND('Quant. mod. (oc)'!W497,0))</f>
        <v>1</v>
      </c>
      <c r="X497" s="125">
        <f>IF('Quant. mod. (oc)'!X497&lt;0,0,ROUND('Quant. mod. (oc)'!X497,0))</f>
        <v>1</v>
      </c>
      <c r="Y497" s="125">
        <f>IF('Quant. mod. (oc)'!Y497&lt;0,0,ROUND('Quant. mod. (oc)'!Y497,0))</f>
        <v>1</v>
      </c>
      <c r="Z497" s="125">
        <f>IF('Quant. mod. (oc)'!Z497&lt;0,0,ROUND('Quant. mod. (oc)'!Z497,0))</f>
        <v>1</v>
      </c>
      <c r="AA497" s="125">
        <f>IF('Quant. mod. (oc)'!AA497&lt;0,0,ROUND('Quant. mod. (oc)'!AA497,0))</f>
        <v>1</v>
      </c>
      <c r="AB497" s="125">
        <f>IF('Quant. mod. (oc)'!AB497&lt;0,0,ROUND('Quant. mod. (oc)'!AB497,0))</f>
        <v>1</v>
      </c>
      <c r="AC497" s="125">
        <f>IF('Quant. mod. (oc)'!AC497&lt;0,0,ROUND('Quant. mod. (oc)'!AC497,0))</f>
        <v>1</v>
      </c>
      <c r="AD497" s="125">
        <f>IF('Quant. mod. (oc)'!AD497&lt;0,0,ROUND('Quant. mod. (oc)'!AD497,0))</f>
        <v>1</v>
      </c>
      <c r="AE497" s="125">
        <f>IF('Quant. mod. (oc)'!AE497&lt;0,0,ROUND('Quant. mod. (oc)'!AE497,0))</f>
        <v>1</v>
      </c>
      <c r="AF497" s="125">
        <f>IF('Quant. mod. (oc)'!AF497&lt;0,0,ROUND('Quant. mod. (oc)'!AF497,0))</f>
        <v>1</v>
      </c>
      <c r="AG497" s="126">
        <f>IF('Quant. mod. (oc)'!AG497&lt;0,0,ROUND('Quant. mod. (oc)'!AG497,0))</f>
        <v>1</v>
      </c>
      <c r="AH497" s="22"/>
    </row>
    <row r="498" spans="1:34" x14ac:dyDescent="0.25">
      <c r="A498" s="112"/>
      <c r="B498" s="136" t="s">
        <v>118</v>
      </c>
      <c r="C498" s="67" t="s">
        <v>59</v>
      </c>
      <c r="D498" s="125">
        <f>IF('Quant. mod. (oc)'!D498&lt;0,0,ROUND('Quant. mod. (oc)'!D498,0))</f>
        <v>1</v>
      </c>
      <c r="E498" s="125">
        <f>IF('Quant. mod. (oc)'!E498&lt;0,0,ROUND('Quant. mod. (oc)'!E498,0))</f>
        <v>1</v>
      </c>
      <c r="F498" s="125">
        <f>IF('Quant. mod. (oc)'!F498&lt;0,0,ROUND('Quant. mod. (oc)'!F498,0))</f>
        <v>1</v>
      </c>
      <c r="G498" s="125">
        <f>IF('Quant. mod. (oc)'!G498&lt;0,0,ROUND('Quant. mod. (oc)'!G498,0))</f>
        <v>1</v>
      </c>
      <c r="H498" s="125">
        <f>IF('Quant. mod. (oc)'!H498&lt;0,0,ROUND('Quant. mod. (oc)'!H498,0))</f>
        <v>1</v>
      </c>
      <c r="I498" s="125">
        <f>IF('Quant. mod. (oc)'!I498&lt;0,0,ROUND('Quant. mod. (oc)'!I498,0))</f>
        <v>1</v>
      </c>
      <c r="J498" s="125">
        <f>IF('Quant. mod. (oc)'!J498&lt;0,0,ROUND('Quant. mod. (oc)'!J498,0))</f>
        <v>1</v>
      </c>
      <c r="K498" s="125">
        <f>IF('Quant. mod. (oc)'!K498&lt;0,0,ROUND('Quant. mod. (oc)'!K498,0))</f>
        <v>1</v>
      </c>
      <c r="L498" s="125">
        <f>IF('Quant. mod. (oc)'!L498&lt;0,0,ROUND('Quant. mod. (oc)'!L498,0))</f>
        <v>1</v>
      </c>
      <c r="M498" s="125">
        <f>IF('Quant. mod. (oc)'!M498&lt;0,0,ROUND('Quant. mod. (oc)'!M498,0))</f>
        <v>1</v>
      </c>
      <c r="N498" s="125">
        <f>IF('Quant. mod. (oc)'!N498&lt;0,0,ROUND('Quant. mod. (oc)'!N498,0))</f>
        <v>1</v>
      </c>
      <c r="O498" s="125">
        <f>IF('Quant. mod. (oc)'!O498&lt;0,0,ROUND('Quant. mod. (oc)'!O498,0))</f>
        <v>1</v>
      </c>
      <c r="P498" s="125">
        <f>IF('Quant. mod. (oc)'!P498&lt;0,0,ROUND('Quant. mod. (oc)'!P498,0))</f>
        <v>1</v>
      </c>
      <c r="Q498" s="125">
        <f>IF('Quant. mod. (oc)'!Q498&lt;0,0,ROUND('Quant. mod. (oc)'!Q498,0))</f>
        <v>1</v>
      </c>
      <c r="R498" s="125">
        <f>IF('Quant. mod. (oc)'!R498&lt;0,0,ROUND('Quant. mod. (oc)'!R498,0))</f>
        <v>1</v>
      </c>
      <c r="S498" s="125">
        <f>IF('Quant. mod. (oc)'!S498&lt;0,0,ROUND('Quant. mod. (oc)'!S498,0))</f>
        <v>1</v>
      </c>
      <c r="T498" s="125">
        <f>IF('Quant. mod. (oc)'!T498&lt;0,0,ROUND('Quant. mod. (oc)'!T498,0))</f>
        <v>1</v>
      </c>
      <c r="U498" s="125">
        <f>IF('Quant. mod. (oc)'!U498&lt;0,0,ROUND('Quant. mod. (oc)'!U498,0))</f>
        <v>1</v>
      </c>
      <c r="V498" s="125">
        <f>IF('Quant. mod. (oc)'!V498&lt;0,0,ROUND('Quant. mod. (oc)'!V498,0))</f>
        <v>1</v>
      </c>
      <c r="W498" s="125">
        <f>IF('Quant. mod. (oc)'!W498&lt;0,0,ROUND('Quant. mod. (oc)'!W498,0))</f>
        <v>1</v>
      </c>
      <c r="X498" s="125">
        <f>IF('Quant. mod. (oc)'!X498&lt;0,0,ROUND('Quant. mod. (oc)'!X498,0))</f>
        <v>1</v>
      </c>
      <c r="Y498" s="125">
        <f>IF('Quant. mod. (oc)'!Y498&lt;0,0,ROUND('Quant. mod. (oc)'!Y498,0))</f>
        <v>1</v>
      </c>
      <c r="Z498" s="125">
        <f>IF('Quant. mod. (oc)'!Z498&lt;0,0,ROUND('Quant. mod. (oc)'!Z498,0))</f>
        <v>1</v>
      </c>
      <c r="AA498" s="125">
        <f>IF('Quant. mod. (oc)'!AA498&lt;0,0,ROUND('Quant. mod. (oc)'!AA498,0))</f>
        <v>1</v>
      </c>
      <c r="AB498" s="125">
        <f>IF('Quant. mod. (oc)'!AB498&lt;0,0,ROUND('Quant. mod. (oc)'!AB498,0))</f>
        <v>1</v>
      </c>
      <c r="AC498" s="125">
        <f>IF('Quant. mod. (oc)'!AC498&lt;0,0,ROUND('Quant. mod. (oc)'!AC498,0))</f>
        <v>1</v>
      </c>
      <c r="AD498" s="125">
        <f>IF('Quant. mod. (oc)'!AD498&lt;0,0,ROUND('Quant. mod. (oc)'!AD498,0))</f>
        <v>1</v>
      </c>
      <c r="AE498" s="125">
        <f>IF('Quant. mod. (oc)'!AE498&lt;0,0,ROUND('Quant. mod. (oc)'!AE498,0))</f>
        <v>1</v>
      </c>
      <c r="AF498" s="125">
        <f>IF('Quant. mod. (oc)'!AF498&lt;0,0,ROUND('Quant. mod. (oc)'!AF498,0))</f>
        <v>1</v>
      </c>
      <c r="AG498" s="126">
        <f>IF('Quant. mod. (oc)'!AG498&lt;0,0,ROUND('Quant. mod. (oc)'!AG498,0))</f>
        <v>1</v>
      </c>
      <c r="AH498" s="22"/>
    </row>
    <row r="499" spans="1:34" x14ac:dyDescent="0.25">
      <c r="A499" s="112"/>
      <c r="B499" s="136" t="s">
        <v>119</v>
      </c>
      <c r="C499" s="67" t="s">
        <v>59</v>
      </c>
      <c r="D499" s="125">
        <f>IF('Quant. mod. (oc)'!D499&lt;0,0,ROUND('Quant. mod. (oc)'!D499,0))</f>
        <v>1</v>
      </c>
      <c r="E499" s="125">
        <f>IF('Quant. mod. (oc)'!E499&lt;0,0,ROUND('Quant. mod. (oc)'!E499,0))</f>
        <v>1</v>
      </c>
      <c r="F499" s="125">
        <f>IF('Quant. mod. (oc)'!F499&lt;0,0,ROUND('Quant. mod. (oc)'!F499,0))</f>
        <v>1</v>
      </c>
      <c r="G499" s="125">
        <f>IF('Quant. mod. (oc)'!G499&lt;0,0,ROUND('Quant. mod. (oc)'!G499,0))</f>
        <v>1</v>
      </c>
      <c r="H499" s="125">
        <f>IF('Quant. mod. (oc)'!H499&lt;0,0,ROUND('Quant. mod. (oc)'!H499,0))</f>
        <v>1</v>
      </c>
      <c r="I499" s="125">
        <f>IF('Quant. mod. (oc)'!I499&lt;0,0,ROUND('Quant. mod. (oc)'!I499,0))</f>
        <v>1</v>
      </c>
      <c r="J499" s="125">
        <f>IF('Quant. mod. (oc)'!J499&lt;0,0,ROUND('Quant. mod. (oc)'!J499,0))</f>
        <v>1</v>
      </c>
      <c r="K499" s="125">
        <f>IF('Quant. mod. (oc)'!K499&lt;0,0,ROUND('Quant. mod. (oc)'!K499,0))</f>
        <v>1</v>
      </c>
      <c r="L499" s="125">
        <f>IF('Quant. mod. (oc)'!L499&lt;0,0,ROUND('Quant. mod. (oc)'!L499,0))</f>
        <v>1</v>
      </c>
      <c r="M499" s="125">
        <f>IF('Quant. mod. (oc)'!M499&lt;0,0,ROUND('Quant. mod. (oc)'!M499,0))</f>
        <v>1</v>
      </c>
      <c r="N499" s="125">
        <f>IF('Quant. mod. (oc)'!N499&lt;0,0,ROUND('Quant. mod. (oc)'!N499,0))</f>
        <v>1</v>
      </c>
      <c r="O499" s="125">
        <f>IF('Quant. mod. (oc)'!O499&lt;0,0,ROUND('Quant. mod. (oc)'!O499,0))</f>
        <v>1</v>
      </c>
      <c r="P499" s="125">
        <f>IF('Quant. mod. (oc)'!P499&lt;0,0,ROUND('Quant. mod. (oc)'!P499,0))</f>
        <v>1</v>
      </c>
      <c r="Q499" s="125">
        <f>IF('Quant. mod. (oc)'!Q499&lt;0,0,ROUND('Quant. mod. (oc)'!Q499,0))</f>
        <v>1</v>
      </c>
      <c r="R499" s="125">
        <f>IF('Quant. mod. (oc)'!R499&lt;0,0,ROUND('Quant. mod. (oc)'!R499,0))</f>
        <v>1</v>
      </c>
      <c r="S499" s="125">
        <f>IF('Quant. mod. (oc)'!S499&lt;0,0,ROUND('Quant. mod. (oc)'!S499,0))</f>
        <v>1</v>
      </c>
      <c r="T499" s="125">
        <f>IF('Quant. mod. (oc)'!T499&lt;0,0,ROUND('Quant. mod. (oc)'!T499,0))</f>
        <v>1</v>
      </c>
      <c r="U499" s="125">
        <f>IF('Quant. mod. (oc)'!U499&lt;0,0,ROUND('Quant. mod. (oc)'!U499,0))</f>
        <v>1</v>
      </c>
      <c r="V499" s="125">
        <f>IF('Quant. mod. (oc)'!V499&lt;0,0,ROUND('Quant. mod. (oc)'!V499,0))</f>
        <v>1</v>
      </c>
      <c r="W499" s="125">
        <f>IF('Quant. mod. (oc)'!W499&lt;0,0,ROUND('Quant. mod. (oc)'!W499,0))</f>
        <v>1</v>
      </c>
      <c r="X499" s="125">
        <f>IF('Quant. mod. (oc)'!X499&lt;0,0,ROUND('Quant. mod. (oc)'!X499,0))</f>
        <v>1</v>
      </c>
      <c r="Y499" s="125">
        <f>IF('Quant. mod. (oc)'!Y499&lt;0,0,ROUND('Quant. mod. (oc)'!Y499,0))</f>
        <v>1</v>
      </c>
      <c r="Z499" s="125">
        <f>IF('Quant. mod. (oc)'!Z499&lt;0,0,ROUND('Quant. mod. (oc)'!Z499,0))</f>
        <v>1</v>
      </c>
      <c r="AA499" s="125">
        <f>IF('Quant. mod. (oc)'!AA499&lt;0,0,ROUND('Quant. mod. (oc)'!AA499,0))</f>
        <v>1</v>
      </c>
      <c r="AB499" s="125">
        <f>IF('Quant. mod. (oc)'!AB499&lt;0,0,ROUND('Quant. mod. (oc)'!AB499,0))</f>
        <v>1</v>
      </c>
      <c r="AC499" s="125">
        <f>IF('Quant. mod. (oc)'!AC499&lt;0,0,ROUND('Quant. mod. (oc)'!AC499,0))</f>
        <v>1</v>
      </c>
      <c r="AD499" s="125">
        <f>IF('Quant. mod. (oc)'!AD499&lt;0,0,ROUND('Quant. mod. (oc)'!AD499,0))</f>
        <v>1</v>
      </c>
      <c r="AE499" s="125">
        <f>IF('Quant. mod. (oc)'!AE499&lt;0,0,ROUND('Quant. mod. (oc)'!AE499,0))</f>
        <v>1</v>
      </c>
      <c r="AF499" s="125">
        <f>IF('Quant. mod. (oc)'!AF499&lt;0,0,ROUND('Quant. mod. (oc)'!AF499,0))</f>
        <v>1</v>
      </c>
      <c r="AG499" s="126">
        <f>IF('Quant. mod. (oc)'!AG499&lt;0,0,ROUND('Quant. mod. (oc)'!AG499,0))</f>
        <v>1</v>
      </c>
      <c r="AH499" s="22"/>
    </row>
    <row r="500" spans="1:34" x14ac:dyDescent="0.25">
      <c r="A500" s="112"/>
      <c r="B500" s="136" t="s">
        <v>120</v>
      </c>
      <c r="C500" s="67" t="s">
        <v>59</v>
      </c>
      <c r="D500" s="125">
        <f>IF('Quant. mod. (oc)'!D500&lt;0,0,ROUND('Quant. mod. (oc)'!D500,0))</f>
        <v>1</v>
      </c>
      <c r="E500" s="125">
        <f>IF('Quant. mod. (oc)'!E500&lt;0,0,ROUND('Quant. mod. (oc)'!E500,0))</f>
        <v>1</v>
      </c>
      <c r="F500" s="125">
        <f>IF('Quant. mod. (oc)'!F500&lt;0,0,ROUND('Quant. mod. (oc)'!F500,0))</f>
        <v>1</v>
      </c>
      <c r="G500" s="125">
        <f>IF('Quant. mod. (oc)'!G500&lt;0,0,ROUND('Quant. mod. (oc)'!G500,0))</f>
        <v>1</v>
      </c>
      <c r="H500" s="125">
        <f>IF('Quant. mod. (oc)'!H500&lt;0,0,ROUND('Quant. mod. (oc)'!H500,0))</f>
        <v>1</v>
      </c>
      <c r="I500" s="125">
        <f>IF('Quant. mod. (oc)'!I500&lt;0,0,ROUND('Quant. mod. (oc)'!I500,0))</f>
        <v>1</v>
      </c>
      <c r="J500" s="125">
        <f>IF('Quant. mod. (oc)'!J500&lt;0,0,ROUND('Quant. mod. (oc)'!J500,0))</f>
        <v>1</v>
      </c>
      <c r="K500" s="125">
        <f>IF('Quant. mod. (oc)'!K500&lt;0,0,ROUND('Quant. mod. (oc)'!K500,0))</f>
        <v>1</v>
      </c>
      <c r="L500" s="125">
        <f>IF('Quant. mod. (oc)'!L500&lt;0,0,ROUND('Quant. mod. (oc)'!L500,0))</f>
        <v>1</v>
      </c>
      <c r="M500" s="125">
        <f>IF('Quant. mod. (oc)'!M500&lt;0,0,ROUND('Quant. mod. (oc)'!M500,0))</f>
        <v>1</v>
      </c>
      <c r="N500" s="125">
        <f>IF('Quant. mod. (oc)'!N500&lt;0,0,ROUND('Quant. mod. (oc)'!N500,0))</f>
        <v>1</v>
      </c>
      <c r="O500" s="125">
        <f>IF('Quant. mod. (oc)'!O500&lt;0,0,ROUND('Quant. mod. (oc)'!O500,0))</f>
        <v>1</v>
      </c>
      <c r="P500" s="125">
        <f>IF('Quant. mod. (oc)'!P500&lt;0,0,ROUND('Quant. mod. (oc)'!P500,0))</f>
        <v>1</v>
      </c>
      <c r="Q500" s="125">
        <f>IF('Quant. mod. (oc)'!Q500&lt;0,0,ROUND('Quant. mod. (oc)'!Q500,0))</f>
        <v>1</v>
      </c>
      <c r="R500" s="125">
        <f>IF('Quant. mod. (oc)'!R500&lt;0,0,ROUND('Quant. mod. (oc)'!R500,0))</f>
        <v>1</v>
      </c>
      <c r="S500" s="125">
        <f>IF('Quant. mod. (oc)'!S500&lt;0,0,ROUND('Quant. mod. (oc)'!S500,0))</f>
        <v>1</v>
      </c>
      <c r="T500" s="125">
        <f>IF('Quant. mod. (oc)'!T500&lt;0,0,ROUND('Quant. mod. (oc)'!T500,0))</f>
        <v>1</v>
      </c>
      <c r="U500" s="125">
        <f>IF('Quant. mod. (oc)'!U500&lt;0,0,ROUND('Quant. mod. (oc)'!U500,0))</f>
        <v>1</v>
      </c>
      <c r="V500" s="125">
        <f>IF('Quant. mod. (oc)'!V500&lt;0,0,ROUND('Quant. mod. (oc)'!V500,0))</f>
        <v>1</v>
      </c>
      <c r="W500" s="125">
        <f>IF('Quant. mod. (oc)'!W500&lt;0,0,ROUND('Quant. mod. (oc)'!W500,0))</f>
        <v>1</v>
      </c>
      <c r="X500" s="125">
        <f>IF('Quant. mod. (oc)'!X500&lt;0,0,ROUND('Quant. mod. (oc)'!X500,0))</f>
        <v>1</v>
      </c>
      <c r="Y500" s="125">
        <f>IF('Quant. mod. (oc)'!Y500&lt;0,0,ROUND('Quant. mod. (oc)'!Y500,0))</f>
        <v>1</v>
      </c>
      <c r="Z500" s="125">
        <f>IF('Quant. mod. (oc)'!Z500&lt;0,0,ROUND('Quant. mod. (oc)'!Z500,0))</f>
        <v>1</v>
      </c>
      <c r="AA500" s="125">
        <f>IF('Quant. mod. (oc)'!AA500&lt;0,0,ROUND('Quant. mod. (oc)'!AA500,0))</f>
        <v>1</v>
      </c>
      <c r="AB500" s="125">
        <f>IF('Quant. mod. (oc)'!AB500&lt;0,0,ROUND('Quant. mod. (oc)'!AB500,0))</f>
        <v>1</v>
      </c>
      <c r="AC500" s="125">
        <f>IF('Quant. mod. (oc)'!AC500&lt;0,0,ROUND('Quant. mod. (oc)'!AC500,0))</f>
        <v>1</v>
      </c>
      <c r="AD500" s="125">
        <f>IF('Quant. mod. (oc)'!AD500&lt;0,0,ROUND('Quant. mod. (oc)'!AD500,0))</f>
        <v>1</v>
      </c>
      <c r="AE500" s="125">
        <f>IF('Quant. mod. (oc)'!AE500&lt;0,0,ROUND('Quant. mod. (oc)'!AE500,0))</f>
        <v>1</v>
      </c>
      <c r="AF500" s="125">
        <f>IF('Quant. mod. (oc)'!AF500&lt;0,0,ROUND('Quant. mod. (oc)'!AF500,0))</f>
        <v>1</v>
      </c>
      <c r="AG500" s="126">
        <f>IF('Quant. mod. (oc)'!AG500&lt;0,0,ROUND('Quant. mod. (oc)'!AG500,0))</f>
        <v>1</v>
      </c>
      <c r="AH500" s="22"/>
    </row>
    <row r="501" spans="1:34" x14ac:dyDescent="0.25">
      <c r="A501" s="112"/>
      <c r="B501" s="136" t="s">
        <v>121</v>
      </c>
      <c r="C501" s="67" t="s">
        <v>59</v>
      </c>
      <c r="D501" s="125">
        <f>IF('Quant. mod. (oc)'!D501&lt;0,0,ROUND('Quant. mod. (oc)'!D501,0))</f>
        <v>1</v>
      </c>
      <c r="E501" s="125">
        <f>IF('Quant. mod. (oc)'!E501&lt;0,0,ROUND('Quant. mod. (oc)'!E501,0))</f>
        <v>1</v>
      </c>
      <c r="F501" s="125">
        <f>IF('Quant. mod. (oc)'!F501&lt;0,0,ROUND('Quant. mod. (oc)'!F501,0))</f>
        <v>1</v>
      </c>
      <c r="G501" s="125">
        <f>IF('Quant. mod. (oc)'!G501&lt;0,0,ROUND('Quant. mod. (oc)'!G501,0))</f>
        <v>1</v>
      </c>
      <c r="H501" s="125">
        <f>IF('Quant. mod. (oc)'!H501&lt;0,0,ROUND('Quant. mod. (oc)'!H501,0))</f>
        <v>1</v>
      </c>
      <c r="I501" s="125">
        <f>IF('Quant. mod. (oc)'!I501&lt;0,0,ROUND('Quant. mod. (oc)'!I501,0))</f>
        <v>1</v>
      </c>
      <c r="J501" s="125">
        <f>IF('Quant. mod. (oc)'!J501&lt;0,0,ROUND('Quant. mod. (oc)'!J501,0))</f>
        <v>1</v>
      </c>
      <c r="K501" s="125">
        <f>IF('Quant. mod. (oc)'!K501&lt;0,0,ROUND('Quant. mod. (oc)'!K501,0))</f>
        <v>1</v>
      </c>
      <c r="L501" s="125">
        <f>IF('Quant. mod. (oc)'!L501&lt;0,0,ROUND('Quant. mod. (oc)'!L501,0))</f>
        <v>1</v>
      </c>
      <c r="M501" s="125">
        <f>IF('Quant. mod. (oc)'!M501&lt;0,0,ROUND('Quant. mod. (oc)'!M501,0))</f>
        <v>1</v>
      </c>
      <c r="N501" s="125">
        <f>IF('Quant. mod. (oc)'!N501&lt;0,0,ROUND('Quant. mod. (oc)'!N501,0))</f>
        <v>1</v>
      </c>
      <c r="O501" s="125">
        <f>IF('Quant. mod. (oc)'!O501&lt;0,0,ROUND('Quant. mod. (oc)'!O501,0))</f>
        <v>1</v>
      </c>
      <c r="P501" s="125">
        <f>IF('Quant. mod. (oc)'!P501&lt;0,0,ROUND('Quant. mod. (oc)'!P501,0))</f>
        <v>1</v>
      </c>
      <c r="Q501" s="125">
        <f>IF('Quant. mod. (oc)'!Q501&lt;0,0,ROUND('Quant. mod. (oc)'!Q501,0))</f>
        <v>1</v>
      </c>
      <c r="R501" s="125">
        <f>IF('Quant. mod. (oc)'!R501&lt;0,0,ROUND('Quant. mod. (oc)'!R501,0))</f>
        <v>1</v>
      </c>
      <c r="S501" s="125">
        <f>IF('Quant. mod. (oc)'!S501&lt;0,0,ROUND('Quant. mod. (oc)'!S501,0))</f>
        <v>1</v>
      </c>
      <c r="T501" s="125">
        <f>IF('Quant. mod. (oc)'!T501&lt;0,0,ROUND('Quant. mod. (oc)'!T501,0))</f>
        <v>1</v>
      </c>
      <c r="U501" s="125">
        <f>IF('Quant. mod. (oc)'!U501&lt;0,0,ROUND('Quant. mod. (oc)'!U501,0))</f>
        <v>1</v>
      </c>
      <c r="V501" s="125">
        <f>IF('Quant. mod. (oc)'!V501&lt;0,0,ROUND('Quant. mod. (oc)'!V501,0))</f>
        <v>1</v>
      </c>
      <c r="W501" s="125">
        <f>IF('Quant. mod. (oc)'!W501&lt;0,0,ROUND('Quant. mod. (oc)'!W501,0))</f>
        <v>1</v>
      </c>
      <c r="X501" s="125">
        <f>IF('Quant. mod. (oc)'!X501&lt;0,0,ROUND('Quant. mod. (oc)'!X501,0))</f>
        <v>1</v>
      </c>
      <c r="Y501" s="125">
        <f>IF('Quant. mod. (oc)'!Y501&lt;0,0,ROUND('Quant. mod. (oc)'!Y501,0))</f>
        <v>1</v>
      </c>
      <c r="Z501" s="125">
        <f>IF('Quant. mod. (oc)'!Z501&lt;0,0,ROUND('Quant. mod. (oc)'!Z501,0))</f>
        <v>1</v>
      </c>
      <c r="AA501" s="125">
        <f>IF('Quant. mod. (oc)'!AA501&lt;0,0,ROUND('Quant. mod. (oc)'!AA501,0))</f>
        <v>1</v>
      </c>
      <c r="AB501" s="125">
        <f>IF('Quant. mod. (oc)'!AB501&lt;0,0,ROUND('Quant. mod. (oc)'!AB501,0))</f>
        <v>1</v>
      </c>
      <c r="AC501" s="125">
        <f>IF('Quant. mod. (oc)'!AC501&lt;0,0,ROUND('Quant. mod. (oc)'!AC501,0))</f>
        <v>1</v>
      </c>
      <c r="AD501" s="125">
        <f>IF('Quant. mod. (oc)'!AD501&lt;0,0,ROUND('Quant. mod. (oc)'!AD501,0))</f>
        <v>1</v>
      </c>
      <c r="AE501" s="125">
        <f>IF('Quant. mod. (oc)'!AE501&lt;0,0,ROUND('Quant. mod. (oc)'!AE501,0))</f>
        <v>1</v>
      </c>
      <c r="AF501" s="125">
        <f>IF('Quant. mod. (oc)'!AF501&lt;0,0,ROUND('Quant. mod. (oc)'!AF501,0))</f>
        <v>1</v>
      </c>
      <c r="AG501" s="126">
        <f>IF('Quant. mod. (oc)'!AG501&lt;0,0,ROUND('Quant. mod. (oc)'!AG501,0))</f>
        <v>1</v>
      </c>
      <c r="AH501" s="22"/>
    </row>
    <row r="502" spans="1:34" x14ac:dyDescent="0.25">
      <c r="A502" s="112"/>
      <c r="B502" s="136" t="s">
        <v>122</v>
      </c>
      <c r="C502" s="67" t="s">
        <v>59</v>
      </c>
      <c r="D502" s="125">
        <f>IF('Quant. mod. (oc)'!D502&lt;0,0,ROUND('Quant. mod. (oc)'!D502,0))</f>
        <v>1</v>
      </c>
      <c r="E502" s="125">
        <f>IF('Quant. mod. (oc)'!E502&lt;0,0,ROUND('Quant. mod. (oc)'!E502,0))</f>
        <v>1</v>
      </c>
      <c r="F502" s="125">
        <f>IF('Quant. mod. (oc)'!F502&lt;0,0,ROUND('Quant. mod. (oc)'!F502,0))</f>
        <v>1</v>
      </c>
      <c r="G502" s="125">
        <f>IF('Quant. mod. (oc)'!G502&lt;0,0,ROUND('Quant. mod. (oc)'!G502,0))</f>
        <v>1</v>
      </c>
      <c r="H502" s="125">
        <f>IF('Quant. mod. (oc)'!H502&lt;0,0,ROUND('Quant. mod. (oc)'!H502,0))</f>
        <v>1</v>
      </c>
      <c r="I502" s="125">
        <f>IF('Quant. mod. (oc)'!I502&lt;0,0,ROUND('Quant. mod. (oc)'!I502,0))</f>
        <v>1</v>
      </c>
      <c r="J502" s="125">
        <f>IF('Quant. mod. (oc)'!J502&lt;0,0,ROUND('Quant. mod. (oc)'!J502,0))</f>
        <v>1</v>
      </c>
      <c r="K502" s="125">
        <f>IF('Quant. mod. (oc)'!K502&lt;0,0,ROUND('Quant. mod. (oc)'!K502,0))</f>
        <v>1</v>
      </c>
      <c r="L502" s="125">
        <f>IF('Quant. mod. (oc)'!L502&lt;0,0,ROUND('Quant. mod. (oc)'!L502,0))</f>
        <v>1</v>
      </c>
      <c r="M502" s="125">
        <f>IF('Quant. mod. (oc)'!M502&lt;0,0,ROUND('Quant. mod. (oc)'!M502,0))</f>
        <v>1</v>
      </c>
      <c r="N502" s="125">
        <f>IF('Quant. mod. (oc)'!N502&lt;0,0,ROUND('Quant. mod. (oc)'!N502,0))</f>
        <v>1</v>
      </c>
      <c r="O502" s="125">
        <f>IF('Quant. mod. (oc)'!O502&lt;0,0,ROUND('Quant. mod. (oc)'!O502,0))</f>
        <v>1</v>
      </c>
      <c r="P502" s="125">
        <f>IF('Quant. mod. (oc)'!P502&lt;0,0,ROUND('Quant. mod. (oc)'!P502,0))</f>
        <v>1</v>
      </c>
      <c r="Q502" s="125">
        <f>IF('Quant. mod. (oc)'!Q502&lt;0,0,ROUND('Quant. mod. (oc)'!Q502,0))</f>
        <v>1</v>
      </c>
      <c r="R502" s="125">
        <f>IF('Quant. mod. (oc)'!R502&lt;0,0,ROUND('Quant. mod. (oc)'!R502,0))</f>
        <v>1</v>
      </c>
      <c r="S502" s="125">
        <f>IF('Quant. mod. (oc)'!S502&lt;0,0,ROUND('Quant. mod. (oc)'!S502,0))</f>
        <v>1</v>
      </c>
      <c r="T502" s="125">
        <f>IF('Quant. mod. (oc)'!T502&lt;0,0,ROUND('Quant. mod. (oc)'!T502,0))</f>
        <v>1</v>
      </c>
      <c r="U502" s="125">
        <f>IF('Quant. mod. (oc)'!U502&lt;0,0,ROUND('Quant. mod. (oc)'!U502,0))</f>
        <v>1</v>
      </c>
      <c r="V502" s="125">
        <f>IF('Quant. mod. (oc)'!V502&lt;0,0,ROUND('Quant. mod. (oc)'!V502,0))</f>
        <v>1</v>
      </c>
      <c r="W502" s="125">
        <f>IF('Quant. mod. (oc)'!W502&lt;0,0,ROUND('Quant. mod. (oc)'!W502,0))</f>
        <v>1</v>
      </c>
      <c r="X502" s="125">
        <f>IF('Quant. mod. (oc)'!X502&lt;0,0,ROUND('Quant. mod. (oc)'!X502,0))</f>
        <v>1</v>
      </c>
      <c r="Y502" s="125">
        <f>IF('Quant. mod. (oc)'!Y502&lt;0,0,ROUND('Quant. mod. (oc)'!Y502,0))</f>
        <v>1</v>
      </c>
      <c r="Z502" s="125">
        <f>IF('Quant. mod. (oc)'!Z502&lt;0,0,ROUND('Quant. mod. (oc)'!Z502,0))</f>
        <v>1</v>
      </c>
      <c r="AA502" s="125">
        <f>IF('Quant. mod. (oc)'!AA502&lt;0,0,ROUND('Quant. mod. (oc)'!AA502,0))</f>
        <v>1</v>
      </c>
      <c r="AB502" s="125">
        <f>IF('Quant. mod. (oc)'!AB502&lt;0,0,ROUND('Quant. mod. (oc)'!AB502,0))</f>
        <v>1</v>
      </c>
      <c r="AC502" s="125">
        <f>IF('Quant. mod. (oc)'!AC502&lt;0,0,ROUND('Quant. mod. (oc)'!AC502,0))</f>
        <v>1</v>
      </c>
      <c r="AD502" s="125">
        <f>IF('Quant. mod. (oc)'!AD502&lt;0,0,ROUND('Quant. mod. (oc)'!AD502,0))</f>
        <v>1</v>
      </c>
      <c r="AE502" s="125">
        <f>IF('Quant. mod. (oc)'!AE502&lt;0,0,ROUND('Quant. mod. (oc)'!AE502,0))</f>
        <v>1</v>
      </c>
      <c r="AF502" s="125">
        <f>IF('Quant. mod. (oc)'!AF502&lt;0,0,ROUND('Quant. mod. (oc)'!AF502,0))</f>
        <v>1</v>
      </c>
      <c r="AG502" s="126">
        <f>IF('Quant. mod. (oc)'!AG502&lt;0,0,ROUND('Quant. mod. (oc)'!AG502,0))</f>
        <v>1</v>
      </c>
      <c r="AH502" s="22"/>
    </row>
    <row r="503" spans="1:34" x14ac:dyDescent="0.25">
      <c r="A503" s="112"/>
      <c r="B503" s="136" t="s">
        <v>123</v>
      </c>
      <c r="C503" s="67" t="s">
        <v>59</v>
      </c>
      <c r="D503" s="125">
        <f>IF('Quant. mod. (oc)'!D503&lt;0,0,ROUND('Quant. mod. (oc)'!D503,0))</f>
        <v>1</v>
      </c>
      <c r="E503" s="125">
        <f>IF('Quant. mod. (oc)'!E503&lt;0,0,ROUND('Quant. mod. (oc)'!E503,0))</f>
        <v>1</v>
      </c>
      <c r="F503" s="125">
        <f>IF('Quant. mod. (oc)'!F503&lt;0,0,ROUND('Quant. mod. (oc)'!F503,0))</f>
        <v>1</v>
      </c>
      <c r="G503" s="125">
        <f>IF('Quant. mod. (oc)'!G503&lt;0,0,ROUND('Quant. mod. (oc)'!G503,0))</f>
        <v>1</v>
      </c>
      <c r="H503" s="125">
        <f>IF('Quant. mod. (oc)'!H503&lt;0,0,ROUND('Quant. mod. (oc)'!H503,0))</f>
        <v>1</v>
      </c>
      <c r="I503" s="125">
        <f>IF('Quant. mod. (oc)'!I503&lt;0,0,ROUND('Quant. mod. (oc)'!I503,0))</f>
        <v>1</v>
      </c>
      <c r="J503" s="125">
        <f>IF('Quant. mod. (oc)'!J503&lt;0,0,ROUND('Quant. mod. (oc)'!J503,0))</f>
        <v>1</v>
      </c>
      <c r="K503" s="125">
        <f>IF('Quant. mod. (oc)'!K503&lt;0,0,ROUND('Quant. mod. (oc)'!K503,0))</f>
        <v>1</v>
      </c>
      <c r="L503" s="125">
        <f>IF('Quant. mod. (oc)'!L503&lt;0,0,ROUND('Quant. mod. (oc)'!L503,0))</f>
        <v>1</v>
      </c>
      <c r="M503" s="125">
        <f>IF('Quant. mod. (oc)'!M503&lt;0,0,ROUND('Quant. mod. (oc)'!M503,0))</f>
        <v>1</v>
      </c>
      <c r="N503" s="125">
        <f>IF('Quant. mod. (oc)'!N503&lt;0,0,ROUND('Quant. mod. (oc)'!N503,0))</f>
        <v>1</v>
      </c>
      <c r="O503" s="125">
        <f>IF('Quant. mod. (oc)'!O503&lt;0,0,ROUND('Quant. mod. (oc)'!O503,0))</f>
        <v>1</v>
      </c>
      <c r="P503" s="125">
        <f>IF('Quant. mod. (oc)'!P503&lt;0,0,ROUND('Quant. mod. (oc)'!P503,0))</f>
        <v>1</v>
      </c>
      <c r="Q503" s="125">
        <f>IF('Quant. mod. (oc)'!Q503&lt;0,0,ROUND('Quant. mod. (oc)'!Q503,0))</f>
        <v>1</v>
      </c>
      <c r="R503" s="125">
        <f>IF('Quant. mod. (oc)'!R503&lt;0,0,ROUND('Quant. mod. (oc)'!R503,0))</f>
        <v>1</v>
      </c>
      <c r="S503" s="125">
        <f>IF('Quant. mod. (oc)'!S503&lt;0,0,ROUND('Quant. mod. (oc)'!S503,0))</f>
        <v>1</v>
      </c>
      <c r="T503" s="125">
        <f>IF('Quant. mod. (oc)'!T503&lt;0,0,ROUND('Quant. mod. (oc)'!T503,0))</f>
        <v>1</v>
      </c>
      <c r="U503" s="125">
        <f>IF('Quant. mod. (oc)'!U503&lt;0,0,ROUND('Quant. mod. (oc)'!U503,0))</f>
        <v>1</v>
      </c>
      <c r="V503" s="125">
        <f>IF('Quant. mod. (oc)'!V503&lt;0,0,ROUND('Quant. mod. (oc)'!V503,0))</f>
        <v>1</v>
      </c>
      <c r="W503" s="125">
        <f>IF('Quant. mod. (oc)'!W503&lt;0,0,ROUND('Quant. mod. (oc)'!W503,0))</f>
        <v>1</v>
      </c>
      <c r="X503" s="125">
        <f>IF('Quant. mod. (oc)'!X503&lt;0,0,ROUND('Quant. mod. (oc)'!X503,0))</f>
        <v>1</v>
      </c>
      <c r="Y503" s="125">
        <f>IF('Quant. mod. (oc)'!Y503&lt;0,0,ROUND('Quant. mod. (oc)'!Y503,0))</f>
        <v>1</v>
      </c>
      <c r="Z503" s="125">
        <f>IF('Quant. mod. (oc)'!Z503&lt;0,0,ROUND('Quant. mod. (oc)'!Z503,0))</f>
        <v>1</v>
      </c>
      <c r="AA503" s="125">
        <f>IF('Quant. mod. (oc)'!AA503&lt;0,0,ROUND('Quant. mod. (oc)'!AA503,0))</f>
        <v>1</v>
      </c>
      <c r="AB503" s="125">
        <f>IF('Quant. mod. (oc)'!AB503&lt;0,0,ROUND('Quant. mod. (oc)'!AB503,0))</f>
        <v>1</v>
      </c>
      <c r="AC503" s="125">
        <f>IF('Quant. mod. (oc)'!AC503&lt;0,0,ROUND('Quant. mod. (oc)'!AC503,0))</f>
        <v>1</v>
      </c>
      <c r="AD503" s="125">
        <f>IF('Quant. mod. (oc)'!AD503&lt;0,0,ROUND('Quant. mod. (oc)'!AD503,0))</f>
        <v>1</v>
      </c>
      <c r="AE503" s="125">
        <f>IF('Quant. mod. (oc)'!AE503&lt;0,0,ROUND('Quant. mod. (oc)'!AE503,0))</f>
        <v>1</v>
      </c>
      <c r="AF503" s="125">
        <f>IF('Quant. mod. (oc)'!AF503&lt;0,0,ROUND('Quant. mod. (oc)'!AF503,0))</f>
        <v>1</v>
      </c>
      <c r="AG503" s="126">
        <f>IF('Quant. mod. (oc)'!AG503&lt;0,0,ROUND('Quant. mod. (oc)'!AG503,0))</f>
        <v>1</v>
      </c>
      <c r="AH503" s="22"/>
    </row>
    <row r="504" spans="1:34" x14ac:dyDescent="0.25">
      <c r="A504" s="112"/>
      <c r="B504" s="136" t="s">
        <v>124</v>
      </c>
      <c r="C504" s="67" t="s">
        <v>59</v>
      </c>
      <c r="D504" s="125">
        <f>IF('Quant. mod. (oc)'!D504&lt;0,0,ROUND('Quant. mod. (oc)'!D504,0))</f>
        <v>1</v>
      </c>
      <c r="E504" s="125">
        <f>IF('Quant. mod. (oc)'!E504&lt;0,0,ROUND('Quant. mod. (oc)'!E504,0))</f>
        <v>1</v>
      </c>
      <c r="F504" s="125">
        <f>IF('Quant. mod. (oc)'!F504&lt;0,0,ROUND('Quant. mod. (oc)'!F504,0))</f>
        <v>1</v>
      </c>
      <c r="G504" s="125">
        <f>IF('Quant. mod. (oc)'!G504&lt;0,0,ROUND('Quant. mod. (oc)'!G504,0))</f>
        <v>1</v>
      </c>
      <c r="H504" s="125">
        <f>IF('Quant. mod. (oc)'!H504&lt;0,0,ROUND('Quant. mod. (oc)'!H504,0))</f>
        <v>1</v>
      </c>
      <c r="I504" s="125">
        <f>IF('Quant. mod. (oc)'!I504&lt;0,0,ROUND('Quant. mod. (oc)'!I504,0))</f>
        <v>1</v>
      </c>
      <c r="J504" s="125">
        <f>IF('Quant. mod. (oc)'!J504&lt;0,0,ROUND('Quant. mod. (oc)'!J504,0))</f>
        <v>1</v>
      </c>
      <c r="K504" s="125">
        <f>IF('Quant. mod. (oc)'!K504&lt;0,0,ROUND('Quant. mod. (oc)'!K504,0))</f>
        <v>1</v>
      </c>
      <c r="L504" s="125">
        <f>IF('Quant. mod. (oc)'!L504&lt;0,0,ROUND('Quant. mod. (oc)'!L504,0))</f>
        <v>1</v>
      </c>
      <c r="M504" s="125">
        <f>IF('Quant. mod. (oc)'!M504&lt;0,0,ROUND('Quant. mod. (oc)'!M504,0))</f>
        <v>1</v>
      </c>
      <c r="N504" s="125">
        <f>IF('Quant. mod. (oc)'!N504&lt;0,0,ROUND('Quant. mod. (oc)'!N504,0))</f>
        <v>1</v>
      </c>
      <c r="O504" s="125">
        <f>IF('Quant. mod. (oc)'!O504&lt;0,0,ROUND('Quant. mod. (oc)'!O504,0))</f>
        <v>1</v>
      </c>
      <c r="P504" s="125">
        <f>IF('Quant. mod. (oc)'!P504&lt;0,0,ROUND('Quant. mod. (oc)'!P504,0))</f>
        <v>1</v>
      </c>
      <c r="Q504" s="125">
        <f>IF('Quant. mod. (oc)'!Q504&lt;0,0,ROUND('Quant. mod. (oc)'!Q504,0))</f>
        <v>1</v>
      </c>
      <c r="R504" s="125">
        <f>IF('Quant. mod. (oc)'!R504&lt;0,0,ROUND('Quant. mod. (oc)'!R504,0))</f>
        <v>1</v>
      </c>
      <c r="S504" s="125">
        <f>IF('Quant. mod. (oc)'!S504&lt;0,0,ROUND('Quant. mod. (oc)'!S504,0))</f>
        <v>1</v>
      </c>
      <c r="T504" s="125">
        <f>IF('Quant. mod. (oc)'!T504&lt;0,0,ROUND('Quant. mod. (oc)'!T504,0))</f>
        <v>1</v>
      </c>
      <c r="U504" s="125">
        <f>IF('Quant. mod. (oc)'!U504&lt;0,0,ROUND('Quant. mod. (oc)'!U504,0))</f>
        <v>1</v>
      </c>
      <c r="V504" s="125">
        <f>IF('Quant. mod. (oc)'!V504&lt;0,0,ROUND('Quant. mod. (oc)'!V504,0))</f>
        <v>1</v>
      </c>
      <c r="W504" s="125">
        <f>IF('Quant. mod. (oc)'!W504&lt;0,0,ROUND('Quant. mod. (oc)'!W504,0))</f>
        <v>1</v>
      </c>
      <c r="X504" s="125">
        <f>IF('Quant. mod. (oc)'!X504&lt;0,0,ROUND('Quant. mod. (oc)'!X504,0))</f>
        <v>1</v>
      </c>
      <c r="Y504" s="125">
        <f>IF('Quant. mod. (oc)'!Y504&lt;0,0,ROUND('Quant. mod. (oc)'!Y504,0))</f>
        <v>1</v>
      </c>
      <c r="Z504" s="125">
        <f>IF('Quant. mod. (oc)'!Z504&lt;0,0,ROUND('Quant. mod. (oc)'!Z504,0))</f>
        <v>1</v>
      </c>
      <c r="AA504" s="125">
        <f>IF('Quant. mod. (oc)'!AA504&lt;0,0,ROUND('Quant. mod. (oc)'!AA504,0))</f>
        <v>1</v>
      </c>
      <c r="AB504" s="125">
        <f>IF('Quant. mod. (oc)'!AB504&lt;0,0,ROUND('Quant. mod. (oc)'!AB504,0))</f>
        <v>1</v>
      </c>
      <c r="AC504" s="125">
        <f>IF('Quant. mod. (oc)'!AC504&lt;0,0,ROUND('Quant. mod. (oc)'!AC504,0))</f>
        <v>1</v>
      </c>
      <c r="AD504" s="125">
        <f>IF('Quant. mod. (oc)'!AD504&lt;0,0,ROUND('Quant. mod. (oc)'!AD504,0))</f>
        <v>1</v>
      </c>
      <c r="AE504" s="125">
        <f>IF('Quant. mod. (oc)'!AE504&lt;0,0,ROUND('Quant. mod. (oc)'!AE504,0))</f>
        <v>1</v>
      </c>
      <c r="AF504" s="125">
        <f>IF('Quant. mod. (oc)'!AF504&lt;0,0,ROUND('Quant. mod. (oc)'!AF504,0))</f>
        <v>1</v>
      </c>
      <c r="AG504" s="126">
        <f>IF('Quant. mod. (oc)'!AG504&lt;0,0,ROUND('Quant. mod. (oc)'!AG504,0))</f>
        <v>1</v>
      </c>
      <c r="AH504" s="22"/>
    </row>
    <row r="505" spans="1:34" x14ac:dyDescent="0.25">
      <c r="A505" s="112"/>
      <c r="B505" s="136" t="s">
        <v>125</v>
      </c>
      <c r="C505" s="67" t="s">
        <v>59</v>
      </c>
      <c r="D505" s="125">
        <f>IF('Quant. mod. (oc)'!D505&lt;0,0,ROUND('Quant. mod. (oc)'!D505,0))</f>
        <v>1</v>
      </c>
      <c r="E505" s="125">
        <f>IF('Quant. mod. (oc)'!E505&lt;0,0,ROUND('Quant. mod. (oc)'!E505,0))</f>
        <v>1</v>
      </c>
      <c r="F505" s="125">
        <f>IF('Quant. mod. (oc)'!F505&lt;0,0,ROUND('Quant. mod. (oc)'!F505,0))</f>
        <v>1</v>
      </c>
      <c r="G505" s="125">
        <f>IF('Quant. mod. (oc)'!G505&lt;0,0,ROUND('Quant. mod. (oc)'!G505,0))</f>
        <v>1</v>
      </c>
      <c r="H505" s="125">
        <f>IF('Quant. mod. (oc)'!H505&lt;0,0,ROUND('Quant. mod. (oc)'!H505,0))</f>
        <v>1</v>
      </c>
      <c r="I505" s="125">
        <f>IF('Quant. mod. (oc)'!I505&lt;0,0,ROUND('Quant. mod. (oc)'!I505,0))</f>
        <v>1</v>
      </c>
      <c r="J505" s="125">
        <f>IF('Quant. mod. (oc)'!J505&lt;0,0,ROUND('Quant. mod. (oc)'!J505,0))</f>
        <v>1</v>
      </c>
      <c r="K505" s="125">
        <f>IF('Quant. mod. (oc)'!K505&lt;0,0,ROUND('Quant. mod. (oc)'!K505,0))</f>
        <v>1</v>
      </c>
      <c r="L505" s="125">
        <f>IF('Quant. mod. (oc)'!L505&lt;0,0,ROUND('Quant. mod. (oc)'!L505,0))</f>
        <v>1</v>
      </c>
      <c r="M505" s="125">
        <f>IF('Quant. mod. (oc)'!M505&lt;0,0,ROUND('Quant. mod. (oc)'!M505,0))</f>
        <v>1</v>
      </c>
      <c r="N505" s="125">
        <f>IF('Quant. mod. (oc)'!N505&lt;0,0,ROUND('Quant. mod. (oc)'!N505,0))</f>
        <v>1</v>
      </c>
      <c r="O505" s="125">
        <f>IF('Quant. mod. (oc)'!O505&lt;0,0,ROUND('Quant. mod. (oc)'!O505,0))</f>
        <v>1</v>
      </c>
      <c r="P505" s="125">
        <f>IF('Quant. mod. (oc)'!P505&lt;0,0,ROUND('Quant. mod. (oc)'!P505,0))</f>
        <v>1</v>
      </c>
      <c r="Q505" s="125">
        <f>IF('Quant. mod. (oc)'!Q505&lt;0,0,ROUND('Quant. mod. (oc)'!Q505,0))</f>
        <v>1</v>
      </c>
      <c r="R505" s="125">
        <f>IF('Quant. mod. (oc)'!R505&lt;0,0,ROUND('Quant. mod. (oc)'!R505,0))</f>
        <v>1</v>
      </c>
      <c r="S505" s="125">
        <f>IF('Quant. mod. (oc)'!S505&lt;0,0,ROUND('Quant. mod. (oc)'!S505,0))</f>
        <v>1</v>
      </c>
      <c r="T505" s="125">
        <f>IF('Quant. mod. (oc)'!T505&lt;0,0,ROUND('Quant. mod. (oc)'!T505,0))</f>
        <v>1</v>
      </c>
      <c r="U505" s="125">
        <f>IF('Quant. mod. (oc)'!U505&lt;0,0,ROUND('Quant. mod. (oc)'!U505,0))</f>
        <v>1</v>
      </c>
      <c r="V505" s="125">
        <f>IF('Quant. mod. (oc)'!V505&lt;0,0,ROUND('Quant. mod. (oc)'!V505,0))</f>
        <v>1</v>
      </c>
      <c r="W505" s="125">
        <f>IF('Quant. mod. (oc)'!W505&lt;0,0,ROUND('Quant. mod. (oc)'!W505,0))</f>
        <v>1</v>
      </c>
      <c r="X505" s="125">
        <f>IF('Quant. mod. (oc)'!X505&lt;0,0,ROUND('Quant. mod. (oc)'!X505,0))</f>
        <v>1</v>
      </c>
      <c r="Y505" s="125">
        <f>IF('Quant. mod. (oc)'!Y505&lt;0,0,ROUND('Quant. mod. (oc)'!Y505,0))</f>
        <v>1</v>
      </c>
      <c r="Z505" s="125">
        <f>IF('Quant. mod. (oc)'!Z505&lt;0,0,ROUND('Quant. mod. (oc)'!Z505,0))</f>
        <v>1</v>
      </c>
      <c r="AA505" s="125">
        <f>IF('Quant. mod. (oc)'!AA505&lt;0,0,ROUND('Quant. mod. (oc)'!AA505,0))</f>
        <v>1</v>
      </c>
      <c r="AB505" s="125">
        <f>IF('Quant. mod. (oc)'!AB505&lt;0,0,ROUND('Quant. mod. (oc)'!AB505,0))</f>
        <v>1</v>
      </c>
      <c r="AC505" s="125">
        <f>IF('Quant. mod. (oc)'!AC505&lt;0,0,ROUND('Quant. mod. (oc)'!AC505,0))</f>
        <v>1</v>
      </c>
      <c r="AD505" s="125">
        <f>IF('Quant. mod. (oc)'!AD505&lt;0,0,ROUND('Quant. mod. (oc)'!AD505,0))</f>
        <v>1</v>
      </c>
      <c r="AE505" s="125">
        <f>IF('Quant. mod. (oc)'!AE505&lt;0,0,ROUND('Quant. mod. (oc)'!AE505,0))</f>
        <v>1</v>
      </c>
      <c r="AF505" s="125">
        <f>IF('Quant. mod. (oc)'!AF505&lt;0,0,ROUND('Quant. mod. (oc)'!AF505,0))</f>
        <v>1</v>
      </c>
      <c r="AG505" s="126">
        <f>IF('Quant. mod. (oc)'!AG505&lt;0,0,ROUND('Quant. mod. (oc)'!AG505,0))</f>
        <v>1</v>
      </c>
      <c r="AH505" s="22"/>
    </row>
    <row r="506" spans="1:34" x14ac:dyDescent="0.25">
      <c r="A506" s="112"/>
      <c r="B506" s="136" t="s">
        <v>126</v>
      </c>
      <c r="C506" s="67" t="s">
        <v>59</v>
      </c>
      <c r="D506" s="125">
        <f>IF('Quant. mod. (oc)'!D506&lt;0,0,ROUND('Quant. mod. (oc)'!D506,0))</f>
        <v>1</v>
      </c>
      <c r="E506" s="125">
        <f>IF('Quant. mod. (oc)'!E506&lt;0,0,ROUND('Quant. mod. (oc)'!E506,0))</f>
        <v>1</v>
      </c>
      <c r="F506" s="125">
        <f>IF('Quant. mod. (oc)'!F506&lt;0,0,ROUND('Quant. mod. (oc)'!F506,0))</f>
        <v>1</v>
      </c>
      <c r="G506" s="125">
        <f>IF('Quant. mod. (oc)'!G506&lt;0,0,ROUND('Quant. mod. (oc)'!G506,0))</f>
        <v>1</v>
      </c>
      <c r="H506" s="125">
        <f>IF('Quant. mod. (oc)'!H506&lt;0,0,ROUND('Quant. mod. (oc)'!H506,0))</f>
        <v>1</v>
      </c>
      <c r="I506" s="125">
        <f>IF('Quant. mod. (oc)'!I506&lt;0,0,ROUND('Quant. mod. (oc)'!I506,0))</f>
        <v>1</v>
      </c>
      <c r="J506" s="125">
        <f>IF('Quant. mod. (oc)'!J506&lt;0,0,ROUND('Quant. mod. (oc)'!J506,0))</f>
        <v>1</v>
      </c>
      <c r="K506" s="125">
        <f>IF('Quant. mod. (oc)'!K506&lt;0,0,ROUND('Quant. mod. (oc)'!K506,0))</f>
        <v>1</v>
      </c>
      <c r="L506" s="125">
        <f>IF('Quant. mod. (oc)'!L506&lt;0,0,ROUND('Quant. mod. (oc)'!L506,0))</f>
        <v>1</v>
      </c>
      <c r="M506" s="125">
        <f>IF('Quant. mod. (oc)'!M506&lt;0,0,ROUND('Quant. mod. (oc)'!M506,0))</f>
        <v>1</v>
      </c>
      <c r="N506" s="125">
        <f>IF('Quant. mod. (oc)'!N506&lt;0,0,ROUND('Quant. mod. (oc)'!N506,0))</f>
        <v>1</v>
      </c>
      <c r="O506" s="125">
        <f>IF('Quant. mod. (oc)'!O506&lt;0,0,ROUND('Quant. mod. (oc)'!O506,0))</f>
        <v>1</v>
      </c>
      <c r="P506" s="125">
        <f>IF('Quant. mod. (oc)'!P506&lt;0,0,ROUND('Quant. mod. (oc)'!P506,0))</f>
        <v>1</v>
      </c>
      <c r="Q506" s="125">
        <f>IF('Quant. mod. (oc)'!Q506&lt;0,0,ROUND('Quant. mod. (oc)'!Q506,0))</f>
        <v>1</v>
      </c>
      <c r="R506" s="125">
        <f>IF('Quant. mod. (oc)'!R506&lt;0,0,ROUND('Quant. mod. (oc)'!R506,0))</f>
        <v>1</v>
      </c>
      <c r="S506" s="125">
        <f>IF('Quant. mod. (oc)'!S506&lt;0,0,ROUND('Quant. mod. (oc)'!S506,0))</f>
        <v>1</v>
      </c>
      <c r="T506" s="125">
        <f>IF('Quant. mod. (oc)'!T506&lt;0,0,ROUND('Quant. mod. (oc)'!T506,0))</f>
        <v>1</v>
      </c>
      <c r="U506" s="125">
        <f>IF('Quant. mod. (oc)'!U506&lt;0,0,ROUND('Quant. mod. (oc)'!U506,0))</f>
        <v>1</v>
      </c>
      <c r="V506" s="125">
        <f>IF('Quant. mod. (oc)'!V506&lt;0,0,ROUND('Quant. mod. (oc)'!V506,0))</f>
        <v>1</v>
      </c>
      <c r="W506" s="125">
        <f>IF('Quant. mod. (oc)'!W506&lt;0,0,ROUND('Quant. mod. (oc)'!W506,0))</f>
        <v>1</v>
      </c>
      <c r="X506" s="125">
        <f>IF('Quant. mod. (oc)'!X506&lt;0,0,ROUND('Quant. mod. (oc)'!X506,0))</f>
        <v>1</v>
      </c>
      <c r="Y506" s="125">
        <f>IF('Quant. mod. (oc)'!Y506&lt;0,0,ROUND('Quant. mod. (oc)'!Y506,0))</f>
        <v>1</v>
      </c>
      <c r="Z506" s="125">
        <f>IF('Quant. mod. (oc)'!Z506&lt;0,0,ROUND('Quant. mod. (oc)'!Z506,0))</f>
        <v>1</v>
      </c>
      <c r="AA506" s="125">
        <f>IF('Quant. mod. (oc)'!AA506&lt;0,0,ROUND('Quant. mod. (oc)'!AA506,0))</f>
        <v>1</v>
      </c>
      <c r="AB506" s="125">
        <f>IF('Quant. mod. (oc)'!AB506&lt;0,0,ROUND('Quant. mod. (oc)'!AB506,0))</f>
        <v>1</v>
      </c>
      <c r="AC506" s="125">
        <f>IF('Quant. mod. (oc)'!AC506&lt;0,0,ROUND('Quant. mod. (oc)'!AC506,0))</f>
        <v>1</v>
      </c>
      <c r="AD506" s="125">
        <f>IF('Quant. mod. (oc)'!AD506&lt;0,0,ROUND('Quant. mod. (oc)'!AD506,0))</f>
        <v>1</v>
      </c>
      <c r="AE506" s="125">
        <f>IF('Quant. mod. (oc)'!AE506&lt;0,0,ROUND('Quant. mod. (oc)'!AE506,0))</f>
        <v>1</v>
      </c>
      <c r="AF506" s="125">
        <f>IF('Quant. mod. (oc)'!AF506&lt;0,0,ROUND('Quant. mod. (oc)'!AF506,0))</f>
        <v>1</v>
      </c>
      <c r="AG506" s="126">
        <f>IF('Quant. mod. (oc)'!AG506&lt;0,0,ROUND('Quant. mod. (oc)'!AG506,0))</f>
        <v>1</v>
      </c>
      <c r="AH506" s="22"/>
    </row>
    <row r="507" spans="1:34" x14ac:dyDescent="0.25">
      <c r="A507" s="112"/>
      <c r="B507" s="136" t="s">
        <v>127</v>
      </c>
      <c r="C507" s="67" t="s">
        <v>59</v>
      </c>
      <c r="D507" s="125">
        <f>IF('Quant. mod. (oc)'!D507&lt;0,0,ROUND('Quant. mod. (oc)'!D507,0))</f>
        <v>1</v>
      </c>
      <c r="E507" s="125">
        <f>IF('Quant. mod. (oc)'!E507&lt;0,0,ROUND('Quant. mod. (oc)'!E507,0))</f>
        <v>1</v>
      </c>
      <c r="F507" s="125">
        <f>IF('Quant. mod. (oc)'!F507&lt;0,0,ROUND('Quant. mod. (oc)'!F507,0))</f>
        <v>1</v>
      </c>
      <c r="G507" s="125">
        <f>IF('Quant. mod. (oc)'!G507&lt;0,0,ROUND('Quant. mod. (oc)'!G507,0))</f>
        <v>1</v>
      </c>
      <c r="H507" s="125">
        <f>IF('Quant. mod. (oc)'!H507&lt;0,0,ROUND('Quant. mod. (oc)'!H507,0))</f>
        <v>1</v>
      </c>
      <c r="I507" s="125">
        <f>IF('Quant. mod. (oc)'!I507&lt;0,0,ROUND('Quant. mod. (oc)'!I507,0))</f>
        <v>1</v>
      </c>
      <c r="J507" s="125">
        <f>IF('Quant. mod. (oc)'!J507&lt;0,0,ROUND('Quant. mod. (oc)'!J507,0))</f>
        <v>1</v>
      </c>
      <c r="K507" s="125">
        <f>IF('Quant. mod. (oc)'!K507&lt;0,0,ROUND('Quant. mod. (oc)'!K507,0))</f>
        <v>1</v>
      </c>
      <c r="L507" s="125">
        <f>IF('Quant. mod. (oc)'!L507&lt;0,0,ROUND('Quant. mod. (oc)'!L507,0))</f>
        <v>1</v>
      </c>
      <c r="M507" s="125">
        <f>IF('Quant. mod. (oc)'!M507&lt;0,0,ROUND('Quant. mod. (oc)'!M507,0))</f>
        <v>1</v>
      </c>
      <c r="N507" s="125">
        <f>IF('Quant. mod. (oc)'!N507&lt;0,0,ROUND('Quant. mod. (oc)'!N507,0))</f>
        <v>1</v>
      </c>
      <c r="O507" s="125">
        <f>IF('Quant. mod. (oc)'!O507&lt;0,0,ROUND('Quant. mod. (oc)'!O507,0))</f>
        <v>1</v>
      </c>
      <c r="P507" s="125">
        <f>IF('Quant. mod. (oc)'!P507&lt;0,0,ROUND('Quant. mod. (oc)'!P507,0))</f>
        <v>1</v>
      </c>
      <c r="Q507" s="125">
        <f>IF('Quant. mod. (oc)'!Q507&lt;0,0,ROUND('Quant. mod. (oc)'!Q507,0))</f>
        <v>1</v>
      </c>
      <c r="R507" s="125">
        <f>IF('Quant. mod. (oc)'!R507&lt;0,0,ROUND('Quant. mod. (oc)'!R507,0))</f>
        <v>1</v>
      </c>
      <c r="S507" s="125">
        <f>IF('Quant. mod. (oc)'!S507&lt;0,0,ROUND('Quant. mod. (oc)'!S507,0))</f>
        <v>1</v>
      </c>
      <c r="T507" s="125">
        <f>IF('Quant. mod. (oc)'!T507&lt;0,0,ROUND('Quant. mod. (oc)'!T507,0))</f>
        <v>1</v>
      </c>
      <c r="U507" s="125">
        <f>IF('Quant. mod. (oc)'!U507&lt;0,0,ROUND('Quant. mod. (oc)'!U507,0))</f>
        <v>1</v>
      </c>
      <c r="V507" s="125">
        <f>IF('Quant. mod. (oc)'!V507&lt;0,0,ROUND('Quant. mod. (oc)'!V507,0))</f>
        <v>1</v>
      </c>
      <c r="W507" s="125">
        <f>IF('Quant. mod. (oc)'!W507&lt;0,0,ROUND('Quant. mod. (oc)'!W507,0))</f>
        <v>1</v>
      </c>
      <c r="X507" s="125">
        <f>IF('Quant. mod. (oc)'!X507&lt;0,0,ROUND('Quant. mod. (oc)'!X507,0))</f>
        <v>1</v>
      </c>
      <c r="Y507" s="125">
        <f>IF('Quant. mod. (oc)'!Y507&lt;0,0,ROUND('Quant. mod. (oc)'!Y507,0))</f>
        <v>1</v>
      </c>
      <c r="Z507" s="125">
        <f>IF('Quant. mod. (oc)'!Z507&lt;0,0,ROUND('Quant. mod. (oc)'!Z507,0))</f>
        <v>1</v>
      </c>
      <c r="AA507" s="125">
        <f>IF('Quant. mod. (oc)'!AA507&lt;0,0,ROUND('Quant. mod. (oc)'!AA507,0))</f>
        <v>1</v>
      </c>
      <c r="AB507" s="125">
        <f>IF('Quant. mod. (oc)'!AB507&lt;0,0,ROUND('Quant. mod. (oc)'!AB507,0))</f>
        <v>1</v>
      </c>
      <c r="AC507" s="125">
        <f>IF('Quant. mod. (oc)'!AC507&lt;0,0,ROUND('Quant. mod. (oc)'!AC507,0))</f>
        <v>1</v>
      </c>
      <c r="AD507" s="125">
        <f>IF('Quant. mod. (oc)'!AD507&lt;0,0,ROUND('Quant. mod. (oc)'!AD507,0))</f>
        <v>1</v>
      </c>
      <c r="AE507" s="125">
        <f>IF('Quant. mod. (oc)'!AE507&lt;0,0,ROUND('Quant. mod. (oc)'!AE507,0))</f>
        <v>1</v>
      </c>
      <c r="AF507" s="125">
        <f>IF('Quant. mod. (oc)'!AF507&lt;0,0,ROUND('Quant. mod. (oc)'!AF507,0))</f>
        <v>1</v>
      </c>
      <c r="AG507" s="126">
        <f>IF('Quant. mod. (oc)'!AG507&lt;0,0,ROUND('Quant. mod. (oc)'!AG507,0))</f>
        <v>1</v>
      </c>
      <c r="AH507" s="22"/>
    </row>
    <row r="508" spans="1:34" x14ac:dyDescent="0.25">
      <c r="A508" s="112"/>
      <c r="B508" s="136" t="s">
        <v>128</v>
      </c>
      <c r="C508" s="67" t="s">
        <v>59</v>
      </c>
      <c r="D508" s="125">
        <f>IF('Quant. mod. (oc)'!D508&lt;0,0,ROUND('Quant. mod. (oc)'!D508,0))</f>
        <v>1</v>
      </c>
      <c r="E508" s="125">
        <f>IF('Quant. mod. (oc)'!E508&lt;0,0,ROUND('Quant. mod. (oc)'!E508,0))</f>
        <v>1</v>
      </c>
      <c r="F508" s="125">
        <f>IF('Quant. mod. (oc)'!F508&lt;0,0,ROUND('Quant. mod. (oc)'!F508,0))</f>
        <v>1</v>
      </c>
      <c r="G508" s="125">
        <f>IF('Quant. mod. (oc)'!G508&lt;0,0,ROUND('Quant. mod. (oc)'!G508,0))</f>
        <v>1</v>
      </c>
      <c r="H508" s="125">
        <f>IF('Quant. mod. (oc)'!H508&lt;0,0,ROUND('Quant. mod. (oc)'!H508,0))</f>
        <v>1</v>
      </c>
      <c r="I508" s="125">
        <f>IF('Quant. mod. (oc)'!I508&lt;0,0,ROUND('Quant. mod. (oc)'!I508,0))</f>
        <v>1</v>
      </c>
      <c r="J508" s="125">
        <f>IF('Quant. mod. (oc)'!J508&lt;0,0,ROUND('Quant. mod. (oc)'!J508,0))</f>
        <v>1</v>
      </c>
      <c r="K508" s="125">
        <f>IF('Quant. mod. (oc)'!K508&lt;0,0,ROUND('Quant. mod. (oc)'!K508,0))</f>
        <v>1</v>
      </c>
      <c r="L508" s="125">
        <f>IF('Quant. mod. (oc)'!L508&lt;0,0,ROUND('Quant. mod. (oc)'!L508,0))</f>
        <v>1</v>
      </c>
      <c r="M508" s="125">
        <f>IF('Quant. mod. (oc)'!M508&lt;0,0,ROUND('Quant. mod. (oc)'!M508,0))</f>
        <v>1</v>
      </c>
      <c r="N508" s="125">
        <f>IF('Quant. mod. (oc)'!N508&lt;0,0,ROUND('Quant. mod. (oc)'!N508,0))</f>
        <v>1</v>
      </c>
      <c r="O508" s="125">
        <f>IF('Quant. mod. (oc)'!O508&lt;0,0,ROUND('Quant. mod. (oc)'!O508,0))</f>
        <v>1</v>
      </c>
      <c r="P508" s="125">
        <f>IF('Quant. mod. (oc)'!P508&lt;0,0,ROUND('Quant. mod. (oc)'!P508,0))</f>
        <v>1</v>
      </c>
      <c r="Q508" s="125">
        <f>IF('Quant. mod. (oc)'!Q508&lt;0,0,ROUND('Quant. mod. (oc)'!Q508,0))</f>
        <v>1</v>
      </c>
      <c r="R508" s="125">
        <f>IF('Quant. mod. (oc)'!R508&lt;0,0,ROUND('Quant. mod. (oc)'!R508,0))</f>
        <v>1</v>
      </c>
      <c r="S508" s="125">
        <f>IF('Quant. mod. (oc)'!S508&lt;0,0,ROUND('Quant. mod. (oc)'!S508,0))</f>
        <v>1</v>
      </c>
      <c r="T508" s="125">
        <f>IF('Quant. mod. (oc)'!T508&lt;0,0,ROUND('Quant. mod. (oc)'!T508,0))</f>
        <v>1</v>
      </c>
      <c r="U508" s="125">
        <f>IF('Quant. mod. (oc)'!U508&lt;0,0,ROUND('Quant. mod. (oc)'!U508,0))</f>
        <v>1</v>
      </c>
      <c r="V508" s="125">
        <f>IF('Quant. mod. (oc)'!V508&lt;0,0,ROUND('Quant. mod. (oc)'!V508,0))</f>
        <v>1</v>
      </c>
      <c r="W508" s="125">
        <f>IF('Quant. mod. (oc)'!W508&lt;0,0,ROUND('Quant. mod. (oc)'!W508,0))</f>
        <v>1</v>
      </c>
      <c r="X508" s="125">
        <f>IF('Quant. mod. (oc)'!X508&lt;0,0,ROUND('Quant. mod. (oc)'!X508,0))</f>
        <v>1</v>
      </c>
      <c r="Y508" s="125">
        <f>IF('Quant. mod. (oc)'!Y508&lt;0,0,ROUND('Quant. mod. (oc)'!Y508,0))</f>
        <v>1</v>
      </c>
      <c r="Z508" s="125">
        <f>IF('Quant. mod. (oc)'!Z508&lt;0,0,ROUND('Quant. mod. (oc)'!Z508,0))</f>
        <v>1</v>
      </c>
      <c r="AA508" s="125">
        <f>IF('Quant. mod. (oc)'!AA508&lt;0,0,ROUND('Quant. mod. (oc)'!AA508,0))</f>
        <v>1</v>
      </c>
      <c r="AB508" s="125">
        <f>IF('Quant. mod. (oc)'!AB508&lt;0,0,ROUND('Quant. mod. (oc)'!AB508,0))</f>
        <v>1</v>
      </c>
      <c r="AC508" s="125">
        <f>IF('Quant. mod. (oc)'!AC508&lt;0,0,ROUND('Quant. mod. (oc)'!AC508,0))</f>
        <v>1</v>
      </c>
      <c r="AD508" s="125">
        <f>IF('Quant. mod. (oc)'!AD508&lt;0,0,ROUND('Quant. mod. (oc)'!AD508,0))</f>
        <v>1</v>
      </c>
      <c r="AE508" s="125">
        <f>IF('Quant. mod. (oc)'!AE508&lt;0,0,ROUND('Quant. mod. (oc)'!AE508,0))</f>
        <v>1</v>
      </c>
      <c r="AF508" s="125">
        <f>IF('Quant. mod. (oc)'!AF508&lt;0,0,ROUND('Quant. mod. (oc)'!AF508,0))</f>
        <v>1</v>
      </c>
      <c r="AG508" s="126">
        <f>IF('Quant. mod. (oc)'!AG508&lt;0,0,ROUND('Quant. mod. (oc)'!AG508,0))</f>
        <v>1</v>
      </c>
      <c r="AH508" s="22"/>
    </row>
    <row r="509" spans="1:34" x14ac:dyDescent="0.25">
      <c r="A509" s="112"/>
      <c r="B509" s="136" t="s">
        <v>129</v>
      </c>
      <c r="C509" s="67" t="s">
        <v>59</v>
      </c>
      <c r="D509" s="125">
        <f>IF('Quant. mod. (oc)'!D509&lt;0,0,ROUND('Quant. mod. (oc)'!D509,0))</f>
        <v>1</v>
      </c>
      <c r="E509" s="125">
        <f>IF('Quant. mod. (oc)'!E509&lt;0,0,ROUND('Quant. mod. (oc)'!E509,0))</f>
        <v>1</v>
      </c>
      <c r="F509" s="125">
        <f>IF('Quant. mod. (oc)'!F509&lt;0,0,ROUND('Quant. mod. (oc)'!F509,0))</f>
        <v>1</v>
      </c>
      <c r="G509" s="125">
        <f>IF('Quant. mod. (oc)'!G509&lt;0,0,ROUND('Quant. mod. (oc)'!G509,0))</f>
        <v>1</v>
      </c>
      <c r="H509" s="125">
        <f>IF('Quant. mod. (oc)'!H509&lt;0,0,ROUND('Quant. mod. (oc)'!H509,0))</f>
        <v>1</v>
      </c>
      <c r="I509" s="125">
        <f>IF('Quant. mod. (oc)'!I509&lt;0,0,ROUND('Quant. mod. (oc)'!I509,0))</f>
        <v>1</v>
      </c>
      <c r="J509" s="125">
        <f>IF('Quant. mod. (oc)'!J509&lt;0,0,ROUND('Quant. mod. (oc)'!J509,0))</f>
        <v>1</v>
      </c>
      <c r="K509" s="125">
        <f>IF('Quant. mod. (oc)'!K509&lt;0,0,ROUND('Quant. mod. (oc)'!K509,0))</f>
        <v>1</v>
      </c>
      <c r="L509" s="125">
        <f>IF('Quant. mod. (oc)'!L509&lt;0,0,ROUND('Quant. mod. (oc)'!L509,0))</f>
        <v>1</v>
      </c>
      <c r="M509" s="125">
        <f>IF('Quant. mod. (oc)'!M509&lt;0,0,ROUND('Quant. mod. (oc)'!M509,0))</f>
        <v>1</v>
      </c>
      <c r="N509" s="125">
        <f>IF('Quant. mod. (oc)'!N509&lt;0,0,ROUND('Quant. mod. (oc)'!N509,0))</f>
        <v>1</v>
      </c>
      <c r="O509" s="125">
        <f>IF('Quant. mod. (oc)'!O509&lt;0,0,ROUND('Quant. mod. (oc)'!O509,0))</f>
        <v>1</v>
      </c>
      <c r="P509" s="125">
        <f>IF('Quant. mod. (oc)'!P509&lt;0,0,ROUND('Quant. mod. (oc)'!P509,0))</f>
        <v>1</v>
      </c>
      <c r="Q509" s="125">
        <f>IF('Quant. mod. (oc)'!Q509&lt;0,0,ROUND('Quant. mod. (oc)'!Q509,0))</f>
        <v>1</v>
      </c>
      <c r="R509" s="125">
        <f>IF('Quant. mod. (oc)'!R509&lt;0,0,ROUND('Quant. mod. (oc)'!R509,0))</f>
        <v>1</v>
      </c>
      <c r="S509" s="125">
        <f>IF('Quant. mod. (oc)'!S509&lt;0,0,ROUND('Quant. mod. (oc)'!S509,0))</f>
        <v>1</v>
      </c>
      <c r="T509" s="125">
        <f>IF('Quant. mod. (oc)'!T509&lt;0,0,ROUND('Quant. mod. (oc)'!T509,0))</f>
        <v>1</v>
      </c>
      <c r="U509" s="125">
        <f>IF('Quant. mod. (oc)'!U509&lt;0,0,ROUND('Quant. mod. (oc)'!U509,0))</f>
        <v>1</v>
      </c>
      <c r="V509" s="125">
        <f>IF('Quant. mod. (oc)'!V509&lt;0,0,ROUND('Quant. mod. (oc)'!V509,0))</f>
        <v>1</v>
      </c>
      <c r="W509" s="125">
        <f>IF('Quant. mod. (oc)'!W509&lt;0,0,ROUND('Quant. mod. (oc)'!W509,0))</f>
        <v>1</v>
      </c>
      <c r="X509" s="125">
        <f>IF('Quant. mod. (oc)'!X509&lt;0,0,ROUND('Quant. mod. (oc)'!X509,0))</f>
        <v>1</v>
      </c>
      <c r="Y509" s="125">
        <f>IF('Quant. mod. (oc)'!Y509&lt;0,0,ROUND('Quant. mod. (oc)'!Y509,0))</f>
        <v>1</v>
      </c>
      <c r="Z509" s="125">
        <f>IF('Quant. mod. (oc)'!Z509&lt;0,0,ROUND('Quant. mod. (oc)'!Z509,0))</f>
        <v>1</v>
      </c>
      <c r="AA509" s="125">
        <f>IF('Quant. mod. (oc)'!AA509&lt;0,0,ROUND('Quant. mod. (oc)'!AA509,0))</f>
        <v>1</v>
      </c>
      <c r="AB509" s="125">
        <f>IF('Quant. mod. (oc)'!AB509&lt;0,0,ROUND('Quant. mod. (oc)'!AB509,0))</f>
        <v>1</v>
      </c>
      <c r="AC509" s="125">
        <f>IF('Quant. mod. (oc)'!AC509&lt;0,0,ROUND('Quant. mod. (oc)'!AC509,0))</f>
        <v>1</v>
      </c>
      <c r="AD509" s="125">
        <f>IF('Quant. mod. (oc)'!AD509&lt;0,0,ROUND('Quant. mod. (oc)'!AD509,0))</f>
        <v>1</v>
      </c>
      <c r="AE509" s="125">
        <f>IF('Quant. mod. (oc)'!AE509&lt;0,0,ROUND('Quant. mod. (oc)'!AE509,0))</f>
        <v>1</v>
      </c>
      <c r="AF509" s="125">
        <f>IF('Quant. mod. (oc)'!AF509&lt;0,0,ROUND('Quant. mod. (oc)'!AF509,0))</f>
        <v>1</v>
      </c>
      <c r="AG509" s="126">
        <f>IF('Quant. mod. (oc)'!AG509&lt;0,0,ROUND('Quant. mod. (oc)'!AG509,0))</f>
        <v>1</v>
      </c>
      <c r="AH509" s="22"/>
    </row>
    <row r="510" spans="1:34" x14ac:dyDescent="0.25">
      <c r="A510" s="112"/>
      <c r="B510" s="136" t="s">
        <v>130</v>
      </c>
      <c r="C510" s="67" t="s">
        <v>59</v>
      </c>
      <c r="D510" s="125">
        <f>IF('Quant. mod. (oc)'!D510&lt;0,0,ROUND('Quant. mod. (oc)'!D510,0))</f>
        <v>1</v>
      </c>
      <c r="E510" s="125">
        <f>IF('Quant. mod. (oc)'!E510&lt;0,0,ROUND('Quant. mod. (oc)'!E510,0))</f>
        <v>1</v>
      </c>
      <c r="F510" s="125">
        <f>IF('Quant. mod. (oc)'!F510&lt;0,0,ROUND('Quant. mod. (oc)'!F510,0))</f>
        <v>1</v>
      </c>
      <c r="G510" s="125">
        <f>IF('Quant. mod. (oc)'!G510&lt;0,0,ROUND('Quant. mod. (oc)'!G510,0))</f>
        <v>1</v>
      </c>
      <c r="H510" s="125">
        <f>IF('Quant. mod. (oc)'!H510&lt;0,0,ROUND('Quant. mod. (oc)'!H510,0))</f>
        <v>1</v>
      </c>
      <c r="I510" s="125">
        <f>IF('Quant. mod. (oc)'!I510&lt;0,0,ROUND('Quant. mod. (oc)'!I510,0))</f>
        <v>1</v>
      </c>
      <c r="J510" s="125">
        <f>IF('Quant. mod. (oc)'!J510&lt;0,0,ROUND('Quant. mod. (oc)'!J510,0))</f>
        <v>1</v>
      </c>
      <c r="K510" s="125">
        <f>IF('Quant. mod. (oc)'!K510&lt;0,0,ROUND('Quant. mod. (oc)'!K510,0))</f>
        <v>1</v>
      </c>
      <c r="L510" s="125">
        <f>IF('Quant. mod. (oc)'!L510&lt;0,0,ROUND('Quant. mod. (oc)'!L510,0))</f>
        <v>1</v>
      </c>
      <c r="M510" s="125">
        <f>IF('Quant. mod. (oc)'!M510&lt;0,0,ROUND('Quant. mod. (oc)'!M510,0))</f>
        <v>1</v>
      </c>
      <c r="N510" s="125">
        <f>IF('Quant. mod. (oc)'!N510&lt;0,0,ROUND('Quant. mod. (oc)'!N510,0))</f>
        <v>1</v>
      </c>
      <c r="O510" s="125">
        <f>IF('Quant. mod. (oc)'!O510&lt;0,0,ROUND('Quant. mod. (oc)'!O510,0))</f>
        <v>1</v>
      </c>
      <c r="P510" s="125">
        <f>IF('Quant. mod. (oc)'!P510&lt;0,0,ROUND('Quant. mod. (oc)'!P510,0))</f>
        <v>1</v>
      </c>
      <c r="Q510" s="125">
        <f>IF('Quant. mod. (oc)'!Q510&lt;0,0,ROUND('Quant. mod. (oc)'!Q510,0))</f>
        <v>1</v>
      </c>
      <c r="R510" s="125">
        <f>IF('Quant. mod. (oc)'!R510&lt;0,0,ROUND('Quant. mod. (oc)'!R510,0))</f>
        <v>1</v>
      </c>
      <c r="S510" s="125">
        <f>IF('Quant. mod. (oc)'!S510&lt;0,0,ROUND('Quant. mod. (oc)'!S510,0))</f>
        <v>1</v>
      </c>
      <c r="T510" s="125">
        <f>IF('Quant. mod. (oc)'!T510&lt;0,0,ROUND('Quant. mod. (oc)'!T510,0))</f>
        <v>1</v>
      </c>
      <c r="U510" s="125">
        <f>IF('Quant. mod. (oc)'!U510&lt;0,0,ROUND('Quant. mod. (oc)'!U510,0))</f>
        <v>1</v>
      </c>
      <c r="V510" s="125">
        <f>IF('Quant. mod. (oc)'!V510&lt;0,0,ROUND('Quant. mod. (oc)'!V510,0))</f>
        <v>1</v>
      </c>
      <c r="W510" s="125">
        <f>IF('Quant. mod. (oc)'!W510&lt;0,0,ROUND('Quant. mod. (oc)'!W510,0))</f>
        <v>1</v>
      </c>
      <c r="X510" s="125">
        <f>IF('Quant. mod. (oc)'!X510&lt;0,0,ROUND('Quant. mod. (oc)'!X510,0))</f>
        <v>1</v>
      </c>
      <c r="Y510" s="125">
        <f>IF('Quant. mod. (oc)'!Y510&lt;0,0,ROUND('Quant. mod. (oc)'!Y510,0))</f>
        <v>1</v>
      </c>
      <c r="Z510" s="125">
        <f>IF('Quant. mod. (oc)'!Z510&lt;0,0,ROUND('Quant. mod. (oc)'!Z510,0))</f>
        <v>1</v>
      </c>
      <c r="AA510" s="125">
        <f>IF('Quant. mod. (oc)'!AA510&lt;0,0,ROUND('Quant. mod. (oc)'!AA510,0))</f>
        <v>1</v>
      </c>
      <c r="AB510" s="125">
        <f>IF('Quant. mod. (oc)'!AB510&lt;0,0,ROUND('Quant. mod. (oc)'!AB510,0))</f>
        <v>1</v>
      </c>
      <c r="AC510" s="125">
        <f>IF('Quant. mod. (oc)'!AC510&lt;0,0,ROUND('Quant. mod. (oc)'!AC510,0))</f>
        <v>1</v>
      </c>
      <c r="AD510" s="125">
        <f>IF('Quant. mod. (oc)'!AD510&lt;0,0,ROUND('Quant. mod. (oc)'!AD510,0))</f>
        <v>1</v>
      </c>
      <c r="AE510" s="125">
        <f>IF('Quant. mod. (oc)'!AE510&lt;0,0,ROUND('Quant. mod. (oc)'!AE510,0))</f>
        <v>1</v>
      </c>
      <c r="AF510" s="125">
        <f>IF('Quant. mod. (oc)'!AF510&lt;0,0,ROUND('Quant. mod. (oc)'!AF510,0))</f>
        <v>1</v>
      </c>
      <c r="AG510" s="126">
        <f>IF('Quant. mod. (oc)'!AG510&lt;0,0,ROUND('Quant. mod. (oc)'!AG510,0))</f>
        <v>1</v>
      </c>
      <c r="AH510" s="22"/>
    </row>
    <row r="511" spans="1:34" x14ac:dyDescent="0.25">
      <c r="A511" s="112"/>
      <c r="B511" s="136" t="s">
        <v>131</v>
      </c>
      <c r="C511" s="67" t="s">
        <v>59</v>
      </c>
      <c r="D511" s="125">
        <f>IF('Quant. mod. (oc)'!D511&lt;0,0,ROUND('Quant. mod. (oc)'!D511,0))</f>
        <v>1</v>
      </c>
      <c r="E511" s="125">
        <f>IF('Quant. mod. (oc)'!E511&lt;0,0,ROUND('Quant. mod. (oc)'!E511,0))</f>
        <v>1</v>
      </c>
      <c r="F511" s="125">
        <f>IF('Quant. mod. (oc)'!F511&lt;0,0,ROUND('Quant. mod. (oc)'!F511,0))</f>
        <v>1</v>
      </c>
      <c r="G511" s="125">
        <f>IF('Quant. mod. (oc)'!G511&lt;0,0,ROUND('Quant. mod. (oc)'!G511,0))</f>
        <v>1</v>
      </c>
      <c r="H511" s="125">
        <f>IF('Quant. mod. (oc)'!H511&lt;0,0,ROUND('Quant. mod. (oc)'!H511,0))</f>
        <v>1</v>
      </c>
      <c r="I511" s="125">
        <f>IF('Quant. mod. (oc)'!I511&lt;0,0,ROUND('Quant. mod. (oc)'!I511,0))</f>
        <v>1</v>
      </c>
      <c r="J511" s="125">
        <f>IF('Quant. mod. (oc)'!J511&lt;0,0,ROUND('Quant. mod. (oc)'!J511,0))</f>
        <v>1</v>
      </c>
      <c r="K511" s="125">
        <f>IF('Quant. mod. (oc)'!K511&lt;0,0,ROUND('Quant. mod. (oc)'!K511,0))</f>
        <v>1</v>
      </c>
      <c r="L511" s="125">
        <f>IF('Quant. mod. (oc)'!L511&lt;0,0,ROUND('Quant. mod. (oc)'!L511,0))</f>
        <v>1</v>
      </c>
      <c r="M511" s="125">
        <f>IF('Quant. mod. (oc)'!M511&lt;0,0,ROUND('Quant. mod. (oc)'!M511,0))</f>
        <v>1</v>
      </c>
      <c r="N511" s="125">
        <f>IF('Quant. mod. (oc)'!N511&lt;0,0,ROUND('Quant. mod. (oc)'!N511,0))</f>
        <v>1</v>
      </c>
      <c r="O511" s="125">
        <f>IF('Quant. mod. (oc)'!O511&lt;0,0,ROUND('Quant. mod. (oc)'!O511,0))</f>
        <v>1</v>
      </c>
      <c r="P511" s="125">
        <f>IF('Quant. mod. (oc)'!P511&lt;0,0,ROUND('Quant. mod. (oc)'!P511,0))</f>
        <v>1</v>
      </c>
      <c r="Q511" s="125">
        <f>IF('Quant. mod. (oc)'!Q511&lt;0,0,ROUND('Quant. mod. (oc)'!Q511,0))</f>
        <v>1</v>
      </c>
      <c r="R511" s="125">
        <f>IF('Quant. mod. (oc)'!R511&lt;0,0,ROUND('Quant. mod. (oc)'!R511,0))</f>
        <v>1</v>
      </c>
      <c r="S511" s="125">
        <f>IF('Quant. mod. (oc)'!S511&lt;0,0,ROUND('Quant. mod. (oc)'!S511,0))</f>
        <v>1</v>
      </c>
      <c r="T511" s="125">
        <f>IF('Quant. mod. (oc)'!T511&lt;0,0,ROUND('Quant. mod. (oc)'!T511,0))</f>
        <v>1</v>
      </c>
      <c r="U511" s="125">
        <f>IF('Quant. mod. (oc)'!U511&lt;0,0,ROUND('Quant. mod. (oc)'!U511,0))</f>
        <v>1</v>
      </c>
      <c r="V511" s="125">
        <f>IF('Quant. mod. (oc)'!V511&lt;0,0,ROUND('Quant. mod. (oc)'!V511,0))</f>
        <v>1</v>
      </c>
      <c r="W511" s="125">
        <f>IF('Quant. mod. (oc)'!W511&lt;0,0,ROUND('Quant. mod. (oc)'!W511,0))</f>
        <v>1</v>
      </c>
      <c r="X511" s="125">
        <f>IF('Quant. mod. (oc)'!X511&lt;0,0,ROUND('Quant. mod. (oc)'!X511,0))</f>
        <v>1</v>
      </c>
      <c r="Y511" s="125">
        <f>IF('Quant. mod. (oc)'!Y511&lt;0,0,ROUND('Quant. mod. (oc)'!Y511,0))</f>
        <v>1</v>
      </c>
      <c r="Z511" s="125">
        <f>IF('Quant. mod. (oc)'!Z511&lt;0,0,ROUND('Quant. mod. (oc)'!Z511,0))</f>
        <v>1</v>
      </c>
      <c r="AA511" s="125">
        <f>IF('Quant. mod. (oc)'!AA511&lt;0,0,ROUND('Quant. mod. (oc)'!AA511,0))</f>
        <v>1</v>
      </c>
      <c r="AB511" s="125">
        <f>IF('Quant. mod. (oc)'!AB511&lt;0,0,ROUND('Quant. mod. (oc)'!AB511,0))</f>
        <v>1</v>
      </c>
      <c r="AC511" s="125">
        <f>IF('Quant. mod. (oc)'!AC511&lt;0,0,ROUND('Quant. mod. (oc)'!AC511,0))</f>
        <v>1</v>
      </c>
      <c r="AD511" s="125">
        <f>IF('Quant. mod. (oc)'!AD511&lt;0,0,ROUND('Quant. mod. (oc)'!AD511,0))</f>
        <v>1</v>
      </c>
      <c r="AE511" s="125">
        <f>IF('Quant. mod. (oc)'!AE511&lt;0,0,ROUND('Quant. mod. (oc)'!AE511,0))</f>
        <v>1</v>
      </c>
      <c r="AF511" s="125">
        <f>IF('Quant. mod. (oc)'!AF511&lt;0,0,ROUND('Quant. mod. (oc)'!AF511,0))</f>
        <v>1</v>
      </c>
      <c r="AG511" s="126">
        <f>IF('Quant. mod. (oc)'!AG511&lt;0,0,ROUND('Quant. mod. (oc)'!AG511,0))</f>
        <v>1</v>
      </c>
      <c r="AH511" s="22"/>
    </row>
    <row r="512" spans="1:34" x14ac:dyDescent="0.25">
      <c r="A512" s="112"/>
      <c r="B512" s="136" t="s">
        <v>132</v>
      </c>
      <c r="C512" s="67" t="s">
        <v>59</v>
      </c>
      <c r="D512" s="125">
        <f>IF('Quant. mod. (oc)'!D512&lt;0,0,ROUND('Quant. mod. (oc)'!D512,0))</f>
        <v>1</v>
      </c>
      <c r="E512" s="125">
        <f>IF('Quant. mod. (oc)'!E512&lt;0,0,ROUND('Quant. mod. (oc)'!E512,0))</f>
        <v>1</v>
      </c>
      <c r="F512" s="125">
        <f>IF('Quant. mod. (oc)'!F512&lt;0,0,ROUND('Quant. mod. (oc)'!F512,0))</f>
        <v>1</v>
      </c>
      <c r="G512" s="125">
        <f>IF('Quant. mod. (oc)'!G512&lt;0,0,ROUND('Quant. mod. (oc)'!G512,0))</f>
        <v>1</v>
      </c>
      <c r="H512" s="125">
        <f>IF('Quant. mod. (oc)'!H512&lt;0,0,ROUND('Quant. mod. (oc)'!H512,0))</f>
        <v>1</v>
      </c>
      <c r="I512" s="125">
        <f>IF('Quant. mod. (oc)'!I512&lt;0,0,ROUND('Quant. mod. (oc)'!I512,0))</f>
        <v>1</v>
      </c>
      <c r="J512" s="125">
        <f>IF('Quant. mod. (oc)'!J512&lt;0,0,ROUND('Quant. mod. (oc)'!J512,0))</f>
        <v>1</v>
      </c>
      <c r="K512" s="125">
        <f>IF('Quant. mod. (oc)'!K512&lt;0,0,ROUND('Quant. mod. (oc)'!K512,0))</f>
        <v>1</v>
      </c>
      <c r="L512" s="125">
        <f>IF('Quant. mod. (oc)'!L512&lt;0,0,ROUND('Quant. mod. (oc)'!L512,0))</f>
        <v>1</v>
      </c>
      <c r="M512" s="125">
        <f>IF('Quant. mod. (oc)'!M512&lt;0,0,ROUND('Quant. mod. (oc)'!M512,0))</f>
        <v>1</v>
      </c>
      <c r="N512" s="125">
        <f>IF('Quant. mod. (oc)'!N512&lt;0,0,ROUND('Quant. mod. (oc)'!N512,0))</f>
        <v>1</v>
      </c>
      <c r="O512" s="125">
        <f>IF('Quant. mod. (oc)'!O512&lt;0,0,ROUND('Quant. mod. (oc)'!O512,0))</f>
        <v>1</v>
      </c>
      <c r="P512" s="125">
        <f>IF('Quant. mod. (oc)'!P512&lt;0,0,ROUND('Quant. mod. (oc)'!P512,0))</f>
        <v>1</v>
      </c>
      <c r="Q512" s="125">
        <f>IF('Quant. mod. (oc)'!Q512&lt;0,0,ROUND('Quant. mod. (oc)'!Q512,0))</f>
        <v>1</v>
      </c>
      <c r="R512" s="125">
        <f>IF('Quant. mod. (oc)'!R512&lt;0,0,ROUND('Quant. mod. (oc)'!R512,0))</f>
        <v>1</v>
      </c>
      <c r="S512" s="125">
        <f>IF('Quant. mod. (oc)'!S512&lt;0,0,ROUND('Quant. mod. (oc)'!S512,0))</f>
        <v>1</v>
      </c>
      <c r="T512" s="125">
        <f>IF('Quant. mod. (oc)'!T512&lt;0,0,ROUND('Quant. mod. (oc)'!T512,0))</f>
        <v>1</v>
      </c>
      <c r="U512" s="125">
        <f>IF('Quant. mod. (oc)'!U512&lt;0,0,ROUND('Quant. mod. (oc)'!U512,0))</f>
        <v>1</v>
      </c>
      <c r="V512" s="125">
        <f>IF('Quant. mod. (oc)'!V512&lt;0,0,ROUND('Quant. mod. (oc)'!V512,0))</f>
        <v>1</v>
      </c>
      <c r="W512" s="125">
        <f>IF('Quant. mod. (oc)'!W512&lt;0,0,ROUND('Quant. mod. (oc)'!W512,0))</f>
        <v>1</v>
      </c>
      <c r="X512" s="125">
        <f>IF('Quant. mod. (oc)'!X512&lt;0,0,ROUND('Quant. mod. (oc)'!X512,0))</f>
        <v>1</v>
      </c>
      <c r="Y512" s="125">
        <f>IF('Quant. mod. (oc)'!Y512&lt;0,0,ROUND('Quant. mod. (oc)'!Y512,0))</f>
        <v>1</v>
      </c>
      <c r="Z512" s="125">
        <f>IF('Quant. mod. (oc)'!Z512&lt;0,0,ROUND('Quant. mod. (oc)'!Z512,0))</f>
        <v>1</v>
      </c>
      <c r="AA512" s="125">
        <f>IF('Quant. mod. (oc)'!AA512&lt;0,0,ROUND('Quant. mod. (oc)'!AA512,0))</f>
        <v>1</v>
      </c>
      <c r="AB512" s="125">
        <f>IF('Quant. mod. (oc)'!AB512&lt;0,0,ROUND('Quant. mod. (oc)'!AB512,0))</f>
        <v>1</v>
      </c>
      <c r="AC512" s="125">
        <f>IF('Quant. mod. (oc)'!AC512&lt;0,0,ROUND('Quant. mod. (oc)'!AC512,0))</f>
        <v>1</v>
      </c>
      <c r="AD512" s="125">
        <f>IF('Quant. mod. (oc)'!AD512&lt;0,0,ROUND('Quant. mod. (oc)'!AD512,0))</f>
        <v>1</v>
      </c>
      <c r="AE512" s="125">
        <f>IF('Quant. mod. (oc)'!AE512&lt;0,0,ROUND('Quant. mod. (oc)'!AE512,0))</f>
        <v>1</v>
      </c>
      <c r="AF512" s="125">
        <f>IF('Quant. mod. (oc)'!AF512&lt;0,0,ROUND('Quant. mod. (oc)'!AF512,0))</f>
        <v>1</v>
      </c>
      <c r="AG512" s="126">
        <f>IF('Quant. mod. (oc)'!AG512&lt;0,0,ROUND('Quant. mod. (oc)'!AG512,0))</f>
        <v>1</v>
      </c>
      <c r="AH512" s="22"/>
    </row>
    <row r="513" spans="1:34" x14ac:dyDescent="0.25">
      <c r="A513" s="112"/>
      <c r="B513" s="136" t="s">
        <v>133</v>
      </c>
      <c r="C513" s="67" t="s">
        <v>59</v>
      </c>
      <c r="D513" s="125">
        <f>IF('Quant. mod. (oc)'!D513&lt;0,0,ROUND('Quant. mod. (oc)'!D513,0))</f>
        <v>1</v>
      </c>
      <c r="E513" s="125">
        <f>IF('Quant. mod. (oc)'!E513&lt;0,0,ROUND('Quant. mod. (oc)'!E513,0))</f>
        <v>1</v>
      </c>
      <c r="F513" s="125">
        <f>IF('Quant. mod. (oc)'!F513&lt;0,0,ROUND('Quant. mod. (oc)'!F513,0))</f>
        <v>1</v>
      </c>
      <c r="G513" s="125">
        <f>IF('Quant. mod. (oc)'!G513&lt;0,0,ROUND('Quant. mod. (oc)'!G513,0))</f>
        <v>1</v>
      </c>
      <c r="H513" s="125">
        <f>IF('Quant. mod. (oc)'!H513&lt;0,0,ROUND('Quant. mod. (oc)'!H513,0))</f>
        <v>1</v>
      </c>
      <c r="I513" s="125">
        <f>IF('Quant. mod. (oc)'!I513&lt;0,0,ROUND('Quant. mod. (oc)'!I513,0))</f>
        <v>1</v>
      </c>
      <c r="J513" s="125">
        <f>IF('Quant. mod. (oc)'!J513&lt;0,0,ROUND('Quant. mod. (oc)'!J513,0))</f>
        <v>1</v>
      </c>
      <c r="K513" s="125">
        <f>IF('Quant. mod. (oc)'!K513&lt;0,0,ROUND('Quant. mod. (oc)'!K513,0))</f>
        <v>1</v>
      </c>
      <c r="L513" s="125">
        <f>IF('Quant. mod. (oc)'!L513&lt;0,0,ROUND('Quant. mod. (oc)'!L513,0))</f>
        <v>1</v>
      </c>
      <c r="M513" s="125">
        <f>IF('Quant. mod. (oc)'!M513&lt;0,0,ROUND('Quant. mod. (oc)'!M513,0))</f>
        <v>1</v>
      </c>
      <c r="N513" s="125">
        <f>IF('Quant. mod. (oc)'!N513&lt;0,0,ROUND('Quant. mod. (oc)'!N513,0))</f>
        <v>1</v>
      </c>
      <c r="O513" s="125">
        <f>IF('Quant. mod. (oc)'!O513&lt;0,0,ROUND('Quant. mod. (oc)'!O513,0))</f>
        <v>1</v>
      </c>
      <c r="P513" s="125">
        <f>IF('Quant. mod. (oc)'!P513&lt;0,0,ROUND('Quant. mod. (oc)'!P513,0))</f>
        <v>1</v>
      </c>
      <c r="Q513" s="125">
        <f>IF('Quant. mod. (oc)'!Q513&lt;0,0,ROUND('Quant. mod. (oc)'!Q513,0))</f>
        <v>1</v>
      </c>
      <c r="R513" s="125">
        <f>IF('Quant. mod. (oc)'!R513&lt;0,0,ROUND('Quant. mod. (oc)'!R513,0))</f>
        <v>1</v>
      </c>
      <c r="S513" s="125">
        <f>IF('Quant. mod. (oc)'!S513&lt;0,0,ROUND('Quant. mod. (oc)'!S513,0))</f>
        <v>1</v>
      </c>
      <c r="T513" s="125">
        <f>IF('Quant. mod. (oc)'!T513&lt;0,0,ROUND('Quant. mod. (oc)'!T513,0))</f>
        <v>1</v>
      </c>
      <c r="U513" s="125">
        <f>IF('Quant. mod. (oc)'!U513&lt;0,0,ROUND('Quant. mod. (oc)'!U513,0))</f>
        <v>1</v>
      </c>
      <c r="V513" s="125">
        <f>IF('Quant. mod. (oc)'!V513&lt;0,0,ROUND('Quant. mod. (oc)'!V513,0))</f>
        <v>1</v>
      </c>
      <c r="W513" s="125">
        <f>IF('Quant. mod. (oc)'!W513&lt;0,0,ROUND('Quant. mod. (oc)'!W513,0))</f>
        <v>1</v>
      </c>
      <c r="X513" s="125">
        <f>IF('Quant. mod. (oc)'!X513&lt;0,0,ROUND('Quant. mod. (oc)'!X513,0))</f>
        <v>1</v>
      </c>
      <c r="Y513" s="125">
        <f>IF('Quant. mod. (oc)'!Y513&lt;0,0,ROUND('Quant. mod. (oc)'!Y513,0))</f>
        <v>1</v>
      </c>
      <c r="Z513" s="125">
        <f>IF('Quant. mod. (oc)'!Z513&lt;0,0,ROUND('Quant. mod. (oc)'!Z513,0))</f>
        <v>1</v>
      </c>
      <c r="AA513" s="125">
        <f>IF('Quant. mod. (oc)'!AA513&lt;0,0,ROUND('Quant. mod. (oc)'!AA513,0))</f>
        <v>1</v>
      </c>
      <c r="AB513" s="125">
        <f>IF('Quant. mod. (oc)'!AB513&lt;0,0,ROUND('Quant. mod. (oc)'!AB513,0))</f>
        <v>1</v>
      </c>
      <c r="AC513" s="125">
        <f>IF('Quant. mod. (oc)'!AC513&lt;0,0,ROUND('Quant. mod. (oc)'!AC513,0))</f>
        <v>1</v>
      </c>
      <c r="AD513" s="125">
        <f>IF('Quant. mod. (oc)'!AD513&lt;0,0,ROUND('Quant. mod. (oc)'!AD513,0))</f>
        <v>1</v>
      </c>
      <c r="AE513" s="125">
        <f>IF('Quant. mod. (oc)'!AE513&lt;0,0,ROUND('Quant. mod. (oc)'!AE513,0))</f>
        <v>1</v>
      </c>
      <c r="AF513" s="125">
        <f>IF('Quant. mod. (oc)'!AF513&lt;0,0,ROUND('Quant. mod. (oc)'!AF513,0))</f>
        <v>1</v>
      </c>
      <c r="AG513" s="126">
        <f>IF('Quant. mod. (oc)'!AG513&lt;0,0,ROUND('Quant. mod. (oc)'!AG513,0))</f>
        <v>1</v>
      </c>
      <c r="AH513" s="22"/>
    </row>
    <row r="514" spans="1:34" x14ac:dyDescent="0.25">
      <c r="A514" s="112"/>
      <c r="B514" s="136" t="s">
        <v>134</v>
      </c>
      <c r="C514" s="67" t="s">
        <v>59</v>
      </c>
      <c r="D514" s="125">
        <f>IF('Quant. mod. (oc)'!D514&lt;0,0,ROUND('Quant. mod. (oc)'!D514,0))</f>
        <v>1</v>
      </c>
      <c r="E514" s="125">
        <f>IF('Quant. mod. (oc)'!E514&lt;0,0,ROUND('Quant. mod. (oc)'!E514,0))</f>
        <v>1</v>
      </c>
      <c r="F514" s="125">
        <f>IF('Quant. mod. (oc)'!F514&lt;0,0,ROUND('Quant. mod. (oc)'!F514,0))</f>
        <v>1</v>
      </c>
      <c r="G514" s="125">
        <f>IF('Quant. mod. (oc)'!G514&lt;0,0,ROUND('Quant. mod. (oc)'!G514,0))</f>
        <v>1</v>
      </c>
      <c r="H514" s="125">
        <f>IF('Quant. mod. (oc)'!H514&lt;0,0,ROUND('Quant. mod. (oc)'!H514,0))</f>
        <v>1</v>
      </c>
      <c r="I514" s="125">
        <f>IF('Quant. mod. (oc)'!I514&lt;0,0,ROUND('Quant. mod. (oc)'!I514,0))</f>
        <v>1</v>
      </c>
      <c r="J514" s="125">
        <f>IF('Quant. mod. (oc)'!J514&lt;0,0,ROUND('Quant. mod. (oc)'!J514,0))</f>
        <v>1</v>
      </c>
      <c r="K514" s="125">
        <f>IF('Quant. mod. (oc)'!K514&lt;0,0,ROUND('Quant. mod. (oc)'!K514,0))</f>
        <v>1</v>
      </c>
      <c r="L514" s="125">
        <f>IF('Quant. mod. (oc)'!L514&lt;0,0,ROUND('Quant. mod. (oc)'!L514,0))</f>
        <v>1</v>
      </c>
      <c r="M514" s="125">
        <f>IF('Quant. mod. (oc)'!M514&lt;0,0,ROUND('Quant. mod. (oc)'!M514,0))</f>
        <v>1</v>
      </c>
      <c r="N514" s="125">
        <f>IF('Quant. mod. (oc)'!N514&lt;0,0,ROUND('Quant. mod. (oc)'!N514,0))</f>
        <v>1</v>
      </c>
      <c r="O514" s="125">
        <f>IF('Quant. mod. (oc)'!O514&lt;0,0,ROUND('Quant. mod. (oc)'!O514,0))</f>
        <v>1</v>
      </c>
      <c r="P514" s="125">
        <f>IF('Quant. mod. (oc)'!P514&lt;0,0,ROUND('Quant. mod. (oc)'!P514,0))</f>
        <v>1</v>
      </c>
      <c r="Q514" s="125">
        <f>IF('Quant. mod. (oc)'!Q514&lt;0,0,ROUND('Quant. mod. (oc)'!Q514,0))</f>
        <v>1</v>
      </c>
      <c r="R514" s="125">
        <f>IF('Quant. mod. (oc)'!R514&lt;0,0,ROUND('Quant. mod. (oc)'!R514,0))</f>
        <v>1</v>
      </c>
      <c r="S514" s="125">
        <f>IF('Quant. mod. (oc)'!S514&lt;0,0,ROUND('Quant. mod. (oc)'!S514,0))</f>
        <v>1</v>
      </c>
      <c r="T514" s="125">
        <f>IF('Quant. mod. (oc)'!T514&lt;0,0,ROUND('Quant. mod. (oc)'!T514,0))</f>
        <v>1</v>
      </c>
      <c r="U514" s="125">
        <f>IF('Quant. mod. (oc)'!U514&lt;0,0,ROUND('Quant. mod. (oc)'!U514,0))</f>
        <v>1</v>
      </c>
      <c r="V514" s="125">
        <f>IF('Quant. mod. (oc)'!V514&lt;0,0,ROUND('Quant. mod. (oc)'!V514,0))</f>
        <v>1</v>
      </c>
      <c r="W514" s="125">
        <f>IF('Quant. mod. (oc)'!W514&lt;0,0,ROUND('Quant. mod. (oc)'!W514,0))</f>
        <v>1</v>
      </c>
      <c r="X514" s="125">
        <f>IF('Quant. mod. (oc)'!X514&lt;0,0,ROUND('Quant. mod. (oc)'!X514,0))</f>
        <v>1</v>
      </c>
      <c r="Y514" s="125">
        <f>IF('Quant. mod. (oc)'!Y514&lt;0,0,ROUND('Quant. mod. (oc)'!Y514,0))</f>
        <v>1</v>
      </c>
      <c r="Z514" s="125">
        <f>IF('Quant. mod. (oc)'!Z514&lt;0,0,ROUND('Quant. mod. (oc)'!Z514,0))</f>
        <v>1</v>
      </c>
      <c r="AA514" s="125">
        <f>IF('Quant. mod. (oc)'!AA514&lt;0,0,ROUND('Quant. mod. (oc)'!AA514,0))</f>
        <v>1</v>
      </c>
      <c r="AB514" s="125">
        <f>IF('Quant. mod. (oc)'!AB514&lt;0,0,ROUND('Quant. mod. (oc)'!AB514,0))</f>
        <v>1</v>
      </c>
      <c r="AC514" s="125">
        <f>IF('Quant. mod. (oc)'!AC514&lt;0,0,ROUND('Quant. mod. (oc)'!AC514,0))</f>
        <v>1</v>
      </c>
      <c r="AD514" s="125">
        <f>IF('Quant. mod. (oc)'!AD514&lt;0,0,ROUND('Quant. mod. (oc)'!AD514,0))</f>
        <v>1</v>
      </c>
      <c r="AE514" s="125">
        <f>IF('Quant. mod. (oc)'!AE514&lt;0,0,ROUND('Quant. mod. (oc)'!AE514,0))</f>
        <v>1</v>
      </c>
      <c r="AF514" s="125">
        <f>IF('Quant. mod. (oc)'!AF514&lt;0,0,ROUND('Quant. mod. (oc)'!AF514,0))</f>
        <v>1</v>
      </c>
      <c r="AG514" s="126">
        <f>IF('Quant. mod. (oc)'!AG514&lt;0,0,ROUND('Quant. mod. (oc)'!AG514,0))</f>
        <v>1</v>
      </c>
      <c r="AH514" s="22"/>
    </row>
    <row r="515" spans="1:34" x14ac:dyDescent="0.25">
      <c r="A515" s="112"/>
      <c r="B515" s="136" t="s">
        <v>135</v>
      </c>
      <c r="C515" s="67" t="s">
        <v>59</v>
      </c>
      <c r="D515" s="125">
        <f>IF('Quant. mod. (oc)'!D515&lt;0,0,ROUND('Quant. mod. (oc)'!D515,0))</f>
        <v>1</v>
      </c>
      <c r="E515" s="125">
        <f>IF('Quant. mod. (oc)'!E515&lt;0,0,ROUND('Quant. mod. (oc)'!E515,0))</f>
        <v>1</v>
      </c>
      <c r="F515" s="125">
        <f>IF('Quant. mod. (oc)'!F515&lt;0,0,ROUND('Quant. mod. (oc)'!F515,0))</f>
        <v>1</v>
      </c>
      <c r="G515" s="125">
        <f>IF('Quant. mod. (oc)'!G515&lt;0,0,ROUND('Quant. mod. (oc)'!G515,0))</f>
        <v>1</v>
      </c>
      <c r="H515" s="125">
        <f>IF('Quant. mod. (oc)'!H515&lt;0,0,ROUND('Quant. mod. (oc)'!H515,0))</f>
        <v>1</v>
      </c>
      <c r="I515" s="125">
        <f>IF('Quant. mod. (oc)'!I515&lt;0,0,ROUND('Quant. mod. (oc)'!I515,0))</f>
        <v>1</v>
      </c>
      <c r="J515" s="125">
        <f>IF('Quant. mod. (oc)'!J515&lt;0,0,ROUND('Quant. mod. (oc)'!J515,0))</f>
        <v>1</v>
      </c>
      <c r="K515" s="125">
        <f>IF('Quant. mod. (oc)'!K515&lt;0,0,ROUND('Quant. mod. (oc)'!K515,0))</f>
        <v>1</v>
      </c>
      <c r="L515" s="125">
        <f>IF('Quant. mod. (oc)'!L515&lt;0,0,ROUND('Quant. mod. (oc)'!L515,0))</f>
        <v>1</v>
      </c>
      <c r="M515" s="125">
        <f>IF('Quant. mod. (oc)'!M515&lt;0,0,ROUND('Quant. mod. (oc)'!M515,0))</f>
        <v>1</v>
      </c>
      <c r="N515" s="125">
        <f>IF('Quant. mod. (oc)'!N515&lt;0,0,ROUND('Quant. mod. (oc)'!N515,0))</f>
        <v>1</v>
      </c>
      <c r="O515" s="125">
        <f>IF('Quant. mod. (oc)'!O515&lt;0,0,ROUND('Quant. mod. (oc)'!O515,0))</f>
        <v>1</v>
      </c>
      <c r="P515" s="125">
        <f>IF('Quant. mod. (oc)'!P515&lt;0,0,ROUND('Quant. mod. (oc)'!P515,0))</f>
        <v>1</v>
      </c>
      <c r="Q515" s="125">
        <f>IF('Quant. mod. (oc)'!Q515&lt;0,0,ROUND('Quant. mod. (oc)'!Q515,0))</f>
        <v>1</v>
      </c>
      <c r="R515" s="125">
        <f>IF('Quant. mod. (oc)'!R515&lt;0,0,ROUND('Quant. mod. (oc)'!R515,0))</f>
        <v>1</v>
      </c>
      <c r="S515" s="125">
        <f>IF('Quant. mod. (oc)'!S515&lt;0,0,ROUND('Quant. mod. (oc)'!S515,0))</f>
        <v>1</v>
      </c>
      <c r="T515" s="125">
        <f>IF('Quant. mod. (oc)'!T515&lt;0,0,ROUND('Quant. mod. (oc)'!T515,0))</f>
        <v>1</v>
      </c>
      <c r="U515" s="125">
        <f>IF('Quant. mod. (oc)'!U515&lt;0,0,ROUND('Quant. mod. (oc)'!U515,0))</f>
        <v>1</v>
      </c>
      <c r="V515" s="125">
        <f>IF('Quant. mod. (oc)'!V515&lt;0,0,ROUND('Quant. mod. (oc)'!V515,0))</f>
        <v>1</v>
      </c>
      <c r="W515" s="125">
        <f>IF('Quant. mod. (oc)'!W515&lt;0,0,ROUND('Quant. mod. (oc)'!W515,0))</f>
        <v>1</v>
      </c>
      <c r="X515" s="125">
        <f>IF('Quant. mod. (oc)'!X515&lt;0,0,ROUND('Quant. mod. (oc)'!X515,0))</f>
        <v>1</v>
      </c>
      <c r="Y515" s="125">
        <f>IF('Quant. mod. (oc)'!Y515&lt;0,0,ROUND('Quant. mod. (oc)'!Y515,0))</f>
        <v>1</v>
      </c>
      <c r="Z515" s="125">
        <f>IF('Quant. mod. (oc)'!Z515&lt;0,0,ROUND('Quant. mod. (oc)'!Z515,0))</f>
        <v>1</v>
      </c>
      <c r="AA515" s="125">
        <f>IF('Quant. mod. (oc)'!AA515&lt;0,0,ROUND('Quant. mod. (oc)'!AA515,0))</f>
        <v>1</v>
      </c>
      <c r="AB515" s="125">
        <f>IF('Quant. mod. (oc)'!AB515&lt;0,0,ROUND('Quant. mod. (oc)'!AB515,0))</f>
        <v>1</v>
      </c>
      <c r="AC515" s="125">
        <f>IF('Quant. mod. (oc)'!AC515&lt;0,0,ROUND('Quant. mod. (oc)'!AC515,0))</f>
        <v>1</v>
      </c>
      <c r="AD515" s="125">
        <f>IF('Quant. mod. (oc)'!AD515&lt;0,0,ROUND('Quant. mod. (oc)'!AD515,0))</f>
        <v>1</v>
      </c>
      <c r="AE515" s="125">
        <f>IF('Quant. mod. (oc)'!AE515&lt;0,0,ROUND('Quant. mod. (oc)'!AE515,0))</f>
        <v>1</v>
      </c>
      <c r="AF515" s="125">
        <f>IF('Quant. mod. (oc)'!AF515&lt;0,0,ROUND('Quant. mod. (oc)'!AF515,0))</f>
        <v>1</v>
      </c>
      <c r="AG515" s="126">
        <f>IF('Quant. mod. (oc)'!AG515&lt;0,0,ROUND('Quant. mod. (oc)'!AG515,0))</f>
        <v>1</v>
      </c>
      <c r="AH515" s="22"/>
    </row>
    <row r="516" spans="1:34" x14ac:dyDescent="0.25">
      <c r="A516" s="112"/>
      <c r="B516" s="136" t="s">
        <v>136</v>
      </c>
      <c r="C516" s="67" t="s">
        <v>59</v>
      </c>
      <c r="D516" s="125">
        <f>IF('Quant. mod. (oc)'!D516&lt;0,0,ROUND('Quant. mod. (oc)'!D516,0))</f>
        <v>1</v>
      </c>
      <c r="E516" s="125">
        <f>IF('Quant. mod. (oc)'!E516&lt;0,0,ROUND('Quant. mod. (oc)'!E516,0))</f>
        <v>1</v>
      </c>
      <c r="F516" s="125">
        <f>IF('Quant. mod. (oc)'!F516&lt;0,0,ROUND('Quant. mod. (oc)'!F516,0))</f>
        <v>1</v>
      </c>
      <c r="G516" s="125">
        <f>IF('Quant. mod. (oc)'!G516&lt;0,0,ROUND('Quant. mod. (oc)'!G516,0))</f>
        <v>1</v>
      </c>
      <c r="H516" s="125">
        <f>IF('Quant. mod. (oc)'!H516&lt;0,0,ROUND('Quant. mod. (oc)'!H516,0))</f>
        <v>1</v>
      </c>
      <c r="I516" s="125">
        <f>IF('Quant. mod. (oc)'!I516&lt;0,0,ROUND('Quant. mod. (oc)'!I516,0))</f>
        <v>1</v>
      </c>
      <c r="J516" s="125">
        <f>IF('Quant. mod. (oc)'!J516&lt;0,0,ROUND('Quant. mod. (oc)'!J516,0))</f>
        <v>1</v>
      </c>
      <c r="K516" s="125">
        <f>IF('Quant. mod. (oc)'!K516&lt;0,0,ROUND('Quant. mod. (oc)'!K516,0))</f>
        <v>1</v>
      </c>
      <c r="L516" s="125">
        <f>IF('Quant. mod. (oc)'!L516&lt;0,0,ROUND('Quant. mod. (oc)'!L516,0))</f>
        <v>1</v>
      </c>
      <c r="M516" s="125">
        <f>IF('Quant. mod. (oc)'!M516&lt;0,0,ROUND('Quant. mod. (oc)'!M516,0))</f>
        <v>1</v>
      </c>
      <c r="N516" s="125">
        <f>IF('Quant. mod. (oc)'!N516&lt;0,0,ROUND('Quant. mod. (oc)'!N516,0))</f>
        <v>1</v>
      </c>
      <c r="O516" s="125">
        <f>IF('Quant. mod. (oc)'!O516&lt;0,0,ROUND('Quant. mod. (oc)'!O516,0))</f>
        <v>1</v>
      </c>
      <c r="P516" s="125">
        <f>IF('Quant. mod. (oc)'!P516&lt;0,0,ROUND('Quant. mod. (oc)'!P516,0))</f>
        <v>1</v>
      </c>
      <c r="Q516" s="125">
        <f>IF('Quant. mod. (oc)'!Q516&lt;0,0,ROUND('Quant. mod. (oc)'!Q516,0))</f>
        <v>1</v>
      </c>
      <c r="R516" s="125">
        <f>IF('Quant. mod. (oc)'!R516&lt;0,0,ROUND('Quant. mod. (oc)'!R516,0))</f>
        <v>1</v>
      </c>
      <c r="S516" s="125">
        <f>IF('Quant. mod. (oc)'!S516&lt;0,0,ROUND('Quant. mod. (oc)'!S516,0))</f>
        <v>1</v>
      </c>
      <c r="T516" s="125">
        <f>IF('Quant. mod. (oc)'!T516&lt;0,0,ROUND('Quant. mod. (oc)'!T516,0))</f>
        <v>1</v>
      </c>
      <c r="U516" s="125">
        <f>IF('Quant. mod. (oc)'!U516&lt;0,0,ROUND('Quant. mod. (oc)'!U516,0))</f>
        <v>1</v>
      </c>
      <c r="V516" s="125">
        <f>IF('Quant. mod. (oc)'!V516&lt;0,0,ROUND('Quant. mod. (oc)'!V516,0))</f>
        <v>1</v>
      </c>
      <c r="W516" s="125">
        <f>IF('Quant. mod. (oc)'!W516&lt;0,0,ROUND('Quant. mod. (oc)'!W516,0))</f>
        <v>1</v>
      </c>
      <c r="X516" s="125">
        <f>IF('Quant. mod. (oc)'!X516&lt;0,0,ROUND('Quant. mod. (oc)'!X516,0))</f>
        <v>1</v>
      </c>
      <c r="Y516" s="125">
        <f>IF('Quant. mod. (oc)'!Y516&lt;0,0,ROUND('Quant. mod. (oc)'!Y516,0))</f>
        <v>1</v>
      </c>
      <c r="Z516" s="125">
        <f>IF('Quant. mod. (oc)'!Z516&lt;0,0,ROUND('Quant. mod. (oc)'!Z516,0))</f>
        <v>1</v>
      </c>
      <c r="AA516" s="125">
        <f>IF('Quant. mod. (oc)'!AA516&lt;0,0,ROUND('Quant. mod. (oc)'!AA516,0))</f>
        <v>1</v>
      </c>
      <c r="AB516" s="125">
        <f>IF('Quant. mod. (oc)'!AB516&lt;0,0,ROUND('Quant. mod. (oc)'!AB516,0))</f>
        <v>1</v>
      </c>
      <c r="AC516" s="125">
        <f>IF('Quant. mod. (oc)'!AC516&lt;0,0,ROUND('Quant. mod. (oc)'!AC516,0))</f>
        <v>1</v>
      </c>
      <c r="AD516" s="125">
        <f>IF('Quant. mod. (oc)'!AD516&lt;0,0,ROUND('Quant. mod. (oc)'!AD516,0))</f>
        <v>1</v>
      </c>
      <c r="AE516" s="125">
        <f>IF('Quant. mod. (oc)'!AE516&lt;0,0,ROUND('Quant. mod. (oc)'!AE516,0))</f>
        <v>1</v>
      </c>
      <c r="AF516" s="125">
        <f>IF('Quant. mod. (oc)'!AF516&lt;0,0,ROUND('Quant. mod. (oc)'!AF516,0))</f>
        <v>1</v>
      </c>
      <c r="AG516" s="126">
        <f>IF('Quant. mod. (oc)'!AG516&lt;0,0,ROUND('Quant. mod. (oc)'!AG516,0))</f>
        <v>1</v>
      </c>
      <c r="AH516" s="22"/>
    </row>
    <row r="517" spans="1:34" x14ac:dyDescent="0.25">
      <c r="A517" s="112"/>
      <c r="B517" s="136" t="s">
        <v>137</v>
      </c>
      <c r="C517" s="67" t="s">
        <v>59</v>
      </c>
      <c r="D517" s="125">
        <f>IF('Quant. mod. (oc)'!D517&lt;0,0,ROUND('Quant. mod. (oc)'!D517,0))</f>
        <v>1</v>
      </c>
      <c r="E517" s="125">
        <f>IF('Quant. mod. (oc)'!E517&lt;0,0,ROUND('Quant. mod. (oc)'!E517,0))</f>
        <v>1</v>
      </c>
      <c r="F517" s="125">
        <f>IF('Quant. mod. (oc)'!F517&lt;0,0,ROUND('Quant. mod. (oc)'!F517,0))</f>
        <v>1</v>
      </c>
      <c r="G517" s="125">
        <f>IF('Quant. mod. (oc)'!G517&lt;0,0,ROUND('Quant. mod. (oc)'!G517,0))</f>
        <v>1</v>
      </c>
      <c r="H517" s="125">
        <f>IF('Quant. mod. (oc)'!H517&lt;0,0,ROUND('Quant. mod. (oc)'!H517,0))</f>
        <v>1</v>
      </c>
      <c r="I517" s="125">
        <f>IF('Quant. mod. (oc)'!I517&lt;0,0,ROUND('Quant. mod. (oc)'!I517,0))</f>
        <v>1</v>
      </c>
      <c r="J517" s="125">
        <f>IF('Quant. mod. (oc)'!J517&lt;0,0,ROUND('Quant. mod. (oc)'!J517,0))</f>
        <v>1</v>
      </c>
      <c r="K517" s="125">
        <f>IF('Quant. mod. (oc)'!K517&lt;0,0,ROUND('Quant. mod. (oc)'!K517,0))</f>
        <v>1</v>
      </c>
      <c r="L517" s="125">
        <f>IF('Quant. mod. (oc)'!L517&lt;0,0,ROUND('Quant. mod. (oc)'!L517,0))</f>
        <v>1</v>
      </c>
      <c r="M517" s="125">
        <f>IF('Quant. mod. (oc)'!M517&lt;0,0,ROUND('Quant. mod. (oc)'!M517,0))</f>
        <v>1</v>
      </c>
      <c r="N517" s="125">
        <f>IF('Quant. mod. (oc)'!N517&lt;0,0,ROUND('Quant. mod. (oc)'!N517,0))</f>
        <v>1</v>
      </c>
      <c r="O517" s="125">
        <f>IF('Quant. mod. (oc)'!O517&lt;0,0,ROUND('Quant. mod. (oc)'!O517,0))</f>
        <v>1</v>
      </c>
      <c r="P517" s="125">
        <f>IF('Quant. mod. (oc)'!P517&lt;0,0,ROUND('Quant. mod. (oc)'!P517,0))</f>
        <v>1</v>
      </c>
      <c r="Q517" s="125">
        <f>IF('Quant. mod. (oc)'!Q517&lt;0,0,ROUND('Quant. mod. (oc)'!Q517,0))</f>
        <v>1</v>
      </c>
      <c r="R517" s="125">
        <f>IF('Quant. mod. (oc)'!R517&lt;0,0,ROUND('Quant. mod. (oc)'!R517,0))</f>
        <v>1</v>
      </c>
      <c r="S517" s="125">
        <f>IF('Quant. mod. (oc)'!S517&lt;0,0,ROUND('Quant. mod. (oc)'!S517,0))</f>
        <v>1</v>
      </c>
      <c r="T517" s="125">
        <f>IF('Quant. mod. (oc)'!T517&lt;0,0,ROUND('Quant. mod. (oc)'!T517,0))</f>
        <v>1</v>
      </c>
      <c r="U517" s="125">
        <f>IF('Quant. mod. (oc)'!U517&lt;0,0,ROUND('Quant. mod. (oc)'!U517,0))</f>
        <v>1</v>
      </c>
      <c r="V517" s="125">
        <f>IF('Quant. mod. (oc)'!V517&lt;0,0,ROUND('Quant. mod. (oc)'!V517,0))</f>
        <v>1</v>
      </c>
      <c r="W517" s="125">
        <f>IF('Quant. mod. (oc)'!W517&lt;0,0,ROUND('Quant. mod. (oc)'!W517,0))</f>
        <v>1</v>
      </c>
      <c r="X517" s="125">
        <f>IF('Quant. mod. (oc)'!X517&lt;0,0,ROUND('Quant. mod. (oc)'!X517,0))</f>
        <v>1</v>
      </c>
      <c r="Y517" s="125">
        <f>IF('Quant. mod. (oc)'!Y517&lt;0,0,ROUND('Quant. mod. (oc)'!Y517,0))</f>
        <v>1</v>
      </c>
      <c r="Z517" s="125">
        <f>IF('Quant. mod. (oc)'!Z517&lt;0,0,ROUND('Quant. mod. (oc)'!Z517,0))</f>
        <v>1</v>
      </c>
      <c r="AA517" s="125">
        <f>IF('Quant. mod. (oc)'!AA517&lt;0,0,ROUND('Quant. mod. (oc)'!AA517,0))</f>
        <v>1</v>
      </c>
      <c r="AB517" s="125">
        <f>IF('Quant. mod. (oc)'!AB517&lt;0,0,ROUND('Quant. mod. (oc)'!AB517,0))</f>
        <v>1</v>
      </c>
      <c r="AC517" s="125">
        <f>IF('Quant. mod. (oc)'!AC517&lt;0,0,ROUND('Quant. mod. (oc)'!AC517,0))</f>
        <v>1</v>
      </c>
      <c r="AD517" s="125">
        <f>IF('Quant. mod. (oc)'!AD517&lt;0,0,ROUND('Quant. mod. (oc)'!AD517,0))</f>
        <v>1</v>
      </c>
      <c r="AE517" s="125">
        <f>IF('Quant. mod. (oc)'!AE517&lt;0,0,ROUND('Quant. mod. (oc)'!AE517,0))</f>
        <v>1</v>
      </c>
      <c r="AF517" s="125">
        <f>IF('Quant. mod. (oc)'!AF517&lt;0,0,ROUND('Quant. mod. (oc)'!AF517,0))</f>
        <v>1</v>
      </c>
      <c r="AG517" s="126">
        <f>IF('Quant. mod. (oc)'!AG517&lt;0,0,ROUND('Quant. mod. (oc)'!AG517,0))</f>
        <v>1</v>
      </c>
      <c r="AH517" s="22"/>
    </row>
    <row r="518" spans="1:34" x14ac:dyDescent="0.25">
      <c r="A518" s="112"/>
      <c r="B518" s="136" t="s">
        <v>138</v>
      </c>
      <c r="C518" s="67" t="s">
        <v>59</v>
      </c>
      <c r="D518" s="125">
        <f>IF('Quant. mod. (oc)'!D518&lt;0,0,ROUND('Quant. mod. (oc)'!D518,0))</f>
        <v>1</v>
      </c>
      <c r="E518" s="125">
        <f>IF('Quant. mod. (oc)'!E518&lt;0,0,ROUND('Quant. mod. (oc)'!E518,0))</f>
        <v>1</v>
      </c>
      <c r="F518" s="125">
        <f>IF('Quant. mod. (oc)'!F518&lt;0,0,ROUND('Quant. mod. (oc)'!F518,0))</f>
        <v>1</v>
      </c>
      <c r="G518" s="125">
        <f>IF('Quant. mod. (oc)'!G518&lt;0,0,ROUND('Quant. mod. (oc)'!G518,0))</f>
        <v>1</v>
      </c>
      <c r="H518" s="125">
        <f>IF('Quant. mod. (oc)'!H518&lt;0,0,ROUND('Quant. mod. (oc)'!H518,0))</f>
        <v>1</v>
      </c>
      <c r="I518" s="125">
        <f>IF('Quant. mod. (oc)'!I518&lt;0,0,ROUND('Quant. mod. (oc)'!I518,0))</f>
        <v>1</v>
      </c>
      <c r="J518" s="125">
        <f>IF('Quant. mod. (oc)'!J518&lt;0,0,ROUND('Quant. mod. (oc)'!J518,0))</f>
        <v>1</v>
      </c>
      <c r="K518" s="125">
        <f>IF('Quant. mod. (oc)'!K518&lt;0,0,ROUND('Quant. mod. (oc)'!K518,0))</f>
        <v>1</v>
      </c>
      <c r="L518" s="125">
        <f>IF('Quant. mod. (oc)'!L518&lt;0,0,ROUND('Quant. mod. (oc)'!L518,0))</f>
        <v>1</v>
      </c>
      <c r="M518" s="125">
        <f>IF('Quant. mod. (oc)'!M518&lt;0,0,ROUND('Quant. mod. (oc)'!M518,0))</f>
        <v>1</v>
      </c>
      <c r="N518" s="125">
        <f>IF('Quant. mod. (oc)'!N518&lt;0,0,ROUND('Quant. mod. (oc)'!N518,0))</f>
        <v>1</v>
      </c>
      <c r="O518" s="125">
        <f>IF('Quant. mod. (oc)'!O518&lt;0,0,ROUND('Quant. mod. (oc)'!O518,0))</f>
        <v>1</v>
      </c>
      <c r="P518" s="125">
        <f>IF('Quant. mod. (oc)'!P518&lt;0,0,ROUND('Quant. mod. (oc)'!P518,0))</f>
        <v>1</v>
      </c>
      <c r="Q518" s="125">
        <f>IF('Quant. mod. (oc)'!Q518&lt;0,0,ROUND('Quant. mod. (oc)'!Q518,0))</f>
        <v>1</v>
      </c>
      <c r="R518" s="125">
        <f>IF('Quant. mod. (oc)'!R518&lt;0,0,ROUND('Quant. mod. (oc)'!R518,0))</f>
        <v>1</v>
      </c>
      <c r="S518" s="125">
        <f>IF('Quant. mod. (oc)'!S518&lt;0,0,ROUND('Quant. mod. (oc)'!S518,0))</f>
        <v>1</v>
      </c>
      <c r="T518" s="125">
        <f>IF('Quant. mod. (oc)'!T518&lt;0,0,ROUND('Quant. mod. (oc)'!T518,0))</f>
        <v>1</v>
      </c>
      <c r="U518" s="125">
        <f>IF('Quant. mod. (oc)'!U518&lt;0,0,ROUND('Quant. mod. (oc)'!U518,0))</f>
        <v>1</v>
      </c>
      <c r="V518" s="125">
        <f>IF('Quant. mod. (oc)'!V518&lt;0,0,ROUND('Quant. mod. (oc)'!V518,0))</f>
        <v>1</v>
      </c>
      <c r="W518" s="125">
        <f>IF('Quant. mod. (oc)'!W518&lt;0,0,ROUND('Quant. mod. (oc)'!W518,0))</f>
        <v>1</v>
      </c>
      <c r="X518" s="125">
        <f>IF('Quant. mod. (oc)'!X518&lt;0,0,ROUND('Quant. mod. (oc)'!X518,0))</f>
        <v>1</v>
      </c>
      <c r="Y518" s="125">
        <f>IF('Quant. mod. (oc)'!Y518&lt;0,0,ROUND('Quant. mod. (oc)'!Y518,0))</f>
        <v>1</v>
      </c>
      <c r="Z518" s="125">
        <f>IF('Quant. mod. (oc)'!Z518&lt;0,0,ROUND('Quant. mod. (oc)'!Z518,0))</f>
        <v>1</v>
      </c>
      <c r="AA518" s="125">
        <f>IF('Quant. mod. (oc)'!AA518&lt;0,0,ROUND('Quant. mod. (oc)'!AA518,0))</f>
        <v>1</v>
      </c>
      <c r="AB518" s="125">
        <f>IF('Quant. mod. (oc)'!AB518&lt;0,0,ROUND('Quant. mod. (oc)'!AB518,0))</f>
        <v>1</v>
      </c>
      <c r="AC518" s="125">
        <f>IF('Quant. mod. (oc)'!AC518&lt;0,0,ROUND('Quant. mod. (oc)'!AC518,0))</f>
        <v>1</v>
      </c>
      <c r="AD518" s="125">
        <f>IF('Quant. mod. (oc)'!AD518&lt;0,0,ROUND('Quant. mod. (oc)'!AD518,0))</f>
        <v>1</v>
      </c>
      <c r="AE518" s="125">
        <f>IF('Quant. mod. (oc)'!AE518&lt;0,0,ROUND('Quant. mod. (oc)'!AE518,0))</f>
        <v>1</v>
      </c>
      <c r="AF518" s="125">
        <f>IF('Quant. mod. (oc)'!AF518&lt;0,0,ROUND('Quant. mod. (oc)'!AF518,0))</f>
        <v>1</v>
      </c>
      <c r="AG518" s="126">
        <f>IF('Quant. mod. (oc)'!AG518&lt;0,0,ROUND('Quant. mod. (oc)'!AG518,0))</f>
        <v>1</v>
      </c>
      <c r="AH518" s="22"/>
    </row>
    <row r="519" spans="1:34" x14ac:dyDescent="0.25">
      <c r="A519" s="112"/>
      <c r="B519" s="136" t="s">
        <v>139</v>
      </c>
      <c r="C519" s="67" t="s">
        <v>59</v>
      </c>
      <c r="D519" s="125">
        <f>IF('Quant. mod. (oc)'!D519&lt;0,0,ROUND('Quant. mod. (oc)'!D519,0))</f>
        <v>1</v>
      </c>
      <c r="E519" s="125">
        <f>IF('Quant. mod. (oc)'!E519&lt;0,0,ROUND('Quant. mod. (oc)'!E519,0))</f>
        <v>1</v>
      </c>
      <c r="F519" s="125">
        <f>IF('Quant. mod. (oc)'!F519&lt;0,0,ROUND('Quant. mod. (oc)'!F519,0))</f>
        <v>1</v>
      </c>
      <c r="G519" s="125">
        <f>IF('Quant. mod. (oc)'!G519&lt;0,0,ROUND('Quant. mod. (oc)'!G519,0))</f>
        <v>1</v>
      </c>
      <c r="H519" s="125">
        <f>IF('Quant. mod. (oc)'!H519&lt;0,0,ROUND('Quant. mod. (oc)'!H519,0))</f>
        <v>1</v>
      </c>
      <c r="I519" s="125">
        <f>IF('Quant. mod. (oc)'!I519&lt;0,0,ROUND('Quant. mod. (oc)'!I519,0))</f>
        <v>1</v>
      </c>
      <c r="J519" s="125">
        <f>IF('Quant. mod. (oc)'!J519&lt;0,0,ROUND('Quant. mod. (oc)'!J519,0))</f>
        <v>1</v>
      </c>
      <c r="K519" s="125">
        <f>IF('Quant. mod. (oc)'!K519&lt;0,0,ROUND('Quant. mod. (oc)'!K519,0))</f>
        <v>1</v>
      </c>
      <c r="L519" s="125">
        <f>IF('Quant. mod. (oc)'!L519&lt;0,0,ROUND('Quant. mod. (oc)'!L519,0))</f>
        <v>1</v>
      </c>
      <c r="M519" s="125">
        <f>IF('Quant. mod. (oc)'!M519&lt;0,0,ROUND('Quant. mod. (oc)'!M519,0))</f>
        <v>1</v>
      </c>
      <c r="N519" s="125">
        <f>IF('Quant. mod. (oc)'!N519&lt;0,0,ROUND('Quant. mod. (oc)'!N519,0))</f>
        <v>1</v>
      </c>
      <c r="O519" s="125">
        <f>IF('Quant. mod. (oc)'!O519&lt;0,0,ROUND('Quant. mod. (oc)'!O519,0))</f>
        <v>1</v>
      </c>
      <c r="P519" s="125">
        <f>IF('Quant. mod. (oc)'!P519&lt;0,0,ROUND('Quant. mod. (oc)'!P519,0))</f>
        <v>1</v>
      </c>
      <c r="Q519" s="125">
        <f>IF('Quant. mod. (oc)'!Q519&lt;0,0,ROUND('Quant. mod. (oc)'!Q519,0))</f>
        <v>1</v>
      </c>
      <c r="R519" s="125">
        <f>IF('Quant. mod. (oc)'!R519&lt;0,0,ROUND('Quant. mod. (oc)'!R519,0))</f>
        <v>1</v>
      </c>
      <c r="S519" s="125">
        <f>IF('Quant. mod. (oc)'!S519&lt;0,0,ROUND('Quant. mod. (oc)'!S519,0))</f>
        <v>1</v>
      </c>
      <c r="T519" s="125">
        <f>IF('Quant. mod. (oc)'!T519&lt;0,0,ROUND('Quant. mod. (oc)'!T519,0))</f>
        <v>1</v>
      </c>
      <c r="U519" s="125">
        <f>IF('Quant. mod. (oc)'!U519&lt;0,0,ROUND('Quant. mod. (oc)'!U519,0))</f>
        <v>1</v>
      </c>
      <c r="V519" s="125">
        <f>IF('Quant. mod. (oc)'!V519&lt;0,0,ROUND('Quant. mod. (oc)'!V519,0))</f>
        <v>1</v>
      </c>
      <c r="W519" s="125">
        <f>IF('Quant. mod. (oc)'!W519&lt;0,0,ROUND('Quant. mod. (oc)'!W519,0))</f>
        <v>1</v>
      </c>
      <c r="X519" s="125">
        <f>IF('Quant. mod. (oc)'!X519&lt;0,0,ROUND('Quant. mod. (oc)'!X519,0))</f>
        <v>1</v>
      </c>
      <c r="Y519" s="125">
        <f>IF('Quant. mod. (oc)'!Y519&lt;0,0,ROUND('Quant. mod. (oc)'!Y519,0))</f>
        <v>1</v>
      </c>
      <c r="Z519" s="125">
        <f>IF('Quant. mod. (oc)'!Z519&lt;0,0,ROUND('Quant. mod. (oc)'!Z519,0))</f>
        <v>1</v>
      </c>
      <c r="AA519" s="125">
        <f>IF('Quant. mod. (oc)'!AA519&lt;0,0,ROUND('Quant. mod. (oc)'!AA519,0))</f>
        <v>1</v>
      </c>
      <c r="AB519" s="125">
        <f>IF('Quant. mod. (oc)'!AB519&lt;0,0,ROUND('Quant. mod. (oc)'!AB519,0))</f>
        <v>1</v>
      </c>
      <c r="AC519" s="125">
        <f>IF('Quant. mod. (oc)'!AC519&lt;0,0,ROUND('Quant. mod. (oc)'!AC519,0))</f>
        <v>1</v>
      </c>
      <c r="AD519" s="125">
        <f>IF('Quant. mod. (oc)'!AD519&lt;0,0,ROUND('Quant. mod. (oc)'!AD519,0))</f>
        <v>1</v>
      </c>
      <c r="AE519" s="125">
        <f>IF('Quant. mod. (oc)'!AE519&lt;0,0,ROUND('Quant. mod. (oc)'!AE519,0))</f>
        <v>1</v>
      </c>
      <c r="AF519" s="125">
        <f>IF('Quant. mod. (oc)'!AF519&lt;0,0,ROUND('Quant. mod. (oc)'!AF519,0))</f>
        <v>1</v>
      </c>
      <c r="AG519" s="126">
        <f>IF('Quant. mod. (oc)'!AG519&lt;0,0,ROUND('Quant. mod. (oc)'!AG519,0))</f>
        <v>1</v>
      </c>
      <c r="AH519" s="22"/>
    </row>
    <row r="520" spans="1:34" x14ac:dyDescent="0.25">
      <c r="A520" s="112"/>
      <c r="B520" s="136" t="s">
        <v>140</v>
      </c>
      <c r="C520" s="67" t="s">
        <v>59</v>
      </c>
      <c r="D520" s="125">
        <f>IF('Quant. mod. (oc)'!D520&lt;0,0,ROUND('Quant. mod. (oc)'!D520,0))</f>
        <v>1</v>
      </c>
      <c r="E520" s="125">
        <f>IF('Quant. mod. (oc)'!E520&lt;0,0,ROUND('Quant. mod. (oc)'!E520,0))</f>
        <v>1</v>
      </c>
      <c r="F520" s="125">
        <f>IF('Quant. mod. (oc)'!F520&lt;0,0,ROUND('Quant. mod. (oc)'!F520,0))</f>
        <v>1</v>
      </c>
      <c r="G520" s="125">
        <f>IF('Quant. mod. (oc)'!G520&lt;0,0,ROUND('Quant. mod. (oc)'!G520,0))</f>
        <v>1</v>
      </c>
      <c r="H520" s="125">
        <f>IF('Quant. mod. (oc)'!H520&lt;0,0,ROUND('Quant. mod. (oc)'!H520,0))</f>
        <v>1</v>
      </c>
      <c r="I520" s="125">
        <f>IF('Quant. mod. (oc)'!I520&lt;0,0,ROUND('Quant. mod. (oc)'!I520,0))</f>
        <v>1</v>
      </c>
      <c r="J520" s="125">
        <f>IF('Quant. mod. (oc)'!J520&lt;0,0,ROUND('Quant. mod. (oc)'!J520,0))</f>
        <v>1</v>
      </c>
      <c r="K520" s="125">
        <f>IF('Quant. mod. (oc)'!K520&lt;0,0,ROUND('Quant. mod. (oc)'!K520,0))</f>
        <v>1</v>
      </c>
      <c r="L520" s="125">
        <f>IF('Quant. mod. (oc)'!L520&lt;0,0,ROUND('Quant. mod. (oc)'!L520,0))</f>
        <v>1</v>
      </c>
      <c r="M520" s="125">
        <f>IF('Quant. mod. (oc)'!M520&lt;0,0,ROUND('Quant. mod. (oc)'!M520,0))</f>
        <v>1</v>
      </c>
      <c r="N520" s="125">
        <f>IF('Quant. mod. (oc)'!N520&lt;0,0,ROUND('Quant. mod. (oc)'!N520,0))</f>
        <v>1</v>
      </c>
      <c r="O520" s="125">
        <f>IF('Quant. mod. (oc)'!O520&lt;0,0,ROUND('Quant. mod. (oc)'!O520,0))</f>
        <v>1</v>
      </c>
      <c r="P520" s="125">
        <f>IF('Quant. mod. (oc)'!P520&lt;0,0,ROUND('Quant. mod. (oc)'!P520,0))</f>
        <v>1</v>
      </c>
      <c r="Q520" s="125">
        <f>IF('Quant. mod. (oc)'!Q520&lt;0,0,ROUND('Quant. mod. (oc)'!Q520,0))</f>
        <v>1</v>
      </c>
      <c r="R520" s="125">
        <f>IF('Quant. mod. (oc)'!R520&lt;0,0,ROUND('Quant. mod. (oc)'!R520,0))</f>
        <v>1</v>
      </c>
      <c r="S520" s="125">
        <f>IF('Quant. mod. (oc)'!S520&lt;0,0,ROUND('Quant. mod. (oc)'!S520,0))</f>
        <v>1</v>
      </c>
      <c r="T520" s="125">
        <f>IF('Quant. mod. (oc)'!T520&lt;0,0,ROUND('Quant. mod. (oc)'!T520,0))</f>
        <v>1</v>
      </c>
      <c r="U520" s="125">
        <f>IF('Quant. mod. (oc)'!U520&lt;0,0,ROUND('Quant. mod. (oc)'!U520,0))</f>
        <v>1</v>
      </c>
      <c r="V520" s="125">
        <f>IF('Quant. mod. (oc)'!V520&lt;0,0,ROUND('Quant. mod. (oc)'!V520,0))</f>
        <v>1</v>
      </c>
      <c r="W520" s="125">
        <f>IF('Quant. mod. (oc)'!W520&lt;0,0,ROUND('Quant. mod. (oc)'!W520,0))</f>
        <v>1</v>
      </c>
      <c r="X520" s="125">
        <f>IF('Quant. mod. (oc)'!X520&lt;0,0,ROUND('Quant. mod. (oc)'!X520,0))</f>
        <v>1</v>
      </c>
      <c r="Y520" s="125">
        <f>IF('Quant. mod. (oc)'!Y520&lt;0,0,ROUND('Quant. mod. (oc)'!Y520,0))</f>
        <v>1</v>
      </c>
      <c r="Z520" s="125">
        <f>IF('Quant. mod. (oc)'!Z520&lt;0,0,ROUND('Quant. mod. (oc)'!Z520,0))</f>
        <v>1</v>
      </c>
      <c r="AA520" s="125">
        <f>IF('Quant. mod. (oc)'!AA520&lt;0,0,ROUND('Quant. mod. (oc)'!AA520,0))</f>
        <v>1</v>
      </c>
      <c r="AB520" s="125">
        <f>IF('Quant. mod. (oc)'!AB520&lt;0,0,ROUND('Quant. mod. (oc)'!AB520,0))</f>
        <v>1</v>
      </c>
      <c r="AC520" s="125">
        <f>IF('Quant. mod. (oc)'!AC520&lt;0,0,ROUND('Quant. mod. (oc)'!AC520,0))</f>
        <v>1</v>
      </c>
      <c r="AD520" s="125">
        <f>IF('Quant. mod. (oc)'!AD520&lt;0,0,ROUND('Quant. mod. (oc)'!AD520,0))</f>
        <v>1</v>
      </c>
      <c r="AE520" s="125">
        <f>IF('Quant. mod. (oc)'!AE520&lt;0,0,ROUND('Quant. mod. (oc)'!AE520,0))</f>
        <v>1</v>
      </c>
      <c r="AF520" s="125">
        <f>IF('Quant. mod. (oc)'!AF520&lt;0,0,ROUND('Quant. mod. (oc)'!AF520,0))</f>
        <v>1</v>
      </c>
      <c r="AG520" s="126">
        <f>IF('Quant. mod. (oc)'!AG520&lt;0,0,ROUND('Quant. mod. (oc)'!AG520,0))</f>
        <v>1</v>
      </c>
      <c r="AH520" s="22"/>
    </row>
    <row r="521" spans="1:34" x14ac:dyDescent="0.25">
      <c r="A521" s="112"/>
      <c r="B521" s="136" t="s">
        <v>141</v>
      </c>
      <c r="C521" s="67" t="s">
        <v>59</v>
      </c>
      <c r="D521" s="125">
        <f>IF('Quant. mod. (oc)'!D521&lt;0,0,ROUND('Quant. mod. (oc)'!D521,0))</f>
        <v>1</v>
      </c>
      <c r="E521" s="125">
        <f>IF('Quant. mod. (oc)'!E521&lt;0,0,ROUND('Quant. mod. (oc)'!E521,0))</f>
        <v>1</v>
      </c>
      <c r="F521" s="125">
        <f>IF('Quant. mod. (oc)'!F521&lt;0,0,ROUND('Quant. mod. (oc)'!F521,0))</f>
        <v>1</v>
      </c>
      <c r="G521" s="125">
        <f>IF('Quant. mod. (oc)'!G521&lt;0,0,ROUND('Quant. mod. (oc)'!G521,0))</f>
        <v>1</v>
      </c>
      <c r="H521" s="125">
        <f>IF('Quant. mod. (oc)'!H521&lt;0,0,ROUND('Quant. mod. (oc)'!H521,0))</f>
        <v>1</v>
      </c>
      <c r="I521" s="125">
        <f>IF('Quant. mod. (oc)'!I521&lt;0,0,ROUND('Quant. mod. (oc)'!I521,0))</f>
        <v>1</v>
      </c>
      <c r="J521" s="125">
        <f>IF('Quant. mod. (oc)'!J521&lt;0,0,ROUND('Quant. mod. (oc)'!J521,0))</f>
        <v>1</v>
      </c>
      <c r="K521" s="125">
        <f>IF('Quant. mod. (oc)'!K521&lt;0,0,ROUND('Quant. mod. (oc)'!K521,0))</f>
        <v>1</v>
      </c>
      <c r="L521" s="125">
        <f>IF('Quant. mod. (oc)'!L521&lt;0,0,ROUND('Quant. mod. (oc)'!L521,0))</f>
        <v>1</v>
      </c>
      <c r="M521" s="125">
        <f>IF('Quant. mod. (oc)'!M521&lt;0,0,ROUND('Quant. mod. (oc)'!M521,0))</f>
        <v>1</v>
      </c>
      <c r="N521" s="125">
        <f>IF('Quant. mod. (oc)'!N521&lt;0,0,ROUND('Quant. mod. (oc)'!N521,0))</f>
        <v>1</v>
      </c>
      <c r="O521" s="125">
        <f>IF('Quant. mod. (oc)'!O521&lt;0,0,ROUND('Quant. mod. (oc)'!O521,0))</f>
        <v>1</v>
      </c>
      <c r="P521" s="125">
        <f>IF('Quant. mod. (oc)'!P521&lt;0,0,ROUND('Quant. mod. (oc)'!P521,0))</f>
        <v>1</v>
      </c>
      <c r="Q521" s="125">
        <f>IF('Quant. mod. (oc)'!Q521&lt;0,0,ROUND('Quant. mod. (oc)'!Q521,0))</f>
        <v>1</v>
      </c>
      <c r="R521" s="125">
        <f>IF('Quant. mod. (oc)'!R521&lt;0,0,ROUND('Quant. mod. (oc)'!R521,0))</f>
        <v>1</v>
      </c>
      <c r="S521" s="125">
        <f>IF('Quant. mod. (oc)'!S521&lt;0,0,ROUND('Quant. mod. (oc)'!S521,0))</f>
        <v>1</v>
      </c>
      <c r="T521" s="125">
        <f>IF('Quant. mod. (oc)'!T521&lt;0,0,ROUND('Quant. mod. (oc)'!T521,0))</f>
        <v>1</v>
      </c>
      <c r="U521" s="125">
        <f>IF('Quant. mod. (oc)'!U521&lt;0,0,ROUND('Quant. mod. (oc)'!U521,0))</f>
        <v>1</v>
      </c>
      <c r="V521" s="125">
        <f>IF('Quant. mod. (oc)'!V521&lt;0,0,ROUND('Quant. mod. (oc)'!V521,0))</f>
        <v>1</v>
      </c>
      <c r="W521" s="125">
        <f>IF('Quant. mod. (oc)'!W521&lt;0,0,ROUND('Quant. mod. (oc)'!W521,0))</f>
        <v>1</v>
      </c>
      <c r="X521" s="125">
        <f>IF('Quant. mod. (oc)'!X521&lt;0,0,ROUND('Quant. mod. (oc)'!X521,0))</f>
        <v>1</v>
      </c>
      <c r="Y521" s="125">
        <f>IF('Quant. mod. (oc)'!Y521&lt;0,0,ROUND('Quant. mod. (oc)'!Y521,0))</f>
        <v>1</v>
      </c>
      <c r="Z521" s="125">
        <f>IF('Quant. mod. (oc)'!Z521&lt;0,0,ROUND('Quant. mod. (oc)'!Z521,0))</f>
        <v>1</v>
      </c>
      <c r="AA521" s="125">
        <f>IF('Quant. mod. (oc)'!AA521&lt;0,0,ROUND('Quant. mod. (oc)'!AA521,0))</f>
        <v>1</v>
      </c>
      <c r="AB521" s="125">
        <f>IF('Quant. mod. (oc)'!AB521&lt;0,0,ROUND('Quant. mod. (oc)'!AB521,0))</f>
        <v>1</v>
      </c>
      <c r="AC521" s="125">
        <f>IF('Quant. mod. (oc)'!AC521&lt;0,0,ROUND('Quant. mod. (oc)'!AC521,0))</f>
        <v>1</v>
      </c>
      <c r="AD521" s="125">
        <f>IF('Quant. mod. (oc)'!AD521&lt;0,0,ROUND('Quant. mod. (oc)'!AD521,0))</f>
        <v>1</v>
      </c>
      <c r="AE521" s="125">
        <f>IF('Quant. mod. (oc)'!AE521&lt;0,0,ROUND('Quant. mod. (oc)'!AE521,0))</f>
        <v>1</v>
      </c>
      <c r="AF521" s="125">
        <f>IF('Quant. mod. (oc)'!AF521&lt;0,0,ROUND('Quant. mod. (oc)'!AF521,0))</f>
        <v>1</v>
      </c>
      <c r="AG521" s="126">
        <f>IF('Quant. mod. (oc)'!AG521&lt;0,0,ROUND('Quant. mod. (oc)'!AG521,0))</f>
        <v>1</v>
      </c>
      <c r="AH521" s="22"/>
    </row>
    <row r="522" spans="1:34" x14ac:dyDescent="0.25">
      <c r="A522" s="112"/>
      <c r="B522" s="136" t="s">
        <v>142</v>
      </c>
      <c r="C522" s="67" t="s">
        <v>59</v>
      </c>
      <c r="D522" s="125">
        <f>IF('Quant. mod. (oc)'!D522&lt;0,0,ROUND('Quant. mod. (oc)'!D522,0))</f>
        <v>1</v>
      </c>
      <c r="E522" s="125">
        <f>IF('Quant. mod. (oc)'!E522&lt;0,0,ROUND('Quant. mod. (oc)'!E522,0))</f>
        <v>1</v>
      </c>
      <c r="F522" s="125">
        <f>IF('Quant. mod. (oc)'!F522&lt;0,0,ROUND('Quant. mod. (oc)'!F522,0))</f>
        <v>1</v>
      </c>
      <c r="G522" s="125">
        <f>IF('Quant. mod. (oc)'!G522&lt;0,0,ROUND('Quant. mod. (oc)'!G522,0))</f>
        <v>1</v>
      </c>
      <c r="H522" s="125">
        <f>IF('Quant. mod. (oc)'!H522&lt;0,0,ROUND('Quant. mod. (oc)'!H522,0))</f>
        <v>1</v>
      </c>
      <c r="I522" s="125">
        <f>IF('Quant. mod. (oc)'!I522&lt;0,0,ROUND('Quant. mod. (oc)'!I522,0))</f>
        <v>1</v>
      </c>
      <c r="J522" s="125">
        <f>IF('Quant. mod. (oc)'!J522&lt;0,0,ROUND('Quant. mod. (oc)'!J522,0))</f>
        <v>1</v>
      </c>
      <c r="K522" s="125">
        <f>IF('Quant. mod. (oc)'!K522&lt;0,0,ROUND('Quant. mod. (oc)'!K522,0))</f>
        <v>1</v>
      </c>
      <c r="L522" s="125">
        <f>IF('Quant. mod. (oc)'!L522&lt;0,0,ROUND('Quant. mod. (oc)'!L522,0))</f>
        <v>1</v>
      </c>
      <c r="M522" s="125">
        <f>IF('Quant. mod. (oc)'!M522&lt;0,0,ROUND('Quant. mod. (oc)'!M522,0))</f>
        <v>1</v>
      </c>
      <c r="N522" s="125">
        <f>IF('Quant. mod. (oc)'!N522&lt;0,0,ROUND('Quant. mod. (oc)'!N522,0))</f>
        <v>1</v>
      </c>
      <c r="O522" s="125">
        <f>IF('Quant. mod. (oc)'!O522&lt;0,0,ROUND('Quant. mod. (oc)'!O522,0))</f>
        <v>1</v>
      </c>
      <c r="P522" s="125">
        <f>IF('Quant. mod. (oc)'!P522&lt;0,0,ROUND('Quant. mod. (oc)'!P522,0))</f>
        <v>1</v>
      </c>
      <c r="Q522" s="125">
        <f>IF('Quant. mod. (oc)'!Q522&lt;0,0,ROUND('Quant. mod. (oc)'!Q522,0))</f>
        <v>1</v>
      </c>
      <c r="R522" s="125">
        <f>IF('Quant. mod. (oc)'!R522&lt;0,0,ROUND('Quant. mod. (oc)'!R522,0))</f>
        <v>1</v>
      </c>
      <c r="S522" s="125">
        <f>IF('Quant. mod. (oc)'!S522&lt;0,0,ROUND('Quant. mod. (oc)'!S522,0))</f>
        <v>1</v>
      </c>
      <c r="T522" s="125">
        <f>IF('Quant. mod. (oc)'!T522&lt;0,0,ROUND('Quant. mod. (oc)'!T522,0))</f>
        <v>1</v>
      </c>
      <c r="U522" s="125">
        <f>IF('Quant. mod. (oc)'!U522&lt;0,0,ROUND('Quant. mod. (oc)'!U522,0))</f>
        <v>1</v>
      </c>
      <c r="V522" s="125">
        <f>IF('Quant. mod. (oc)'!V522&lt;0,0,ROUND('Quant. mod. (oc)'!V522,0))</f>
        <v>1</v>
      </c>
      <c r="W522" s="125">
        <f>IF('Quant. mod. (oc)'!W522&lt;0,0,ROUND('Quant. mod. (oc)'!W522,0))</f>
        <v>1</v>
      </c>
      <c r="X522" s="125">
        <f>IF('Quant. mod. (oc)'!X522&lt;0,0,ROUND('Quant. mod. (oc)'!X522,0))</f>
        <v>1</v>
      </c>
      <c r="Y522" s="125">
        <f>IF('Quant. mod. (oc)'!Y522&lt;0,0,ROUND('Quant. mod. (oc)'!Y522,0))</f>
        <v>1</v>
      </c>
      <c r="Z522" s="125">
        <f>IF('Quant. mod. (oc)'!Z522&lt;0,0,ROUND('Quant. mod. (oc)'!Z522,0))</f>
        <v>1</v>
      </c>
      <c r="AA522" s="125">
        <f>IF('Quant. mod. (oc)'!AA522&lt;0,0,ROUND('Quant. mod. (oc)'!AA522,0))</f>
        <v>1</v>
      </c>
      <c r="AB522" s="125">
        <f>IF('Quant. mod. (oc)'!AB522&lt;0,0,ROUND('Quant. mod. (oc)'!AB522,0))</f>
        <v>1</v>
      </c>
      <c r="AC522" s="125">
        <f>IF('Quant. mod. (oc)'!AC522&lt;0,0,ROUND('Quant. mod. (oc)'!AC522,0))</f>
        <v>1</v>
      </c>
      <c r="AD522" s="125">
        <f>IF('Quant. mod. (oc)'!AD522&lt;0,0,ROUND('Quant. mod. (oc)'!AD522,0))</f>
        <v>1</v>
      </c>
      <c r="AE522" s="125">
        <f>IF('Quant. mod. (oc)'!AE522&lt;0,0,ROUND('Quant. mod. (oc)'!AE522,0))</f>
        <v>1</v>
      </c>
      <c r="AF522" s="125">
        <f>IF('Quant. mod. (oc)'!AF522&lt;0,0,ROUND('Quant. mod. (oc)'!AF522,0))</f>
        <v>1</v>
      </c>
      <c r="AG522" s="126">
        <f>IF('Quant. mod. (oc)'!AG522&lt;0,0,ROUND('Quant. mod. (oc)'!AG522,0))</f>
        <v>1</v>
      </c>
      <c r="AH522" s="22"/>
    </row>
    <row r="523" spans="1:34" x14ac:dyDescent="0.25">
      <c r="A523" s="112"/>
      <c r="B523" s="136" t="s">
        <v>143</v>
      </c>
      <c r="C523" s="67" t="s">
        <v>59</v>
      </c>
      <c r="D523" s="125">
        <f>IF('Quant. mod. (oc)'!D523&lt;0,0,ROUND('Quant. mod. (oc)'!D523,0))</f>
        <v>1</v>
      </c>
      <c r="E523" s="125">
        <f>IF('Quant. mod. (oc)'!E523&lt;0,0,ROUND('Quant. mod. (oc)'!E523,0))</f>
        <v>1</v>
      </c>
      <c r="F523" s="125">
        <f>IF('Quant. mod. (oc)'!F523&lt;0,0,ROUND('Quant. mod. (oc)'!F523,0))</f>
        <v>1</v>
      </c>
      <c r="G523" s="125">
        <f>IF('Quant. mod. (oc)'!G523&lt;0,0,ROUND('Quant. mod. (oc)'!G523,0))</f>
        <v>1</v>
      </c>
      <c r="H523" s="125">
        <f>IF('Quant. mod. (oc)'!H523&lt;0,0,ROUND('Quant. mod. (oc)'!H523,0))</f>
        <v>1</v>
      </c>
      <c r="I523" s="125">
        <f>IF('Quant. mod. (oc)'!I523&lt;0,0,ROUND('Quant. mod. (oc)'!I523,0))</f>
        <v>1</v>
      </c>
      <c r="J523" s="125">
        <f>IF('Quant. mod. (oc)'!J523&lt;0,0,ROUND('Quant. mod. (oc)'!J523,0))</f>
        <v>1</v>
      </c>
      <c r="K523" s="125">
        <f>IF('Quant. mod. (oc)'!K523&lt;0,0,ROUND('Quant. mod. (oc)'!K523,0))</f>
        <v>1</v>
      </c>
      <c r="L523" s="125">
        <f>IF('Quant. mod. (oc)'!L523&lt;0,0,ROUND('Quant. mod. (oc)'!L523,0))</f>
        <v>1</v>
      </c>
      <c r="M523" s="125">
        <f>IF('Quant. mod. (oc)'!M523&lt;0,0,ROUND('Quant. mod. (oc)'!M523,0))</f>
        <v>1</v>
      </c>
      <c r="N523" s="125">
        <f>IF('Quant. mod. (oc)'!N523&lt;0,0,ROUND('Quant. mod. (oc)'!N523,0))</f>
        <v>1</v>
      </c>
      <c r="O523" s="125">
        <f>IF('Quant. mod. (oc)'!O523&lt;0,0,ROUND('Quant. mod. (oc)'!O523,0))</f>
        <v>1</v>
      </c>
      <c r="P523" s="125">
        <f>IF('Quant. mod. (oc)'!P523&lt;0,0,ROUND('Quant. mod. (oc)'!P523,0))</f>
        <v>1</v>
      </c>
      <c r="Q523" s="125">
        <f>IF('Quant. mod. (oc)'!Q523&lt;0,0,ROUND('Quant. mod. (oc)'!Q523,0))</f>
        <v>1</v>
      </c>
      <c r="R523" s="125">
        <f>IF('Quant. mod. (oc)'!R523&lt;0,0,ROUND('Quant. mod. (oc)'!R523,0))</f>
        <v>1</v>
      </c>
      <c r="S523" s="125">
        <f>IF('Quant. mod. (oc)'!S523&lt;0,0,ROUND('Quant. mod. (oc)'!S523,0))</f>
        <v>1</v>
      </c>
      <c r="T523" s="125">
        <f>IF('Quant. mod. (oc)'!T523&lt;0,0,ROUND('Quant. mod. (oc)'!T523,0))</f>
        <v>1</v>
      </c>
      <c r="U523" s="125">
        <f>IF('Quant. mod. (oc)'!U523&lt;0,0,ROUND('Quant. mod. (oc)'!U523,0))</f>
        <v>1</v>
      </c>
      <c r="V523" s="125">
        <f>IF('Quant. mod. (oc)'!V523&lt;0,0,ROUND('Quant. mod. (oc)'!V523,0))</f>
        <v>1</v>
      </c>
      <c r="W523" s="125">
        <f>IF('Quant. mod. (oc)'!W523&lt;0,0,ROUND('Quant. mod. (oc)'!W523,0))</f>
        <v>1</v>
      </c>
      <c r="X523" s="125">
        <f>IF('Quant. mod. (oc)'!X523&lt;0,0,ROUND('Quant. mod. (oc)'!X523,0))</f>
        <v>1</v>
      </c>
      <c r="Y523" s="125">
        <f>IF('Quant. mod. (oc)'!Y523&lt;0,0,ROUND('Quant. mod. (oc)'!Y523,0))</f>
        <v>1</v>
      </c>
      <c r="Z523" s="125">
        <f>IF('Quant. mod. (oc)'!Z523&lt;0,0,ROUND('Quant. mod. (oc)'!Z523,0))</f>
        <v>1</v>
      </c>
      <c r="AA523" s="125">
        <f>IF('Quant. mod. (oc)'!AA523&lt;0,0,ROUND('Quant. mod. (oc)'!AA523,0))</f>
        <v>1</v>
      </c>
      <c r="AB523" s="125">
        <f>IF('Quant. mod. (oc)'!AB523&lt;0,0,ROUND('Quant. mod. (oc)'!AB523,0))</f>
        <v>1</v>
      </c>
      <c r="AC523" s="125">
        <f>IF('Quant. mod. (oc)'!AC523&lt;0,0,ROUND('Quant. mod. (oc)'!AC523,0))</f>
        <v>1</v>
      </c>
      <c r="AD523" s="125">
        <f>IF('Quant. mod. (oc)'!AD523&lt;0,0,ROUND('Quant. mod. (oc)'!AD523,0))</f>
        <v>1</v>
      </c>
      <c r="AE523" s="125">
        <f>IF('Quant. mod. (oc)'!AE523&lt;0,0,ROUND('Quant. mod. (oc)'!AE523,0))</f>
        <v>1</v>
      </c>
      <c r="AF523" s="125">
        <f>IF('Quant. mod. (oc)'!AF523&lt;0,0,ROUND('Quant. mod. (oc)'!AF523,0))</f>
        <v>1</v>
      </c>
      <c r="AG523" s="126">
        <f>IF('Quant. mod. (oc)'!AG523&lt;0,0,ROUND('Quant. mod. (oc)'!AG523,0))</f>
        <v>1</v>
      </c>
      <c r="AH523" s="22"/>
    </row>
    <row r="524" spans="1:34" x14ac:dyDescent="0.25">
      <c r="A524" s="112"/>
      <c r="B524" s="136" t="s">
        <v>144</v>
      </c>
      <c r="C524" s="67" t="s">
        <v>59</v>
      </c>
      <c r="D524" s="125">
        <f>IF('Quant. mod. (oc)'!D524&lt;0,0,ROUND('Quant. mod. (oc)'!D524,0))</f>
        <v>1</v>
      </c>
      <c r="E524" s="125">
        <f>IF('Quant. mod. (oc)'!E524&lt;0,0,ROUND('Quant. mod. (oc)'!E524,0))</f>
        <v>1</v>
      </c>
      <c r="F524" s="125">
        <f>IF('Quant. mod. (oc)'!F524&lt;0,0,ROUND('Quant. mod. (oc)'!F524,0))</f>
        <v>1</v>
      </c>
      <c r="G524" s="125">
        <f>IF('Quant. mod. (oc)'!G524&lt;0,0,ROUND('Quant. mod. (oc)'!G524,0))</f>
        <v>1</v>
      </c>
      <c r="H524" s="125">
        <f>IF('Quant. mod. (oc)'!H524&lt;0,0,ROUND('Quant. mod. (oc)'!H524,0))</f>
        <v>1</v>
      </c>
      <c r="I524" s="125">
        <f>IF('Quant. mod. (oc)'!I524&lt;0,0,ROUND('Quant. mod. (oc)'!I524,0))</f>
        <v>1</v>
      </c>
      <c r="J524" s="125">
        <f>IF('Quant. mod. (oc)'!J524&lt;0,0,ROUND('Quant. mod. (oc)'!J524,0))</f>
        <v>1</v>
      </c>
      <c r="K524" s="125">
        <f>IF('Quant. mod. (oc)'!K524&lt;0,0,ROUND('Quant. mod. (oc)'!K524,0))</f>
        <v>1</v>
      </c>
      <c r="L524" s="125">
        <f>IF('Quant. mod. (oc)'!L524&lt;0,0,ROUND('Quant. mod. (oc)'!L524,0))</f>
        <v>1</v>
      </c>
      <c r="M524" s="125">
        <f>IF('Quant. mod. (oc)'!M524&lt;0,0,ROUND('Quant. mod. (oc)'!M524,0))</f>
        <v>1</v>
      </c>
      <c r="N524" s="125">
        <f>IF('Quant. mod. (oc)'!N524&lt;0,0,ROUND('Quant. mod. (oc)'!N524,0))</f>
        <v>1</v>
      </c>
      <c r="O524" s="125">
        <f>IF('Quant. mod. (oc)'!O524&lt;0,0,ROUND('Quant. mod. (oc)'!O524,0))</f>
        <v>1</v>
      </c>
      <c r="P524" s="125">
        <f>IF('Quant. mod. (oc)'!P524&lt;0,0,ROUND('Quant. mod. (oc)'!P524,0))</f>
        <v>1</v>
      </c>
      <c r="Q524" s="125">
        <f>IF('Quant. mod. (oc)'!Q524&lt;0,0,ROUND('Quant. mod. (oc)'!Q524,0))</f>
        <v>1</v>
      </c>
      <c r="R524" s="125">
        <f>IF('Quant. mod. (oc)'!R524&lt;0,0,ROUND('Quant. mod. (oc)'!R524,0))</f>
        <v>1</v>
      </c>
      <c r="S524" s="125">
        <f>IF('Quant. mod. (oc)'!S524&lt;0,0,ROUND('Quant. mod. (oc)'!S524,0))</f>
        <v>1</v>
      </c>
      <c r="T524" s="125">
        <f>IF('Quant. mod. (oc)'!T524&lt;0,0,ROUND('Quant. mod. (oc)'!T524,0))</f>
        <v>1</v>
      </c>
      <c r="U524" s="125">
        <f>IF('Quant. mod. (oc)'!U524&lt;0,0,ROUND('Quant. mod. (oc)'!U524,0))</f>
        <v>1</v>
      </c>
      <c r="V524" s="125">
        <f>IF('Quant. mod. (oc)'!V524&lt;0,0,ROUND('Quant. mod. (oc)'!V524,0))</f>
        <v>1</v>
      </c>
      <c r="W524" s="125">
        <f>IF('Quant. mod. (oc)'!W524&lt;0,0,ROUND('Quant. mod. (oc)'!W524,0))</f>
        <v>1</v>
      </c>
      <c r="X524" s="125">
        <f>IF('Quant. mod. (oc)'!X524&lt;0,0,ROUND('Quant. mod. (oc)'!X524,0))</f>
        <v>1</v>
      </c>
      <c r="Y524" s="125">
        <f>IF('Quant. mod. (oc)'!Y524&lt;0,0,ROUND('Quant. mod. (oc)'!Y524,0))</f>
        <v>1</v>
      </c>
      <c r="Z524" s="125">
        <f>IF('Quant. mod. (oc)'!Z524&lt;0,0,ROUND('Quant. mod. (oc)'!Z524,0))</f>
        <v>1</v>
      </c>
      <c r="AA524" s="125">
        <f>IF('Quant. mod. (oc)'!AA524&lt;0,0,ROUND('Quant. mod. (oc)'!AA524,0))</f>
        <v>1</v>
      </c>
      <c r="AB524" s="125">
        <f>IF('Quant. mod. (oc)'!AB524&lt;0,0,ROUND('Quant. mod. (oc)'!AB524,0))</f>
        <v>1</v>
      </c>
      <c r="AC524" s="125">
        <f>IF('Quant. mod. (oc)'!AC524&lt;0,0,ROUND('Quant. mod. (oc)'!AC524,0))</f>
        <v>1</v>
      </c>
      <c r="AD524" s="125">
        <f>IF('Quant. mod. (oc)'!AD524&lt;0,0,ROUND('Quant. mod. (oc)'!AD524,0))</f>
        <v>1</v>
      </c>
      <c r="AE524" s="125">
        <f>IF('Quant. mod. (oc)'!AE524&lt;0,0,ROUND('Quant. mod. (oc)'!AE524,0))</f>
        <v>1</v>
      </c>
      <c r="AF524" s="125">
        <f>IF('Quant. mod. (oc)'!AF524&lt;0,0,ROUND('Quant. mod. (oc)'!AF524,0))</f>
        <v>1</v>
      </c>
      <c r="AG524" s="126">
        <f>IF('Quant. mod. (oc)'!AG524&lt;0,0,ROUND('Quant. mod. (oc)'!AG524,0))</f>
        <v>1</v>
      </c>
      <c r="AH524" s="22"/>
    </row>
    <row r="525" spans="1:34" x14ac:dyDescent="0.25">
      <c r="A525" s="112"/>
      <c r="B525" s="136" t="s">
        <v>145</v>
      </c>
      <c r="C525" s="67" t="s">
        <v>59</v>
      </c>
      <c r="D525" s="125">
        <f>IF('Quant. mod. (oc)'!D525&lt;0,0,ROUND('Quant. mod. (oc)'!D525,0))</f>
        <v>1</v>
      </c>
      <c r="E525" s="125">
        <f>IF('Quant. mod. (oc)'!E525&lt;0,0,ROUND('Quant. mod. (oc)'!E525,0))</f>
        <v>1</v>
      </c>
      <c r="F525" s="125">
        <f>IF('Quant. mod. (oc)'!F525&lt;0,0,ROUND('Quant. mod. (oc)'!F525,0))</f>
        <v>1</v>
      </c>
      <c r="G525" s="125">
        <f>IF('Quant. mod. (oc)'!G525&lt;0,0,ROUND('Quant. mod. (oc)'!G525,0))</f>
        <v>1</v>
      </c>
      <c r="H525" s="125">
        <f>IF('Quant. mod. (oc)'!H525&lt;0,0,ROUND('Quant. mod. (oc)'!H525,0))</f>
        <v>1</v>
      </c>
      <c r="I525" s="125">
        <f>IF('Quant. mod. (oc)'!I525&lt;0,0,ROUND('Quant. mod. (oc)'!I525,0))</f>
        <v>1</v>
      </c>
      <c r="J525" s="125">
        <f>IF('Quant. mod. (oc)'!J525&lt;0,0,ROUND('Quant. mod. (oc)'!J525,0))</f>
        <v>1</v>
      </c>
      <c r="K525" s="125">
        <f>IF('Quant. mod. (oc)'!K525&lt;0,0,ROUND('Quant. mod. (oc)'!K525,0))</f>
        <v>1</v>
      </c>
      <c r="L525" s="125">
        <f>IF('Quant. mod. (oc)'!L525&lt;0,0,ROUND('Quant. mod. (oc)'!L525,0))</f>
        <v>1</v>
      </c>
      <c r="M525" s="125">
        <f>IF('Quant. mod. (oc)'!M525&lt;0,0,ROUND('Quant. mod. (oc)'!M525,0))</f>
        <v>1</v>
      </c>
      <c r="N525" s="125">
        <f>IF('Quant. mod. (oc)'!N525&lt;0,0,ROUND('Quant. mod. (oc)'!N525,0))</f>
        <v>1</v>
      </c>
      <c r="O525" s="125">
        <f>IF('Quant. mod. (oc)'!O525&lt;0,0,ROUND('Quant. mod. (oc)'!O525,0))</f>
        <v>1</v>
      </c>
      <c r="P525" s="125">
        <f>IF('Quant. mod. (oc)'!P525&lt;0,0,ROUND('Quant. mod. (oc)'!P525,0))</f>
        <v>1</v>
      </c>
      <c r="Q525" s="125">
        <f>IF('Quant. mod. (oc)'!Q525&lt;0,0,ROUND('Quant. mod. (oc)'!Q525,0))</f>
        <v>1</v>
      </c>
      <c r="R525" s="125">
        <f>IF('Quant. mod. (oc)'!R525&lt;0,0,ROUND('Quant. mod. (oc)'!R525,0))</f>
        <v>1</v>
      </c>
      <c r="S525" s="125">
        <f>IF('Quant. mod. (oc)'!S525&lt;0,0,ROUND('Quant. mod. (oc)'!S525,0))</f>
        <v>1</v>
      </c>
      <c r="T525" s="125">
        <f>IF('Quant. mod. (oc)'!T525&lt;0,0,ROUND('Quant. mod. (oc)'!T525,0))</f>
        <v>1</v>
      </c>
      <c r="U525" s="125">
        <f>IF('Quant. mod. (oc)'!U525&lt;0,0,ROUND('Quant. mod. (oc)'!U525,0))</f>
        <v>1</v>
      </c>
      <c r="V525" s="125">
        <f>IF('Quant. mod. (oc)'!V525&lt;0,0,ROUND('Quant. mod. (oc)'!V525,0))</f>
        <v>1</v>
      </c>
      <c r="W525" s="125">
        <f>IF('Quant. mod. (oc)'!W525&lt;0,0,ROUND('Quant. mod. (oc)'!W525,0))</f>
        <v>1</v>
      </c>
      <c r="X525" s="125">
        <f>IF('Quant. mod. (oc)'!X525&lt;0,0,ROUND('Quant. mod. (oc)'!X525,0))</f>
        <v>1</v>
      </c>
      <c r="Y525" s="125">
        <f>IF('Quant. mod. (oc)'!Y525&lt;0,0,ROUND('Quant. mod. (oc)'!Y525,0))</f>
        <v>1</v>
      </c>
      <c r="Z525" s="125">
        <f>IF('Quant. mod. (oc)'!Z525&lt;0,0,ROUND('Quant. mod. (oc)'!Z525,0))</f>
        <v>1</v>
      </c>
      <c r="AA525" s="125">
        <f>IF('Quant. mod. (oc)'!AA525&lt;0,0,ROUND('Quant. mod. (oc)'!AA525,0))</f>
        <v>1</v>
      </c>
      <c r="AB525" s="125">
        <f>IF('Quant. mod. (oc)'!AB525&lt;0,0,ROUND('Quant. mod. (oc)'!AB525,0))</f>
        <v>1</v>
      </c>
      <c r="AC525" s="125">
        <f>IF('Quant. mod. (oc)'!AC525&lt;0,0,ROUND('Quant. mod. (oc)'!AC525,0))</f>
        <v>1</v>
      </c>
      <c r="AD525" s="125">
        <f>IF('Quant. mod. (oc)'!AD525&lt;0,0,ROUND('Quant. mod. (oc)'!AD525,0))</f>
        <v>1</v>
      </c>
      <c r="AE525" s="125">
        <f>IF('Quant. mod. (oc)'!AE525&lt;0,0,ROUND('Quant. mod. (oc)'!AE525,0))</f>
        <v>1</v>
      </c>
      <c r="AF525" s="125">
        <f>IF('Quant. mod. (oc)'!AF525&lt;0,0,ROUND('Quant. mod. (oc)'!AF525,0))</f>
        <v>1</v>
      </c>
      <c r="AG525" s="126">
        <f>IF('Quant. mod. (oc)'!AG525&lt;0,0,ROUND('Quant. mod. (oc)'!AG525,0))</f>
        <v>1</v>
      </c>
      <c r="AH525" s="22"/>
    </row>
    <row r="526" spans="1:34" x14ac:dyDescent="0.25">
      <c r="A526" s="112"/>
      <c r="B526" s="136" t="s">
        <v>146</v>
      </c>
      <c r="C526" s="67" t="s">
        <v>59</v>
      </c>
      <c r="D526" s="125">
        <f>IF('Quant. mod. (oc)'!D526&lt;0,0,ROUND('Quant. mod. (oc)'!D526,0))</f>
        <v>1</v>
      </c>
      <c r="E526" s="125">
        <f>IF('Quant. mod. (oc)'!E526&lt;0,0,ROUND('Quant. mod. (oc)'!E526,0))</f>
        <v>1</v>
      </c>
      <c r="F526" s="125">
        <f>IF('Quant. mod. (oc)'!F526&lt;0,0,ROUND('Quant. mod. (oc)'!F526,0))</f>
        <v>1</v>
      </c>
      <c r="G526" s="125">
        <f>IF('Quant. mod. (oc)'!G526&lt;0,0,ROUND('Quant. mod. (oc)'!G526,0))</f>
        <v>1</v>
      </c>
      <c r="H526" s="125">
        <f>IF('Quant. mod. (oc)'!H526&lt;0,0,ROUND('Quant. mod. (oc)'!H526,0))</f>
        <v>1</v>
      </c>
      <c r="I526" s="125">
        <f>IF('Quant. mod. (oc)'!I526&lt;0,0,ROUND('Quant. mod. (oc)'!I526,0))</f>
        <v>1</v>
      </c>
      <c r="J526" s="125">
        <f>IF('Quant. mod. (oc)'!J526&lt;0,0,ROUND('Quant. mod. (oc)'!J526,0))</f>
        <v>1</v>
      </c>
      <c r="K526" s="125">
        <f>IF('Quant. mod. (oc)'!K526&lt;0,0,ROUND('Quant. mod. (oc)'!K526,0))</f>
        <v>1</v>
      </c>
      <c r="L526" s="125">
        <f>IF('Quant. mod. (oc)'!L526&lt;0,0,ROUND('Quant. mod. (oc)'!L526,0))</f>
        <v>1</v>
      </c>
      <c r="M526" s="125">
        <f>IF('Quant. mod. (oc)'!M526&lt;0,0,ROUND('Quant. mod. (oc)'!M526,0))</f>
        <v>1</v>
      </c>
      <c r="N526" s="125">
        <f>IF('Quant. mod. (oc)'!N526&lt;0,0,ROUND('Quant. mod. (oc)'!N526,0))</f>
        <v>1</v>
      </c>
      <c r="O526" s="125">
        <f>IF('Quant. mod. (oc)'!O526&lt;0,0,ROUND('Quant. mod. (oc)'!O526,0))</f>
        <v>1</v>
      </c>
      <c r="P526" s="125">
        <f>IF('Quant. mod. (oc)'!P526&lt;0,0,ROUND('Quant. mod. (oc)'!P526,0))</f>
        <v>1</v>
      </c>
      <c r="Q526" s="125">
        <f>IF('Quant. mod. (oc)'!Q526&lt;0,0,ROUND('Quant. mod. (oc)'!Q526,0))</f>
        <v>1</v>
      </c>
      <c r="R526" s="125">
        <f>IF('Quant. mod. (oc)'!R526&lt;0,0,ROUND('Quant. mod. (oc)'!R526,0))</f>
        <v>1</v>
      </c>
      <c r="S526" s="125">
        <f>IF('Quant. mod. (oc)'!S526&lt;0,0,ROUND('Quant. mod. (oc)'!S526,0))</f>
        <v>1</v>
      </c>
      <c r="T526" s="125">
        <f>IF('Quant. mod. (oc)'!T526&lt;0,0,ROUND('Quant. mod. (oc)'!T526,0))</f>
        <v>1</v>
      </c>
      <c r="U526" s="125">
        <f>IF('Quant. mod. (oc)'!U526&lt;0,0,ROUND('Quant. mod. (oc)'!U526,0))</f>
        <v>1</v>
      </c>
      <c r="V526" s="125">
        <f>IF('Quant. mod. (oc)'!V526&lt;0,0,ROUND('Quant. mod. (oc)'!V526,0))</f>
        <v>1</v>
      </c>
      <c r="W526" s="125">
        <f>IF('Quant. mod. (oc)'!W526&lt;0,0,ROUND('Quant. mod. (oc)'!W526,0))</f>
        <v>1</v>
      </c>
      <c r="X526" s="125">
        <f>IF('Quant. mod. (oc)'!X526&lt;0,0,ROUND('Quant. mod. (oc)'!X526,0))</f>
        <v>1</v>
      </c>
      <c r="Y526" s="125">
        <f>IF('Quant. mod. (oc)'!Y526&lt;0,0,ROUND('Quant. mod. (oc)'!Y526,0))</f>
        <v>1</v>
      </c>
      <c r="Z526" s="125">
        <f>IF('Quant. mod. (oc)'!Z526&lt;0,0,ROUND('Quant. mod. (oc)'!Z526,0))</f>
        <v>1</v>
      </c>
      <c r="AA526" s="125">
        <f>IF('Quant. mod. (oc)'!AA526&lt;0,0,ROUND('Quant. mod. (oc)'!AA526,0))</f>
        <v>1</v>
      </c>
      <c r="AB526" s="125">
        <f>IF('Quant. mod. (oc)'!AB526&lt;0,0,ROUND('Quant. mod. (oc)'!AB526,0))</f>
        <v>1</v>
      </c>
      <c r="AC526" s="125">
        <f>IF('Quant. mod. (oc)'!AC526&lt;0,0,ROUND('Quant. mod. (oc)'!AC526,0))</f>
        <v>1</v>
      </c>
      <c r="AD526" s="125">
        <f>IF('Quant. mod. (oc)'!AD526&lt;0,0,ROUND('Quant. mod. (oc)'!AD526,0))</f>
        <v>1</v>
      </c>
      <c r="AE526" s="125">
        <f>IF('Quant. mod. (oc)'!AE526&lt;0,0,ROUND('Quant. mod. (oc)'!AE526,0))</f>
        <v>1</v>
      </c>
      <c r="AF526" s="125">
        <f>IF('Quant. mod. (oc)'!AF526&lt;0,0,ROUND('Quant. mod. (oc)'!AF526,0))</f>
        <v>1</v>
      </c>
      <c r="AG526" s="126">
        <f>IF('Quant. mod. (oc)'!AG526&lt;0,0,ROUND('Quant. mod. (oc)'!AG526,0))</f>
        <v>1</v>
      </c>
      <c r="AH526" s="22"/>
    </row>
    <row r="527" spans="1:34" x14ac:dyDescent="0.25">
      <c r="A527" s="112"/>
      <c r="B527" s="136" t="s">
        <v>147</v>
      </c>
      <c r="C527" s="67" t="s">
        <v>59</v>
      </c>
      <c r="D527" s="125">
        <f>IF('Quant. mod. (oc)'!D527&lt;0,0,ROUND('Quant. mod. (oc)'!D527,0))</f>
        <v>1</v>
      </c>
      <c r="E527" s="125">
        <f>IF('Quant. mod. (oc)'!E527&lt;0,0,ROUND('Quant. mod. (oc)'!E527,0))</f>
        <v>1</v>
      </c>
      <c r="F527" s="125">
        <f>IF('Quant. mod. (oc)'!F527&lt;0,0,ROUND('Quant. mod. (oc)'!F527,0))</f>
        <v>1</v>
      </c>
      <c r="G527" s="125">
        <f>IF('Quant. mod. (oc)'!G527&lt;0,0,ROUND('Quant. mod. (oc)'!G527,0))</f>
        <v>1</v>
      </c>
      <c r="H527" s="125">
        <f>IF('Quant. mod. (oc)'!H527&lt;0,0,ROUND('Quant. mod. (oc)'!H527,0))</f>
        <v>1</v>
      </c>
      <c r="I527" s="125">
        <f>IF('Quant. mod. (oc)'!I527&lt;0,0,ROUND('Quant. mod. (oc)'!I527,0))</f>
        <v>1</v>
      </c>
      <c r="J527" s="125">
        <f>IF('Quant. mod. (oc)'!J527&lt;0,0,ROUND('Quant. mod. (oc)'!J527,0))</f>
        <v>1</v>
      </c>
      <c r="K527" s="125">
        <f>IF('Quant. mod. (oc)'!K527&lt;0,0,ROUND('Quant. mod. (oc)'!K527,0))</f>
        <v>1</v>
      </c>
      <c r="L527" s="125">
        <f>IF('Quant. mod. (oc)'!L527&lt;0,0,ROUND('Quant. mod. (oc)'!L527,0))</f>
        <v>1</v>
      </c>
      <c r="M527" s="125">
        <f>IF('Quant. mod. (oc)'!M527&lt;0,0,ROUND('Quant. mod. (oc)'!M527,0))</f>
        <v>1</v>
      </c>
      <c r="N527" s="125">
        <f>IF('Quant. mod. (oc)'!N527&lt;0,0,ROUND('Quant. mod. (oc)'!N527,0))</f>
        <v>1</v>
      </c>
      <c r="O527" s="125">
        <f>IF('Quant. mod. (oc)'!O527&lt;0,0,ROUND('Quant. mod. (oc)'!O527,0))</f>
        <v>1</v>
      </c>
      <c r="P527" s="125">
        <f>IF('Quant. mod. (oc)'!P527&lt;0,0,ROUND('Quant. mod. (oc)'!P527,0))</f>
        <v>1</v>
      </c>
      <c r="Q527" s="125">
        <f>IF('Quant. mod. (oc)'!Q527&lt;0,0,ROUND('Quant. mod. (oc)'!Q527,0))</f>
        <v>1</v>
      </c>
      <c r="R527" s="125">
        <f>IF('Quant. mod. (oc)'!R527&lt;0,0,ROUND('Quant. mod. (oc)'!R527,0))</f>
        <v>1</v>
      </c>
      <c r="S527" s="125">
        <f>IF('Quant. mod. (oc)'!S527&lt;0,0,ROUND('Quant. mod. (oc)'!S527,0))</f>
        <v>1</v>
      </c>
      <c r="T527" s="125">
        <f>IF('Quant. mod. (oc)'!T527&lt;0,0,ROUND('Quant. mod. (oc)'!T527,0))</f>
        <v>1</v>
      </c>
      <c r="U527" s="125">
        <f>IF('Quant. mod. (oc)'!U527&lt;0,0,ROUND('Quant. mod. (oc)'!U527,0))</f>
        <v>1</v>
      </c>
      <c r="V527" s="125">
        <f>IF('Quant. mod. (oc)'!V527&lt;0,0,ROUND('Quant. mod. (oc)'!V527,0))</f>
        <v>1</v>
      </c>
      <c r="W527" s="125">
        <f>IF('Quant. mod. (oc)'!W527&lt;0,0,ROUND('Quant. mod. (oc)'!W527,0))</f>
        <v>1</v>
      </c>
      <c r="X527" s="125">
        <f>IF('Quant. mod. (oc)'!X527&lt;0,0,ROUND('Quant. mod. (oc)'!X527,0))</f>
        <v>1</v>
      </c>
      <c r="Y527" s="125">
        <f>IF('Quant. mod. (oc)'!Y527&lt;0,0,ROUND('Quant. mod. (oc)'!Y527,0))</f>
        <v>1</v>
      </c>
      <c r="Z527" s="125">
        <f>IF('Quant. mod. (oc)'!Z527&lt;0,0,ROUND('Quant. mod. (oc)'!Z527,0))</f>
        <v>1</v>
      </c>
      <c r="AA527" s="125">
        <f>IF('Quant. mod. (oc)'!AA527&lt;0,0,ROUND('Quant. mod. (oc)'!AA527,0))</f>
        <v>1</v>
      </c>
      <c r="AB527" s="125">
        <f>IF('Quant. mod. (oc)'!AB527&lt;0,0,ROUND('Quant. mod. (oc)'!AB527,0))</f>
        <v>1</v>
      </c>
      <c r="AC527" s="125">
        <f>IF('Quant. mod. (oc)'!AC527&lt;0,0,ROUND('Quant. mod. (oc)'!AC527,0))</f>
        <v>1</v>
      </c>
      <c r="AD527" s="125">
        <f>IF('Quant. mod. (oc)'!AD527&lt;0,0,ROUND('Quant. mod. (oc)'!AD527,0))</f>
        <v>1</v>
      </c>
      <c r="AE527" s="125">
        <f>IF('Quant. mod. (oc)'!AE527&lt;0,0,ROUND('Quant. mod. (oc)'!AE527,0))</f>
        <v>1</v>
      </c>
      <c r="AF527" s="125">
        <f>IF('Quant. mod. (oc)'!AF527&lt;0,0,ROUND('Quant. mod. (oc)'!AF527,0))</f>
        <v>1</v>
      </c>
      <c r="AG527" s="126">
        <f>IF('Quant. mod. (oc)'!AG527&lt;0,0,ROUND('Quant. mod. (oc)'!AG527,0))</f>
        <v>1</v>
      </c>
      <c r="AH527" s="22"/>
    </row>
    <row r="528" spans="1:34" x14ac:dyDescent="0.25">
      <c r="A528" s="112"/>
      <c r="B528" s="136" t="s">
        <v>148</v>
      </c>
      <c r="C528" s="67" t="s">
        <v>59</v>
      </c>
      <c r="D528" s="125">
        <f>IF('Quant. mod. (oc)'!D528&lt;0,0,ROUND('Quant. mod. (oc)'!D528,0))</f>
        <v>1</v>
      </c>
      <c r="E528" s="125">
        <f>IF('Quant. mod. (oc)'!E528&lt;0,0,ROUND('Quant. mod. (oc)'!E528,0))</f>
        <v>1</v>
      </c>
      <c r="F528" s="125">
        <f>IF('Quant. mod. (oc)'!F528&lt;0,0,ROUND('Quant. mod. (oc)'!F528,0))</f>
        <v>1</v>
      </c>
      <c r="G528" s="125">
        <f>IF('Quant. mod. (oc)'!G528&lt;0,0,ROUND('Quant. mod. (oc)'!G528,0))</f>
        <v>1</v>
      </c>
      <c r="H528" s="125">
        <f>IF('Quant. mod. (oc)'!H528&lt;0,0,ROUND('Quant. mod. (oc)'!H528,0))</f>
        <v>1</v>
      </c>
      <c r="I528" s="125">
        <f>IF('Quant. mod. (oc)'!I528&lt;0,0,ROUND('Quant. mod. (oc)'!I528,0))</f>
        <v>1</v>
      </c>
      <c r="J528" s="125">
        <f>IF('Quant. mod. (oc)'!J528&lt;0,0,ROUND('Quant. mod. (oc)'!J528,0))</f>
        <v>1</v>
      </c>
      <c r="K528" s="125">
        <f>IF('Quant. mod. (oc)'!K528&lt;0,0,ROUND('Quant. mod. (oc)'!K528,0))</f>
        <v>1</v>
      </c>
      <c r="L528" s="125">
        <f>IF('Quant. mod. (oc)'!L528&lt;0,0,ROUND('Quant. mod. (oc)'!L528,0))</f>
        <v>1</v>
      </c>
      <c r="M528" s="125">
        <f>IF('Quant. mod. (oc)'!M528&lt;0,0,ROUND('Quant. mod. (oc)'!M528,0))</f>
        <v>1</v>
      </c>
      <c r="N528" s="125">
        <f>IF('Quant. mod. (oc)'!N528&lt;0,0,ROUND('Quant. mod. (oc)'!N528,0))</f>
        <v>1</v>
      </c>
      <c r="O528" s="125">
        <f>IF('Quant. mod. (oc)'!O528&lt;0,0,ROUND('Quant. mod. (oc)'!O528,0))</f>
        <v>1</v>
      </c>
      <c r="P528" s="125">
        <f>IF('Quant. mod. (oc)'!P528&lt;0,0,ROUND('Quant. mod. (oc)'!P528,0))</f>
        <v>1</v>
      </c>
      <c r="Q528" s="125">
        <f>IF('Quant. mod. (oc)'!Q528&lt;0,0,ROUND('Quant. mod. (oc)'!Q528,0))</f>
        <v>1</v>
      </c>
      <c r="R528" s="125">
        <f>IF('Quant. mod. (oc)'!R528&lt;0,0,ROUND('Quant. mod. (oc)'!R528,0))</f>
        <v>1</v>
      </c>
      <c r="S528" s="125">
        <f>IF('Quant. mod. (oc)'!S528&lt;0,0,ROUND('Quant. mod. (oc)'!S528,0))</f>
        <v>1</v>
      </c>
      <c r="T528" s="125">
        <f>IF('Quant. mod. (oc)'!T528&lt;0,0,ROUND('Quant. mod. (oc)'!T528,0))</f>
        <v>1</v>
      </c>
      <c r="U528" s="125">
        <f>IF('Quant. mod. (oc)'!U528&lt;0,0,ROUND('Quant. mod. (oc)'!U528,0))</f>
        <v>1</v>
      </c>
      <c r="V528" s="125">
        <f>IF('Quant. mod. (oc)'!V528&lt;0,0,ROUND('Quant. mod. (oc)'!V528,0))</f>
        <v>1</v>
      </c>
      <c r="W528" s="125">
        <f>IF('Quant. mod. (oc)'!W528&lt;0,0,ROUND('Quant. mod. (oc)'!W528,0))</f>
        <v>1</v>
      </c>
      <c r="X528" s="125">
        <f>IF('Quant. mod. (oc)'!X528&lt;0,0,ROUND('Quant. mod. (oc)'!X528,0))</f>
        <v>1</v>
      </c>
      <c r="Y528" s="125">
        <f>IF('Quant. mod. (oc)'!Y528&lt;0,0,ROUND('Quant. mod. (oc)'!Y528,0))</f>
        <v>1</v>
      </c>
      <c r="Z528" s="125">
        <f>IF('Quant. mod. (oc)'!Z528&lt;0,0,ROUND('Quant. mod. (oc)'!Z528,0))</f>
        <v>1</v>
      </c>
      <c r="AA528" s="125">
        <f>IF('Quant. mod. (oc)'!AA528&lt;0,0,ROUND('Quant. mod. (oc)'!AA528,0))</f>
        <v>1</v>
      </c>
      <c r="AB528" s="125">
        <f>IF('Quant. mod. (oc)'!AB528&lt;0,0,ROUND('Quant. mod. (oc)'!AB528,0))</f>
        <v>1</v>
      </c>
      <c r="AC528" s="125">
        <f>IF('Quant. mod. (oc)'!AC528&lt;0,0,ROUND('Quant. mod. (oc)'!AC528,0))</f>
        <v>1</v>
      </c>
      <c r="AD528" s="125">
        <f>IF('Quant. mod. (oc)'!AD528&lt;0,0,ROUND('Quant. mod. (oc)'!AD528,0))</f>
        <v>1</v>
      </c>
      <c r="AE528" s="125">
        <f>IF('Quant. mod. (oc)'!AE528&lt;0,0,ROUND('Quant. mod. (oc)'!AE528,0))</f>
        <v>1</v>
      </c>
      <c r="AF528" s="125">
        <f>IF('Quant. mod. (oc)'!AF528&lt;0,0,ROUND('Quant. mod. (oc)'!AF528,0))</f>
        <v>1</v>
      </c>
      <c r="AG528" s="126">
        <f>IF('Quant. mod. (oc)'!AG528&lt;0,0,ROUND('Quant. mod. (oc)'!AG528,0))</f>
        <v>1</v>
      </c>
      <c r="AH528" s="22"/>
    </row>
    <row r="529" spans="1:34" x14ac:dyDescent="0.25">
      <c r="A529" s="112"/>
      <c r="B529" s="136" t="s">
        <v>149</v>
      </c>
      <c r="C529" s="67" t="s">
        <v>59</v>
      </c>
      <c r="D529" s="125">
        <f>IF('Quant. mod. (oc)'!D529&lt;0,0,ROUND('Quant. mod. (oc)'!D529,0))</f>
        <v>1</v>
      </c>
      <c r="E529" s="125">
        <f>IF('Quant. mod. (oc)'!E529&lt;0,0,ROUND('Quant. mod. (oc)'!E529,0))</f>
        <v>1</v>
      </c>
      <c r="F529" s="125">
        <f>IF('Quant. mod. (oc)'!F529&lt;0,0,ROUND('Quant. mod. (oc)'!F529,0))</f>
        <v>1</v>
      </c>
      <c r="G529" s="125">
        <f>IF('Quant. mod. (oc)'!G529&lt;0,0,ROUND('Quant. mod. (oc)'!G529,0))</f>
        <v>1</v>
      </c>
      <c r="H529" s="125">
        <f>IF('Quant. mod. (oc)'!H529&lt;0,0,ROUND('Quant. mod. (oc)'!H529,0))</f>
        <v>1</v>
      </c>
      <c r="I529" s="125">
        <f>IF('Quant. mod. (oc)'!I529&lt;0,0,ROUND('Quant. mod. (oc)'!I529,0))</f>
        <v>1</v>
      </c>
      <c r="J529" s="125">
        <f>IF('Quant. mod. (oc)'!J529&lt;0,0,ROUND('Quant. mod. (oc)'!J529,0))</f>
        <v>1</v>
      </c>
      <c r="K529" s="125">
        <f>IF('Quant. mod. (oc)'!K529&lt;0,0,ROUND('Quant. mod. (oc)'!K529,0))</f>
        <v>1</v>
      </c>
      <c r="L529" s="125">
        <f>IF('Quant. mod. (oc)'!L529&lt;0,0,ROUND('Quant. mod. (oc)'!L529,0))</f>
        <v>1</v>
      </c>
      <c r="M529" s="125">
        <f>IF('Quant. mod. (oc)'!M529&lt;0,0,ROUND('Quant. mod. (oc)'!M529,0))</f>
        <v>1</v>
      </c>
      <c r="N529" s="125">
        <f>IF('Quant. mod. (oc)'!N529&lt;0,0,ROUND('Quant. mod. (oc)'!N529,0))</f>
        <v>1</v>
      </c>
      <c r="O529" s="125">
        <f>IF('Quant. mod. (oc)'!O529&lt;0,0,ROUND('Quant. mod. (oc)'!O529,0))</f>
        <v>1</v>
      </c>
      <c r="P529" s="125">
        <f>IF('Quant. mod. (oc)'!P529&lt;0,0,ROUND('Quant. mod. (oc)'!P529,0))</f>
        <v>1</v>
      </c>
      <c r="Q529" s="125">
        <f>IF('Quant. mod. (oc)'!Q529&lt;0,0,ROUND('Quant. mod. (oc)'!Q529,0))</f>
        <v>1</v>
      </c>
      <c r="R529" s="125">
        <f>IF('Quant. mod. (oc)'!R529&lt;0,0,ROUND('Quant. mod. (oc)'!R529,0))</f>
        <v>1</v>
      </c>
      <c r="S529" s="125">
        <f>IF('Quant. mod. (oc)'!S529&lt;0,0,ROUND('Quant. mod. (oc)'!S529,0))</f>
        <v>1</v>
      </c>
      <c r="T529" s="125">
        <f>IF('Quant. mod. (oc)'!T529&lt;0,0,ROUND('Quant. mod. (oc)'!T529,0))</f>
        <v>1</v>
      </c>
      <c r="U529" s="125">
        <f>IF('Quant. mod. (oc)'!U529&lt;0,0,ROUND('Quant. mod. (oc)'!U529,0))</f>
        <v>1</v>
      </c>
      <c r="V529" s="125">
        <f>IF('Quant. mod. (oc)'!V529&lt;0,0,ROUND('Quant. mod. (oc)'!V529,0))</f>
        <v>1</v>
      </c>
      <c r="W529" s="125">
        <f>IF('Quant. mod. (oc)'!W529&lt;0,0,ROUND('Quant. mod. (oc)'!W529,0))</f>
        <v>1</v>
      </c>
      <c r="X529" s="125">
        <f>IF('Quant. mod. (oc)'!X529&lt;0,0,ROUND('Quant. mod. (oc)'!X529,0))</f>
        <v>1</v>
      </c>
      <c r="Y529" s="125">
        <f>IF('Quant. mod. (oc)'!Y529&lt;0,0,ROUND('Quant. mod. (oc)'!Y529,0))</f>
        <v>1</v>
      </c>
      <c r="Z529" s="125">
        <f>IF('Quant. mod. (oc)'!Z529&lt;0,0,ROUND('Quant. mod. (oc)'!Z529,0))</f>
        <v>1</v>
      </c>
      <c r="AA529" s="125">
        <f>IF('Quant. mod. (oc)'!AA529&lt;0,0,ROUND('Quant. mod. (oc)'!AA529,0))</f>
        <v>1</v>
      </c>
      <c r="AB529" s="125">
        <f>IF('Quant. mod. (oc)'!AB529&lt;0,0,ROUND('Quant. mod. (oc)'!AB529,0))</f>
        <v>1</v>
      </c>
      <c r="AC529" s="125">
        <f>IF('Quant. mod. (oc)'!AC529&lt;0,0,ROUND('Quant. mod. (oc)'!AC529,0))</f>
        <v>1</v>
      </c>
      <c r="AD529" s="125">
        <f>IF('Quant. mod. (oc)'!AD529&lt;0,0,ROUND('Quant. mod. (oc)'!AD529,0))</f>
        <v>1</v>
      </c>
      <c r="AE529" s="125">
        <f>IF('Quant. mod. (oc)'!AE529&lt;0,0,ROUND('Quant. mod. (oc)'!AE529,0))</f>
        <v>1</v>
      </c>
      <c r="AF529" s="125">
        <f>IF('Quant. mod. (oc)'!AF529&lt;0,0,ROUND('Quant. mod. (oc)'!AF529,0))</f>
        <v>1</v>
      </c>
      <c r="AG529" s="126">
        <f>IF('Quant. mod. (oc)'!AG529&lt;0,0,ROUND('Quant. mod. (oc)'!AG529,0))</f>
        <v>1</v>
      </c>
      <c r="AH529" s="22"/>
    </row>
    <row r="530" spans="1:34" x14ac:dyDescent="0.25">
      <c r="A530" s="112"/>
      <c r="B530" s="136" t="s">
        <v>150</v>
      </c>
      <c r="C530" s="67" t="s">
        <v>59</v>
      </c>
      <c r="D530" s="125">
        <f>IF('Quant. mod. (oc)'!D530&lt;0,0,ROUND('Quant. mod. (oc)'!D530,0))</f>
        <v>1</v>
      </c>
      <c r="E530" s="125">
        <f>IF('Quant. mod. (oc)'!E530&lt;0,0,ROUND('Quant. mod. (oc)'!E530,0))</f>
        <v>1</v>
      </c>
      <c r="F530" s="125">
        <f>IF('Quant. mod. (oc)'!F530&lt;0,0,ROUND('Quant. mod. (oc)'!F530,0))</f>
        <v>1</v>
      </c>
      <c r="G530" s="125">
        <f>IF('Quant. mod. (oc)'!G530&lt;0,0,ROUND('Quant. mod. (oc)'!G530,0))</f>
        <v>1</v>
      </c>
      <c r="H530" s="125">
        <f>IF('Quant. mod. (oc)'!H530&lt;0,0,ROUND('Quant. mod. (oc)'!H530,0))</f>
        <v>1</v>
      </c>
      <c r="I530" s="125">
        <f>IF('Quant. mod. (oc)'!I530&lt;0,0,ROUND('Quant. mod. (oc)'!I530,0))</f>
        <v>1</v>
      </c>
      <c r="J530" s="125">
        <f>IF('Quant. mod. (oc)'!J530&lt;0,0,ROUND('Quant. mod. (oc)'!J530,0))</f>
        <v>1</v>
      </c>
      <c r="K530" s="125">
        <f>IF('Quant. mod. (oc)'!K530&lt;0,0,ROUND('Quant. mod. (oc)'!K530,0))</f>
        <v>1</v>
      </c>
      <c r="L530" s="125">
        <f>IF('Quant. mod. (oc)'!L530&lt;0,0,ROUND('Quant. mod. (oc)'!L530,0))</f>
        <v>1</v>
      </c>
      <c r="M530" s="125">
        <f>IF('Quant. mod. (oc)'!M530&lt;0,0,ROUND('Quant. mod. (oc)'!M530,0))</f>
        <v>1</v>
      </c>
      <c r="N530" s="125">
        <f>IF('Quant. mod. (oc)'!N530&lt;0,0,ROUND('Quant. mod. (oc)'!N530,0))</f>
        <v>1</v>
      </c>
      <c r="O530" s="125">
        <f>IF('Quant. mod. (oc)'!O530&lt;0,0,ROUND('Quant. mod. (oc)'!O530,0))</f>
        <v>1</v>
      </c>
      <c r="P530" s="125">
        <f>IF('Quant. mod. (oc)'!P530&lt;0,0,ROUND('Quant. mod. (oc)'!P530,0))</f>
        <v>1</v>
      </c>
      <c r="Q530" s="125">
        <f>IF('Quant. mod. (oc)'!Q530&lt;0,0,ROUND('Quant. mod. (oc)'!Q530,0))</f>
        <v>1</v>
      </c>
      <c r="R530" s="125">
        <f>IF('Quant. mod. (oc)'!R530&lt;0,0,ROUND('Quant. mod. (oc)'!R530,0))</f>
        <v>1</v>
      </c>
      <c r="S530" s="125">
        <f>IF('Quant. mod. (oc)'!S530&lt;0,0,ROUND('Quant. mod. (oc)'!S530,0))</f>
        <v>1</v>
      </c>
      <c r="T530" s="125">
        <f>IF('Quant. mod. (oc)'!T530&lt;0,0,ROUND('Quant. mod. (oc)'!T530,0))</f>
        <v>1</v>
      </c>
      <c r="U530" s="125">
        <f>IF('Quant. mod. (oc)'!U530&lt;0,0,ROUND('Quant. mod. (oc)'!U530,0))</f>
        <v>1</v>
      </c>
      <c r="V530" s="125">
        <f>IF('Quant. mod. (oc)'!V530&lt;0,0,ROUND('Quant. mod. (oc)'!V530,0))</f>
        <v>1</v>
      </c>
      <c r="W530" s="125">
        <f>IF('Quant. mod. (oc)'!W530&lt;0,0,ROUND('Quant. mod. (oc)'!W530,0))</f>
        <v>1</v>
      </c>
      <c r="X530" s="125">
        <f>IF('Quant. mod. (oc)'!X530&lt;0,0,ROUND('Quant. mod. (oc)'!X530,0))</f>
        <v>1</v>
      </c>
      <c r="Y530" s="125">
        <f>IF('Quant. mod. (oc)'!Y530&lt;0,0,ROUND('Quant. mod. (oc)'!Y530,0))</f>
        <v>1</v>
      </c>
      <c r="Z530" s="125">
        <f>IF('Quant. mod. (oc)'!Z530&lt;0,0,ROUND('Quant. mod. (oc)'!Z530,0))</f>
        <v>1</v>
      </c>
      <c r="AA530" s="125">
        <f>IF('Quant. mod. (oc)'!AA530&lt;0,0,ROUND('Quant. mod. (oc)'!AA530,0))</f>
        <v>1</v>
      </c>
      <c r="AB530" s="125">
        <f>IF('Quant. mod. (oc)'!AB530&lt;0,0,ROUND('Quant. mod. (oc)'!AB530,0))</f>
        <v>1</v>
      </c>
      <c r="AC530" s="125">
        <f>IF('Quant. mod. (oc)'!AC530&lt;0,0,ROUND('Quant. mod. (oc)'!AC530,0))</f>
        <v>1</v>
      </c>
      <c r="AD530" s="125">
        <f>IF('Quant. mod. (oc)'!AD530&lt;0,0,ROUND('Quant. mod. (oc)'!AD530,0))</f>
        <v>1</v>
      </c>
      <c r="AE530" s="125">
        <f>IF('Quant. mod. (oc)'!AE530&lt;0,0,ROUND('Quant. mod. (oc)'!AE530,0))</f>
        <v>1</v>
      </c>
      <c r="AF530" s="125">
        <f>IF('Quant. mod. (oc)'!AF530&lt;0,0,ROUND('Quant. mod. (oc)'!AF530,0))</f>
        <v>1</v>
      </c>
      <c r="AG530" s="126">
        <f>IF('Quant. mod. (oc)'!AG530&lt;0,0,ROUND('Quant. mod. (oc)'!AG530,0))</f>
        <v>1</v>
      </c>
      <c r="AH530" s="22"/>
    </row>
    <row r="531" spans="1:34" x14ac:dyDescent="0.25">
      <c r="A531" s="112"/>
      <c r="B531" s="136" t="s">
        <v>151</v>
      </c>
      <c r="C531" s="67" t="s">
        <v>59</v>
      </c>
      <c r="D531" s="125">
        <f>IF('Quant. mod. (oc)'!D531&lt;0,0,ROUND('Quant. mod. (oc)'!D531,0))</f>
        <v>4</v>
      </c>
      <c r="E531" s="125">
        <f>IF('Quant. mod. (oc)'!E531&lt;0,0,ROUND('Quant. mod. (oc)'!E531,0))</f>
        <v>4</v>
      </c>
      <c r="F531" s="125">
        <f>IF('Quant. mod. (oc)'!F531&lt;0,0,ROUND('Quant. mod. (oc)'!F531,0))</f>
        <v>4</v>
      </c>
      <c r="G531" s="125">
        <f>IF('Quant. mod. (oc)'!G531&lt;0,0,ROUND('Quant. mod. (oc)'!G531,0))</f>
        <v>4</v>
      </c>
      <c r="H531" s="125">
        <f>IF('Quant. mod. (oc)'!H531&lt;0,0,ROUND('Quant. mod. (oc)'!H531,0))</f>
        <v>4</v>
      </c>
      <c r="I531" s="125">
        <f>IF('Quant. mod. (oc)'!I531&lt;0,0,ROUND('Quant. mod. (oc)'!I531,0))</f>
        <v>4</v>
      </c>
      <c r="J531" s="125">
        <f>IF('Quant. mod. (oc)'!J531&lt;0,0,ROUND('Quant. mod. (oc)'!J531,0))</f>
        <v>4</v>
      </c>
      <c r="K531" s="125">
        <f>IF('Quant. mod. (oc)'!K531&lt;0,0,ROUND('Quant. mod. (oc)'!K531,0))</f>
        <v>4</v>
      </c>
      <c r="L531" s="125">
        <f>IF('Quant. mod. (oc)'!L531&lt;0,0,ROUND('Quant. mod. (oc)'!L531,0))</f>
        <v>4</v>
      </c>
      <c r="M531" s="125">
        <f>IF('Quant. mod. (oc)'!M531&lt;0,0,ROUND('Quant. mod. (oc)'!M531,0))</f>
        <v>4</v>
      </c>
      <c r="N531" s="125">
        <f>IF('Quant. mod. (oc)'!N531&lt;0,0,ROUND('Quant. mod. (oc)'!N531,0))</f>
        <v>4</v>
      </c>
      <c r="O531" s="125">
        <f>IF('Quant. mod. (oc)'!O531&lt;0,0,ROUND('Quant. mod. (oc)'!O531,0))</f>
        <v>4</v>
      </c>
      <c r="P531" s="125">
        <f>IF('Quant. mod. (oc)'!P531&lt;0,0,ROUND('Quant. mod. (oc)'!P531,0))</f>
        <v>4</v>
      </c>
      <c r="Q531" s="125">
        <f>IF('Quant. mod. (oc)'!Q531&lt;0,0,ROUND('Quant. mod. (oc)'!Q531,0))</f>
        <v>4</v>
      </c>
      <c r="R531" s="125">
        <f>IF('Quant. mod. (oc)'!R531&lt;0,0,ROUND('Quant. mod. (oc)'!R531,0))</f>
        <v>4</v>
      </c>
      <c r="S531" s="125">
        <f>IF('Quant. mod. (oc)'!S531&lt;0,0,ROUND('Quant. mod. (oc)'!S531,0))</f>
        <v>4</v>
      </c>
      <c r="T531" s="125">
        <f>IF('Quant. mod. (oc)'!T531&lt;0,0,ROUND('Quant. mod. (oc)'!T531,0))</f>
        <v>4</v>
      </c>
      <c r="U531" s="125">
        <f>IF('Quant. mod. (oc)'!U531&lt;0,0,ROUND('Quant. mod. (oc)'!U531,0))</f>
        <v>4</v>
      </c>
      <c r="V531" s="125">
        <f>IF('Quant. mod. (oc)'!V531&lt;0,0,ROUND('Quant. mod. (oc)'!V531,0))</f>
        <v>4</v>
      </c>
      <c r="W531" s="125">
        <f>IF('Quant. mod. (oc)'!W531&lt;0,0,ROUND('Quant. mod. (oc)'!W531,0))</f>
        <v>4</v>
      </c>
      <c r="X531" s="125">
        <f>IF('Quant. mod. (oc)'!X531&lt;0,0,ROUND('Quant. mod. (oc)'!X531,0))</f>
        <v>4</v>
      </c>
      <c r="Y531" s="125">
        <f>IF('Quant. mod. (oc)'!Y531&lt;0,0,ROUND('Quant. mod. (oc)'!Y531,0))</f>
        <v>4</v>
      </c>
      <c r="Z531" s="125">
        <f>IF('Quant. mod. (oc)'!Z531&lt;0,0,ROUND('Quant. mod. (oc)'!Z531,0))</f>
        <v>4</v>
      </c>
      <c r="AA531" s="125">
        <f>IF('Quant. mod. (oc)'!AA531&lt;0,0,ROUND('Quant. mod. (oc)'!AA531,0))</f>
        <v>4</v>
      </c>
      <c r="AB531" s="125">
        <f>IF('Quant. mod. (oc)'!AB531&lt;0,0,ROUND('Quant. mod. (oc)'!AB531,0))</f>
        <v>4</v>
      </c>
      <c r="AC531" s="125">
        <f>IF('Quant. mod. (oc)'!AC531&lt;0,0,ROUND('Quant. mod. (oc)'!AC531,0))</f>
        <v>4</v>
      </c>
      <c r="AD531" s="125">
        <f>IF('Quant. mod. (oc)'!AD531&lt;0,0,ROUND('Quant. mod. (oc)'!AD531,0))</f>
        <v>4</v>
      </c>
      <c r="AE531" s="125">
        <f>IF('Quant. mod. (oc)'!AE531&lt;0,0,ROUND('Quant. mod. (oc)'!AE531,0))</f>
        <v>4</v>
      </c>
      <c r="AF531" s="125">
        <f>IF('Quant. mod. (oc)'!AF531&lt;0,0,ROUND('Quant. mod. (oc)'!AF531,0))</f>
        <v>4</v>
      </c>
      <c r="AG531" s="126">
        <f>IF('Quant. mod. (oc)'!AG531&lt;0,0,ROUND('Quant. mod. (oc)'!AG531,0))</f>
        <v>4</v>
      </c>
      <c r="AH531" s="22"/>
    </row>
    <row r="532" spans="1:34" x14ac:dyDescent="0.25">
      <c r="A532" s="112"/>
      <c r="B532" s="136" t="s">
        <v>152</v>
      </c>
      <c r="C532" s="67" t="s">
        <v>59</v>
      </c>
      <c r="D532" s="125">
        <f>IF('Quant. mod. (oc)'!D532&lt;0,0,ROUND('Quant. mod. (oc)'!D532,0))</f>
        <v>1</v>
      </c>
      <c r="E532" s="125">
        <f>IF('Quant. mod. (oc)'!E532&lt;0,0,ROUND('Quant. mod. (oc)'!E532,0))</f>
        <v>1</v>
      </c>
      <c r="F532" s="125">
        <f>IF('Quant. mod. (oc)'!F532&lt;0,0,ROUND('Quant. mod. (oc)'!F532,0))</f>
        <v>1</v>
      </c>
      <c r="G532" s="125">
        <f>IF('Quant. mod. (oc)'!G532&lt;0,0,ROUND('Quant. mod. (oc)'!G532,0))</f>
        <v>1</v>
      </c>
      <c r="H532" s="125">
        <f>IF('Quant. mod. (oc)'!H532&lt;0,0,ROUND('Quant. mod. (oc)'!H532,0))</f>
        <v>1</v>
      </c>
      <c r="I532" s="125">
        <f>IF('Quant. mod. (oc)'!I532&lt;0,0,ROUND('Quant. mod. (oc)'!I532,0))</f>
        <v>1</v>
      </c>
      <c r="J532" s="125">
        <f>IF('Quant. mod. (oc)'!J532&lt;0,0,ROUND('Quant. mod. (oc)'!J532,0))</f>
        <v>1</v>
      </c>
      <c r="K532" s="125">
        <f>IF('Quant. mod. (oc)'!K532&lt;0,0,ROUND('Quant. mod. (oc)'!K532,0))</f>
        <v>1</v>
      </c>
      <c r="L532" s="125">
        <f>IF('Quant. mod. (oc)'!L532&lt;0,0,ROUND('Quant. mod. (oc)'!L532,0))</f>
        <v>1</v>
      </c>
      <c r="M532" s="125">
        <f>IF('Quant. mod. (oc)'!M532&lt;0,0,ROUND('Quant. mod. (oc)'!M532,0))</f>
        <v>1</v>
      </c>
      <c r="N532" s="125">
        <f>IF('Quant. mod. (oc)'!N532&lt;0,0,ROUND('Quant. mod. (oc)'!N532,0))</f>
        <v>1</v>
      </c>
      <c r="O532" s="125">
        <f>IF('Quant. mod. (oc)'!O532&lt;0,0,ROUND('Quant. mod. (oc)'!O532,0))</f>
        <v>1</v>
      </c>
      <c r="P532" s="125">
        <f>IF('Quant. mod. (oc)'!P532&lt;0,0,ROUND('Quant. mod. (oc)'!P532,0))</f>
        <v>1</v>
      </c>
      <c r="Q532" s="125">
        <f>IF('Quant. mod. (oc)'!Q532&lt;0,0,ROUND('Quant. mod. (oc)'!Q532,0))</f>
        <v>1</v>
      </c>
      <c r="R532" s="125">
        <f>IF('Quant. mod. (oc)'!R532&lt;0,0,ROUND('Quant. mod. (oc)'!R532,0))</f>
        <v>1</v>
      </c>
      <c r="S532" s="125">
        <f>IF('Quant. mod. (oc)'!S532&lt;0,0,ROUND('Quant. mod. (oc)'!S532,0))</f>
        <v>1</v>
      </c>
      <c r="T532" s="125">
        <f>IF('Quant. mod. (oc)'!T532&lt;0,0,ROUND('Quant. mod. (oc)'!T532,0))</f>
        <v>1</v>
      </c>
      <c r="U532" s="125">
        <f>IF('Quant. mod. (oc)'!U532&lt;0,0,ROUND('Quant. mod. (oc)'!U532,0))</f>
        <v>1</v>
      </c>
      <c r="V532" s="125">
        <f>IF('Quant. mod. (oc)'!V532&lt;0,0,ROUND('Quant. mod. (oc)'!V532,0))</f>
        <v>1</v>
      </c>
      <c r="W532" s="125">
        <f>IF('Quant. mod. (oc)'!W532&lt;0,0,ROUND('Quant. mod. (oc)'!W532,0))</f>
        <v>1</v>
      </c>
      <c r="X532" s="125">
        <f>IF('Quant. mod. (oc)'!X532&lt;0,0,ROUND('Quant. mod. (oc)'!X532,0))</f>
        <v>1</v>
      </c>
      <c r="Y532" s="125">
        <f>IF('Quant. mod. (oc)'!Y532&lt;0,0,ROUND('Quant. mod. (oc)'!Y532,0))</f>
        <v>1</v>
      </c>
      <c r="Z532" s="125">
        <f>IF('Quant. mod. (oc)'!Z532&lt;0,0,ROUND('Quant. mod. (oc)'!Z532,0))</f>
        <v>1</v>
      </c>
      <c r="AA532" s="125">
        <f>IF('Quant. mod. (oc)'!AA532&lt;0,0,ROUND('Quant. mod. (oc)'!AA532,0))</f>
        <v>1</v>
      </c>
      <c r="AB532" s="125">
        <f>IF('Quant. mod. (oc)'!AB532&lt;0,0,ROUND('Quant. mod. (oc)'!AB532,0))</f>
        <v>1</v>
      </c>
      <c r="AC532" s="125">
        <f>IF('Quant. mod. (oc)'!AC532&lt;0,0,ROUND('Quant. mod. (oc)'!AC532,0))</f>
        <v>1</v>
      </c>
      <c r="AD532" s="125">
        <f>IF('Quant. mod. (oc)'!AD532&lt;0,0,ROUND('Quant. mod. (oc)'!AD532,0))</f>
        <v>1</v>
      </c>
      <c r="AE532" s="125">
        <f>IF('Quant. mod. (oc)'!AE532&lt;0,0,ROUND('Quant. mod. (oc)'!AE532,0))</f>
        <v>1</v>
      </c>
      <c r="AF532" s="125">
        <f>IF('Quant. mod. (oc)'!AF532&lt;0,0,ROUND('Quant. mod. (oc)'!AF532,0))</f>
        <v>1</v>
      </c>
      <c r="AG532" s="126">
        <f>IF('Quant. mod. (oc)'!AG532&lt;0,0,ROUND('Quant. mod. (oc)'!AG532,0))</f>
        <v>1</v>
      </c>
      <c r="AH532" s="22"/>
    </row>
    <row r="533" spans="1:34" x14ac:dyDescent="0.25">
      <c r="A533" s="112"/>
      <c r="B533" s="136" t="s">
        <v>153</v>
      </c>
      <c r="C533" s="67" t="s">
        <v>59</v>
      </c>
      <c r="D533" s="125">
        <f>IF('Quant. mod. (oc)'!D533&lt;0,0,ROUND('Quant. mod. (oc)'!D533,0))</f>
        <v>1</v>
      </c>
      <c r="E533" s="125">
        <f>IF('Quant. mod. (oc)'!E533&lt;0,0,ROUND('Quant. mod. (oc)'!E533,0))</f>
        <v>1</v>
      </c>
      <c r="F533" s="125">
        <f>IF('Quant. mod. (oc)'!F533&lt;0,0,ROUND('Quant. mod. (oc)'!F533,0))</f>
        <v>1</v>
      </c>
      <c r="G533" s="125">
        <f>IF('Quant. mod. (oc)'!G533&lt;0,0,ROUND('Quant. mod. (oc)'!G533,0))</f>
        <v>1</v>
      </c>
      <c r="H533" s="125">
        <f>IF('Quant. mod. (oc)'!H533&lt;0,0,ROUND('Quant. mod. (oc)'!H533,0))</f>
        <v>1</v>
      </c>
      <c r="I533" s="125">
        <f>IF('Quant. mod. (oc)'!I533&lt;0,0,ROUND('Quant. mod. (oc)'!I533,0))</f>
        <v>1</v>
      </c>
      <c r="J533" s="125">
        <f>IF('Quant. mod. (oc)'!J533&lt;0,0,ROUND('Quant. mod. (oc)'!J533,0))</f>
        <v>1</v>
      </c>
      <c r="K533" s="125">
        <f>IF('Quant. mod. (oc)'!K533&lt;0,0,ROUND('Quant. mod. (oc)'!K533,0))</f>
        <v>1</v>
      </c>
      <c r="L533" s="125">
        <f>IF('Quant. mod. (oc)'!L533&lt;0,0,ROUND('Quant. mod. (oc)'!L533,0))</f>
        <v>1</v>
      </c>
      <c r="M533" s="125">
        <f>IF('Quant. mod. (oc)'!M533&lt;0,0,ROUND('Quant. mod. (oc)'!M533,0))</f>
        <v>1</v>
      </c>
      <c r="N533" s="125">
        <f>IF('Quant. mod. (oc)'!N533&lt;0,0,ROUND('Quant. mod. (oc)'!N533,0))</f>
        <v>1</v>
      </c>
      <c r="O533" s="125">
        <f>IF('Quant. mod. (oc)'!O533&lt;0,0,ROUND('Quant. mod. (oc)'!O533,0))</f>
        <v>1</v>
      </c>
      <c r="P533" s="125">
        <f>IF('Quant. mod. (oc)'!P533&lt;0,0,ROUND('Quant. mod. (oc)'!P533,0))</f>
        <v>1</v>
      </c>
      <c r="Q533" s="125">
        <f>IF('Quant. mod. (oc)'!Q533&lt;0,0,ROUND('Quant. mod. (oc)'!Q533,0))</f>
        <v>1</v>
      </c>
      <c r="R533" s="125">
        <f>IF('Quant. mod. (oc)'!R533&lt;0,0,ROUND('Quant. mod. (oc)'!R533,0))</f>
        <v>1</v>
      </c>
      <c r="S533" s="125">
        <f>IF('Quant. mod. (oc)'!S533&lt;0,0,ROUND('Quant. mod. (oc)'!S533,0))</f>
        <v>1</v>
      </c>
      <c r="T533" s="125">
        <f>IF('Quant. mod. (oc)'!T533&lt;0,0,ROUND('Quant. mod. (oc)'!T533,0))</f>
        <v>1</v>
      </c>
      <c r="U533" s="125">
        <f>IF('Quant. mod. (oc)'!U533&lt;0,0,ROUND('Quant. mod. (oc)'!U533,0))</f>
        <v>1</v>
      </c>
      <c r="V533" s="125">
        <f>IF('Quant. mod. (oc)'!V533&lt;0,0,ROUND('Quant. mod. (oc)'!V533,0))</f>
        <v>1</v>
      </c>
      <c r="W533" s="125">
        <f>IF('Quant. mod. (oc)'!W533&lt;0,0,ROUND('Quant. mod. (oc)'!W533,0))</f>
        <v>1</v>
      </c>
      <c r="X533" s="125">
        <f>IF('Quant. mod. (oc)'!X533&lt;0,0,ROUND('Quant. mod. (oc)'!X533,0))</f>
        <v>1</v>
      </c>
      <c r="Y533" s="125">
        <f>IF('Quant. mod. (oc)'!Y533&lt;0,0,ROUND('Quant. mod. (oc)'!Y533,0))</f>
        <v>1</v>
      </c>
      <c r="Z533" s="125">
        <f>IF('Quant. mod. (oc)'!Z533&lt;0,0,ROUND('Quant. mod. (oc)'!Z533,0))</f>
        <v>1</v>
      </c>
      <c r="AA533" s="125">
        <f>IF('Quant. mod. (oc)'!AA533&lt;0,0,ROUND('Quant. mod. (oc)'!AA533,0))</f>
        <v>1</v>
      </c>
      <c r="AB533" s="125">
        <f>IF('Quant. mod. (oc)'!AB533&lt;0,0,ROUND('Quant. mod. (oc)'!AB533,0))</f>
        <v>1</v>
      </c>
      <c r="AC533" s="125">
        <f>IF('Quant. mod. (oc)'!AC533&lt;0,0,ROUND('Quant. mod. (oc)'!AC533,0))</f>
        <v>1</v>
      </c>
      <c r="AD533" s="125">
        <f>IF('Quant. mod. (oc)'!AD533&lt;0,0,ROUND('Quant. mod. (oc)'!AD533,0))</f>
        <v>1</v>
      </c>
      <c r="AE533" s="125">
        <f>IF('Quant. mod. (oc)'!AE533&lt;0,0,ROUND('Quant. mod. (oc)'!AE533,0))</f>
        <v>1</v>
      </c>
      <c r="AF533" s="125">
        <f>IF('Quant. mod. (oc)'!AF533&lt;0,0,ROUND('Quant. mod. (oc)'!AF533,0))</f>
        <v>1</v>
      </c>
      <c r="AG533" s="126">
        <f>IF('Quant. mod. (oc)'!AG533&lt;0,0,ROUND('Quant. mod. (oc)'!AG533,0))</f>
        <v>1</v>
      </c>
      <c r="AH533" s="22"/>
    </row>
    <row r="534" spans="1:34" x14ac:dyDescent="0.25">
      <c r="A534" s="112"/>
      <c r="B534" s="136" t="s">
        <v>167</v>
      </c>
      <c r="C534" s="67" t="s">
        <v>59</v>
      </c>
      <c r="D534" s="125">
        <f>IF('Quant. mod. (oc)'!D534&lt;0,0,ROUND('Quant. mod. (oc)'!D534,0))</f>
        <v>1</v>
      </c>
      <c r="E534" s="125">
        <f>IF('Quant. mod. (oc)'!E534&lt;0,0,ROUND('Quant. mod. (oc)'!E534,0))</f>
        <v>1</v>
      </c>
      <c r="F534" s="125">
        <f>IF('Quant. mod. (oc)'!F534&lt;0,0,ROUND('Quant. mod. (oc)'!F534,0))</f>
        <v>1</v>
      </c>
      <c r="G534" s="125">
        <f>IF('Quant. mod. (oc)'!G534&lt;0,0,ROUND('Quant. mod. (oc)'!G534,0))</f>
        <v>1</v>
      </c>
      <c r="H534" s="125">
        <f>IF('Quant. mod. (oc)'!H534&lt;0,0,ROUND('Quant. mod. (oc)'!H534,0))</f>
        <v>1</v>
      </c>
      <c r="I534" s="125">
        <f>IF('Quant. mod. (oc)'!I534&lt;0,0,ROUND('Quant. mod. (oc)'!I534,0))</f>
        <v>1</v>
      </c>
      <c r="J534" s="125">
        <f>IF('Quant. mod. (oc)'!J534&lt;0,0,ROUND('Quant. mod. (oc)'!J534,0))</f>
        <v>1</v>
      </c>
      <c r="K534" s="125">
        <f>IF('Quant. mod. (oc)'!K534&lt;0,0,ROUND('Quant. mod. (oc)'!K534,0))</f>
        <v>1</v>
      </c>
      <c r="L534" s="125">
        <f>IF('Quant. mod. (oc)'!L534&lt;0,0,ROUND('Quant. mod. (oc)'!L534,0))</f>
        <v>1</v>
      </c>
      <c r="M534" s="125">
        <f>IF('Quant. mod. (oc)'!M534&lt;0,0,ROUND('Quant. mod. (oc)'!M534,0))</f>
        <v>1</v>
      </c>
      <c r="N534" s="125">
        <f>IF('Quant. mod. (oc)'!N534&lt;0,0,ROUND('Quant. mod. (oc)'!N534,0))</f>
        <v>1</v>
      </c>
      <c r="O534" s="125">
        <f>IF('Quant. mod. (oc)'!O534&lt;0,0,ROUND('Quant. mod. (oc)'!O534,0))</f>
        <v>1</v>
      </c>
      <c r="P534" s="125">
        <f>IF('Quant. mod. (oc)'!P534&lt;0,0,ROUND('Quant. mod. (oc)'!P534,0))</f>
        <v>1</v>
      </c>
      <c r="Q534" s="125">
        <f>IF('Quant. mod. (oc)'!Q534&lt;0,0,ROUND('Quant. mod. (oc)'!Q534,0))</f>
        <v>1</v>
      </c>
      <c r="R534" s="125">
        <f>IF('Quant. mod. (oc)'!R534&lt;0,0,ROUND('Quant. mod. (oc)'!R534,0))</f>
        <v>1</v>
      </c>
      <c r="S534" s="125">
        <f>IF('Quant. mod. (oc)'!S534&lt;0,0,ROUND('Quant. mod. (oc)'!S534,0))</f>
        <v>1</v>
      </c>
      <c r="T534" s="125">
        <f>IF('Quant. mod. (oc)'!T534&lt;0,0,ROUND('Quant. mod. (oc)'!T534,0))</f>
        <v>1</v>
      </c>
      <c r="U534" s="125">
        <f>IF('Quant. mod. (oc)'!U534&lt;0,0,ROUND('Quant. mod. (oc)'!U534,0))</f>
        <v>1</v>
      </c>
      <c r="V534" s="125">
        <f>IF('Quant. mod. (oc)'!V534&lt;0,0,ROUND('Quant. mod. (oc)'!V534,0))</f>
        <v>1</v>
      </c>
      <c r="W534" s="125">
        <f>IF('Quant. mod. (oc)'!W534&lt;0,0,ROUND('Quant. mod. (oc)'!W534,0))</f>
        <v>1</v>
      </c>
      <c r="X534" s="125">
        <f>IF('Quant. mod. (oc)'!X534&lt;0,0,ROUND('Quant. mod. (oc)'!X534,0))</f>
        <v>1</v>
      </c>
      <c r="Y534" s="125">
        <f>IF('Quant. mod. (oc)'!Y534&lt;0,0,ROUND('Quant. mod. (oc)'!Y534,0))</f>
        <v>1</v>
      </c>
      <c r="Z534" s="125">
        <f>IF('Quant. mod. (oc)'!Z534&lt;0,0,ROUND('Quant. mod. (oc)'!Z534,0))</f>
        <v>1</v>
      </c>
      <c r="AA534" s="125">
        <f>IF('Quant. mod. (oc)'!AA534&lt;0,0,ROUND('Quant. mod. (oc)'!AA534,0))</f>
        <v>1</v>
      </c>
      <c r="AB534" s="125">
        <f>IF('Quant. mod. (oc)'!AB534&lt;0,0,ROUND('Quant. mod. (oc)'!AB534,0))</f>
        <v>1</v>
      </c>
      <c r="AC534" s="125">
        <f>IF('Quant. mod. (oc)'!AC534&lt;0,0,ROUND('Quant. mod. (oc)'!AC534,0))</f>
        <v>1</v>
      </c>
      <c r="AD534" s="125">
        <f>IF('Quant. mod. (oc)'!AD534&lt;0,0,ROUND('Quant. mod. (oc)'!AD534,0))</f>
        <v>1</v>
      </c>
      <c r="AE534" s="125">
        <f>IF('Quant. mod. (oc)'!AE534&lt;0,0,ROUND('Quant. mod. (oc)'!AE534,0))</f>
        <v>1</v>
      </c>
      <c r="AF534" s="125">
        <f>IF('Quant. mod. (oc)'!AF534&lt;0,0,ROUND('Quant. mod. (oc)'!AF534,0))</f>
        <v>1</v>
      </c>
      <c r="AG534" s="126">
        <f>IF('Quant. mod. (oc)'!AG534&lt;0,0,ROUND('Quant. mod. (oc)'!AG534,0))</f>
        <v>1</v>
      </c>
      <c r="AH534" s="22"/>
    </row>
    <row r="535" spans="1:34" x14ac:dyDescent="0.25">
      <c r="A535" s="112"/>
      <c r="B535" s="136" t="s">
        <v>168</v>
      </c>
      <c r="C535" s="67" t="s">
        <v>59</v>
      </c>
      <c r="D535" s="125">
        <f>IF('Quant. mod. (oc)'!D535&lt;0,0,ROUND('Quant. mod. (oc)'!D535,0))</f>
        <v>1</v>
      </c>
      <c r="E535" s="125">
        <f>IF('Quant. mod. (oc)'!E535&lt;0,0,ROUND('Quant. mod. (oc)'!E535,0))</f>
        <v>1</v>
      </c>
      <c r="F535" s="125">
        <f>IF('Quant. mod. (oc)'!F535&lt;0,0,ROUND('Quant. mod. (oc)'!F535,0))</f>
        <v>1</v>
      </c>
      <c r="G535" s="125">
        <f>IF('Quant. mod. (oc)'!G535&lt;0,0,ROUND('Quant. mod. (oc)'!G535,0))</f>
        <v>1</v>
      </c>
      <c r="H535" s="125">
        <f>IF('Quant. mod. (oc)'!H535&lt;0,0,ROUND('Quant. mod. (oc)'!H535,0))</f>
        <v>1</v>
      </c>
      <c r="I535" s="125">
        <f>IF('Quant. mod. (oc)'!I535&lt;0,0,ROUND('Quant. mod. (oc)'!I535,0))</f>
        <v>1</v>
      </c>
      <c r="J535" s="125">
        <f>IF('Quant. mod. (oc)'!J535&lt;0,0,ROUND('Quant. mod. (oc)'!J535,0))</f>
        <v>1</v>
      </c>
      <c r="K535" s="125">
        <f>IF('Quant. mod. (oc)'!K535&lt;0,0,ROUND('Quant. mod. (oc)'!K535,0))</f>
        <v>1</v>
      </c>
      <c r="L535" s="125">
        <f>IF('Quant. mod. (oc)'!L535&lt;0,0,ROUND('Quant. mod. (oc)'!L535,0))</f>
        <v>1</v>
      </c>
      <c r="M535" s="125">
        <f>IF('Quant. mod. (oc)'!M535&lt;0,0,ROUND('Quant. mod. (oc)'!M535,0))</f>
        <v>1</v>
      </c>
      <c r="N535" s="125">
        <f>IF('Quant. mod. (oc)'!N535&lt;0,0,ROUND('Quant. mod. (oc)'!N535,0))</f>
        <v>1</v>
      </c>
      <c r="O535" s="125">
        <f>IF('Quant. mod. (oc)'!O535&lt;0,0,ROUND('Quant. mod. (oc)'!O535,0))</f>
        <v>1</v>
      </c>
      <c r="P535" s="125">
        <f>IF('Quant. mod. (oc)'!P535&lt;0,0,ROUND('Quant. mod. (oc)'!P535,0))</f>
        <v>1</v>
      </c>
      <c r="Q535" s="125">
        <f>IF('Quant. mod. (oc)'!Q535&lt;0,0,ROUND('Quant. mod. (oc)'!Q535,0))</f>
        <v>1</v>
      </c>
      <c r="R535" s="125">
        <f>IF('Quant. mod. (oc)'!R535&lt;0,0,ROUND('Quant. mod. (oc)'!R535,0))</f>
        <v>1</v>
      </c>
      <c r="S535" s="125">
        <f>IF('Quant. mod. (oc)'!S535&lt;0,0,ROUND('Quant. mod. (oc)'!S535,0))</f>
        <v>1</v>
      </c>
      <c r="T535" s="125">
        <f>IF('Quant. mod. (oc)'!T535&lt;0,0,ROUND('Quant. mod. (oc)'!T535,0))</f>
        <v>1</v>
      </c>
      <c r="U535" s="125">
        <f>IF('Quant. mod. (oc)'!U535&lt;0,0,ROUND('Quant. mod. (oc)'!U535,0))</f>
        <v>1</v>
      </c>
      <c r="V535" s="125">
        <f>IF('Quant. mod. (oc)'!V535&lt;0,0,ROUND('Quant. mod. (oc)'!V535,0))</f>
        <v>1</v>
      </c>
      <c r="W535" s="125">
        <f>IF('Quant. mod. (oc)'!W535&lt;0,0,ROUND('Quant. mod. (oc)'!W535,0))</f>
        <v>1</v>
      </c>
      <c r="X535" s="125">
        <f>IF('Quant. mod. (oc)'!X535&lt;0,0,ROUND('Quant. mod. (oc)'!X535,0))</f>
        <v>1</v>
      </c>
      <c r="Y535" s="125">
        <f>IF('Quant. mod. (oc)'!Y535&lt;0,0,ROUND('Quant. mod. (oc)'!Y535,0))</f>
        <v>1</v>
      </c>
      <c r="Z535" s="125">
        <f>IF('Quant. mod. (oc)'!Z535&lt;0,0,ROUND('Quant. mod. (oc)'!Z535,0))</f>
        <v>1</v>
      </c>
      <c r="AA535" s="125">
        <f>IF('Quant. mod. (oc)'!AA535&lt;0,0,ROUND('Quant. mod. (oc)'!AA535,0))</f>
        <v>1</v>
      </c>
      <c r="AB535" s="125">
        <f>IF('Quant. mod. (oc)'!AB535&lt;0,0,ROUND('Quant. mod. (oc)'!AB535,0))</f>
        <v>1</v>
      </c>
      <c r="AC535" s="125">
        <f>IF('Quant. mod. (oc)'!AC535&lt;0,0,ROUND('Quant. mod. (oc)'!AC535,0))</f>
        <v>1</v>
      </c>
      <c r="AD535" s="125">
        <f>IF('Quant. mod. (oc)'!AD535&lt;0,0,ROUND('Quant. mod. (oc)'!AD535,0))</f>
        <v>1</v>
      </c>
      <c r="AE535" s="125">
        <f>IF('Quant. mod. (oc)'!AE535&lt;0,0,ROUND('Quant. mod. (oc)'!AE535,0))</f>
        <v>1</v>
      </c>
      <c r="AF535" s="125">
        <f>IF('Quant. mod. (oc)'!AF535&lt;0,0,ROUND('Quant. mod. (oc)'!AF535,0))</f>
        <v>1</v>
      </c>
      <c r="AG535" s="126">
        <f>IF('Quant. mod. (oc)'!AG535&lt;0,0,ROUND('Quant. mod. (oc)'!AG535,0))</f>
        <v>1</v>
      </c>
      <c r="AH535" s="22"/>
    </row>
    <row r="536" spans="1:34" x14ac:dyDescent="0.25">
      <c r="A536" s="112"/>
      <c r="B536" s="136" t="s">
        <v>169</v>
      </c>
      <c r="C536" s="67" t="s">
        <v>59</v>
      </c>
      <c r="D536" s="125">
        <f>IF('Quant. mod. (oc)'!D536&lt;0,0,ROUND('Quant. mod. (oc)'!D536,0))</f>
        <v>1</v>
      </c>
      <c r="E536" s="125">
        <f>IF('Quant. mod. (oc)'!E536&lt;0,0,ROUND('Quant. mod. (oc)'!E536,0))</f>
        <v>1</v>
      </c>
      <c r="F536" s="125">
        <f>IF('Quant. mod. (oc)'!F536&lt;0,0,ROUND('Quant. mod. (oc)'!F536,0))</f>
        <v>1</v>
      </c>
      <c r="G536" s="125">
        <f>IF('Quant. mod. (oc)'!G536&lt;0,0,ROUND('Quant. mod. (oc)'!G536,0))</f>
        <v>1</v>
      </c>
      <c r="H536" s="125">
        <f>IF('Quant. mod. (oc)'!H536&lt;0,0,ROUND('Quant. mod. (oc)'!H536,0))</f>
        <v>1</v>
      </c>
      <c r="I536" s="125">
        <f>IF('Quant. mod. (oc)'!I536&lt;0,0,ROUND('Quant. mod. (oc)'!I536,0))</f>
        <v>1</v>
      </c>
      <c r="J536" s="125">
        <f>IF('Quant. mod. (oc)'!J536&lt;0,0,ROUND('Quant. mod. (oc)'!J536,0))</f>
        <v>1</v>
      </c>
      <c r="K536" s="125">
        <f>IF('Quant. mod. (oc)'!K536&lt;0,0,ROUND('Quant. mod. (oc)'!K536,0))</f>
        <v>1</v>
      </c>
      <c r="L536" s="125">
        <f>IF('Quant. mod. (oc)'!L536&lt;0,0,ROUND('Quant. mod. (oc)'!L536,0))</f>
        <v>1</v>
      </c>
      <c r="M536" s="125">
        <f>IF('Quant. mod. (oc)'!M536&lt;0,0,ROUND('Quant. mod. (oc)'!M536,0))</f>
        <v>1</v>
      </c>
      <c r="N536" s="125">
        <f>IF('Quant. mod. (oc)'!N536&lt;0,0,ROUND('Quant. mod. (oc)'!N536,0))</f>
        <v>1</v>
      </c>
      <c r="O536" s="125">
        <f>IF('Quant. mod. (oc)'!O536&lt;0,0,ROUND('Quant. mod. (oc)'!O536,0))</f>
        <v>1</v>
      </c>
      <c r="P536" s="125">
        <f>IF('Quant. mod. (oc)'!P536&lt;0,0,ROUND('Quant. mod. (oc)'!P536,0))</f>
        <v>1</v>
      </c>
      <c r="Q536" s="125">
        <f>IF('Quant. mod. (oc)'!Q536&lt;0,0,ROUND('Quant. mod. (oc)'!Q536,0))</f>
        <v>1</v>
      </c>
      <c r="R536" s="125">
        <f>IF('Quant. mod. (oc)'!R536&lt;0,0,ROUND('Quant. mod. (oc)'!R536,0))</f>
        <v>1</v>
      </c>
      <c r="S536" s="125">
        <f>IF('Quant. mod. (oc)'!S536&lt;0,0,ROUND('Quant. mod. (oc)'!S536,0))</f>
        <v>1</v>
      </c>
      <c r="T536" s="125">
        <f>IF('Quant. mod. (oc)'!T536&lt;0,0,ROUND('Quant. mod. (oc)'!T536,0))</f>
        <v>1</v>
      </c>
      <c r="U536" s="125">
        <f>IF('Quant. mod. (oc)'!U536&lt;0,0,ROUND('Quant. mod. (oc)'!U536,0))</f>
        <v>1</v>
      </c>
      <c r="V536" s="125">
        <f>IF('Quant. mod. (oc)'!V536&lt;0,0,ROUND('Quant. mod. (oc)'!V536,0))</f>
        <v>1</v>
      </c>
      <c r="W536" s="125">
        <f>IF('Quant. mod. (oc)'!W536&lt;0,0,ROUND('Quant. mod. (oc)'!W536,0))</f>
        <v>1</v>
      </c>
      <c r="X536" s="125">
        <f>IF('Quant. mod. (oc)'!X536&lt;0,0,ROUND('Quant. mod. (oc)'!X536,0))</f>
        <v>1</v>
      </c>
      <c r="Y536" s="125">
        <f>IF('Quant. mod. (oc)'!Y536&lt;0,0,ROUND('Quant. mod. (oc)'!Y536,0))</f>
        <v>1</v>
      </c>
      <c r="Z536" s="125">
        <f>IF('Quant. mod. (oc)'!Z536&lt;0,0,ROUND('Quant. mod. (oc)'!Z536,0))</f>
        <v>1</v>
      </c>
      <c r="AA536" s="125">
        <f>IF('Quant. mod. (oc)'!AA536&lt;0,0,ROUND('Quant. mod. (oc)'!AA536,0))</f>
        <v>1</v>
      </c>
      <c r="AB536" s="125">
        <f>IF('Quant. mod. (oc)'!AB536&lt;0,0,ROUND('Quant. mod. (oc)'!AB536,0))</f>
        <v>1</v>
      </c>
      <c r="AC536" s="125">
        <f>IF('Quant. mod. (oc)'!AC536&lt;0,0,ROUND('Quant. mod. (oc)'!AC536,0))</f>
        <v>1</v>
      </c>
      <c r="AD536" s="125">
        <f>IF('Quant. mod. (oc)'!AD536&lt;0,0,ROUND('Quant. mod. (oc)'!AD536,0))</f>
        <v>1</v>
      </c>
      <c r="AE536" s="125">
        <f>IF('Quant. mod. (oc)'!AE536&lt;0,0,ROUND('Quant. mod. (oc)'!AE536,0))</f>
        <v>1</v>
      </c>
      <c r="AF536" s="125">
        <f>IF('Quant. mod. (oc)'!AF536&lt;0,0,ROUND('Quant. mod. (oc)'!AF536,0))</f>
        <v>1</v>
      </c>
      <c r="AG536" s="126">
        <f>IF('Quant. mod. (oc)'!AG536&lt;0,0,ROUND('Quant. mod. (oc)'!AG536,0))</f>
        <v>1</v>
      </c>
      <c r="AH536" s="22"/>
    </row>
    <row r="537" spans="1:34" x14ac:dyDescent="0.25">
      <c r="A537" s="112"/>
      <c r="B537" s="136" t="s">
        <v>170</v>
      </c>
      <c r="C537" s="67" t="s">
        <v>59</v>
      </c>
      <c r="D537" s="125">
        <f>IF('Quant. mod. (oc)'!D537&lt;0,0,ROUND('Quant. mod. (oc)'!D537,0))</f>
        <v>1</v>
      </c>
      <c r="E537" s="125">
        <f>IF('Quant. mod. (oc)'!E537&lt;0,0,ROUND('Quant. mod. (oc)'!E537,0))</f>
        <v>1</v>
      </c>
      <c r="F537" s="125">
        <f>IF('Quant. mod. (oc)'!F537&lt;0,0,ROUND('Quant. mod. (oc)'!F537,0))</f>
        <v>1</v>
      </c>
      <c r="G537" s="125">
        <f>IF('Quant. mod. (oc)'!G537&lt;0,0,ROUND('Quant. mod. (oc)'!G537,0))</f>
        <v>1</v>
      </c>
      <c r="H537" s="125">
        <f>IF('Quant. mod. (oc)'!H537&lt;0,0,ROUND('Quant. mod. (oc)'!H537,0))</f>
        <v>1</v>
      </c>
      <c r="I537" s="125">
        <f>IF('Quant. mod. (oc)'!I537&lt;0,0,ROUND('Quant. mod. (oc)'!I537,0))</f>
        <v>1</v>
      </c>
      <c r="J537" s="125">
        <f>IF('Quant. mod. (oc)'!J537&lt;0,0,ROUND('Quant. mod. (oc)'!J537,0))</f>
        <v>1</v>
      </c>
      <c r="K537" s="125">
        <f>IF('Quant. mod. (oc)'!K537&lt;0,0,ROUND('Quant. mod. (oc)'!K537,0))</f>
        <v>1</v>
      </c>
      <c r="L537" s="125">
        <f>IF('Quant. mod. (oc)'!L537&lt;0,0,ROUND('Quant. mod. (oc)'!L537,0))</f>
        <v>1</v>
      </c>
      <c r="M537" s="125">
        <f>IF('Quant. mod. (oc)'!M537&lt;0,0,ROUND('Quant. mod. (oc)'!M537,0))</f>
        <v>1</v>
      </c>
      <c r="N537" s="125">
        <f>IF('Quant. mod. (oc)'!N537&lt;0,0,ROUND('Quant. mod. (oc)'!N537,0))</f>
        <v>1</v>
      </c>
      <c r="O537" s="125">
        <f>IF('Quant. mod. (oc)'!O537&lt;0,0,ROUND('Quant. mod. (oc)'!O537,0))</f>
        <v>1</v>
      </c>
      <c r="P537" s="125">
        <f>IF('Quant. mod. (oc)'!P537&lt;0,0,ROUND('Quant. mod. (oc)'!P537,0))</f>
        <v>1</v>
      </c>
      <c r="Q537" s="125">
        <f>IF('Quant. mod. (oc)'!Q537&lt;0,0,ROUND('Quant. mod. (oc)'!Q537,0))</f>
        <v>1</v>
      </c>
      <c r="R537" s="125">
        <f>IF('Quant. mod. (oc)'!R537&lt;0,0,ROUND('Quant. mod. (oc)'!R537,0))</f>
        <v>1</v>
      </c>
      <c r="S537" s="125">
        <f>IF('Quant. mod. (oc)'!S537&lt;0,0,ROUND('Quant. mod. (oc)'!S537,0))</f>
        <v>1</v>
      </c>
      <c r="T537" s="125">
        <f>IF('Quant. mod. (oc)'!T537&lt;0,0,ROUND('Quant. mod. (oc)'!T537,0))</f>
        <v>1</v>
      </c>
      <c r="U537" s="125">
        <f>IF('Quant. mod. (oc)'!U537&lt;0,0,ROUND('Quant. mod. (oc)'!U537,0))</f>
        <v>1</v>
      </c>
      <c r="V537" s="125">
        <f>IF('Quant. mod. (oc)'!V537&lt;0,0,ROUND('Quant. mod. (oc)'!V537,0))</f>
        <v>1</v>
      </c>
      <c r="W537" s="125">
        <f>IF('Quant. mod. (oc)'!W537&lt;0,0,ROUND('Quant. mod. (oc)'!W537,0))</f>
        <v>1</v>
      </c>
      <c r="X537" s="125">
        <f>IF('Quant. mod. (oc)'!X537&lt;0,0,ROUND('Quant. mod. (oc)'!X537,0))</f>
        <v>1</v>
      </c>
      <c r="Y537" s="125">
        <f>IF('Quant. mod. (oc)'!Y537&lt;0,0,ROUND('Quant. mod. (oc)'!Y537,0))</f>
        <v>1</v>
      </c>
      <c r="Z537" s="125">
        <f>IF('Quant. mod. (oc)'!Z537&lt;0,0,ROUND('Quant. mod. (oc)'!Z537,0))</f>
        <v>1</v>
      </c>
      <c r="AA537" s="125">
        <f>IF('Quant. mod. (oc)'!AA537&lt;0,0,ROUND('Quant. mod. (oc)'!AA537,0))</f>
        <v>1</v>
      </c>
      <c r="AB537" s="125">
        <f>IF('Quant. mod. (oc)'!AB537&lt;0,0,ROUND('Quant. mod. (oc)'!AB537,0))</f>
        <v>1</v>
      </c>
      <c r="AC537" s="125">
        <f>IF('Quant. mod. (oc)'!AC537&lt;0,0,ROUND('Quant. mod. (oc)'!AC537,0))</f>
        <v>1</v>
      </c>
      <c r="AD537" s="125">
        <f>IF('Quant. mod. (oc)'!AD537&lt;0,0,ROUND('Quant. mod. (oc)'!AD537,0))</f>
        <v>1</v>
      </c>
      <c r="AE537" s="125">
        <f>IF('Quant. mod. (oc)'!AE537&lt;0,0,ROUND('Quant. mod. (oc)'!AE537,0))</f>
        <v>1</v>
      </c>
      <c r="AF537" s="125">
        <f>IF('Quant. mod. (oc)'!AF537&lt;0,0,ROUND('Quant. mod. (oc)'!AF537,0))</f>
        <v>1</v>
      </c>
      <c r="AG537" s="126">
        <f>IF('Quant. mod. (oc)'!AG537&lt;0,0,ROUND('Quant. mod. (oc)'!AG537,0))</f>
        <v>1</v>
      </c>
      <c r="AH537" s="22"/>
    </row>
    <row r="538" spans="1:34" x14ac:dyDescent="0.25">
      <c r="A538" s="112"/>
      <c r="B538" s="136" t="s">
        <v>171</v>
      </c>
      <c r="C538" s="67" t="s">
        <v>59</v>
      </c>
      <c r="D538" s="125">
        <f>IF('Quant. mod. (oc)'!D538&lt;0,0,ROUND('Quant. mod. (oc)'!D538,0))</f>
        <v>1</v>
      </c>
      <c r="E538" s="125">
        <f>IF('Quant. mod. (oc)'!E538&lt;0,0,ROUND('Quant. mod. (oc)'!E538,0))</f>
        <v>1</v>
      </c>
      <c r="F538" s="125">
        <f>IF('Quant. mod. (oc)'!F538&lt;0,0,ROUND('Quant. mod. (oc)'!F538,0))</f>
        <v>1</v>
      </c>
      <c r="G538" s="125">
        <f>IF('Quant. mod. (oc)'!G538&lt;0,0,ROUND('Quant. mod. (oc)'!G538,0))</f>
        <v>1</v>
      </c>
      <c r="H538" s="125">
        <f>IF('Quant. mod. (oc)'!H538&lt;0,0,ROUND('Quant. mod. (oc)'!H538,0))</f>
        <v>1</v>
      </c>
      <c r="I538" s="125">
        <f>IF('Quant. mod. (oc)'!I538&lt;0,0,ROUND('Quant. mod. (oc)'!I538,0))</f>
        <v>1</v>
      </c>
      <c r="J538" s="125">
        <f>IF('Quant. mod. (oc)'!J538&lt;0,0,ROUND('Quant. mod. (oc)'!J538,0))</f>
        <v>1</v>
      </c>
      <c r="K538" s="125">
        <f>IF('Quant. mod. (oc)'!K538&lt;0,0,ROUND('Quant. mod. (oc)'!K538,0))</f>
        <v>1</v>
      </c>
      <c r="L538" s="125">
        <f>IF('Quant. mod. (oc)'!L538&lt;0,0,ROUND('Quant. mod. (oc)'!L538,0))</f>
        <v>1</v>
      </c>
      <c r="M538" s="125">
        <f>IF('Quant. mod. (oc)'!M538&lt;0,0,ROUND('Quant. mod. (oc)'!M538,0))</f>
        <v>1</v>
      </c>
      <c r="N538" s="125">
        <f>IF('Quant. mod. (oc)'!N538&lt;0,0,ROUND('Quant. mod. (oc)'!N538,0))</f>
        <v>1</v>
      </c>
      <c r="O538" s="125">
        <f>IF('Quant. mod. (oc)'!O538&lt;0,0,ROUND('Quant. mod. (oc)'!O538,0))</f>
        <v>1</v>
      </c>
      <c r="P538" s="125">
        <f>IF('Quant. mod. (oc)'!P538&lt;0,0,ROUND('Quant. mod. (oc)'!P538,0))</f>
        <v>1</v>
      </c>
      <c r="Q538" s="125">
        <f>IF('Quant. mod. (oc)'!Q538&lt;0,0,ROUND('Quant. mod. (oc)'!Q538,0))</f>
        <v>1</v>
      </c>
      <c r="R538" s="125">
        <f>IF('Quant. mod. (oc)'!R538&lt;0,0,ROUND('Quant. mod. (oc)'!R538,0))</f>
        <v>1</v>
      </c>
      <c r="S538" s="125">
        <f>IF('Quant. mod. (oc)'!S538&lt;0,0,ROUND('Quant. mod. (oc)'!S538,0))</f>
        <v>1</v>
      </c>
      <c r="T538" s="125">
        <f>IF('Quant. mod. (oc)'!T538&lt;0,0,ROUND('Quant. mod. (oc)'!T538,0))</f>
        <v>1</v>
      </c>
      <c r="U538" s="125">
        <f>IF('Quant. mod. (oc)'!U538&lt;0,0,ROUND('Quant. mod. (oc)'!U538,0))</f>
        <v>1</v>
      </c>
      <c r="V538" s="125">
        <f>IF('Quant. mod. (oc)'!V538&lt;0,0,ROUND('Quant. mod. (oc)'!V538,0))</f>
        <v>1</v>
      </c>
      <c r="W538" s="125">
        <f>IF('Quant. mod. (oc)'!W538&lt;0,0,ROUND('Quant. mod. (oc)'!W538,0))</f>
        <v>1</v>
      </c>
      <c r="X538" s="125">
        <f>IF('Quant. mod. (oc)'!X538&lt;0,0,ROUND('Quant. mod. (oc)'!X538,0))</f>
        <v>1</v>
      </c>
      <c r="Y538" s="125">
        <f>IF('Quant. mod. (oc)'!Y538&lt;0,0,ROUND('Quant. mod. (oc)'!Y538,0))</f>
        <v>1</v>
      </c>
      <c r="Z538" s="125">
        <f>IF('Quant. mod. (oc)'!Z538&lt;0,0,ROUND('Quant. mod. (oc)'!Z538,0))</f>
        <v>1</v>
      </c>
      <c r="AA538" s="125">
        <f>IF('Quant. mod. (oc)'!AA538&lt;0,0,ROUND('Quant. mod. (oc)'!AA538,0))</f>
        <v>1</v>
      </c>
      <c r="AB538" s="125">
        <f>IF('Quant. mod. (oc)'!AB538&lt;0,0,ROUND('Quant. mod. (oc)'!AB538,0))</f>
        <v>1</v>
      </c>
      <c r="AC538" s="125">
        <f>IF('Quant. mod. (oc)'!AC538&lt;0,0,ROUND('Quant. mod. (oc)'!AC538,0))</f>
        <v>1</v>
      </c>
      <c r="AD538" s="125">
        <f>IF('Quant. mod. (oc)'!AD538&lt;0,0,ROUND('Quant. mod. (oc)'!AD538,0))</f>
        <v>1</v>
      </c>
      <c r="AE538" s="125">
        <f>IF('Quant. mod. (oc)'!AE538&lt;0,0,ROUND('Quant. mod. (oc)'!AE538,0))</f>
        <v>1</v>
      </c>
      <c r="AF538" s="125">
        <f>IF('Quant. mod. (oc)'!AF538&lt;0,0,ROUND('Quant. mod. (oc)'!AF538,0))</f>
        <v>1</v>
      </c>
      <c r="AG538" s="126">
        <f>IF('Quant. mod. (oc)'!AG538&lt;0,0,ROUND('Quant. mod. (oc)'!AG538,0))</f>
        <v>1</v>
      </c>
      <c r="AH538" s="22"/>
    </row>
    <row r="539" spans="1:34" x14ac:dyDescent="0.25">
      <c r="A539" s="112"/>
      <c r="B539" s="136" t="s">
        <v>172</v>
      </c>
      <c r="C539" s="67" t="s">
        <v>59</v>
      </c>
      <c r="D539" s="125">
        <f>IF('Quant. mod. (oc)'!D539&lt;0,0,ROUND('Quant. mod. (oc)'!D539,0))</f>
        <v>2</v>
      </c>
      <c r="E539" s="125">
        <f>IF('Quant. mod. (oc)'!E539&lt;0,0,ROUND('Quant. mod. (oc)'!E539,0))</f>
        <v>2</v>
      </c>
      <c r="F539" s="125">
        <f>IF('Quant. mod. (oc)'!F539&lt;0,0,ROUND('Quant. mod. (oc)'!F539,0))</f>
        <v>2</v>
      </c>
      <c r="G539" s="125">
        <f>IF('Quant. mod. (oc)'!G539&lt;0,0,ROUND('Quant. mod. (oc)'!G539,0))</f>
        <v>2</v>
      </c>
      <c r="H539" s="125">
        <f>IF('Quant. mod. (oc)'!H539&lt;0,0,ROUND('Quant. mod. (oc)'!H539,0))</f>
        <v>2</v>
      </c>
      <c r="I539" s="125">
        <f>IF('Quant. mod. (oc)'!I539&lt;0,0,ROUND('Quant. mod. (oc)'!I539,0))</f>
        <v>2</v>
      </c>
      <c r="J539" s="125">
        <f>IF('Quant. mod. (oc)'!J539&lt;0,0,ROUND('Quant. mod. (oc)'!J539,0))</f>
        <v>2</v>
      </c>
      <c r="K539" s="125">
        <f>IF('Quant. mod. (oc)'!K539&lt;0,0,ROUND('Quant. mod. (oc)'!K539,0))</f>
        <v>2</v>
      </c>
      <c r="L539" s="125">
        <f>IF('Quant. mod. (oc)'!L539&lt;0,0,ROUND('Quant. mod. (oc)'!L539,0))</f>
        <v>2</v>
      </c>
      <c r="M539" s="125">
        <f>IF('Quant. mod. (oc)'!M539&lt;0,0,ROUND('Quant. mod. (oc)'!M539,0))</f>
        <v>2</v>
      </c>
      <c r="N539" s="125">
        <f>IF('Quant. mod. (oc)'!N539&lt;0,0,ROUND('Quant. mod. (oc)'!N539,0))</f>
        <v>2</v>
      </c>
      <c r="O539" s="125">
        <f>IF('Quant. mod. (oc)'!O539&lt;0,0,ROUND('Quant. mod. (oc)'!O539,0))</f>
        <v>2</v>
      </c>
      <c r="P539" s="125">
        <f>IF('Quant. mod. (oc)'!P539&lt;0,0,ROUND('Quant. mod. (oc)'!P539,0))</f>
        <v>2</v>
      </c>
      <c r="Q539" s="125">
        <f>IF('Quant. mod. (oc)'!Q539&lt;0,0,ROUND('Quant. mod. (oc)'!Q539,0))</f>
        <v>2</v>
      </c>
      <c r="R539" s="125">
        <f>IF('Quant. mod. (oc)'!R539&lt;0,0,ROUND('Quant. mod. (oc)'!R539,0))</f>
        <v>2</v>
      </c>
      <c r="S539" s="125">
        <f>IF('Quant. mod. (oc)'!S539&lt;0,0,ROUND('Quant. mod. (oc)'!S539,0))</f>
        <v>2</v>
      </c>
      <c r="T539" s="125">
        <f>IF('Quant. mod. (oc)'!T539&lt;0,0,ROUND('Quant. mod. (oc)'!T539,0))</f>
        <v>2</v>
      </c>
      <c r="U539" s="125">
        <f>IF('Quant. mod. (oc)'!U539&lt;0,0,ROUND('Quant. mod. (oc)'!U539,0))</f>
        <v>2</v>
      </c>
      <c r="V539" s="125">
        <f>IF('Quant. mod. (oc)'!V539&lt;0,0,ROUND('Quant. mod. (oc)'!V539,0))</f>
        <v>2</v>
      </c>
      <c r="W539" s="125">
        <f>IF('Quant. mod. (oc)'!W539&lt;0,0,ROUND('Quant. mod. (oc)'!W539,0))</f>
        <v>2</v>
      </c>
      <c r="X539" s="125">
        <f>IF('Quant. mod. (oc)'!X539&lt;0,0,ROUND('Quant. mod. (oc)'!X539,0))</f>
        <v>2</v>
      </c>
      <c r="Y539" s="125">
        <f>IF('Quant. mod. (oc)'!Y539&lt;0,0,ROUND('Quant. mod. (oc)'!Y539,0))</f>
        <v>2</v>
      </c>
      <c r="Z539" s="125">
        <f>IF('Quant. mod. (oc)'!Z539&lt;0,0,ROUND('Quant. mod. (oc)'!Z539,0))</f>
        <v>2</v>
      </c>
      <c r="AA539" s="125">
        <f>IF('Quant. mod. (oc)'!AA539&lt;0,0,ROUND('Quant. mod. (oc)'!AA539,0))</f>
        <v>2</v>
      </c>
      <c r="AB539" s="125">
        <f>IF('Quant. mod. (oc)'!AB539&lt;0,0,ROUND('Quant. mod. (oc)'!AB539,0))</f>
        <v>2</v>
      </c>
      <c r="AC539" s="125">
        <f>IF('Quant. mod. (oc)'!AC539&lt;0,0,ROUND('Quant. mod. (oc)'!AC539,0))</f>
        <v>2</v>
      </c>
      <c r="AD539" s="125">
        <f>IF('Quant. mod. (oc)'!AD539&lt;0,0,ROUND('Quant. mod. (oc)'!AD539,0))</f>
        <v>2</v>
      </c>
      <c r="AE539" s="125">
        <f>IF('Quant. mod. (oc)'!AE539&lt;0,0,ROUND('Quant. mod. (oc)'!AE539,0))</f>
        <v>2</v>
      </c>
      <c r="AF539" s="125">
        <f>IF('Quant. mod. (oc)'!AF539&lt;0,0,ROUND('Quant. mod. (oc)'!AF539,0))</f>
        <v>2</v>
      </c>
      <c r="AG539" s="126">
        <f>IF('Quant. mod. (oc)'!AG539&lt;0,0,ROUND('Quant. mod. (oc)'!AG539,0))</f>
        <v>2</v>
      </c>
      <c r="AH539" s="22"/>
    </row>
    <row r="540" spans="1:34" x14ac:dyDescent="0.25">
      <c r="A540" s="112"/>
      <c r="B540" s="136" t="s">
        <v>174</v>
      </c>
      <c r="C540" s="67" t="s">
        <v>59</v>
      </c>
      <c r="D540" s="125">
        <f>IF('Quant. mod. (oc)'!D540&lt;0,0,ROUND('Quant. mod. (oc)'!D540,0))</f>
        <v>1</v>
      </c>
      <c r="E540" s="125">
        <f>IF('Quant. mod. (oc)'!E540&lt;0,0,ROUND('Quant. mod. (oc)'!E540,0))</f>
        <v>1</v>
      </c>
      <c r="F540" s="125">
        <f>IF('Quant. mod. (oc)'!F540&lt;0,0,ROUND('Quant. mod. (oc)'!F540,0))</f>
        <v>1</v>
      </c>
      <c r="G540" s="125">
        <f>IF('Quant. mod. (oc)'!G540&lt;0,0,ROUND('Quant. mod. (oc)'!G540,0))</f>
        <v>1</v>
      </c>
      <c r="H540" s="125">
        <f>IF('Quant. mod. (oc)'!H540&lt;0,0,ROUND('Quant. mod. (oc)'!H540,0))</f>
        <v>1</v>
      </c>
      <c r="I540" s="125">
        <f>IF('Quant. mod. (oc)'!I540&lt;0,0,ROUND('Quant. mod. (oc)'!I540,0))</f>
        <v>1</v>
      </c>
      <c r="J540" s="125">
        <f>IF('Quant. mod. (oc)'!J540&lt;0,0,ROUND('Quant. mod. (oc)'!J540,0))</f>
        <v>1</v>
      </c>
      <c r="K540" s="125">
        <f>IF('Quant. mod. (oc)'!K540&lt;0,0,ROUND('Quant. mod. (oc)'!K540,0))</f>
        <v>1</v>
      </c>
      <c r="L540" s="125">
        <f>IF('Quant. mod. (oc)'!L540&lt;0,0,ROUND('Quant. mod. (oc)'!L540,0))</f>
        <v>1</v>
      </c>
      <c r="M540" s="125">
        <f>IF('Quant. mod. (oc)'!M540&lt;0,0,ROUND('Quant. mod. (oc)'!M540,0))</f>
        <v>1</v>
      </c>
      <c r="N540" s="125">
        <f>IF('Quant. mod. (oc)'!N540&lt;0,0,ROUND('Quant. mod. (oc)'!N540,0))</f>
        <v>1</v>
      </c>
      <c r="O540" s="125">
        <f>IF('Quant. mod. (oc)'!O540&lt;0,0,ROUND('Quant. mod. (oc)'!O540,0))</f>
        <v>1</v>
      </c>
      <c r="P540" s="125">
        <f>IF('Quant. mod. (oc)'!P540&lt;0,0,ROUND('Quant. mod. (oc)'!P540,0))</f>
        <v>1</v>
      </c>
      <c r="Q540" s="125">
        <f>IF('Quant. mod. (oc)'!Q540&lt;0,0,ROUND('Quant. mod. (oc)'!Q540,0))</f>
        <v>1</v>
      </c>
      <c r="R540" s="125">
        <f>IF('Quant. mod. (oc)'!R540&lt;0,0,ROUND('Quant. mod. (oc)'!R540,0))</f>
        <v>1</v>
      </c>
      <c r="S540" s="125">
        <f>IF('Quant. mod. (oc)'!S540&lt;0,0,ROUND('Quant. mod. (oc)'!S540,0))</f>
        <v>1</v>
      </c>
      <c r="T540" s="125">
        <f>IF('Quant. mod. (oc)'!T540&lt;0,0,ROUND('Quant. mod. (oc)'!T540,0))</f>
        <v>1</v>
      </c>
      <c r="U540" s="125">
        <f>IF('Quant. mod. (oc)'!U540&lt;0,0,ROUND('Quant. mod. (oc)'!U540,0))</f>
        <v>1</v>
      </c>
      <c r="V540" s="125">
        <f>IF('Quant. mod. (oc)'!V540&lt;0,0,ROUND('Quant. mod. (oc)'!V540,0))</f>
        <v>1</v>
      </c>
      <c r="W540" s="125">
        <f>IF('Quant. mod. (oc)'!W540&lt;0,0,ROUND('Quant. mod. (oc)'!W540,0))</f>
        <v>1</v>
      </c>
      <c r="X540" s="125">
        <f>IF('Quant. mod. (oc)'!X540&lt;0,0,ROUND('Quant. mod. (oc)'!X540,0))</f>
        <v>1</v>
      </c>
      <c r="Y540" s="125">
        <f>IF('Quant. mod. (oc)'!Y540&lt;0,0,ROUND('Quant. mod. (oc)'!Y540,0))</f>
        <v>1</v>
      </c>
      <c r="Z540" s="125">
        <f>IF('Quant. mod. (oc)'!Z540&lt;0,0,ROUND('Quant. mod. (oc)'!Z540,0))</f>
        <v>1</v>
      </c>
      <c r="AA540" s="125">
        <f>IF('Quant. mod. (oc)'!AA540&lt;0,0,ROUND('Quant. mod. (oc)'!AA540,0))</f>
        <v>1</v>
      </c>
      <c r="AB540" s="125">
        <f>IF('Quant. mod. (oc)'!AB540&lt;0,0,ROUND('Quant. mod. (oc)'!AB540,0))</f>
        <v>1</v>
      </c>
      <c r="AC540" s="125">
        <f>IF('Quant. mod. (oc)'!AC540&lt;0,0,ROUND('Quant. mod. (oc)'!AC540,0))</f>
        <v>1</v>
      </c>
      <c r="AD540" s="125">
        <f>IF('Quant. mod. (oc)'!AD540&lt;0,0,ROUND('Quant. mod. (oc)'!AD540,0))</f>
        <v>1</v>
      </c>
      <c r="AE540" s="125">
        <f>IF('Quant. mod. (oc)'!AE540&lt;0,0,ROUND('Quant. mod. (oc)'!AE540,0))</f>
        <v>1</v>
      </c>
      <c r="AF540" s="125">
        <f>IF('Quant. mod. (oc)'!AF540&lt;0,0,ROUND('Quant. mod. (oc)'!AF540,0))</f>
        <v>1</v>
      </c>
      <c r="AG540" s="126">
        <f>IF('Quant. mod. (oc)'!AG540&lt;0,0,ROUND('Quant. mod. (oc)'!AG540,0))</f>
        <v>1</v>
      </c>
      <c r="AH540" s="22"/>
    </row>
    <row r="541" spans="1:34" x14ac:dyDescent="0.25">
      <c r="A541" s="112"/>
      <c r="B541" s="136" t="s">
        <v>175</v>
      </c>
      <c r="C541" s="67" t="s">
        <v>59</v>
      </c>
      <c r="D541" s="125">
        <f>IF('Quant. mod. (oc)'!D541&lt;0,0,ROUND('Quant. mod. (oc)'!D541,0))</f>
        <v>5</v>
      </c>
      <c r="E541" s="125">
        <f>IF('Quant. mod. (oc)'!E541&lt;0,0,ROUND('Quant. mod. (oc)'!E541,0))</f>
        <v>5</v>
      </c>
      <c r="F541" s="125">
        <f>IF('Quant. mod. (oc)'!F541&lt;0,0,ROUND('Quant. mod. (oc)'!F541,0))</f>
        <v>5</v>
      </c>
      <c r="G541" s="125">
        <f>IF('Quant. mod. (oc)'!G541&lt;0,0,ROUND('Quant. mod. (oc)'!G541,0))</f>
        <v>5</v>
      </c>
      <c r="H541" s="125">
        <f>IF('Quant. mod. (oc)'!H541&lt;0,0,ROUND('Quant. mod. (oc)'!H541,0))</f>
        <v>5</v>
      </c>
      <c r="I541" s="125">
        <f>IF('Quant. mod. (oc)'!I541&lt;0,0,ROUND('Quant. mod. (oc)'!I541,0))</f>
        <v>5</v>
      </c>
      <c r="J541" s="125">
        <f>IF('Quant. mod. (oc)'!J541&lt;0,0,ROUND('Quant. mod. (oc)'!J541,0))</f>
        <v>5</v>
      </c>
      <c r="K541" s="125">
        <f>IF('Quant. mod. (oc)'!K541&lt;0,0,ROUND('Quant. mod. (oc)'!K541,0))</f>
        <v>5</v>
      </c>
      <c r="L541" s="125">
        <f>IF('Quant. mod. (oc)'!L541&lt;0,0,ROUND('Quant. mod. (oc)'!L541,0))</f>
        <v>5</v>
      </c>
      <c r="M541" s="125">
        <f>IF('Quant. mod. (oc)'!M541&lt;0,0,ROUND('Quant. mod. (oc)'!M541,0))</f>
        <v>5</v>
      </c>
      <c r="N541" s="125">
        <f>IF('Quant. mod. (oc)'!N541&lt;0,0,ROUND('Quant. mod. (oc)'!N541,0))</f>
        <v>5</v>
      </c>
      <c r="O541" s="125">
        <f>IF('Quant. mod. (oc)'!O541&lt;0,0,ROUND('Quant. mod. (oc)'!O541,0))</f>
        <v>5</v>
      </c>
      <c r="P541" s="125">
        <f>IF('Quant. mod. (oc)'!P541&lt;0,0,ROUND('Quant. mod. (oc)'!P541,0))</f>
        <v>5</v>
      </c>
      <c r="Q541" s="125">
        <f>IF('Quant. mod. (oc)'!Q541&lt;0,0,ROUND('Quant. mod. (oc)'!Q541,0))</f>
        <v>5</v>
      </c>
      <c r="R541" s="125">
        <f>IF('Quant. mod. (oc)'!R541&lt;0,0,ROUND('Quant. mod. (oc)'!R541,0))</f>
        <v>5</v>
      </c>
      <c r="S541" s="125">
        <f>IF('Quant. mod. (oc)'!S541&lt;0,0,ROUND('Quant. mod. (oc)'!S541,0))</f>
        <v>5</v>
      </c>
      <c r="T541" s="125">
        <f>IF('Quant. mod. (oc)'!T541&lt;0,0,ROUND('Quant. mod. (oc)'!T541,0))</f>
        <v>5</v>
      </c>
      <c r="U541" s="125">
        <f>IF('Quant. mod. (oc)'!U541&lt;0,0,ROUND('Quant. mod. (oc)'!U541,0))</f>
        <v>5</v>
      </c>
      <c r="V541" s="125">
        <f>IF('Quant. mod. (oc)'!V541&lt;0,0,ROUND('Quant. mod. (oc)'!V541,0))</f>
        <v>5</v>
      </c>
      <c r="W541" s="125">
        <f>IF('Quant. mod. (oc)'!W541&lt;0,0,ROUND('Quant. mod. (oc)'!W541,0))</f>
        <v>5</v>
      </c>
      <c r="X541" s="125">
        <f>IF('Quant. mod. (oc)'!X541&lt;0,0,ROUND('Quant. mod. (oc)'!X541,0))</f>
        <v>5</v>
      </c>
      <c r="Y541" s="125">
        <f>IF('Quant. mod. (oc)'!Y541&lt;0,0,ROUND('Quant. mod. (oc)'!Y541,0))</f>
        <v>5</v>
      </c>
      <c r="Z541" s="125">
        <f>IF('Quant. mod. (oc)'!Z541&lt;0,0,ROUND('Quant. mod. (oc)'!Z541,0))</f>
        <v>5</v>
      </c>
      <c r="AA541" s="125">
        <f>IF('Quant. mod. (oc)'!AA541&lt;0,0,ROUND('Quant. mod. (oc)'!AA541,0))</f>
        <v>5</v>
      </c>
      <c r="AB541" s="125">
        <f>IF('Quant. mod. (oc)'!AB541&lt;0,0,ROUND('Quant. mod. (oc)'!AB541,0))</f>
        <v>5</v>
      </c>
      <c r="AC541" s="125">
        <f>IF('Quant. mod. (oc)'!AC541&lt;0,0,ROUND('Quant. mod. (oc)'!AC541,0))</f>
        <v>5</v>
      </c>
      <c r="AD541" s="125">
        <f>IF('Quant. mod. (oc)'!AD541&lt;0,0,ROUND('Quant. mod. (oc)'!AD541,0))</f>
        <v>5</v>
      </c>
      <c r="AE541" s="125">
        <f>IF('Quant. mod. (oc)'!AE541&lt;0,0,ROUND('Quant. mod. (oc)'!AE541,0))</f>
        <v>5</v>
      </c>
      <c r="AF541" s="125">
        <f>IF('Quant. mod. (oc)'!AF541&lt;0,0,ROUND('Quant. mod. (oc)'!AF541,0))</f>
        <v>5</v>
      </c>
      <c r="AG541" s="126">
        <f>IF('Quant. mod. (oc)'!AG541&lt;0,0,ROUND('Quant. mod. (oc)'!AG541,0))</f>
        <v>5</v>
      </c>
      <c r="AH541" s="22"/>
    </row>
    <row r="542" spans="1:34" x14ac:dyDescent="0.25">
      <c r="A542" s="112"/>
      <c r="B542" s="136" t="s">
        <v>176</v>
      </c>
      <c r="C542" s="67" t="s">
        <v>59</v>
      </c>
      <c r="D542" s="125">
        <f>IF('Quant. mod. (oc)'!D542&lt;0,0,ROUND('Quant. mod. (oc)'!D542,0))</f>
        <v>2</v>
      </c>
      <c r="E542" s="125">
        <f>IF('Quant. mod. (oc)'!E542&lt;0,0,ROUND('Quant. mod. (oc)'!E542,0))</f>
        <v>2</v>
      </c>
      <c r="F542" s="125">
        <f>IF('Quant. mod. (oc)'!F542&lt;0,0,ROUND('Quant. mod. (oc)'!F542,0))</f>
        <v>2</v>
      </c>
      <c r="G542" s="125">
        <f>IF('Quant. mod. (oc)'!G542&lt;0,0,ROUND('Quant. mod. (oc)'!G542,0))</f>
        <v>2</v>
      </c>
      <c r="H542" s="125">
        <f>IF('Quant. mod. (oc)'!H542&lt;0,0,ROUND('Quant. mod. (oc)'!H542,0))</f>
        <v>2</v>
      </c>
      <c r="I542" s="125">
        <f>IF('Quant. mod. (oc)'!I542&lt;0,0,ROUND('Quant. mod. (oc)'!I542,0))</f>
        <v>2</v>
      </c>
      <c r="J542" s="125">
        <f>IF('Quant. mod. (oc)'!J542&lt;0,0,ROUND('Quant. mod. (oc)'!J542,0))</f>
        <v>2</v>
      </c>
      <c r="K542" s="125">
        <f>IF('Quant. mod. (oc)'!K542&lt;0,0,ROUND('Quant. mod. (oc)'!K542,0))</f>
        <v>2</v>
      </c>
      <c r="L542" s="125">
        <f>IF('Quant. mod. (oc)'!L542&lt;0,0,ROUND('Quant. mod. (oc)'!L542,0))</f>
        <v>2</v>
      </c>
      <c r="M542" s="125">
        <f>IF('Quant. mod. (oc)'!M542&lt;0,0,ROUND('Quant. mod. (oc)'!M542,0))</f>
        <v>2</v>
      </c>
      <c r="N542" s="125">
        <f>IF('Quant. mod. (oc)'!N542&lt;0,0,ROUND('Quant. mod. (oc)'!N542,0))</f>
        <v>2</v>
      </c>
      <c r="O542" s="125">
        <f>IF('Quant. mod. (oc)'!O542&lt;0,0,ROUND('Quant. mod. (oc)'!O542,0))</f>
        <v>2</v>
      </c>
      <c r="P542" s="125">
        <f>IF('Quant. mod. (oc)'!P542&lt;0,0,ROUND('Quant. mod. (oc)'!P542,0))</f>
        <v>2</v>
      </c>
      <c r="Q542" s="125">
        <f>IF('Quant. mod. (oc)'!Q542&lt;0,0,ROUND('Quant. mod. (oc)'!Q542,0))</f>
        <v>2</v>
      </c>
      <c r="R542" s="125">
        <f>IF('Quant. mod. (oc)'!R542&lt;0,0,ROUND('Quant. mod. (oc)'!R542,0))</f>
        <v>2</v>
      </c>
      <c r="S542" s="125">
        <f>IF('Quant. mod. (oc)'!S542&lt;0,0,ROUND('Quant. mod. (oc)'!S542,0))</f>
        <v>2</v>
      </c>
      <c r="T542" s="125">
        <f>IF('Quant. mod. (oc)'!T542&lt;0,0,ROUND('Quant. mod. (oc)'!T542,0))</f>
        <v>2</v>
      </c>
      <c r="U542" s="125">
        <f>IF('Quant. mod. (oc)'!U542&lt;0,0,ROUND('Quant. mod. (oc)'!U542,0))</f>
        <v>2</v>
      </c>
      <c r="V542" s="125">
        <f>IF('Quant. mod. (oc)'!V542&lt;0,0,ROUND('Quant. mod. (oc)'!V542,0))</f>
        <v>2</v>
      </c>
      <c r="W542" s="125">
        <f>IF('Quant. mod. (oc)'!W542&lt;0,0,ROUND('Quant. mod. (oc)'!W542,0))</f>
        <v>2</v>
      </c>
      <c r="X542" s="125">
        <f>IF('Quant. mod. (oc)'!X542&lt;0,0,ROUND('Quant. mod. (oc)'!X542,0))</f>
        <v>2</v>
      </c>
      <c r="Y542" s="125">
        <f>IF('Quant. mod. (oc)'!Y542&lt;0,0,ROUND('Quant. mod. (oc)'!Y542,0))</f>
        <v>2</v>
      </c>
      <c r="Z542" s="125">
        <f>IF('Quant. mod. (oc)'!Z542&lt;0,0,ROUND('Quant. mod. (oc)'!Z542,0))</f>
        <v>2</v>
      </c>
      <c r="AA542" s="125">
        <f>IF('Quant. mod. (oc)'!AA542&lt;0,0,ROUND('Quant. mod. (oc)'!AA542,0))</f>
        <v>2</v>
      </c>
      <c r="AB542" s="125">
        <f>IF('Quant. mod. (oc)'!AB542&lt;0,0,ROUND('Quant. mod. (oc)'!AB542,0))</f>
        <v>2</v>
      </c>
      <c r="AC542" s="125">
        <f>IF('Quant. mod. (oc)'!AC542&lt;0,0,ROUND('Quant. mod. (oc)'!AC542,0))</f>
        <v>2</v>
      </c>
      <c r="AD542" s="125">
        <f>IF('Quant. mod. (oc)'!AD542&lt;0,0,ROUND('Quant. mod. (oc)'!AD542,0))</f>
        <v>2</v>
      </c>
      <c r="AE542" s="125">
        <f>IF('Quant. mod. (oc)'!AE542&lt;0,0,ROUND('Quant. mod. (oc)'!AE542,0))</f>
        <v>2</v>
      </c>
      <c r="AF542" s="125">
        <f>IF('Quant. mod. (oc)'!AF542&lt;0,0,ROUND('Quant. mod. (oc)'!AF542,0))</f>
        <v>2</v>
      </c>
      <c r="AG542" s="126">
        <f>IF('Quant. mod. (oc)'!AG542&lt;0,0,ROUND('Quant. mod. (oc)'!AG542,0))</f>
        <v>2</v>
      </c>
      <c r="AH542" s="22"/>
    </row>
    <row r="543" spans="1:34" x14ac:dyDescent="0.25">
      <c r="A543" s="112"/>
      <c r="B543" s="136" t="s">
        <v>177</v>
      </c>
      <c r="C543" s="67" t="s">
        <v>59</v>
      </c>
      <c r="D543" s="125">
        <f>IF('Quant. mod. (oc)'!D543&lt;0,0,ROUND('Quant. mod. (oc)'!D543,0))</f>
        <v>2</v>
      </c>
      <c r="E543" s="125">
        <f>IF('Quant. mod. (oc)'!E543&lt;0,0,ROUND('Quant. mod. (oc)'!E543,0))</f>
        <v>2</v>
      </c>
      <c r="F543" s="125">
        <f>IF('Quant. mod. (oc)'!F543&lt;0,0,ROUND('Quant. mod. (oc)'!F543,0))</f>
        <v>2</v>
      </c>
      <c r="G543" s="125">
        <f>IF('Quant. mod. (oc)'!G543&lt;0,0,ROUND('Quant. mod. (oc)'!G543,0))</f>
        <v>2</v>
      </c>
      <c r="H543" s="125">
        <f>IF('Quant. mod. (oc)'!H543&lt;0,0,ROUND('Quant. mod. (oc)'!H543,0))</f>
        <v>2</v>
      </c>
      <c r="I543" s="125">
        <f>IF('Quant. mod. (oc)'!I543&lt;0,0,ROUND('Quant. mod. (oc)'!I543,0))</f>
        <v>2</v>
      </c>
      <c r="J543" s="125">
        <f>IF('Quant. mod. (oc)'!J543&lt;0,0,ROUND('Quant. mod. (oc)'!J543,0))</f>
        <v>2</v>
      </c>
      <c r="K543" s="125">
        <f>IF('Quant. mod. (oc)'!K543&lt;0,0,ROUND('Quant. mod. (oc)'!K543,0))</f>
        <v>2</v>
      </c>
      <c r="L543" s="125">
        <f>IF('Quant. mod. (oc)'!L543&lt;0,0,ROUND('Quant. mod. (oc)'!L543,0))</f>
        <v>2</v>
      </c>
      <c r="M543" s="125">
        <f>IF('Quant. mod. (oc)'!M543&lt;0,0,ROUND('Quant. mod. (oc)'!M543,0))</f>
        <v>2</v>
      </c>
      <c r="N543" s="125">
        <f>IF('Quant. mod. (oc)'!N543&lt;0,0,ROUND('Quant. mod. (oc)'!N543,0))</f>
        <v>2</v>
      </c>
      <c r="O543" s="125">
        <f>IF('Quant. mod. (oc)'!O543&lt;0,0,ROUND('Quant. mod. (oc)'!O543,0))</f>
        <v>2</v>
      </c>
      <c r="P543" s="125">
        <f>IF('Quant. mod. (oc)'!P543&lt;0,0,ROUND('Quant. mod. (oc)'!P543,0))</f>
        <v>2</v>
      </c>
      <c r="Q543" s="125">
        <f>IF('Quant. mod. (oc)'!Q543&lt;0,0,ROUND('Quant. mod. (oc)'!Q543,0))</f>
        <v>2</v>
      </c>
      <c r="R543" s="125">
        <f>IF('Quant. mod. (oc)'!R543&lt;0,0,ROUND('Quant. mod. (oc)'!R543,0))</f>
        <v>2</v>
      </c>
      <c r="S543" s="125">
        <f>IF('Quant. mod. (oc)'!S543&lt;0,0,ROUND('Quant. mod. (oc)'!S543,0))</f>
        <v>2</v>
      </c>
      <c r="T543" s="125">
        <f>IF('Quant. mod. (oc)'!T543&lt;0,0,ROUND('Quant. mod. (oc)'!T543,0))</f>
        <v>2</v>
      </c>
      <c r="U543" s="125">
        <f>IF('Quant. mod. (oc)'!U543&lt;0,0,ROUND('Quant. mod. (oc)'!U543,0))</f>
        <v>2</v>
      </c>
      <c r="V543" s="125">
        <f>IF('Quant. mod. (oc)'!V543&lt;0,0,ROUND('Quant. mod. (oc)'!V543,0))</f>
        <v>2</v>
      </c>
      <c r="W543" s="125">
        <f>IF('Quant. mod. (oc)'!W543&lt;0,0,ROUND('Quant. mod. (oc)'!W543,0))</f>
        <v>2</v>
      </c>
      <c r="X543" s="125">
        <f>IF('Quant. mod. (oc)'!X543&lt;0,0,ROUND('Quant. mod. (oc)'!X543,0))</f>
        <v>2</v>
      </c>
      <c r="Y543" s="125">
        <f>IF('Quant. mod. (oc)'!Y543&lt;0,0,ROUND('Quant. mod. (oc)'!Y543,0))</f>
        <v>2</v>
      </c>
      <c r="Z543" s="125">
        <f>IF('Quant. mod. (oc)'!Z543&lt;0,0,ROUND('Quant. mod. (oc)'!Z543,0))</f>
        <v>2</v>
      </c>
      <c r="AA543" s="125">
        <f>IF('Quant. mod. (oc)'!AA543&lt;0,0,ROUND('Quant. mod. (oc)'!AA543,0))</f>
        <v>2</v>
      </c>
      <c r="AB543" s="125">
        <f>IF('Quant. mod. (oc)'!AB543&lt;0,0,ROUND('Quant. mod. (oc)'!AB543,0))</f>
        <v>2</v>
      </c>
      <c r="AC543" s="125">
        <f>IF('Quant. mod. (oc)'!AC543&lt;0,0,ROUND('Quant. mod. (oc)'!AC543,0))</f>
        <v>2</v>
      </c>
      <c r="AD543" s="125">
        <f>IF('Quant. mod. (oc)'!AD543&lt;0,0,ROUND('Quant. mod. (oc)'!AD543,0))</f>
        <v>2</v>
      </c>
      <c r="AE543" s="125">
        <f>IF('Quant. mod. (oc)'!AE543&lt;0,0,ROUND('Quant. mod. (oc)'!AE543,0))</f>
        <v>2</v>
      </c>
      <c r="AF543" s="125">
        <f>IF('Quant. mod. (oc)'!AF543&lt;0,0,ROUND('Quant. mod. (oc)'!AF543,0))</f>
        <v>2</v>
      </c>
      <c r="AG543" s="126">
        <f>IF('Quant. mod. (oc)'!AG543&lt;0,0,ROUND('Quant. mod. (oc)'!AG543,0))</f>
        <v>2</v>
      </c>
      <c r="AH543" s="22"/>
    </row>
    <row r="544" spans="1:34" x14ac:dyDescent="0.25">
      <c r="A544" s="112"/>
      <c r="B544" s="136" t="s">
        <v>178</v>
      </c>
      <c r="C544" s="67" t="s">
        <v>59</v>
      </c>
      <c r="D544" s="125">
        <f>IF('Quant. mod. (oc)'!D544&lt;0,0,ROUND('Quant. mod. (oc)'!D544,0))</f>
        <v>2</v>
      </c>
      <c r="E544" s="125">
        <f>IF('Quant. mod. (oc)'!E544&lt;0,0,ROUND('Quant. mod. (oc)'!E544,0))</f>
        <v>2</v>
      </c>
      <c r="F544" s="125">
        <f>IF('Quant. mod. (oc)'!F544&lt;0,0,ROUND('Quant. mod. (oc)'!F544,0))</f>
        <v>2</v>
      </c>
      <c r="G544" s="125">
        <f>IF('Quant. mod. (oc)'!G544&lt;0,0,ROUND('Quant. mod. (oc)'!G544,0))</f>
        <v>2</v>
      </c>
      <c r="H544" s="125">
        <f>IF('Quant. mod. (oc)'!H544&lt;0,0,ROUND('Quant. mod. (oc)'!H544,0))</f>
        <v>2</v>
      </c>
      <c r="I544" s="125">
        <f>IF('Quant. mod. (oc)'!I544&lt;0,0,ROUND('Quant. mod. (oc)'!I544,0))</f>
        <v>2</v>
      </c>
      <c r="J544" s="125">
        <f>IF('Quant. mod. (oc)'!J544&lt;0,0,ROUND('Quant. mod. (oc)'!J544,0))</f>
        <v>2</v>
      </c>
      <c r="K544" s="125">
        <f>IF('Quant. mod. (oc)'!K544&lt;0,0,ROUND('Quant. mod. (oc)'!K544,0))</f>
        <v>2</v>
      </c>
      <c r="L544" s="125">
        <f>IF('Quant. mod. (oc)'!L544&lt;0,0,ROUND('Quant. mod. (oc)'!L544,0))</f>
        <v>2</v>
      </c>
      <c r="M544" s="125">
        <f>IF('Quant. mod. (oc)'!M544&lt;0,0,ROUND('Quant. mod. (oc)'!M544,0))</f>
        <v>2</v>
      </c>
      <c r="N544" s="125">
        <f>IF('Quant. mod. (oc)'!N544&lt;0,0,ROUND('Quant. mod. (oc)'!N544,0))</f>
        <v>2</v>
      </c>
      <c r="O544" s="125">
        <f>IF('Quant. mod. (oc)'!O544&lt;0,0,ROUND('Quant. mod. (oc)'!O544,0))</f>
        <v>2</v>
      </c>
      <c r="P544" s="125">
        <f>IF('Quant. mod. (oc)'!P544&lt;0,0,ROUND('Quant. mod. (oc)'!P544,0))</f>
        <v>2</v>
      </c>
      <c r="Q544" s="125">
        <f>IF('Quant. mod. (oc)'!Q544&lt;0,0,ROUND('Quant. mod. (oc)'!Q544,0))</f>
        <v>2</v>
      </c>
      <c r="R544" s="125">
        <f>IF('Quant. mod. (oc)'!R544&lt;0,0,ROUND('Quant. mod. (oc)'!R544,0))</f>
        <v>2</v>
      </c>
      <c r="S544" s="125">
        <f>IF('Quant. mod. (oc)'!S544&lt;0,0,ROUND('Quant. mod. (oc)'!S544,0))</f>
        <v>2</v>
      </c>
      <c r="T544" s="125">
        <f>IF('Quant. mod. (oc)'!T544&lt;0,0,ROUND('Quant. mod. (oc)'!T544,0))</f>
        <v>2</v>
      </c>
      <c r="U544" s="125">
        <f>IF('Quant. mod. (oc)'!U544&lt;0,0,ROUND('Quant. mod. (oc)'!U544,0))</f>
        <v>2</v>
      </c>
      <c r="V544" s="125">
        <f>IF('Quant. mod. (oc)'!V544&lt;0,0,ROUND('Quant. mod. (oc)'!V544,0))</f>
        <v>2</v>
      </c>
      <c r="W544" s="125">
        <f>IF('Quant. mod. (oc)'!W544&lt;0,0,ROUND('Quant. mod. (oc)'!W544,0))</f>
        <v>2</v>
      </c>
      <c r="X544" s="125">
        <f>IF('Quant. mod. (oc)'!X544&lt;0,0,ROUND('Quant. mod. (oc)'!X544,0))</f>
        <v>2</v>
      </c>
      <c r="Y544" s="125">
        <f>IF('Quant. mod. (oc)'!Y544&lt;0,0,ROUND('Quant. mod. (oc)'!Y544,0))</f>
        <v>2</v>
      </c>
      <c r="Z544" s="125">
        <f>IF('Quant. mod. (oc)'!Z544&lt;0,0,ROUND('Quant. mod. (oc)'!Z544,0))</f>
        <v>2</v>
      </c>
      <c r="AA544" s="125">
        <f>IF('Quant. mod. (oc)'!AA544&lt;0,0,ROUND('Quant. mod. (oc)'!AA544,0))</f>
        <v>2</v>
      </c>
      <c r="AB544" s="125">
        <f>IF('Quant. mod. (oc)'!AB544&lt;0,0,ROUND('Quant. mod. (oc)'!AB544,0))</f>
        <v>2</v>
      </c>
      <c r="AC544" s="125">
        <f>IF('Quant. mod. (oc)'!AC544&lt;0,0,ROUND('Quant. mod. (oc)'!AC544,0))</f>
        <v>2</v>
      </c>
      <c r="AD544" s="125">
        <f>IF('Quant. mod. (oc)'!AD544&lt;0,0,ROUND('Quant. mod. (oc)'!AD544,0))</f>
        <v>2</v>
      </c>
      <c r="AE544" s="125">
        <f>IF('Quant. mod. (oc)'!AE544&lt;0,0,ROUND('Quant. mod. (oc)'!AE544,0))</f>
        <v>2</v>
      </c>
      <c r="AF544" s="125">
        <f>IF('Quant. mod. (oc)'!AF544&lt;0,0,ROUND('Quant. mod. (oc)'!AF544,0))</f>
        <v>2</v>
      </c>
      <c r="AG544" s="126">
        <f>IF('Quant. mod. (oc)'!AG544&lt;0,0,ROUND('Quant. mod. (oc)'!AG544,0))</f>
        <v>2</v>
      </c>
      <c r="AH544" s="22"/>
    </row>
    <row r="545" spans="1:34" x14ac:dyDescent="0.25">
      <c r="A545" s="112"/>
      <c r="B545" s="136" t="s">
        <v>179</v>
      </c>
      <c r="C545" s="67" t="s">
        <v>59</v>
      </c>
      <c r="D545" s="125">
        <f>IF('Quant. mod. (oc)'!D545&lt;0,0,ROUND('Quant. mod. (oc)'!D545,0))</f>
        <v>2</v>
      </c>
      <c r="E545" s="125">
        <f>IF('Quant. mod. (oc)'!E545&lt;0,0,ROUND('Quant. mod. (oc)'!E545,0))</f>
        <v>2</v>
      </c>
      <c r="F545" s="125">
        <f>IF('Quant. mod. (oc)'!F545&lt;0,0,ROUND('Quant. mod. (oc)'!F545,0))</f>
        <v>2</v>
      </c>
      <c r="G545" s="125">
        <f>IF('Quant. mod. (oc)'!G545&lt;0,0,ROUND('Quant. mod. (oc)'!G545,0))</f>
        <v>2</v>
      </c>
      <c r="H545" s="125">
        <f>IF('Quant. mod. (oc)'!H545&lt;0,0,ROUND('Quant. mod. (oc)'!H545,0))</f>
        <v>2</v>
      </c>
      <c r="I545" s="125">
        <f>IF('Quant. mod. (oc)'!I545&lt;0,0,ROUND('Quant. mod. (oc)'!I545,0))</f>
        <v>2</v>
      </c>
      <c r="J545" s="125">
        <f>IF('Quant. mod. (oc)'!J545&lt;0,0,ROUND('Quant. mod. (oc)'!J545,0))</f>
        <v>2</v>
      </c>
      <c r="K545" s="125">
        <f>IF('Quant. mod. (oc)'!K545&lt;0,0,ROUND('Quant. mod. (oc)'!K545,0))</f>
        <v>2</v>
      </c>
      <c r="L545" s="125">
        <f>IF('Quant. mod. (oc)'!L545&lt;0,0,ROUND('Quant. mod. (oc)'!L545,0))</f>
        <v>2</v>
      </c>
      <c r="M545" s="125">
        <f>IF('Quant. mod. (oc)'!M545&lt;0,0,ROUND('Quant. mod. (oc)'!M545,0))</f>
        <v>2</v>
      </c>
      <c r="N545" s="125">
        <f>IF('Quant. mod. (oc)'!N545&lt;0,0,ROUND('Quant. mod. (oc)'!N545,0))</f>
        <v>2</v>
      </c>
      <c r="O545" s="125">
        <f>IF('Quant. mod. (oc)'!O545&lt;0,0,ROUND('Quant. mod. (oc)'!O545,0))</f>
        <v>2</v>
      </c>
      <c r="P545" s="125">
        <f>IF('Quant. mod. (oc)'!P545&lt;0,0,ROUND('Quant. mod. (oc)'!P545,0))</f>
        <v>2</v>
      </c>
      <c r="Q545" s="125">
        <f>IF('Quant. mod. (oc)'!Q545&lt;0,0,ROUND('Quant. mod. (oc)'!Q545,0))</f>
        <v>2</v>
      </c>
      <c r="R545" s="125">
        <f>IF('Quant. mod. (oc)'!R545&lt;0,0,ROUND('Quant. mod. (oc)'!R545,0))</f>
        <v>2</v>
      </c>
      <c r="S545" s="125">
        <f>IF('Quant. mod. (oc)'!S545&lt;0,0,ROUND('Quant. mod. (oc)'!S545,0))</f>
        <v>2</v>
      </c>
      <c r="T545" s="125">
        <f>IF('Quant. mod. (oc)'!T545&lt;0,0,ROUND('Quant. mod. (oc)'!T545,0))</f>
        <v>2</v>
      </c>
      <c r="U545" s="125">
        <f>IF('Quant. mod. (oc)'!U545&lt;0,0,ROUND('Quant. mod. (oc)'!U545,0))</f>
        <v>2</v>
      </c>
      <c r="V545" s="125">
        <f>IF('Quant. mod. (oc)'!V545&lt;0,0,ROUND('Quant. mod. (oc)'!V545,0))</f>
        <v>2</v>
      </c>
      <c r="W545" s="125">
        <f>IF('Quant. mod. (oc)'!W545&lt;0,0,ROUND('Quant. mod. (oc)'!W545,0))</f>
        <v>2</v>
      </c>
      <c r="X545" s="125">
        <f>IF('Quant. mod. (oc)'!X545&lt;0,0,ROUND('Quant. mod. (oc)'!X545,0))</f>
        <v>2</v>
      </c>
      <c r="Y545" s="125">
        <f>IF('Quant. mod. (oc)'!Y545&lt;0,0,ROUND('Quant. mod. (oc)'!Y545,0))</f>
        <v>2</v>
      </c>
      <c r="Z545" s="125">
        <f>IF('Quant. mod. (oc)'!Z545&lt;0,0,ROUND('Quant. mod. (oc)'!Z545,0))</f>
        <v>2</v>
      </c>
      <c r="AA545" s="125">
        <f>IF('Quant. mod. (oc)'!AA545&lt;0,0,ROUND('Quant. mod. (oc)'!AA545,0))</f>
        <v>2</v>
      </c>
      <c r="AB545" s="125">
        <f>IF('Quant. mod. (oc)'!AB545&lt;0,0,ROUND('Quant. mod. (oc)'!AB545,0))</f>
        <v>2</v>
      </c>
      <c r="AC545" s="125">
        <f>IF('Quant. mod. (oc)'!AC545&lt;0,0,ROUND('Quant. mod. (oc)'!AC545,0))</f>
        <v>2</v>
      </c>
      <c r="AD545" s="125">
        <f>IF('Quant. mod. (oc)'!AD545&lt;0,0,ROUND('Quant. mod. (oc)'!AD545,0))</f>
        <v>2</v>
      </c>
      <c r="AE545" s="125">
        <f>IF('Quant. mod. (oc)'!AE545&lt;0,0,ROUND('Quant. mod. (oc)'!AE545,0))</f>
        <v>2</v>
      </c>
      <c r="AF545" s="125">
        <f>IF('Quant. mod. (oc)'!AF545&lt;0,0,ROUND('Quant. mod. (oc)'!AF545,0))</f>
        <v>2</v>
      </c>
      <c r="AG545" s="126">
        <f>IF('Quant. mod. (oc)'!AG545&lt;0,0,ROUND('Quant. mod. (oc)'!AG545,0))</f>
        <v>2</v>
      </c>
      <c r="AH545" s="22"/>
    </row>
    <row r="546" spans="1:34" x14ac:dyDescent="0.25">
      <c r="A546" s="112"/>
      <c r="B546" s="120" t="s">
        <v>578</v>
      </c>
      <c r="C546" s="121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  <c r="AF546" s="127"/>
      <c r="AG546" s="128"/>
      <c r="AH546" s="22"/>
    </row>
    <row r="547" spans="1:34" x14ac:dyDescent="0.25">
      <c r="A547" s="112"/>
      <c r="B547" s="120" t="s">
        <v>579</v>
      </c>
      <c r="C547" s="121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  <c r="AF547" s="127"/>
      <c r="AG547" s="128"/>
      <c r="AH547" s="22"/>
    </row>
    <row r="548" spans="1:34" x14ac:dyDescent="0.25">
      <c r="A548" s="112"/>
      <c r="B548" s="136" t="s">
        <v>180</v>
      </c>
      <c r="C548" s="67" t="s">
        <v>59</v>
      </c>
      <c r="D548" s="125">
        <f>IF('Quant. mod. (oc)'!D548&lt;0,0,ROUND('Quant. mod. (oc)'!D548,0))</f>
        <v>2</v>
      </c>
      <c r="E548" s="125">
        <f>IF('Quant. mod. (oc)'!E548&lt;0,0,ROUND('Quant. mod. (oc)'!E548,0))</f>
        <v>2</v>
      </c>
      <c r="F548" s="125">
        <f>IF('Quant. mod. (oc)'!F548&lt;0,0,ROUND('Quant. mod. (oc)'!F548,0))</f>
        <v>2</v>
      </c>
      <c r="G548" s="125">
        <f>IF('Quant. mod. (oc)'!G548&lt;0,0,ROUND('Quant. mod. (oc)'!G548,0))</f>
        <v>2</v>
      </c>
      <c r="H548" s="125">
        <f>IF('Quant. mod. (oc)'!H548&lt;0,0,ROUND('Quant. mod. (oc)'!H548,0))</f>
        <v>2</v>
      </c>
      <c r="I548" s="125">
        <f>IF('Quant. mod. (oc)'!I548&lt;0,0,ROUND('Quant. mod. (oc)'!I548,0))</f>
        <v>2</v>
      </c>
      <c r="J548" s="125">
        <f>IF('Quant. mod. (oc)'!J548&lt;0,0,ROUND('Quant. mod. (oc)'!J548,0))</f>
        <v>2</v>
      </c>
      <c r="K548" s="125">
        <f>IF('Quant. mod. (oc)'!K548&lt;0,0,ROUND('Quant. mod. (oc)'!K548,0))</f>
        <v>2</v>
      </c>
      <c r="L548" s="125">
        <f>IF('Quant. mod. (oc)'!L548&lt;0,0,ROUND('Quant. mod. (oc)'!L548,0))</f>
        <v>2</v>
      </c>
      <c r="M548" s="125">
        <f>IF('Quant. mod. (oc)'!M548&lt;0,0,ROUND('Quant. mod. (oc)'!M548,0))</f>
        <v>2</v>
      </c>
      <c r="N548" s="125">
        <f>IF('Quant. mod. (oc)'!N548&lt;0,0,ROUND('Quant. mod. (oc)'!N548,0))</f>
        <v>3</v>
      </c>
      <c r="O548" s="125">
        <f>IF('Quant. mod. (oc)'!O548&lt;0,0,ROUND('Quant. mod. (oc)'!O548,0))</f>
        <v>3</v>
      </c>
      <c r="P548" s="125">
        <f>IF('Quant. mod. (oc)'!P548&lt;0,0,ROUND('Quant. mod. (oc)'!P548,0))</f>
        <v>3</v>
      </c>
      <c r="Q548" s="125">
        <f>IF('Quant. mod. (oc)'!Q548&lt;0,0,ROUND('Quant. mod. (oc)'!Q548,0))</f>
        <v>3</v>
      </c>
      <c r="R548" s="125">
        <f>IF('Quant. mod. (oc)'!R548&lt;0,0,ROUND('Quant. mod. (oc)'!R548,0))</f>
        <v>3</v>
      </c>
      <c r="S548" s="125">
        <f>IF('Quant. mod. (oc)'!S548&lt;0,0,ROUND('Quant. mod. (oc)'!S548,0))</f>
        <v>3</v>
      </c>
      <c r="T548" s="125">
        <f>IF('Quant. mod. (oc)'!T548&lt;0,0,ROUND('Quant. mod. (oc)'!T548,0))</f>
        <v>3</v>
      </c>
      <c r="U548" s="125">
        <f>IF('Quant. mod. (oc)'!U548&lt;0,0,ROUND('Quant. mod. (oc)'!U548,0))</f>
        <v>3</v>
      </c>
      <c r="V548" s="125">
        <f>IF('Quant. mod. (oc)'!V548&lt;0,0,ROUND('Quant. mod. (oc)'!V548,0))</f>
        <v>3</v>
      </c>
      <c r="W548" s="125">
        <f>IF('Quant. mod. (oc)'!W548&lt;0,0,ROUND('Quant. mod. (oc)'!W548,0))</f>
        <v>3</v>
      </c>
      <c r="X548" s="125">
        <f>IF('Quant. mod. (oc)'!X548&lt;0,0,ROUND('Quant. mod. (oc)'!X548,0))</f>
        <v>2</v>
      </c>
      <c r="Y548" s="125">
        <f>IF('Quant. mod. (oc)'!Y548&lt;0,0,ROUND('Quant. mod. (oc)'!Y548,0))</f>
        <v>2</v>
      </c>
      <c r="Z548" s="125">
        <f>IF('Quant. mod. (oc)'!Z548&lt;0,0,ROUND('Quant. mod. (oc)'!Z548,0))</f>
        <v>2</v>
      </c>
      <c r="AA548" s="125">
        <f>IF('Quant. mod. (oc)'!AA548&lt;0,0,ROUND('Quant. mod. (oc)'!AA548,0))</f>
        <v>2</v>
      </c>
      <c r="AB548" s="125">
        <f>IF('Quant. mod. (oc)'!AB548&lt;0,0,ROUND('Quant. mod. (oc)'!AB548,0))</f>
        <v>2</v>
      </c>
      <c r="AC548" s="125">
        <f>IF('Quant. mod. (oc)'!AC548&lt;0,0,ROUND('Quant. mod. (oc)'!AC548,0))</f>
        <v>2</v>
      </c>
      <c r="AD548" s="125">
        <f>IF('Quant. mod. (oc)'!AD548&lt;0,0,ROUND('Quant. mod. (oc)'!AD548,0))</f>
        <v>2</v>
      </c>
      <c r="AE548" s="125">
        <f>IF('Quant. mod. (oc)'!AE548&lt;0,0,ROUND('Quant. mod. (oc)'!AE548,0))</f>
        <v>2</v>
      </c>
      <c r="AF548" s="125">
        <f>IF('Quant. mod. (oc)'!AF548&lt;0,0,ROUND('Quant. mod. (oc)'!AF548,0))</f>
        <v>2</v>
      </c>
      <c r="AG548" s="126">
        <f>IF('Quant. mod. (oc)'!AG548&lt;0,0,ROUND('Quant. mod. (oc)'!AG548,0))</f>
        <v>2</v>
      </c>
      <c r="AH548" s="22"/>
    </row>
    <row r="549" spans="1:34" x14ac:dyDescent="0.25">
      <c r="A549" s="112"/>
      <c r="B549" s="136" t="s">
        <v>572</v>
      </c>
      <c r="C549" s="67" t="s">
        <v>59</v>
      </c>
      <c r="D549" s="125">
        <f>IF('Quant. mod. (oc)'!D549&lt;0,0,ROUND('Quant. mod. (oc)'!D549,0))</f>
        <v>2</v>
      </c>
      <c r="E549" s="125">
        <f>IF('Quant. mod. (oc)'!E549&lt;0,0,ROUND('Quant. mod. (oc)'!E549,0))</f>
        <v>2</v>
      </c>
      <c r="F549" s="125">
        <f>IF('Quant. mod. (oc)'!F549&lt;0,0,ROUND('Quant. mod. (oc)'!F549,0))</f>
        <v>2</v>
      </c>
      <c r="G549" s="125">
        <f>IF('Quant. mod. (oc)'!G549&lt;0,0,ROUND('Quant. mod. (oc)'!G549,0))</f>
        <v>2</v>
      </c>
      <c r="H549" s="125">
        <f>IF('Quant. mod. (oc)'!H549&lt;0,0,ROUND('Quant. mod. (oc)'!H549,0))</f>
        <v>2</v>
      </c>
      <c r="I549" s="125">
        <f>IF('Quant. mod. (oc)'!I549&lt;0,0,ROUND('Quant. mod. (oc)'!I549,0))</f>
        <v>2</v>
      </c>
      <c r="J549" s="125">
        <f>IF('Quant. mod. (oc)'!J549&lt;0,0,ROUND('Quant. mod. (oc)'!J549,0))</f>
        <v>2</v>
      </c>
      <c r="K549" s="125">
        <f>IF('Quant. mod. (oc)'!K549&lt;0,0,ROUND('Quant. mod. (oc)'!K549,0))</f>
        <v>2</v>
      </c>
      <c r="L549" s="125">
        <f>IF('Quant. mod. (oc)'!L549&lt;0,0,ROUND('Quant. mod. (oc)'!L549,0))</f>
        <v>2</v>
      </c>
      <c r="M549" s="125">
        <f>IF('Quant. mod. (oc)'!M549&lt;0,0,ROUND('Quant. mod. (oc)'!M549,0))</f>
        <v>2</v>
      </c>
      <c r="N549" s="125">
        <f>IF('Quant. mod. (oc)'!N549&lt;0,0,ROUND('Quant. mod. (oc)'!N549,0))</f>
        <v>2</v>
      </c>
      <c r="O549" s="125">
        <f>IF('Quant. mod. (oc)'!O549&lt;0,0,ROUND('Quant. mod. (oc)'!O549,0))</f>
        <v>2</v>
      </c>
      <c r="P549" s="125">
        <f>IF('Quant. mod. (oc)'!P549&lt;0,0,ROUND('Quant. mod. (oc)'!P549,0))</f>
        <v>2</v>
      </c>
      <c r="Q549" s="125">
        <f>IF('Quant. mod. (oc)'!Q549&lt;0,0,ROUND('Quant. mod. (oc)'!Q549,0))</f>
        <v>2</v>
      </c>
      <c r="R549" s="125">
        <f>IF('Quant. mod. (oc)'!R549&lt;0,0,ROUND('Quant. mod. (oc)'!R549,0))</f>
        <v>2</v>
      </c>
      <c r="S549" s="125">
        <f>IF('Quant. mod. (oc)'!S549&lt;0,0,ROUND('Quant. mod. (oc)'!S549,0))</f>
        <v>2</v>
      </c>
      <c r="T549" s="125">
        <f>IF('Quant. mod. (oc)'!T549&lt;0,0,ROUND('Quant. mod. (oc)'!T549,0))</f>
        <v>2</v>
      </c>
      <c r="U549" s="125">
        <f>IF('Quant. mod. (oc)'!U549&lt;0,0,ROUND('Quant. mod. (oc)'!U549,0))</f>
        <v>2</v>
      </c>
      <c r="V549" s="125">
        <f>IF('Quant. mod. (oc)'!V549&lt;0,0,ROUND('Quant. mod. (oc)'!V549,0))</f>
        <v>2</v>
      </c>
      <c r="W549" s="125">
        <f>IF('Quant. mod. (oc)'!W549&lt;0,0,ROUND('Quant. mod. (oc)'!W549,0))</f>
        <v>2</v>
      </c>
      <c r="X549" s="125">
        <f>IF('Quant. mod. (oc)'!X549&lt;0,0,ROUND('Quant. mod. (oc)'!X549,0))</f>
        <v>2</v>
      </c>
      <c r="Y549" s="125">
        <f>IF('Quant. mod. (oc)'!Y549&lt;0,0,ROUND('Quant. mod. (oc)'!Y549,0))</f>
        <v>2</v>
      </c>
      <c r="Z549" s="125">
        <f>IF('Quant. mod. (oc)'!Z549&lt;0,0,ROUND('Quant. mod. (oc)'!Z549,0))</f>
        <v>2</v>
      </c>
      <c r="AA549" s="125">
        <f>IF('Quant. mod. (oc)'!AA549&lt;0,0,ROUND('Quant. mod. (oc)'!AA549,0))</f>
        <v>2</v>
      </c>
      <c r="AB549" s="125">
        <f>IF('Quant. mod. (oc)'!AB549&lt;0,0,ROUND('Quant. mod. (oc)'!AB549,0))</f>
        <v>2</v>
      </c>
      <c r="AC549" s="125">
        <f>IF('Quant. mod. (oc)'!AC549&lt;0,0,ROUND('Quant. mod. (oc)'!AC549,0))</f>
        <v>2</v>
      </c>
      <c r="AD549" s="125">
        <f>IF('Quant. mod. (oc)'!AD549&lt;0,0,ROUND('Quant. mod. (oc)'!AD549,0))</f>
        <v>2</v>
      </c>
      <c r="AE549" s="125">
        <f>IF('Quant. mod. (oc)'!AE549&lt;0,0,ROUND('Quant. mod. (oc)'!AE549,0))</f>
        <v>2</v>
      </c>
      <c r="AF549" s="125">
        <f>IF('Quant. mod. (oc)'!AF549&lt;0,0,ROUND('Quant. mod. (oc)'!AF549,0))</f>
        <v>2</v>
      </c>
      <c r="AG549" s="126">
        <f>IF('Quant. mod. (oc)'!AG549&lt;0,0,ROUND('Quant. mod. (oc)'!AG549,0))</f>
        <v>2</v>
      </c>
      <c r="AH549" s="22"/>
    </row>
    <row r="550" spans="1:34" x14ac:dyDescent="0.25">
      <c r="A550" s="112"/>
      <c r="B550" s="136" t="s">
        <v>181</v>
      </c>
      <c r="C550" s="67" t="s">
        <v>59</v>
      </c>
      <c r="D550" s="125">
        <f>IF('Quant. mod. (oc)'!D550&lt;0,0,ROUND('Quant. mod. (oc)'!D550,0))</f>
        <v>2</v>
      </c>
      <c r="E550" s="125">
        <f>IF('Quant. mod. (oc)'!E550&lt;0,0,ROUND('Quant. mod. (oc)'!E550,0))</f>
        <v>2</v>
      </c>
      <c r="F550" s="125">
        <f>IF('Quant. mod. (oc)'!F550&lt;0,0,ROUND('Quant. mod. (oc)'!F550,0))</f>
        <v>2</v>
      </c>
      <c r="G550" s="125">
        <f>IF('Quant. mod. (oc)'!G550&lt;0,0,ROUND('Quant. mod. (oc)'!G550,0))</f>
        <v>2</v>
      </c>
      <c r="H550" s="125">
        <f>IF('Quant. mod. (oc)'!H550&lt;0,0,ROUND('Quant. mod. (oc)'!H550,0))</f>
        <v>2</v>
      </c>
      <c r="I550" s="125">
        <f>IF('Quant. mod. (oc)'!I550&lt;0,0,ROUND('Quant. mod. (oc)'!I550,0))</f>
        <v>2</v>
      </c>
      <c r="J550" s="125">
        <f>IF('Quant. mod. (oc)'!J550&lt;0,0,ROUND('Quant. mod. (oc)'!J550,0))</f>
        <v>2</v>
      </c>
      <c r="K550" s="125">
        <f>IF('Quant. mod. (oc)'!K550&lt;0,0,ROUND('Quant. mod. (oc)'!K550,0))</f>
        <v>2</v>
      </c>
      <c r="L550" s="125">
        <f>IF('Quant. mod. (oc)'!L550&lt;0,0,ROUND('Quant. mod. (oc)'!L550,0))</f>
        <v>2</v>
      </c>
      <c r="M550" s="125">
        <f>IF('Quant. mod. (oc)'!M550&lt;0,0,ROUND('Quant. mod. (oc)'!M550,0))</f>
        <v>2</v>
      </c>
      <c r="N550" s="125">
        <f>IF('Quant. mod. (oc)'!N550&lt;0,0,ROUND('Quant. mod. (oc)'!N550,0))</f>
        <v>2</v>
      </c>
      <c r="O550" s="125">
        <f>IF('Quant. mod. (oc)'!O550&lt;0,0,ROUND('Quant. mod. (oc)'!O550,0))</f>
        <v>2</v>
      </c>
      <c r="P550" s="125">
        <f>IF('Quant. mod. (oc)'!P550&lt;0,0,ROUND('Quant. mod. (oc)'!P550,0))</f>
        <v>2</v>
      </c>
      <c r="Q550" s="125">
        <f>IF('Quant. mod. (oc)'!Q550&lt;0,0,ROUND('Quant. mod. (oc)'!Q550,0))</f>
        <v>2</v>
      </c>
      <c r="R550" s="125">
        <f>IF('Quant. mod. (oc)'!R550&lt;0,0,ROUND('Quant. mod. (oc)'!R550,0))</f>
        <v>2</v>
      </c>
      <c r="S550" s="125">
        <f>IF('Quant. mod. (oc)'!S550&lt;0,0,ROUND('Quant. mod. (oc)'!S550,0))</f>
        <v>2</v>
      </c>
      <c r="T550" s="125">
        <f>IF('Quant. mod. (oc)'!T550&lt;0,0,ROUND('Quant. mod. (oc)'!T550,0))</f>
        <v>2</v>
      </c>
      <c r="U550" s="125">
        <f>IF('Quant. mod. (oc)'!U550&lt;0,0,ROUND('Quant. mod. (oc)'!U550,0))</f>
        <v>2</v>
      </c>
      <c r="V550" s="125">
        <f>IF('Quant. mod. (oc)'!V550&lt;0,0,ROUND('Quant. mod. (oc)'!V550,0))</f>
        <v>2</v>
      </c>
      <c r="W550" s="125">
        <f>IF('Quant. mod. (oc)'!W550&lt;0,0,ROUND('Quant. mod. (oc)'!W550,0))</f>
        <v>2</v>
      </c>
      <c r="X550" s="125">
        <f>IF('Quant. mod. (oc)'!X550&lt;0,0,ROUND('Quant. mod. (oc)'!X550,0))</f>
        <v>2</v>
      </c>
      <c r="Y550" s="125">
        <f>IF('Quant. mod. (oc)'!Y550&lt;0,0,ROUND('Quant. mod. (oc)'!Y550,0))</f>
        <v>2</v>
      </c>
      <c r="Z550" s="125">
        <f>IF('Quant. mod. (oc)'!Z550&lt;0,0,ROUND('Quant. mod. (oc)'!Z550,0))</f>
        <v>2</v>
      </c>
      <c r="AA550" s="125">
        <f>IF('Quant. mod. (oc)'!AA550&lt;0,0,ROUND('Quant. mod. (oc)'!AA550,0))</f>
        <v>2</v>
      </c>
      <c r="AB550" s="125">
        <f>IF('Quant. mod. (oc)'!AB550&lt;0,0,ROUND('Quant. mod. (oc)'!AB550,0))</f>
        <v>2</v>
      </c>
      <c r="AC550" s="125">
        <f>IF('Quant. mod. (oc)'!AC550&lt;0,0,ROUND('Quant. mod. (oc)'!AC550,0))</f>
        <v>2</v>
      </c>
      <c r="AD550" s="125">
        <f>IF('Quant. mod. (oc)'!AD550&lt;0,0,ROUND('Quant. mod. (oc)'!AD550,0))</f>
        <v>2</v>
      </c>
      <c r="AE550" s="125">
        <f>IF('Quant. mod. (oc)'!AE550&lt;0,0,ROUND('Quant. mod. (oc)'!AE550,0))</f>
        <v>2</v>
      </c>
      <c r="AF550" s="125">
        <f>IF('Quant. mod. (oc)'!AF550&lt;0,0,ROUND('Quant. mod. (oc)'!AF550,0))</f>
        <v>2</v>
      </c>
      <c r="AG550" s="126">
        <f>IF('Quant. mod. (oc)'!AG550&lt;0,0,ROUND('Quant. mod. (oc)'!AG550,0))</f>
        <v>2</v>
      </c>
      <c r="AH550" s="22"/>
    </row>
    <row r="551" spans="1:34" x14ac:dyDescent="0.25">
      <c r="A551" s="112"/>
      <c r="B551" s="136" t="s">
        <v>182</v>
      </c>
      <c r="C551" s="67" t="s">
        <v>59</v>
      </c>
      <c r="D551" s="125">
        <f>IF('Quant. mod. (oc)'!D551&lt;0,0,ROUND('Quant. mod. (oc)'!D551,0))</f>
        <v>2</v>
      </c>
      <c r="E551" s="125">
        <f>IF('Quant. mod. (oc)'!E551&lt;0,0,ROUND('Quant. mod. (oc)'!E551,0))</f>
        <v>2</v>
      </c>
      <c r="F551" s="125">
        <f>IF('Quant. mod. (oc)'!F551&lt;0,0,ROUND('Quant. mod. (oc)'!F551,0))</f>
        <v>2</v>
      </c>
      <c r="G551" s="125">
        <f>IF('Quant. mod. (oc)'!G551&lt;0,0,ROUND('Quant. mod. (oc)'!G551,0))</f>
        <v>2</v>
      </c>
      <c r="H551" s="125">
        <f>IF('Quant. mod. (oc)'!H551&lt;0,0,ROUND('Quant. mod. (oc)'!H551,0))</f>
        <v>2</v>
      </c>
      <c r="I551" s="125">
        <f>IF('Quant. mod. (oc)'!I551&lt;0,0,ROUND('Quant. mod. (oc)'!I551,0))</f>
        <v>2</v>
      </c>
      <c r="J551" s="125">
        <f>IF('Quant. mod. (oc)'!J551&lt;0,0,ROUND('Quant. mod. (oc)'!J551,0))</f>
        <v>2</v>
      </c>
      <c r="K551" s="125">
        <f>IF('Quant. mod. (oc)'!K551&lt;0,0,ROUND('Quant. mod. (oc)'!K551,0))</f>
        <v>2</v>
      </c>
      <c r="L551" s="125">
        <f>IF('Quant. mod. (oc)'!L551&lt;0,0,ROUND('Quant. mod. (oc)'!L551,0))</f>
        <v>2</v>
      </c>
      <c r="M551" s="125">
        <f>IF('Quant. mod. (oc)'!M551&lt;0,0,ROUND('Quant. mod. (oc)'!M551,0))</f>
        <v>2</v>
      </c>
      <c r="N551" s="125">
        <f>IF('Quant. mod. (oc)'!N551&lt;0,0,ROUND('Quant. mod. (oc)'!N551,0))</f>
        <v>2</v>
      </c>
      <c r="O551" s="125">
        <f>IF('Quant. mod. (oc)'!O551&lt;0,0,ROUND('Quant. mod. (oc)'!O551,0))</f>
        <v>2</v>
      </c>
      <c r="P551" s="125">
        <f>IF('Quant. mod. (oc)'!P551&lt;0,0,ROUND('Quant. mod. (oc)'!P551,0))</f>
        <v>2</v>
      </c>
      <c r="Q551" s="125">
        <f>IF('Quant. mod. (oc)'!Q551&lt;0,0,ROUND('Quant. mod. (oc)'!Q551,0))</f>
        <v>2</v>
      </c>
      <c r="R551" s="125">
        <f>IF('Quant. mod. (oc)'!R551&lt;0,0,ROUND('Quant. mod. (oc)'!R551,0))</f>
        <v>2</v>
      </c>
      <c r="S551" s="125">
        <f>IF('Quant. mod. (oc)'!S551&lt;0,0,ROUND('Quant. mod. (oc)'!S551,0))</f>
        <v>2</v>
      </c>
      <c r="T551" s="125">
        <f>IF('Quant. mod. (oc)'!T551&lt;0,0,ROUND('Quant. mod. (oc)'!T551,0))</f>
        <v>2</v>
      </c>
      <c r="U551" s="125">
        <f>IF('Quant. mod. (oc)'!U551&lt;0,0,ROUND('Quant. mod. (oc)'!U551,0))</f>
        <v>2</v>
      </c>
      <c r="V551" s="125">
        <f>IF('Quant. mod. (oc)'!V551&lt;0,0,ROUND('Quant. mod. (oc)'!V551,0))</f>
        <v>2</v>
      </c>
      <c r="W551" s="125">
        <f>IF('Quant. mod. (oc)'!W551&lt;0,0,ROUND('Quant. mod. (oc)'!W551,0))</f>
        <v>2</v>
      </c>
      <c r="X551" s="125">
        <f>IF('Quant. mod. (oc)'!X551&lt;0,0,ROUND('Quant. mod. (oc)'!X551,0))</f>
        <v>2</v>
      </c>
      <c r="Y551" s="125">
        <f>IF('Quant. mod. (oc)'!Y551&lt;0,0,ROUND('Quant. mod. (oc)'!Y551,0))</f>
        <v>2</v>
      </c>
      <c r="Z551" s="125">
        <f>IF('Quant. mod. (oc)'!Z551&lt;0,0,ROUND('Quant. mod. (oc)'!Z551,0))</f>
        <v>2</v>
      </c>
      <c r="AA551" s="125">
        <f>IF('Quant. mod. (oc)'!AA551&lt;0,0,ROUND('Quant. mod. (oc)'!AA551,0))</f>
        <v>2</v>
      </c>
      <c r="AB551" s="125">
        <f>IF('Quant. mod. (oc)'!AB551&lt;0,0,ROUND('Quant. mod. (oc)'!AB551,0))</f>
        <v>2</v>
      </c>
      <c r="AC551" s="125">
        <f>IF('Quant. mod. (oc)'!AC551&lt;0,0,ROUND('Quant. mod. (oc)'!AC551,0))</f>
        <v>2</v>
      </c>
      <c r="AD551" s="125">
        <f>IF('Quant. mod. (oc)'!AD551&lt;0,0,ROUND('Quant. mod. (oc)'!AD551,0))</f>
        <v>2</v>
      </c>
      <c r="AE551" s="125">
        <f>IF('Quant. mod. (oc)'!AE551&lt;0,0,ROUND('Quant. mod. (oc)'!AE551,0))</f>
        <v>2</v>
      </c>
      <c r="AF551" s="125">
        <f>IF('Quant. mod. (oc)'!AF551&lt;0,0,ROUND('Quant. mod. (oc)'!AF551,0))</f>
        <v>2</v>
      </c>
      <c r="AG551" s="126">
        <f>IF('Quant. mod. (oc)'!AG551&lt;0,0,ROUND('Quant. mod. (oc)'!AG551,0))</f>
        <v>2</v>
      </c>
      <c r="AH551" s="22"/>
    </row>
    <row r="552" spans="1:34" ht="25.5" x14ac:dyDescent="0.25">
      <c r="A552" s="112"/>
      <c r="B552" s="136" t="s">
        <v>189</v>
      </c>
      <c r="C552" s="67" t="s">
        <v>59</v>
      </c>
      <c r="D552" s="125">
        <f>IF('Quant. mod. (oc)'!D552&lt;0,0,ROUND('Quant. mod. (oc)'!D552,0))</f>
        <v>1</v>
      </c>
      <c r="E552" s="125">
        <f>IF('Quant. mod. (oc)'!E552&lt;0,0,ROUND('Quant. mod. (oc)'!E552,0))</f>
        <v>1</v>
      </c>
      <c r="F552" s="125">
        <f>IF('Quant. mod. (oc)'!F552&lt;0,0,ROUND('Quant. mod. (oc)'!F552,0))</f>
        <v>1</v>
      </c>
      <c r="G552" s="125">
        <f>IF('Quant. mod. (oc)'!G552&lt;0,0,ROUND('Quant. mod. (oc)'!G552,0))</f>
        <v>1</v>
      </c>
      <c r="H552" s="125">
        <f>IF('Quant. mod. (oc)'!H552&lt;0,0,ROUND('Quant. mod. (oc)'!H552,0))</f>
        <v>1</v>
      </c>
      <c r="I552" s="125">
        <f>IF('Quant. mod. (oc)'!I552&lt;0,0,ROUND('Quant. mod. (oc)'!I552,0))</f>
        <v>1</v>
      </c>
      <c r="J552" s="125">
        <f>IF('Quant. mod. (oc)'!J552&lt;0,0,ROUND('Quant. mod. (oc)'!J552,0))</f>
        <v>1</v>
      </c>
      <c r="K552" s="125">
        <f>IF('Quant. mod. (oc)'!K552&lt;0,0,ROUND('Quant. mod. (oc)'!K552,0))</f>
        <v>1</v>
      </c>
      <c r="L552" s="125">
        <f>IF('Quant. mod. (oc)'!L552&lt;0,0,ROUND('Quant. mod. (oc)'!L552,0))</f>
        <v>1</v>
      </c>
      <c r="M552" s="125">
        <f>IF('Quant. mod. (oc)'!M552&lt;0,0,ROUND('Quant. mod. (oc)'!M552,0))</f>
        <v>1</v>
      </c>
      <c r="N552" s="125">
        <f>IF('Quant. mod. (oc)'!N552&lt;0,0,ROUND('Quant. mod. (oc)'!N552,0))</f>
        <v>1</v>
      </c>
      <c r="O552" s="125">
        <f>IF('Quant. mod. (oc)'!O552&lt;0,0,ROUND('Quant. mod. (oc)'!O552,0))</f>
        <v>1</v>
      </c>
      <c r="P552" s="125">
        <f>IF('Quant. mod. (oc)'!P552&lt;0,0,ROUND('Quant. mod. (oc)'!P552,0))</f>
        <v>1</v>
      </c>
      <c r="Q552" s="125">
        <f>IF('Quant. mod. (oc)'!Q552&lt;0,0,ROUND('Quant. mod. (oc)'!Q552,0))</f>
        <v>1</v>
      </c>
      <c r="R552" s="125">
        <f>IF('Quant. mod. (oc)'!R552&lt;0,0,ROUND('Quant. mod. (oc)'!R552,0))</f>
        <v>1</v>
      </c>
      <c r="S552" s="125">
        <f>IF('Quant. mod. (oc)'!S552&lt;0,0,ROUND('Quant. mod. (oc)'!S552,0))</f>
        <v>1</v>
      </c>
      <c r="T552" s="125">
        <f>IF('Quant. mod. (oc)'!T552&lt;0,0,ROUND('Quant. mod. (oc)'!T552,0))</f>
        <v>1</v>
      </c>
      <c r="U552" s="125">
        <f>IF('Quant. mod. (oc)'!U552&lt;0,0,ROUND('Quant. mod. (oc)'!U552,0))</f>
        <v>1</v>
      </c>
      <c r="V552" s="125">
        <f>IF('Quant. mod. (oc)'!V552&lt;0,0,ROUND('Quant. mod. (oc)'!V552,0))</f>
        <v>1</v>
      </c>
      <c r="W552" s="125">
        <f>IF('Quant. mod. (oc)'!W552&lt;0,0,ROUND('Quant. mod. (oc)'!W552,0))</f>
        <v>1</v>
      </c>
      <c r="X552" s="125">
        <f>IF('Quant. mod. (oc)'!X552&lt;0,0,ROUND('Quant. mod. (oc)'!X552,0))</f>
        <v>1</v>
      </c>
      <c r="Y552" s="125">
        <f>IF('Quant. mod. (oc)'!Y552&lt;0,0,ROUND('Quant. mod. (oc)'!Y552,0))</f>
        <v>1</v>
      </c>
      <c r="Z552" s="125">
        <f>IF('Quant. mod. (oc)'!Z552&lt;0,0,ROUND('Quant. mod. (oc)'!Z552,0))</f>
        <v>1</v>
      </c>
      <c r="AA552" s="125">
        <f>IF('Quant. mod. (oc)'!AA552&lt;0,0,ROUND('Quant. mod. (oc)'!AA552,0))</f>
        <v>1</v>
      </c>
      <c r="AB552" s="125">
        <f>IF('Quant. mod. (oc)'!AB552&lt;0,0,ROUND('Quant. mod. (oc)'!AB552,0))</f>
        <v>1</v>
      </c>
      <c r="AC552" s="125">
        <f>IF('Quant. mod. (oc)'!AC552&lt;0,0,ROUND('Quant. mod. (oc)'!AC552,0))</f>
        <v>1</v>
      </c>
      <c r="AD552" s="125">
        <f>IF('Quant. mod. (oc)'!AD552&lt;0,0,ROUND('Quant. mod. (oc)'!AD552,0))</f>
        <v>1</v>
      </c>
      <c r="AE552" s="125">
        <f>IF('Quant. mod. (oc)'!AE552&lt;0,0,ROUND('Quant. mod. (oc)'!AE552,0))</f>
        <v>1</v>
      </c>
      <c r="AF552" s="125">
        <f>IF('Quant. mod. (oc)'!AF552&lt;0,0,ROUND('Quant. mod. (oc)'!AF552,0))</f>
        <v>1</v>
      </c>
      <c r="AG552" s="126">
        <f>IF('Quant. mod. (oc)'!AG552&lt;0,0,ROUND('Quant. mod. (oc)'!AG552,0))</f>
        <v>1</v>
      </c>
      <c r="AH552" s="22"/>
    </row>
    <row r="553" spans="1:34" x14ac:dyDescent="0.25">
      <c r="A553" s="112"/>
      <c r="B553" s="136" t="s">
        <v>183</v>
      </c>
      <c r="C553" s="67" t="s">
        <v>59</v>
      </c>
      <c r="D553" s="125">
        <f>IF('Quant. mod. (oc)'!D553&lt;0,0,ROUND('Quant. mod. (oc)'!D553,0))</f>
        <v>2</v>
      </c>
      <c r="E553" s="125">
        <f>IF('Quant. mod. (oc)'!E553&lt;0,0,ROUND('Quant. mod. (oc)'!E553,0))</f>
        <v>2</v>
      </c>
      <c r="F553" s="125">
        <f>IF('Quant. mod. (oc)'!F553&lt;0,0,ROUND('Quant. mod. (oc)'!F553,0))</f>
        <v>2</v>
      </c>
      <c r="G553" s="125">
        <f>IF('Quant. mod. (oc)'!G553&lt;0,0,ROUND('Quant. mod. (oc)'!G553,0))</f>
        <v>2</v>
      </c>
      <c r="H553" s="125">
        <f>IF('Quant. mod. (oc)'!H553&lt;0,0,ROUND('Quant. mod. (oc)'!H553,0))</f>
        <v>2</v>
      </c>
      <c r="I553" s="125">
        <f>IF('Quant. mod. (oc)'!I553&lt;0,0,ROUND('Quant. mod. (oc)'!I553,0))</f>
        <v>2</v>
      </c>
      <c r="J553" s="125">
        <f>IF('Quant. mod. (oc)'!J553&lt;0,0,ROUND('Quant. mod. (oc)'!J553,0))</f>
        <v>2</v>
      </c>
      <c r="K553" s="125">
        <f>IF('Quant. mod. (oc)'!K553&lt;0,0,ROUND('Quant. mod. (oc)'!K553,0))</f>
        <v>2</v>
      </c>
      <c r="L553" s="125">
        <f>IF('Quant. mod. (oc)'!L553&lt;0,0,ROUND('Quant. mod. (oc)'!L553,0))</f>
        <v>2</v>
      </c>
      <c r="M553" s="125">
        <f>IF('Quant. mod. (oc)'!M553&lt;0,0,ROUND('Quant. mod. (oc)'!M553,0))</f>
        <v>2</v>
      </c>
      <c r="N553" s="125">
        <f>IF('Quant. mod. (oc)'!N553&lt;0,0,ROUND('Quant. mod. (oc)'!N553,0))</f>
        <v>2</v>
      </c>
      <c r="O553" s="125">
        <f>IF('Quant. mod. (oc)'!O553&lt;0,0,ROUND('Quant. mod. (oc)'!O553,0))</f>
        <v>2</v>
      </c>
      <c r="P553" s="125">
        <f>IF('Quant. mod. (oc)'!P553&lt;0,0,ROUND('Quant. mod. (oc)'!P553,0))</f>
        <v>2</v>
      </c>
      <c r="Q553" s="125">
        <f>IF('Quant. mod. (oc)'!Q553&lt;0,0,ROUND('Quant. mod. (oc)'!Q553,0))</f>
        <v>2</v>
      </c>
      <c r="R553" s="125">
        <f>IF('Quant. mod. (oc)'!R553&lt;0,0,ROUND('Quant. mod. (oc)'!R553,0))</f>
        <v>2</v>
      </c>
      <c r="S553" s="125">
        <f>IF('Quant. mod. (oc)'!S553&lt;0,0,ROUND('Quant. mod. (oc)'!S553,0))</f>
        <v>2</v>
      </c>
      <c r="T553" s="125">
        <f>IF('Quant. mod. (oc)'!T553&lt;0,0,ROUND('Quant. mod. (oc)'!T553,0))</f>
        <v>2</v>
      </c>
      <c r="U553" s="125">
        <f>IF('Quant. mod. (oc)'!U553&lt;0,0,ROUND('Quant. mod. (oc)'!U553,0))</f>
        <v>2</v>
      </c>
      <c r="V553" s="125">
        <f>IF('Quant. mod. (oc)'!V553&lt;0,0,ROUND('Quant. mod. (oc)'!V553,0))</f>
        <v>2</v>
      </c>
      <c r="W553" s="125">
        <f>IF('Quant. mod. (oc)'!W553&lt;0,0,ROUND('Quant. mod. (oc)'!W553,0))</f>
        <v>2</v>
      </c>
      <c r="X553" s="125">
        <f>IF('Quant. mod. (oc)'!X553&lt;0,0,ROUND('Quant. mod. (oc)'!X553,0))</f>
        <v>2</v>
      </c>
      <c r="Y553" s="125">
        <f>IF('Quant. mod. (oc)'!Y553&lt;0,0,ROUND('Quant. mod. (oc)'!Y553,0))</f>
        <v>2</v>
      </c>
      <c r="Z553" s="125">
        <f>IF('Quant. mod. (oc)'!Z553&lt;0,0,ROUND('Quant. mod. (oc)'!Z553,0))</f>
        <v>2</v>
      </c>
      <c r="AA553" s="125">
        <f>IF('Quant. mod. (oc)'!AA553&lt;0,0,ROUND('Quant. mod. (oc)'!AA553,0))</f>
        <v>2</v>
      </c>
      <c r="AB553" s="125">
        <f>IF('Quant. mod. (oc)'!AB553&lt;0,0,ROUND('Quant. mod. (oc)'!AB553,0))</f>
        <v>2</v>
      </c>
      <c r="AC553" s="125">
        <f>IF('Quant. mod. (oc)'!AC553&lt;0,0,ROUND('Quant. mod. (oc)'!AC553,0))</f>
        <v>2</v>
      </c>
      <c r="AD553" s="125">
        <f>IF('Quant. mod. (oc)'!AD553&lt;0,0,ROUND('Quant. mod. (oc)'!AD553,0))</f>
        <v>2</v>
      </c>
      <c r="AE553" s="125">
        <f>IF('Quant. mod. (oc)'!AE553&lt;0,0,ROUND('Quant. mod. (oc)'!AE553,0))</f>
        <v>2</v>
      </c>
      <c r="AF553" s="125">
        <f>IF('Quant. mod. (oc)'!AF553&lt;0,0,ROUND('Quant. mod. (oc)'!AF553,0))</f>
        <v>2</v>
      </c>
      <c r="AG553" s="126">
        <f>IF('Quant. mod. (oc)'!AG553&lt;0,0,ROUND('Quant. mod. (oc)'!AG553,0))</f>
        <v>2</v>
      </c>
      <c r="AH553" s="22"/>
    </row>
    <row r="554" spans="1:34" ht="25.5" x14ac:dyDescent="0.25">
      <c r="A554" s="112"/>
      <c r="B554" s="136" t="s">
        <v>573</v>
      </c>
      <c r="C554" s="67" t="s">
        <v>59</v>
      </c>
      <c r="D554" s="125">
        <f>IF('Quant. mod. (oc)'!D554&lt;0,0,ROUND('Quant. mod. (oc)'!D554,0))</f>
        <v>1</v>
      </c>
      <c r="E554" s="125">
        <f>IF('Quant. mod. (oc)'!E554&lt;0,0,ROUND('Quant. mod. (oc)'!E554,0))</f>
        <v>1</v>
      </c>
      <c r="F554" s="125">
        <f>IF('Quant. mod. (oc)'!F554&lt;0,0,ROUND('Quant. mod. (oc)'!F554,0))</f>
        <v>1</v>
      </c>
      <c r="G554" s="125">
        <f>IF('Quant. mod. (oc)'!G554&lt;0,0,ROUND('Quant. mod. (oc)'!G554,0))</f>
        <v>1</v>
      </c>
      <c r="H554" s="125">
        <f>IF('Quant. mod. (oc)'!H554&lt;0,0,ROUND('Quant. mod. (oc)'!H554,0))</f>
        <v>1</v>
      </c>
      <c r="I554" s="125">
        <f>IF('Quant. mod. (oc)'!I554&lt;0,0,ROUND('Quant. mod. (oc)'!I554,0))</f>
        <v>1</v>
      </c>
      <c r="J554" s="125">
        <f>IF('Quant. mod. (oc)'!J554&lt;0,0,ROUND('Quant. mod. (oc)'!J554,0))</f>
        <v>1</v>
      </c>
      <c r="K554" s="125">
        <f>IF('Quant. mod. (oc)'!K554&lt;0,0,ROUND('Quant. mod. (oc)'!K554,0))</f>
        <v>1</v>
      </c>
      <c r="L554" s="125">
        <f>IF('Quant. mod. (oc)'!L554&lt;0,0,ROUND('Quant. mod. (oc)'!L554,0))</f>
        <v>1</v>
      </c>
      <c r="M554" s="125">
        <f>IF('Quant. mod. (oc)'!M554&lt;0,0,ROUND('Quant. mod. (oc)'!M554,0))</f>
        <v>1</v>
      </c>
      <c r="N554" s="125">
        <f>IF('Quant. mod. (oc)'!N554&lt;0,0,ROUND('Quant. mod. (oc)'!N554,0))</f>
        <v>1</v>
      </c>
      <c r="O554" s="125">
        <f>IF('Quant. mod. (oc)'!O554&lt;0,0,ROUND('Quant. mod. (oc)'!O554,0))</f>
        <v>1</v>
      </c>
      <c r="P554" s="125">
        <f>IF('Quant. mod. (oc)'!P554&lt;0,0,ROUND('Quant. mod. (oc)'!P554,0))</f>
        <v>1</v>
      </c>
      <c r="Q554" s="125">
        <f>IF('Quant. mod. (oc)'!Q554&lt;0,0,ROUND('Quant. mod. (oc)'!Q554,0))</f>
        <v>1</v>
      </c>
      <c r="R554" s="125">
        <f>IF('Quant. mod. (oc)'!R554&lt;0,0,ROUND('Quant. mod. (oc)'!R554,0))</f>
        <v>1</v>
      </c>
      <c r="S554" s="125">
        <f>IF('Quant. mod. (oc)'!S554&lt;0,0,ROUND('Quant. mod. (oc)'!S554,0))</f>
        <v>1</v>
      </c>
      <c r="T554" s="125">
        <f>IF('Quant. mod. (oc)'!T554&lt;0,0,ROUND('Quant. mod. (oc)'!T554,0))</f>
        <v>1</v>
      </c>
      <c r="U554" s="125">
        <f>IF('Quant. mod. (oc)'!U554&lt;0,0,ROUND('Quant. mod. (oc)'!U554,0))</f>
        <v>1</v>
      </c>
      <c r="V554" s="125">
        <f>IF('Quant. mod. (oc)'!V554&lt;0,0,ROUND('Quant. mod. (oc)'!V554,0))</f>
        <v>1</v>
      </c>
      <c r="W554" s="125">
        <f>IF('Quant. mod. (oc)'!W554&lt;0,0,ROUND('Quant. mod. (oc)'!W554,0))</f>
        <v>1</v>
      </c>
      <c r="X554" s="125">
        <f>IF('Quant. mod. (oc)'!X554&lt;0,0,ROUND('Quant. mod. (oc)'!X554,0))</f>
        <v>1</v>
      </c>
      <c r="Y554" s="125">
        <f>IF('Quant. mod. (oc)'!Y554&lt;0,0,ROUND('Quant. mod. (oc)'!Y554,0))</f>
        <v>1</v>
      </c>
      <c r="Z554" s="125">
        <f>IF('Quant. mod. (oc)'!Z554&lt;0,0,ROUND('Quant. mod. (oc)'!Z554,0))</f>
        <v>1</v>
      </c>
      <c r="AA554" s="125">
        <f>IF('Quant. mod. (oc)'!AA554&lt;0,0,ROUND('Quant. mod. (oc)'!AA554,0))</f>
        <v>1</v>
      </c>
      <c r="AB554" s="125">
        <f>IF('Quant. mod. (oc)'!AB554&lt;0,0,ROUND('Quant. mod. (oc)'!AB554,0))</f>
        <v>1</v>
      </c>
      <c r="AC554" s="125">
        <f>IF('Quant. mod. (oc)'!AC554&lt;0,0,ROUND('Quant. mod. (oc)'!AC554,0))</f>
        <v>1</v>
      </c>
      <c r="AD554" s="125">
        <f>IF('Quant. mod. (oc)'!AD554&lt;0,0,ROUND('Quant. mod. (oc)'!AD554,0))</f>
        <v>1</v>
      </c>
      <c r="AE554" s="125">
        <f>IF('Quant. mod. (oc)'!AE554&lt;0,0,ROUND('Quant. mod. (oc)'!AE554,0))</f>
        <v>1</v>
      </c>
      <c r="AF554" s="125">
        <f>IF('Quant. mod. (oc)'!AF554&lt;0,0,ROUND('Quant. mod. (oc)'!AF554,0))</f>
        <v>1</v>
      </c>
      <c r="AG554" s="126">
        <f>IF('Quant. mod. (oc)'!AG554&lt;0,0,ROUND('Quant. mod. (oc)'!AG554,0))</f>
        <v>1</v>
      </c>
      <c r="AH554" s="22"/>
    </row>
    <row r="555" spans="1:34" x14ac:dyDescent="0.25">
      <c r="A555" s="112"/>
      <c r="B555" s="136" t="s">
        <v>454</v>
      </c>
      <c r="C555" s="67" t="s">
        <v>59</v>
      </c>
      <c r="D555" s="125">
        <f>IF('Quant. mod. (oc)'!D555&lt;0,0,ROUND('Quant. mod. (oc)'!D555,0))</f>
        <v>6</v>
      </c>
      <c r="E555" s="125">
        <f>IF('Quant. mod. (oc)'!E555&lt;0,0,ROUND('Quant. mod. (oc)'!E555,0))</f>
        <v>6</v>
      </c>
      <c r="F555" s="125">
        <f>IF('Quant. mod. (oc)'!F555&lt;0,0,ROUND('Quant. mod. (oc)'!F555,0))</f>
        <v>6</v>
      </c>
      <c r="G555" s="125">
        <f>IF('Quant. mod. (oc)'!G555&lt;0,0,ROUND('Quant. mod. (oc)'!G555,0))</f>
        <v>6</v>
      </c>
      <c r="H555" s="125">
        <f>IF('Quant. mod. (oc)'!H555&lt;0,0,ROUND('Quant. mod. (oc)'!H555,0))</f>
        <v>6</v>
      </c>
      <c r="I555" s="125">
        <f>IF('Quant. mod. (oc)'!I555&lt;0,0,ROUND('Quant. mod. (oc)'!I555,0))</f>
        <v>6</v>
      </c>
      <c r="J555" s="125">
        <f>IF('Quant. mod. (oc)'!J555&lt;0,0,ROUND('Quant. mod. (oc)'!J555,0))</f>
        <v>6</v>
      </c>
      <c r="K555" s="125">
        <f>IF('Quant. mod. (oc)'!K555&lt;0,0,ROUND('Quant. mod. (oc)'!K555,0))</f>
        <v>6</v>
      </c>
      <c r="L555" s="125">
        <f>IF('Quant. mod. (oc)'!L555&lt;0,0,ROUND('Quant. mod. (oc)'!L555,0))</f>
        <v>6</v>
      </c>
      <c r="M555" s="125">
        <f>IF('Quant. mod. (oc)'!M555&lt;0,0,ROUND('Quant. mod. (oc)'!M555,0))</f>
        <v>6</v>
      </c>
      <c r="N555" s="125">
        <f>IF('Quant. mod. (oc)'!N555&lt;0,0,ROUND('Quant. mod. (oc)'!N555,0))</f>
        <v>6</v>
      </c>
      <c r="O555" s="125">
        <f>IF('Quant. mod. (oc)'!O555&lt;0,0,ROUND('Quant. mod. (oc)'!O555,0))</f>
        <v>6</v>
      </c>
      <c r="P555" s="125">
        <f>IF('Quant. mod. (oc)'!P555&lt;0,0,ROUND('Quant. mod. (oc)'!P555,0))</f>
        <v>6</v>
      </c>
      <c r="Q555" s="125">
        <f>IF('Quant. mod. (oc)'!Q555&lt;0,0,ROUND('Quant. mod. (oc)'!Q555,0))</f>
        <v>6</v>
      </c>
      <c r="R555" s="125">
        <f>IF('Quant. mod. (oc)'!R555&lt;0,0,ROUND('Quant. mod. (oc)'!R555,0))</f>
        <v>6</v>
      </c>
      <c r="S555" s="125">
        <f>IF('Quant. mod. (oc)'!S555&lt;0,0,ROUND('Quant. mod. (oc)'!S555,0))</f>
        <v>6</v>
      </c>
      <c r="T555" s="125">
        <f>IF('Quant. mod. (oc)'!T555&lt;0,0,ROUND('Quant. mod. (oc)'!T555,0))</f>
        <v>6</v>
      </c>
      <c r="U555" s="125">
        <f>IF('Quant. mod. (oc)'!U555&lt;0,0,ROUND('Quant. mod. (oc)'!U555,0))</f>
        <v>6</v>
      </c>
      <c r="V555" s="125">
        <f>IF('Quant. mod. (oc)'!V555&lt;0,0,ROUND('Quant. mod. (oc)'!V555,0))</f>
        <v>6</v>
      </c>
      <c r="W555" s="125">
        <f>IF('Quant. mod. (oc)'!W555&lt;0,0,ROUND('Quant. mod. (oc)'!W555,0))</f>
        <v>6</v>
      </c>
      <c r="X555" s="125">
        <f>IF('Quant. mod. (oc)'!X555&lt;0,0,ROUND('Quant. mod. (oc)'!X555,0))</f>
        <v>6</v>
      </c>
      <c r="Y555" s="125">
        <f>IF('Quant. mod. (oc)'!Y555&lt;0,0,ROUND('Quant. mod. (oc)'!Y555,0))</f>
        <v>6</v>
      </c>
      <c r="Z555" s="125">
        <f>IF('Quant. mod. (oc)'!Z555&lt;0,0,ROUND('Quant. mod. (oc)'!Z555,0))</f>
        <v>6</v>
      </c>
      <c r="AA555" s="125">
        <f>IF('Quant. mod. (oc)'!AA555&lt;0,0,ROUND('Quant. mod. (oc)'!AA555,0))</f>
        <v>6</v>
      </c>
      <c r="AB555" s="125">
        <f>IF('Quant. mod. (oc)'!AB555&lt;0,0,ROUND('Quant. mod. (oc)'!AB555,0))</f>
        <v>6</v>
      </c>
      <c r="AC555" s="125">
        <f>IF('Quant. mod. (oc)'!AC555&lt;0,0,ROUND('Quant. mod. (oc)'!AC555,0))</f>
        <v>6</v>
      </c>
      <c r="AD555" s="125">
        <f>IF('Quant. mod. (oc)'!AD555&lt;0,0,ROUND('Quant. mod. (oc)'!AD555,0))</f>
        <v>6</v>
      </c>
      <c r="AE555" s="125">
        <f>IF('Quant. mod. (oc)'!AE555&lt;0,0,ROUND('Quant. mod. (oc)'!AE555,0))</f>
        <v>6</v>
      </c>
      <c r="AF555" s="125">
        <f>IF('Quant. mod. (oc)'!AF555&lt;0,0,ROUND('Quant. mod. (oc)'!AF555,0))</f>
        <v>6</v>
      </c>
      <c r="AG555" s="126">
        <f>IF('Quant. mod. (oc)'!AG555&lt;0,0,ROUND('Quant. mod. (oc)'!AG555,0))</f>
        <v>6</v>
      </c>
      <c r="AH555" s="22"/>
    </row>
    <row r="556" spans="1:34" x14ac:dyDescent="0.25">
      <c r="A556" s="112"/>
      <c r="B556" s="120" t="s">
        <v>580</v>
      </c>
      <c r="C556" s="121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  <c r="AF556" s="127"/>
      <c r="AG556" s="128"/>
      <c r="AH556" s="22"/>
    </row>
    <row r="557" spans="1:34" x14ac:dyDescent="0.25">
      <c r="A557" s="112"/>
      <c r="B557" s="136" t="s">
        <v>574</v>
      </c>
      <c r="C557" s="67" t="s">
        <v>59</v>
      </c>
      <c r="D557" s="125">
        <f>IF('Quant. mod. (oc)'!D557&lt;0,0,ROUND('Quant. mod. (oc)'!D557,0))</f>
        <v>8</v>
      </c>
      <c r="E557" s="125">
        <f>IF('Quant. mod. (oc)'!E557&lt;0,0,ROUND('Quant. mod. (oc)'!E557,0))</f>
        <v>8</v>
      </c>
      <c r="F557" s="125">
        <f>IF('Quant. mod. (oc)'!F557&lt;0,0,ROUND('Quant. mod. (oc)'!F557,0))</f>
        <v>8</v>
      </c>
      <c r="G557" s="125">
        <f>IF('Quant. mod. (oc)'!G557&lt;0,0,ROUND('Quant. mod. (oc)'!G557,0))</f>
        <v>8</v>
      </c>
      <c r="H557" s="125">
        <f>IF('Quant. mod. (oc)'!H557&lt;0,0,ROUND('Quant. mod. (oc)'!H557,0))</f>
        <v>8</v>
      </c>
      <c r="I557" s="125">
        <f>IF('Quant. mod. (oc)'!I557&lt;0,0,ROUND('Quant. mod. (oc)'!I557,0))</f>
        <v>8</v>
      </c>
      <c r="J557" s="125">
        <f>IF('Quant. mod. (oc)'!J557&lt;0,0,ROUND('Quant. mod. (oc)'!J557,0))</f>
        <v>8</v>
      </c>
      <c r="K557" s="125">
        <f>IF('Quant. mod. (oc)'!K557&lt;0,0,ROUND('Quant. mod. (oc)'!K557,0))</f>
        <v>8</v>
      </c>
      <c r="L557" s="125">
        <f>IF('Quant. mod. (oc)'!L557&lt;0,0,ROUND('Quant. mod. (oc)'!L557,0))</f>
        <v>8</v>
      </c>
      <c r="M557" s="125">
        <f>IF('Quant. mod. (oc)'!M557&lt;0,0,ROUND('Quant. mod. (oc)'!M557,0))</f>
        <v>8</v>
      </c>
      <c r="N557" s="125">
        <f>IF('Quant. mod. (oc)'!N557&lt;0,0,ROUND('Quant. mod. (oc)'!N557,0))</f>
        <v>8</v>
      </c>
      <c r="O557" s="125">
        <f>IF('Quant. mod. (oc)'!O557&lt;0,0,ROUND('Quant. mod. (oc)'!O557,0))</f>
        <v>8</v>
      </c>
      <c r="P557" s="125">
        <f>IF('Quant. mod. (oc)'!P557&lt;0,0,ROUND('Quant. mod. (oc)'!P557,0))</f>
        <v>8</v>
      </c>
      <c r="Q557" s="125">
        <f>IF('Quant. mod. (oc)'!Q557&lt;0,0,ROUND('Quant. mod. (oc)'!Q557,0))</f>
        <v>8</v>
      </c>
      <c r="R557" s="125">
        <f>IF('Quant. mod. (oc)'!R557&lt;0,0,ROUND('Quant. mod. (oc)'!R557,0))</f>
        <v>8</v>
      </c>
      <c r="S557" s="125">
        <f>IF('Quant. mod. (oc)'!S557&lt;0,0,ROUND('Quant. mod. (oc)'!S557,0))</f>
        <v>8</v>
      </c>
      <c r="T557" s="125">
        <f>IF('Quant. mod. (oc)'!T557&lt;0,0,ROUND('Quant. mod. (oc)'!T557,0))</f>
        <v>8</v>
      </c>
      <c r="U557" s="125">
        <f>IF('Quant. mod. (oc)'!U557&lt;0,0,ROUND('Quant. mod. (oc)'!U557,0))</f>
        <v>8</v>
      </c>
      <c r="V557" s="125">
        <f>IF('Quant. mod. (oc)'!V557&lt;0,0,ROUND('Quant. mod. (oc)'!V557,0))</f>
        <v>8</v>
      </c>
      <c r="W557" s="125">
        <f>IF('Quant. mod. (oc)'!W557&lt;0,0,ROUND('Quant. mod. (oc)'!W557,0))</f>
        <v>8</v>
      </c>
      <c r="X557" s="125">
        <f>IF('Quant. mod. (oc)'!X557&lt;0,0,ROUND('Quant. mod. (oc)'!X557,0))</f>
        <v>8</v>
      </c>
      <c r="Y557" s="125">
        <f>IF('Quant. mod. (oc)'!Y557&lt;0,0,ROUND('Quant. mod. (oc)'!Y557,0))</f>
        <v>8</v>
      </c>
      <c r="Z557" s="125">
        <f>IF('Quant. mod. (oc)'!Z557&lt;0,0,ROUND('Quant. mod. (oc)'!Z557,0))</f>
        <v>8</v>
      </c>
      <c r="AA557" s="125">
        <f>IF('Quant. mod. (oc)'!AA557&lt;0,0,ROUND('Quant. mod. (oc)'!AA557,0))</f>
        <v>8</v>
      </c>
      <c r="AB557" s="125">
        <f>IF('Quant. mod. (oc)'!AB557&lt;0,0,ROUND('Quant. mod. (oc)'!AB557,0))</f>
        <v>8</v>
      </c>
      <c r="AC557" s="125">
        <f>IF('Quant. mod. (oc)'!AC557&lt;0,0,ROUND('Quant. mod. (oc)'!AC557,0))</f>
        <v>8</v>
      </c>
      <c r="AD557" s="125">
        <f>IF('Quant. mod. (oc)'!AD557&lt;0,0,ROUND('Quant. mod. (oc)'!AD557,0))</f>
        <v>8</v>
      </c>
      <c r="AE557" s="125">
        <f>IF('Quant. mod. (oc)'!AE557&lt;0,0,ROUND('Quant. mod. (oc)'!AE557,0))</f>
        <v>8</v>
      </c>
      <c r="AF557" s="125">
        <f>IF('Quant. mod. (oc)'!AF557&lt;0,0,ROUND('Quant. mod. (oc)'!AF557,0))</f>
        <v>8</v>
      </c>
      <c r="AG557" s="126">
        <f>IF('Quant. mod. (oc)'!AG557&lt;0,0,ROUND('Quant. mod. (oc)'!AG557,0))</f>
        <v>8</v>
      </c>
      <c r="AH557" s="22"/>
    </row>
    <row r="558" spans="1:34" x14ac:dyDescent="0.25">
      <c r="A558" s="112"/>
      <c r="B558" s="136" t="s">
        <v>184</v>
      </c>
      <c r="C558" s="67" t="s">
        <v>59</v>
      </c>
      <c r="D558" s="125">
        <f>IF('Quant. mod. (oc)'!D558&lt;0,0,ROUND('Quant. mod. (oc)'!D558,0))</f>
        <v>8</v>
      </c>
      <c r="E558" s="125">
        <f>IF('Quant. mod. (oc)'!E558&lt;0,0,ROUND('Quant. mod. (oc)'!E558,0))</f>
        <v>8</v>
      </c>
      <c r="F558" s="125">
        <f>IF('Quant. mod. (oc)'!F558&lt;0,0,ROUND('Quant. mod. (oc)'!F558,0))</f>
        <v>8</v>
      </c>
      <c r="G558" s="125">
        <f>IF('Quant. mod. (oc)'!G558&lt;0,0,ROUND('Quant. mod. (oc)'!G558,0))</f>
        <v>8</v>
      </c>
      <c r="H558" s="125">
        <f>IF('Quant. mod. (oc)'!H558&lt;0,0,ROUND('Quant. mod. (oc)'!H558,0))</f>
        <v>8</v>
      </c>
      <c r="I558" s="125">
        <f>IF('Quant. mod. (oc)'!I558&lt;0,0,ROUND('Quant. mod. (oc)'!I558,0))</f>
        <v>8</v>
      </c>
      <c r="J558" s="125">
        <f>IF('Quant. mod. (oc)'!J558&lt;0,0,ROUND('Quant. mod. (oc)'!J558,0))</f>
        <v>8</v>
      </c>
      <c r="K558" s="125">
        <f>IF('Quant. mod. (oc)'!K558&lt;0,0,ROUND('Quant. mod. (oc)'!K558,0))</f>
        <v>8</v>
      </c>
      <c r="L558" s="125">
        <f>IF('Quant. mod. (oc)'!L558&lt;0,0,ROUND('Quant. mod. (oc)'!L558,0))</f>
        <v>8</v>
      </c>
      <c r="M558" s="125">
        <f>IF('Quant. mod. (oc)'!M558&lt;0,0,ROUND('Quant. mod. (oc)'!M558,0))</f>
        <v>8</v>
      </c>
      <c r="N558" s="125">
        <f>IF('Quant. mod. (oc)'!N558&lt;0,0,ROUND('Quant. mod. (oc)'!N558,0))</f>
        <v>8</v>
      </c>
      <c r="O558" s="125">
        <f>IF('Quant. mod. (oc)'!O558&lt;0,0,ROUND('Quant. mod. (oc)'!O558,0))</f>
        <v>8</v>
      </c>
      <c r="P558" s="125">
        <f>IF('Quant. mod. (oc)'!P558&lt;0,0,ROUND('Quant. mod. (oc)'!P558,0))</f>
        <v>8</v>
      </c>
      <c r="Q558" s="125">
        <f>IF('Quant. mod. (oc)'!Q558&lt;0,0,ROUND('Quant. mod. (oc)'!Q558,0))</f>
        <v>8</v>
      </c>
      <c r="R558" s="125">
        <f>IF('Quant. mod. (oc)'!R558&lt;0,0,ROUND('Quant. mod. (oc)'!R558,0))</f>
        <v>8</v>
      </c>
      <c r="S558" s="125">
        <f>IF('Quant. mod. (oc)'!S558&lt;0,0,ROUND('Quant. mod. (oc)'!S558,0))</f>
        <v>8</v>
      </c>
      <c r="T558" s="125">
        <f>IF('Quant. mod. (oc)'!T558&lt;0,0,ROUND('Quant. mod. (oc)'!T558,0))</f>
        <v>8</v>
      </c>
      <c r="U558" s="125">
        <f>IF('Quant. mod. (oc)'!U558&lt;0,0,ROUND('Quant. mod. (oc)'!U558,0))</f>
        <v>8</v>
      </c>
      <c r="V558" s="125">
        <f>IF('Quant. mod. (oc)'!V558&lt;0,0,ROUND('Quant. mod. (oc)'!V558,0))</f>
        <v>8</v>
      </c>
      <c r="W558" s="125">
        <f>IF('Quant. mod. (oc)'!W558&lt;0,0,ROUND('Quant. mod. (oc)'!W558,0))</f>
        <v>8</v>
      </c>
      <c r="X558" s="125">
        <f>IF('Quant. mod. (oc)'!X558&lt;0,0,ROUND('Quant. mod. (oc)'!X558,0))</f>
        <v>8</v>
      </c>
      <c r="Y558" s="125">
        <f>IF('Quant. mod. (oc)'!Y558&lt;0,0,ROUND('Quant. mod. (oc)'!Y558,0))</f>
        <v>8</v>
      </c>
      <c r="Z558" s="125">
        <f>IF('Quant. mod. (oc)'!Z558&lt;0,0,ROUND('Quant. mod. (oc)'!Z558,0))</f>
        <v>8</v>
      </c>
      <c r="AA558" s="125">
        <f>IF('Quant. mod. (oc)'!AA558&lt;0,0,ROUND('Quant. mod. (oc)'!AA558,0))</f>
        <v>8</v>
      </c>
      <c r="AB558" s="125">
        <f>IF('Quant. mod. (oc)'!AB558&lt;0,0,ROUND('Quant. mod. (oc)'!AB558,0))</f>
        <v>8</v>
      </c>
      <c r="AC558" s="125">
        <f>IF('Quant. mod. (oc)'!AC558&lt;0,0,ROUND('Quant. mod. (oc)'!AC558,0))</f>
        <v>8</v>
      </c>
      <c r="AD558" s="125">
        <f>IF('Quant. mod. (oc)'!AD558&lt;0,0,ROUND('Quant. mod. (oc)'!AD558,0))</f>
        <v>8</v>
      </c>
      <c r="AE558" s="125">
        <f>IF('Quant. mod. (oc)'!AE558&lt;0,0,ROUND('Quant. mod. (oc)'!AE558,0))</f>
        <v>8</v>
      </c>
      <c r="AF558" s="125">
        <f>IF('Quant. mod. (oc)'!AF558&lt;0,0,ROUND('Quant. mod. (oc)'!AF558,0))</f>
        <v>8</v>
      </c>
      <c r="AG558" s="126">
        <f>IF('Quant. mod. (oc)'!AG558&lt;0,0,ROUND('Quant. mod. (oc)'!AG558,0))</f>
        <v>8</v>
      </c>
      <c r="AH558" s="22"/>
    </row>
    <row r="559" spans="1:34" x14ac:dyDescent="0.25">
      <c r="A559" s="112"/>
      <c r="B559" s="136" t="s">
        <v>185</v>
      </c>
      <c r="C559" s="67" t="s">
        <v>59</v>
      </c>
      <c r="D559" s="125">
        <f>IF('Quant. mod. (oc)'!D559&lt;0,0,ROUND('Quant. mod. (oc)'!D559,0))</f>
        <v>8</v>
      </c>
      <c r="E559" s="125">
        <f>IF('Quant. mod. (oc)'!E559&lt;0,0,ROUND('Quant. mod. (oc)'!E559,0))</f>
        <v>8</v>
      </c>
      <c r="F559" s="125">
        <f>IF('Quant. mod. (oc)'!F559&lt;0,0,ROUND('Quant. mod. (oc)'!F559,0))</f>
        <v>8</v>
      </c>
      <c r="G559" s="125">
        <f>IF('Quant. mod. (oc)'!G559&lt;0,0,ROUND('Quant. mod. (oc)'!G559,0))</f>
        <v>8</v>
      </c>
      <c r="H559" s="125">
        <f>IF('Quant. mod. (oc)'!H559&lt;0,0,ROUND('Quant. mod. (oc)'!H559,0))</f>
        <v>8</v>
      </c>
      <c r="I559" s="125">
        <f>IF('Quant. mod. (oc)'!I559&lt;0,0,ROUND('Quant. mod. (oc)'!I559,0))</f>
        <v>8</v>
      </c>
      <c r="J559" s="125">
        <f>IF('Quant. mod. (oc)'!J559&lt;0,0,ROUND('Quant. mod. (oc)'!J559,0))</f>
        <v>8</v>
      </c>
      <c r="K559" s="125">
        <f>IF('Quant. mod. (oc)'!K559&lt;0,0,ROUND('Quant. mod. (oc)'!K559,0))</f>
        <v>8</v>
      </c>
      <c r="L559" s="125">
        <f>IF('Quant. mod. (oc)'!L559&lt;0,0,ROUND('Quant. mod. (oc)'!L559,0))</f>
        <v>8</v>
      </c>
      <c r="M559" s="125">
        <f>IF('Quant. mod. (oc)'!M559&lt;0,0,ROUND('Quant. mod. (oc)'!M559,0))</f>
        <v>8</v>
      </c>
      <c r="N559" s="125">
        <f>IF('Quant. mod. (oc)'!N559&lt;0,0,ROUND('Quant. mod. (oc)'!N559,0))</f>
        <v>8</v>
      </c>
      <c r="O559" s="125">
        <f>IF('Quant. mod. (oc)'!O559&lt;0,0,ROUND('Quant. mod. (oc)'!O559,0))</f>
        <v>8</v>
      </c>
      <c r="P559" s="125">
        <f>IF('Quant. mod. (oc)'!P559&lt;0,0,ROUND('Quant. mod. (oc)'!P559,0))</f>
        <v>8</v>
      </c>
      <c r="Q559" s="125">
        <f>IF('Quant. mod. (oc)'!Q559&lt;0,0,ROUND('Quant. mod. (oc)'!Q559,0))</f>
        <v>8</v>
      </c>
      <c r="R559" s="125">
        <f>IF('Quant. mod. (oc)'!R559&lt;0,0,ROUND('Quant. mod. (oc)'!R559,0))</f>
        <v>8</v>
      </c>
      <c r="S559" s="125">
        <f>IF('Quant. mod. (oc)'!S559&lt;0,0,ROUND('Quant. mod. (oc)'!S559,0))</f>
        <v>8</v>
      </c>
      <c r="T559" s="125">
        <f>IF('Quant. mod. (oc)'!T559&lt;0,0,ROUND('Quant. mod. (oc)'!T559,0))</f>
        <v>8</v>
      </c>
      <c r="U559" s="125">
        <f>IF('Quant. mod. (oc)'!U559&lt;0,0,ROUND('Quant. mod. (oc)'!U559,0))</f>
        <v>8</v>
      </c>
      <c r="V559" s="125">
        <f>IF('Quant. mod. (oc)'!V559&lt;0,0,ROUND('Quant. mod. (oc)'!V559,0))</f>
        <v>8</v>
      </c>
      <c r="W559" s="125">
        <f>IF('Quant. mod. (oc)'!W559&lt;0,0,ROUND('Quant. mod. (oc)'!W559,0))</f>
        <v>8</v>
      </c>
      <c r="X559" s="125">
        <f>IF('Quant. mod. (oc)'!X559&lt;0,0,ROUND('Quant. mod. (oc)'!X559,0))</f>
        <v>8</v>
      </c>
      <c r="Y559" s="125">
        <f>IF('Quant. mod. (oc)'!Y559&lt;0,0,ROUND('Quant. mod. (oc)'!Y559,0))</f>
        <v>8</v>
      </c>
      <c r="Z559" s="125">
        <f>IF('Quant. mod. (oc)'!Z559&lt;0,0,ROUND('Quant. mod. (oc)'!Z559,0))</f>
        <v>8</v>
      </c>
      <c r="AA559" s="125">
        <f>IF('Quant. mod. (oc)'!AA559&lt;0,0,ROUND('Quant. mod. (oc)'!AA559,0))</f>
        <v>8</v>
      </c>
      <c r="AB559" s="125">
        <f>IF('Quant. mod. (oc)'!AB559&lt;0,0,ROUND('Quant. mod. (oc)'!AB559,0))</f>
        <v>8</v>
      </c>
      <c r="AC559" s="125">
        <f>IF('Quant. mod. (oc)'!AC559&lt;0,0,ROUND('Quant. mod. (oc)'!AC559,0))</f>
        <v>8</v>
      </c>
      <c r="AD559" s="125">
        <f>IF('Quant. mod. (oc)'!AD559&lt;0,0,ROUND('Quant. mod. (oc)'!AD559,0))</f>
        <v>8</v>
      </c>
      <c r="AE559" s="125">
        <f>IF('Quant. mod. (oc)'!AE559&lt;0,0,ROUND('Quant. mod. (oc)'!AE559,0))</f>
        <v>8</v>
      </c>
      <c r="AF559" s="125">
        <f>IF('Quant. mod. (oc)'!AF559&lt;0,0,ROUND('Quant. mod. (oc)'!AF559,0))</f>
        <v>8</v>
      </c>
      <c r="AG559" s="126">
        <f>IF('Quant. mod. (oc)'!AG559&lt;0,0,ROUND('Quant. mod. (oc)'!AG559,0))</f>
        <v>8</v>
      </c>
      <c r="AH559" s="22"/>
    </row>
    <row r="560" spans="1:34" x14ac:dyDescent="0.25">
      <c r="A560" s="112"/>
      <c r="B560" s="136" t="s">
        <v>186</v>
      </c>
      <c r="C560" s="67" t="s">
        <v>59</v>
      </c>
      <c r="D560" s="125">
        <f>IF('Quant. mod. (oc)'!D560&lt;0,0,ROUND('Quant. mod. (oc)'!D560,0))</f>
        <v>2</v>
      </c>
      <c r="E560" s="125">
        <f>IF('Quant. mod. (oc)'!E560&lt;0,0,ROUND('Quant. mod. (oc)'!E560,0))</f>
        <v>2</v>
      </c>
      <c r="F560" s="125">
        <f>IF('Quant. mod. (oc)'!F560&lt;0,0,ROUND('Quant. mod. (oc)'!F560,0))</f>
        <v>2</v>
      </c>
      <c r="G560" s="125">
        <f>IF('Quant. mod. (oc)'!G560&lt;0,0,ROUND('Quant. mod. (oc)'!G560,0))</f>
        <v>2</v>
      </c>
      <c r="H560" s="125">
        <f>IF('Quant. mod. (oc)'!H560&lt;0,0,ROUND('Quant. mod. (oc)'!H560,0))</f>
        <v>2</v>
      </c>
      <c r="I560" s="125">
        <f>IF('Quant. mod. (oc)'!I560&lt;0,0,ROUND('Quant. mod. (oc)'!I560,0))</f>
        <v>2</v>
      </c>
      <c r="J560" s="125">
        <f>IF('Quant. mod. (oc)'!J560&lt;0,0,ROUND('Quant. mod. (oc)'!J560,0))</f>
        <v>2</v>
      </c>
      <c r="K560" s="125">
        <f>IF('Quant. mod. (oc)'!K560&lt;0,0,ROUND('Quant. mod. (oc)'!K560,0))</f>
        <v>2</v>
      </c>
      <c r="L560" s="125">
        <f>IF('Quant. mod. (oc)'!L560&lt;0,0,ROUND('Quant. mod. (oc)'!L560,0))</f>
        <v>2</v>
      </c>
      <c r="M560" s="125">
        <f>IF('Quant. mod. (oc)'!M560&lt;0,0,ROUND('Quant. mod. (oc)'!M560,0))</f>
        <v>2</v>
      </c>
      <c r="N560" s="125">
        <f>IF('Quant. mod. (oc)'!N560&lt;0,0,ROUND('Quant. mod. (oc)'!N560,0))</f>
        <v>2</v>
      </c>
      <c r="O560" s="125">
        <f>IF('Quant. mod. (oc)'!O560&lt;0,0,ROUND('Quant. mod. (oc)'!O560,0))</f>
        <v>2</v>
      </c>
      <c r="P560" s="125">
        <f>IF('Quant. mod. (oc)'!P560&lt;0,0,ROUND('Quant. mod. (oc)'!P560,0))</f>
        <v>2</v>
      </c>
      <c r="Q560" s="125">
        <f>IF('Quant. mod. (oc)'!Q560&lt;0,0,ROUND('Quant. mod. (oc)'!Q560,0))</f>
        <v>2</v>
      </c>
      <c r="R560" s="125">
        <f>IF('Quant. mod. (oc)'!R560&lt;0,0,ROUND('Quant. mod. (oc)'!R560,0))</f>
        <v>2</v>
      </c>
      <c r="S560" s="125">
        <f>IF('Quant. mod. (oc)'!S560&lt;0,0,ROUND('Quant. mod. (oc)'!S560,0))</f>
        <v>2</v>
      </c>
      <c r="T560" s="125">
        <f>IF('Quant. mod. (oc)'!T560&lt;0,0,ROUND('Quant. mod. (oc)'!T560,0))</f>
        <v>2</v>
      </c>
      <c r="U560" s="125">
        <f>IF('Quant. mod. (oc)'!U560&lt;0,0,ROUND('Quant. mod. (oc)'!U560,0))</f>
        <v>2</v>
      </c>
      <c r="V560" s="125">
        <f>IF('Quant. mod. (oc)'!V560&lt;0,0,ROUND('Quant. mod. (oc)'!V560,0))</f>
        <v>2</v>
      </c>
      <c r="W560" s="125">
        <f>IF('Quant. mod. (oc)'!W560&lt;0,0,ROUND('Quant. mod. (oc)'!W560,0))</f>
        <v>2</v>
      </c>
      <c r="X560" s="125">
        <f>IF('Quant. mod. (oc)'!X560&lt;0,0,ROUND('Quant. mod. (oc)'!X560,0))</f>
        <v>2</v>
      </c>
      <c r="Y560" s="125">
        <f>IF('Quant. mod. (oc)'!Y560&lt;0,0,ROUND('Quant. mod. (oc)'!Y560,0))</f>
        <v>2</v>
      </c>
      <c r="Z560" s="125">
        <f>IF('Quant. mod. (oc)'!Z560&lt;0,0,ROUND('Quant. mod. (oc)'!Z560,0))</f>
        <v>2</v>
      </c>
      <c r="AA560" s="125">
        <f>IF('Quant. mod. (oc)'!AA560&lt;0,0,ROUND('Quant. mod. (oc)'!AA560,0))</f>
        <v>2</v>
      </c>
      <c r="AB560" s="125">
        <f>IF('Quant. mod. (oc)'!AB560&lt;0,0,ROUND('Quant. mod. (oc)'!AB560,0))</f>
        <v>2</v>
      </c>
      <c r="AC560" s="125">
        <f>IF('Quant. mod. (oc)'!AC560&lt;0,0,ROUND('Quant. mod. (oc)'!AC560,0))</f>
        <v>2</v>
      </c>
      <c r="AD560" s="125">
        <f>IF('Quant. mod. (oc)'!AD560&lt;0,0,ROUND('Quant. mod. (oc)'!AD560,0))</f>
        <v>2</v>
      </c>
      <c r="AE560" s="125">
        <f>IF('Quant. mod. (oc)'!AE560&lt;0,0,ROUND('Quant. mod. (oc)'!AE560,0))</f>
        <v>2</v>
      </c>
      <c r="AF560" s="125">
        <f>IF('Quant. mod. (oc)'!AF560&lt;0,0,ROUND('Quant. mod. (oc)'!AF560,0))</f>
        <v>2</v>
      </c>
      <c r="AG560" s="126">
        <f>IF('Quant. mod. (oc)'!AG560&lt;0,0,ROUND('Quant. mod. (oc)'!AG560,0))</f>
        <v>2</v>
      </c>
      <c r="AH560" s="22"/>
    </row>
    <row r="561" spans="1:34" x14ac:dyDescent="0.25">
      <c r="A561" s="112"/>
      <c r="B561" s="136" t="s">
        <v>187</v>
      </c>
      <c r="C561" s="67" t="s">
        <v>59</v>
      </c>
      <c r="D561" s="125">
        <f>IF('Quant. mod. (oc)'!D561&lt;0,0,ROUND('Quant. mod. (oc)'!D561,0))</f>
        <v>2</v>
      </c>
      <c r="E561" s="125">
        <f>IF('Quant. mod. (oc)'!E561&lt;0,0,ROUND('Quant. mod. (oc)'!E561,0))</f>
        <v>2</v>
      </c>
      <c r="F561" s="125">
        <f>IF('Quant. mod. (oc)'!F561&lt;0,0,ROUND('Quant. mod. (oc)'!F561,0))</f>
        <v>2</v>
      </c>
      <c r="G561" s="125">
        <f>IF('Quant. mod. (oc)'!G561&lt;0,0,ROUND('Quant. mod. (oc)'!G561,0))</f>
        <v>2</v>
      </c>
      <c r="H561" s="125">
        <f>IF('Quant. mod. (oc)'!H561&lt;0,0,ROUND('Quant. mod. (oc)'!H561,0))</f>
        <v>2</v>
      </c>
      <c r="I561" s="125">
        <f>IF('Quant. mod. (oc)'!I561&lt;0,0,ROUND('Quant. mod. (oc)'!I561,0))</f>
        <v>2</v>
      </c>
      <c r="J561" s="125">
        <f>IF('Quant. mod. (oc)'!J561&lt;0,0,ROUND('Quant. mod. (oc)'!J561,0))</f>
        <v>2</v>
      </c>
      <c r="K561" s="125">
        <f>IF('Quant. mod. (oc)'!K561&lt;0,0,ROUND('Quant. mod. (oc)'!K561,0))</f>
        <v>2</v>
      </c>
      <c r="L561" s="125">
        <f>IF('Quant. mod. (oc)'!L561&lt;0,0,ROUND('Quant. mod. (oc)'!L561,0))</f>
        <v>2</v>
      </c>
      <c r="M561" s="125">
        <f>IF('Quant. mod. (oc)'!M561&lt;0,0,ROUND('Quant. mod. (oc)'!M561,0))</f>
        <v>2</v>
      </c>
      <c r="N561" s="125">
        <f>IF('Quant. mod. (oc)'!N561&lt;0,0,ROUND('Quant. mod. (oc)'!N561,0))</f>
        <v>2</v>
      </c>
      <c r="O561" s="125">
        <f>IF('Quant. mod. (oc)'!O561&lt;0,0,ROUND('Quant. mod. (oc)'!O561,0))</f>
        <v>2</v>
      </c>
      <c r="P561" s="125">
        <f>IF('Quant. mod. (oc)'!P561&lt;0,0,ROUND('Quant. mod. (oc)'!P561,0))</f>
        <v>2</v>
      </c>
      <c r="Q561" s="125">
        <f>IF('Quant. mod. (oc)'!Q561&lt;0,0,ROUND('Quant. mod. (oc)'!Q561,0))</f>
        <v>2</v>
      </c>
      <c r="R561" s="125">
        <f>IF('Quant. mod. (oc)'!R561&lt;0,0,ROUND('Quant. mod. (oc)'!R561,0))</f>
        <v>2</v>
      </c>
      <c r="S561" s="125">
        <f>IF('Quant. mod. (oc)'!S561&lt;0,0,ROUND('Quant. mod. (oc)'!S561,0))</f>
        <v>2</v>
      </c>
      <c r="T561" s="125">
        <f>IF('Quant. mod. (oc)'!T561&lt;0,0,ROUND('Quant. mod. (oc)'!T561,0))</f>
        <v>2</v>
      </c>
      <c r="U561" s="125">
        <f>IF('Quant. mod. (oc)'!U561&lt;0,0,ROUND('Quant. mod. (oc)'!U561,0))</f>
        <v>2</v>
      </c>
      <c r="V561" s="125">
        <f>IF('Quant. mod. (oc)'!V561&lt;0,0,ROUND('Quant. mod. (oc)'!V561,0))</f>
        <v>2</v>
      </c>
      <c r="W561" s="125">
        <f>IF('Quant. mod. (oc)'!W561&lt;0,0,ROUND('Quant. mod. (oc)'!W561,0))</f>
        <v>2</v>
      </c>
      <c r="X561" s="125">
        <f>IF('Quant. mod. (oc)'!X561&lt;0,0,ROUND('Quant. mod. (oc)'!X561,0))</f>
        <v>2</v>
      </c>
      <c r="Y561" s="125">
        <f>IF('Quant. mod. (oc)'!Y561&lt;0,0,ROUND('Quant. mod. (oc)'!Y561,0))</f>
        <v>2</v>
      </c>
      <c r="Z561" s="125">
        <f>IF('Quant. mod. (oc)'!Z561&lt;0,0,ROUND('Quant. mod. (oc)'!Z561,0))</f>
        <v>2</v>
      </c>
      <c r="AA561" s="125">
        <f>IF('Quant. mod. (oc)'!AA561&lt;0,0,ROUND('Quant. mod. (oc)'!AA561,0))</f>
        <v>2</v>
      </c>
      <c r="AB561" s="125">
        <f>IF('Quant. mod. (oc)'!AB561&lt;0,0,ROUND('Quant. mod. (oc)'!AB561,0))</f>
        <v>2</v>
      </c>
      <c r="AC561" s="125">
        <f>IF('Quant. mod. (oc)'!AC561&lt;0,0,ROUND('Quant. mod. (oc)'!AC561,0))</f>
        <v>2</v>
      </c>
      <c r="AD561" s="125">
        <f>IF('Quant. mod. (oc)'!AD561&lt;0,0,ROUND('Quant. mod. (oc)'!AD561,0))</f>
        <v>2</v>
      </c>
      <c r="AE561" s="125">
        <f>IF('Quant. mod. (oc)'!AE561&lt;0,0,ROUND('Quant. mod. (oc)'!AE561,0))</f>
        <v>2</v>
      </c>
      <c r="AF561" s="125">
        <f>IF('Quant. mod. (oc)'!AF561&lt;0,0,ROUND('Quant. mod. (oc)'!AF561,0))</f>
        <v>2</v>
      </c>
      <c r="AG561" s="126">
        <f>IF('Quant. mod. (oc)'!AG561&lt;0,0,ROUND('Quant. mod. (oc)'!AG561,0))</f>
        <v>2</v>
      </c>
      <c r="AH561" s="22"/>
    </row>
    <row r="562" spans="1:34" x14ac:dyDescent="0.25">
      <c r="A562" s="112"/>
      <c r="B562" s="136" t="s">
        <v>455</v>
      </c>
      <c r="C562" s="67" t="s">
        <v>59</v>
      </c>
      <c r="D562" s="125">
        <f>IF('Quant. mod. (oc)'!D562&lt;0,0,ROUND('Quant. mod. (oc)'!D562,0))</f>
        <v>1</v>
      </c>
      <c r="E562" s="125">
        <f>IF('Quant. mod. (oc)'!E562&lt;0,0,ROUND('Quant. mod. (oc)'!E562,0))</f>
        <v>1</v>
      </c>
      <c r="F562" s="125">
        <f>IF('Quant. mod. (oc)'!F562&lt;0,0,ROUND('Quant. mod. (oc)'!F562,0))</f>
        <v>1</v>
      </c>
      <c r="G562" s="125">
        <f>IF('Quant. mod. (oc)'!G562&lt;0,0,ROUND('Quant. mod. (oc)'!G562,0))</f>
        <v>1</v>
      </c>
      <c r="H562" s="125">
        <f>IF('Quant. mod. (oc)'!H562&lt;0,0,ROUND('Quant. mod. (oc)'!H562,0))</f>
        <v>1</v>
      </c>
      <c r="I562" s="125">
        <f>IF('Quant. mod. (oc)'!I562&lt;0,0,ROUND('Quant. mod. (oc)'!I562,0))</f>
        <v>1</v>
      </c>
      <c r="J562" s="125">
        <f>IF('Quant. mod. (oc)'!J562&lt;0,0,ROUND('Quant. mod. (oc)'!J562,0))</f>
        <v>1</v>
      </c>
      <c r="K562" s="125">
        <f>IF('Quant. mod. (oc)'!K562&lt;0,0,ROUND('Quant. mod. (oc)'!K562,0))</f>
        <v>1</v>
      </c>
      <c r="L562" s="125">
        <f>IF('Quant. mod. (oc)'!L562&lt;0,0,ROUND('Quant. mod. (oc)'!L562,0))</f>
        <v>1</v>
      </c>
      <c r="M562" s="125">
        <f>IF('Quant. mod. (oc)'!M562&lt;0,0,ROUND('Quant. mod. (oc)'!M562,0))</f>
        <v>1</v>
      </c>
      <c r="N562" s="125">
        <f>IF('Quant. mod. (oc)'!N562&lt;0,0,ROUND('Quant. mod. (oc)'!N562,0))</f>
        <v>1</v>
      </c>
      <c r="O562" s="125">
        <f>IF('Quant. mod. (oc)'!O562&lt;0,0,ROUND('Quant. mod. (oc)'!O562,0))</f>
        <v>1</v>
      </c>
      <c r="P562" s="125">
        <f>IF('Quant. mod. (oc)'!P562&lt;0,0,ROUND('Quant. mod. (oc)'!P562,0))</f>
        <v>1</v>
      </c>
      <c r="Q562" s="125">
        <f>IF('Quant. mod. (oc)'!Q562&lt;0,0,ROUND('Quant. mod. (oc)'!Q562,0))</f>
        <v>1</v>
      </c>
      <c r="R562" s="125">
        <f>IF('Quant. mod. (oc)'!R562&lt;0,0,ROUND('Quant. mod. (oc)'!R562,0))</f>
        <v>1</v>
      </c>
      <c r="S562" s="125">
        <f>IF('Quant. mod. (oc)'!S562&lt;0,0,ROUND('Quant. mod. (oc)'!S562,0))</f>
        <v>1</v>
      </c>
      <c r="T562" s="125">
        <f>IF('Quant. mod. (oc)'!T562&lt;0,0,ROUND('Quant. mod. (oc)'!T562,0))</f>
        <v>1</v>
      </c>
      <c r="U562" s="125">
        <f>IF('Quant. mod. (oc)'!U562&lt;0,0,ROUND('Quant. mod. (oc)'!U562,0))</f>
        <v>1</v>
      </c>
      <c r="V562" s="125">
        <f>IF('Quant. mod. (oc)'!V562&lt;0,0,ROUND('Quant. mod. (oc)'!V562,0))</f>
        <v>1</v>
      </c>
      <c r="W562" s="125">
        <f>IF('Quant. mod. (oc)'!W562&lt;0,0,ROUND('Quant. mod. (oc)'!W562,0))</f>
        <v>1</v>
      </c>
      <c r="X562" s="125">
        <f>IF('Quant. mod. (oc)'!X562&lt;0,0,ROUND('Quant. mod. (oc)'!X562,0))</f>
        <v>1</v>
      </c>
      <c r="Y562" s="125">
        <f>IF('Quant. mod. (oc)'!Y562&lt;0,0,ROUND('Quant. mod. (oc)'!Y562,0))</f>
        <v>1</v>
      </c>
      <c r="Z562" s="125">
        <f>IF('Quant. mod. (oc)'!Z562&lt;0,0,ROUND('Quant. mod. (oc)'!Z562,0))</f>
        <v>1</v>
      </c>
      <c r="AA562" s="125">
        <f>IF('Quant. mod. (oc)'!AA562&lt;0,0,ROUND('Quant. mod. (oc)'!AA562,0))</f>
        <v>1</v>
      </c>
      <c r="AB562" s="125">
        <f>IF('Quant. mod. (oc)'!AB562&lt;0,0,ROUND('Quant. mod. (oc)'!AB562,0))</f>
        <v>1</v>
      </c>
      <c r="AC562" s="125">
        <f>IF('Quant. mod. (oc)'!AC562&lt;0,0,ROUND('Quant. mod. (oc)'!AC562,0))</f>
        <v>1</v>
      </c>
      <c r="AD562" s="125">
        <f>IF('Quant. mod. (oc)'!AD562&lt;0,0,ROUND('Quant. mod. (oc)'!AD562,0))</f>
        <v>1</v>
      </c>
      <c r="AE562" s="125">
        <f>IF('Quant. mod. (oc)'!AE562&lt;0,0,ROUND('Quant. mod. (oc)'!AE562,0))</f>
        <v>1</v>
      </c>
      <c r="AF562" s="125">
        <f>IF('Quant. mod. (oc)'!AF562&lt;0,0,ROUND('Quant. mod. (oc)'!AF562,0))</f>
        <v>1</v>
      </c>
      <c r="AG562" s="126">
        <f>IF('Quant. mod. (oc)'!AG562&lt;0,0,ROUND('Quant. mod. (oc)'!AG562,0))</f>
        <v>1</v>
      </c>
      <c r="AH562" s="22"/>
    </row>
    <row r="563" spans="1:34" x14ac:dyDescent="0.25">
      <c r="A563" s="112"/>
      <c r="B563" s="120" t="s">
        <v>581</v>
      </c>
      <c r="C563" s="121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  <c r="AF563" s="127"/>
      <c r="AG563" s="128"/>
      <c r="AH563" s="22"/>
    </row>
    <row r="564" spans="1:34" x14ac:dyDescent="0.25">
      <c r="A564" s="112"/>
      <c r="B564" s="136" t="s">
        <v>188</v>
      </c>
      <c r="C564" s="67" t="s">
        <v>59</v>
      </c>
      <c r="D564" s="125">
        <f>IF('Quant. mod. (oc)'!D564&lt;0,0,ROUND('Quant. mod. (oc)'!D564,0))</f>
        <v>2</v>
      </c>
      <c r="E564" s="125">
        <f>IF('Quant. mod. (oc)'!E564&lt;0,0,ROUND('Quant. mod. (oc)'!E564,0))</f>
        <v>0</v>
      </c>
      <c r="F564" s="125">
        <f>IF('Quant. mod. (oc)'!F564&lt;0,0,ROUND('Quant. mod. (oc)'!F564,0))</f>
        <v>0</v>
      </c>
      <c r="G564" s="125">
        <f>IF('Quant. mod. (oc)'!G564&lt;0,0,ROUND('Quant. mod. (oc)'!G564,0))</f>
        <v>2</v>
      </c>
      <c r="H564" s="125">
        <f>IF('Quant. mod. (oc)'!H564&lt;0,0,ROUND('Quant. mod. (oc)'!H564,0))</f>
        <v>0</v>
      </c>
      <c r="I564" s="125">
        <f>IF('Quant. mod. (oc)'!I564&lt;0,0,ROUND('Quant. mod. (oc)'!I564,0))</f>
        <v>0</v>
      </c>
      <c r="J564" s="125">
        <f>IF('Quant. mod. (oc)'!J564&lt;0,0,ROUND('Quant. mod. (oc)'!J564,0))</f>
        <v>2</v>
      </c>
      <c r="K564" s="125">
        <f>IF('Quant. mod. (oc)'!K564&lt;0,0,ROUND('Quant. mod. (oc)'!K564,0))</f>
        <v>0</v>
      </c>
      <c r="L564" s="125">
        <f>IF('Quant. mod. (oc)'!L564&lt;0,0,ROUND('Quant. mod. (oc)'!L564,0))</f>
        <v>2</v>
      </c>
      <c r="M564" s="125">
        <f>IF('Quant. mod. (oc)'!M564&lt;0,0,ROUND('Quant. mod. (oc)'!M564,0))</f>
        <v>0</v>
      </c>
      <c r="N564" s="125">
        <f>IF('Quant. mod. (oc)'!N564&lt;0,0,ROUND('Quant. mod. (oc)'!N564,0))</f>
        <v>2</v>
      </c>
      <c r="O564" s="125">
        <f>IF('Quant. mod. (oc)'!O564&lt;0,0,ROUND('Quant. mod. (oc)'!O564,0))</f>
        <v>0</v>
      </c>
      <c r="P564" s="125">
        <f>IF('Quant. mod. (oc)'!P564&lt;0,0,ROUND('Quant. mod. (oc)'!P564,0))</f>
        <v>0</v>
      </c>
      <c r="Q564" s="125">
        <f>IF('Quant. mod. (oc)'!Q564&lt;0,0,ROUND('Quant. mod. (oc)'!Q564,0))</f>
        <v>2</v>
      </c>
      <c r="R564" s="125">
        <f>IF('Quant. mod. (oc)'!R564&lt;0,0,ROUND('Quant. mod. (oc)'!R564,0))</f>
        <v>0</v>
      </c>
      <c r="S564" s="125">
        <f>IF('Quant. mod. (oc)'!S564&lt;0,0,ROUND('Quant. mod. (oc)'!S564,0))</f>
        <v>0</v>
      </c>
      <c r="T564" s="125">
        <f>IF('Quant. mod. (oc)'!T564&lt;0,0,ROUND('Quant. mod. (oc)'!T564,0))</f>
        <v>2</v>
      </c>
      <c r="U564" s="125">
        <f>IF('Quant. mod. (oc)'!U564&lt;0,0,ROUND('Quant. mod. (oc)'!U564,0))</f>
        <v>0</v>
      </c>
      <c r="V564" s="125">
        <f>IF('Quant. mod. (oc)'!V564&lt;0,0,ROUND('Quant. mod. (oc)'!V564,0))</f>
        <v>2</v>
      </c>
      <c r="W564" s="125">
        <f>IF('Quant. mod. (oc)'!W564&lt;0,0,ROUND('Quant. mod. (oc)'!W564,0))</f>
        <v>0</v>
      </c>
      <c r="X564" s="125">
        <f>IF('Quant. mod. (oc)'!X564&lt;0,0,ROUND('Quant. mod. (oc)'!X564,0))</f>
        <v>2</v>
      </c>
      <c r="Y564" s="125">
        <f>IF('Quant. mod. (oc)'!Y564&lt;0,0,ROUND('Quant. mod. (oc)'!Y564,0))</f>
        <v>0</v>
      </c>
      <c r="Z564" s="125">
        <f>IF('Quant. mod. (oc)'!Z564&lt;0,0,ROUND('Quant. mod. (oc)'!Z564,0))</f>
        <v>0</v>
      </c>
      <c r="AA564" s="125">
        <f>IF('Quant. mod. (oc)'!AA564&lt;0,0,ROUND('Quant. mod. (oc)'!AA564,0))</f>
        <v>2</v>
      </c>
      <c r="AB564" s="125">
        <f>IF('Quant. mod. (oc)'!AB564&lt;0,0,ROUND('Quant. mod. (oc)'!AB564,0))</f>
        <v>0</v>
      </c>
      <c r="AC564" s="125">
        <f>IF('Quant. mod. (oc)'!AC564&lt;0,0,ROUND('Quant. mod. (oc)'!AC564,0))</f>
        <v>0</v>
      </c>
      <c r="AD564" s="125">
        <f>IF('Quant. mod. (oc)'!AD564&lt;0,0,ROUND('Quant. mod. (oc)'!AD564,0))</f>
        <v>2</v>
      </c>
      <c r="AE564" s="125">
        <f>IF('Quant. mod. (oc)'!AE564&lt;0,0,ROUND('Quant. mod. (oc)'!AE564,0))</f>
        <v>0</v>
      </c>
      <c r="AF564" s="125">
        <f>IF('Quant. mod. (oc)'!AF564&lt;0,0,ROUND('Quant. mod. (oc)'!AF564,0))</f>
        <v>2</v>
      </c>
      <c r="AG564" s="126">
        <f>IF('Quant. mod. (oc)'!AG564&lt;0,0,ROUND('Quant. mod. (oc)'!AG564,0))</f>
        <v>0</v>
      </c>
      <c r="AH564" s="22"/>
    </row>
    <row r="565" spans="1:34" ht="25.5" x14ac:dyDescent="0.25">
      <c r="A565" s="112"/>
      <c r="B565" s="136" t="s">
        <v>189</v>
      </c>
      <c r="C565" s="67" t="s">
        <v>59</v>
      </c>
      <c r="D565" s="125">
        <f>IF('Quant. mod. (oc)'!D565&lt;0,0,ROUND('Quant. mod. (oc)'!D565,0))</f>
        <v>1</v>
      </c>
      <c r="E565" s="125">
        <f>IF('Quant. mod. (oc)'!E565&lt;0,0,ROUND('Quant. mod. (oc)'!E565,0))</f>
        <v>0</v>
      </c>
      <c r="F565" s="125">
        <f>IF('Quant. mod. (oc)'!F565&lt;0,0,ROUND('Quant. mod. (oc)'!F565,0))</f>
        <v>0</v>
      </c>
      <c r="G565" s="125">
        <f>IF('Quant. mod. (oc)'!G565&lt;0,0,ROUND('Quant. mod. (oc)'!G565,0))</f>
        <v>1</v>
      </c>
      <c r="H565" s="125">
        <f>IF('Quant. mod. (oc)'!H565&lt;0,0,ROUND('Quant. mod. (oc)'!H565,0))</f>
        <v>0</v>
      </c>
      <c r="I565" s="125">
        <f>IF('Quant. mod. (oc)'!I565&lt;0,0,ROUND('Quant. mod. (oc)'!I565,0))</f>
        <v>0</v>
      </c>
      <c r="J565" s="125">
        <f>IF('Quant. mod. (oc)'!J565&lt;0,0,ROUND('Quant. mod. (oc)'!J565,0))</f>
        <v>1</v>
      </c>
      <c r="K565" s="125">
        <f>IF('Quant. mod. (oc)'!K565&lt;0,0,ROUND('Quant. mod. (oc)'!K565,0))</f>
        <v>0</v>
      </c>
      <c r="L565" s="125">
        <f>IF('Quant. mod. (oc)'!L565&lt;0,0,ROUND('Quant. mod. (oc)'!L565,0))</f>
        <v>1</v>
      </c>
      <c r="M565" s="125">
        <f>IF('Quant. mod. (oc)'!M565&lt;0,0,ROUND('Quant. mod. (oc)'!M565,0))</f>
        <v>0</v>
      </c>
      <c r="N565" s="125">
        <f>IF('Quant. mod. (oc)'!N565&lt;0,0,ROUND('Quant. mod. (oc)'!N565,0))</f>
        <v>1</v>
      </c>
      <c r="O565" s="125">
        <f>IF('Quant. mod. (oc)'!O565&lt;0,0,ROUND('Quant. mod. (oc)'!O565,0))</f>
        <v>0</v>
      </c>
      <c r="P565" s="125">
        <f>IF('Quant. mod. (oc)'!P565&lt;0,0,ROUND('Quant. mod. (oc)'!P565,0))</f>
        <v>0</v>
      </c>
      <c r="Q565" s="125">
        <f>IF('Quant. mod. (oc)'!Q565&lt;0,0,ROUND('Quant. mod. (oc)'!Q565,0))</f>
        <v>1</v>
      </c>
      <c r="R565" s="125">
        <f>IF('Quant. mod. (oc)'!R565&lt;0,0,ROUND('Quant. mod. (oc)'!R565,0))</f>
        <v>0</v>
      </c>
      <c r="S565" s="125">
        <f>IF('Quant. mod. (oc)'!S565&lt;0,0,ROUND('Quant. mod. (oc)'!S565,0))</f>
        <v>0</v>
      </c>
      <c r="T565" s="125">
        <f>IF('Quant. mod. (oc)'!T565&lt;0,0,ROUND('Quant. mod. (oc)'!T565,0))</f>
        <v>1</v>
      </c>
      <c r="U565" s="125">
        <f>IF('Quant. mod. (oc)'!U565&lt;0,0,ROUND('Quant. mod. (oc)'!U565,0))</f>
        <v>0</v>
      </c>
      <c r="V565" s="125">
        <f>IF('Quant. mod. (oc)'!V565&lt;0,0,ROUND('Quant. mod. (oc)'!V565,0))</f>
        <v>1</v>
      </c>
      <c r="W565" s="125">
        <f>IF('Quant. mod. (oc)'!W565&lt;0,0,ROUND('Quant. mod. (oc)'!W565,0))</f>
        <v>0</v>
      </c>
      <c r="X565" s="125">
        <f>IF('Quant. mod. (oc)'!X565&lt;0,0,ROUND('Quant. mod. (oc)'!X565,0))</f>
        <v>1</v>
      </c>
      <c r="Y565" s="125">
        <f>IF('Quant. mod. (oc)'!Y565&lt;0,0,ROUND('Quant. mod. (oc)'!Y565,0))</f>
        <v>0</v>
      </c>
      <c r="Z565" s="125">
        <f>IF('Quant. mod. (oc)'!Z565&lt;0,0,ROUND('Quant. mod. (oc)'!Z565,0))</f>
        <v>0</v>
      </c>
      <c r="AA565" s="125">
        <f>IF('Quant. mod. (oc)'!AA565&lt;0,0,ROUND('Quant. mod. (oc)'!AA565,0))</f>
        <v>1</v>
      </c>
      <c r="AB565" s="125">
        <f>IF('Quant. mod. (oc)'!AB565&lt;0,0,ROUND('Quant. mod. (oc)'!AB565,0))</f>
        <v>0</v>
      </c>
      <c r="AC565" s="125">
        <f>IF('Quant. mod. (oc)'!AC565&lt;0,0,ROUND('Quant. mod. (oc)'!AC565,0))</f>
        <v>0</v>
      </c>
      <c r="AD565" s="125">
        <f>IF('Quant. mod. (oc)'!AD565&lt;0,0,ROUND('Quant. mod. (oc)'!AD565,0))</f>
        <v>1</v>
      </c>
      <c r="AE565" s="125">
        <f>IF('Quant. mod. (oc)'!AE565&lt;0,0,ROUND('Quant. mod. (oc)'!AE565,0))</f>
        <v>0</v>
      </c>
      <c r="AF565" s="125">
        <f>IF('Quant. mod. (oc)'!AF565&lt;0,0,ROUND('Quant. mod. (oc)'!AF565,0))</f>
        <v>1</v>
      </c>
      <c r="AG565" s="126">
        <f>IF('Quant. mod. (oc)'!AG565&lt;0,0,ROUND('Quant. mod. (oc)'!AG565,0))</f>
        <v>0</v>
      </c>
      <c r="AH565" s="22"/>
    </row>
    <row r="566" spans="1:34" x14ac:dyDescent="0.25">
      <c r="A566" s="112"/>
      <c r="B566" s="136" t="s">
        <v>190</v>
      </c>
      <c r="C566" s="67" t="s">
        <v>59</v>
      </c>
      <c r="D566" s="125">
        <f>IF('Quant. mod. (oc)'!D566&lt;0,0,ROUND('Quant. mod. (oc)'!D566,0))</f>
        <v>2</v>
      </c>
      <c r="E566" s="125">
        <f>IF('Quant. mod. (oc)'!E566&lt;0,0,ROUND('Quant. mod. (oc)'!E566,0))</f>
        <v>0</v>
      </c>
      <c r="F566" s="125">
        <f>IF('Quant. mod. (oc)'!F566&lt;0,0,ROUND('Quant. mod. (oc)'!F566,0))</f>
        <v>0</v>
      </c>
      <c r="G566" s="125">
        <f>IF('Quant. mod. (oc)'!G566&lt;0,0,ROUND('Quant. mod. (oc)'!G566,0))</f>
        <v>2</v>
      </c>
      <c r="H566" s="125">
        <f>IF('Quant. mod. (oc)'!H566&lt;0,0,ROUND('Quant. mod. (oc)'!H566,0))</f>
        <v>0</v>
      </c>
      <c r="I566" s="125">
        <f>IF('Quant. mod. (oc)'!I566&lt;0,0,ROUND('Quant. mod. (oc)'!I566,0))</f>
        <v>0</v>
      </c>
      <c r="J566" s="125">
        <f>IF('Quant. mod. (oc)'!J566&lt;0,0,ROUND('Quant. mod. (oc)'!J566,0))</f>
        <v>2</v>
      </c>
      <c r="K566" s="125">
        <f>IF('Quant. mod. (oc)'!K566&lt;0,0,ROUND('Quant. mod. (oc)'!K566,0))</f>
        <v>0</v>
      </c>
      <c r="L566" s="125">
        <f>IF('Quant. mod. (oc)'!L566&lt;0,0,ROUND('Quant. mod. (oc)'!L566,0))</f>
        <v>2</v>
      </c>
      <c r="M566" s="125">
        <f>IF('Quant. mod. (oc)'!M566&lt;0,0,ROUND('Quant. mod. (oc)'!M566,0))</f>
        <v>0</v>
      </c>
      <c r="N566" s="125">
        <f>IF('Quant. mod. (oc)'!N566&lt;0,0,ROUND('Quant. mod. (oc)'!N566,0))</f>
        <v>2</v>
      </c>
      <c r="O566" s="125">
        <f>IF('Quant. mod. (oc)'!O566&lt;0,0,ROUND('Quant. mod. (oc)'!O566,0))</f>
        <v>0</v>
      </c>
      <c r="P566" s="125">
        <f>IF('Quant. mod. (oc)'!P566&lt;0,0,ROUND('Quant. mod. (oc)'!P566,0))</f>
        <v>0</v>
      </c>
      <c r="Q566" s="125">
        <f>IF('Quant. mod. (oc)'!Q566&lt;0,0,ROUND('Quant. mod. (oc)'!Q566,0))</f>
        <v>2</v>
      </c>
      <c r="R566" s="125">
        <f>IF('Quant. mod. (oc)'!R566&lt;0,0,ROUND('Quant. mod. (oc)'!R566,0))</f>
        <v>0</v>
      </c>
      <c r="S566" s="125">
        <f>IF('Quant. mod. (oc)'!S566&lt;0,0,ROUND('Quant. mod. (oc)'!S566,0))</f>
        <v>0</v>
      </c>
      <c r="T566" s="125">
        <f>IF('Quant. mod. (oc)'!T566&lt;0,0,ROUND('Quant. mod. (oc)'!T566,0))</f>
        <v>2</v>
      </c>
      <c r="U566" s="125">
        <f>IF('Quant. mod. (oc)'!U566&lt;0,0,ROUND('Quant. mod. (oc)'!U566,0))</f>
        <v>0</v>
      </c>
      <c r="V566" s="125">
        <f>IF('Quant. mod. (oc)'!V566&lt;0,0,ROUND('Quant. mod. (oc)'!V566,0))</f>
        <v>2</v>
      </c>
      <c r="W566" s="125">
        <f>IF('Quant. mod. (oc)'!W566&lt;0,0,ROUND('Quant. mod. (oc)'!W566,0))</f>
        <v>0</v>
      </c>
      <c r="X566" s="125">
        <f>IF('Quant. mod. (oc)'!X566&lt;0,0,ROUND('Quant. mod. (oc)'!X566,0))</f>
        <v>2</v>
      </c>
      <c r="Y566" s="125">
        <f>IF('Quant. mod. (oc)'!Y566&lt;0,0,ROUND('Quant. mod. (oc)'!Y566,0))</f>
        <v>0</v>
      </c>
      <c r="Z566" s="125">
        <f>IF('Quant. mod. (oc)'!Z566&lt;0,0,ROUND('Quant. mod. (oc)'!Z566,0))</f>
        <v>0</v>
      </c>
      <c r="AA566" s="125">
        <f>IF('Quant. mod. (oc)'!AA566&lt;0,0,ROUND('Quant. mod. (oc)'!AA566,0))</f>
        <v>2</v>
      </c>
      <c r="AB566" s="125">
        <f>IF('Quant. mod. (oc)'!AB566&lt;0,0,ROUND('Quant. mod. (oc)'!AB566,0))</f>
        <v>0</v>
      </c>
      <c r="AC566" s="125">
        <f>IF('Quant. mod. (oc)'!AC566&lt;0,0,ROUND('Quant. mod. (oc)'!AC566,0))</f>
        <v>0</v>
      </c>
      <c r="AD566" s="125">
        <f>IF('Quant. mod. (oc)'!AD566&lt;0,0,ROUND('Quant. mod. (oc)'!AD566,0))</f>
        <v>2</v>
      </c>
      <c r="AE566" s="125">
        <f>IF('Quant. mod. (oc)'!AE566&lt;0,0,ROUND('Quant. mod. (oc)'!AE566,0))</f>
        <v>0</v>
      </c>
      <c r="AF566" s="125">
        <f>IF('Quant. mod. (oc)'!AF566&lt;0,0,ROUND('Quant. mod. (oc)'!AF566,0))</f>
        <v>2</v>
      </c>
      <c r="AG566" s="126">
        <f>IF('Quant. mod. (oc)'!AG566&lt;0,0,ROUND('Quant. mod. (oc)'!AG566,0))</f>
        <v>0</v>
      </c>
      <c r="AH566" s="22"/>
    </row>
    <row r="567" spans="1:34" x14ac:dyDescent="0.25">
      <c r="A567" s="112"/>
      <c r="B567" s="136" t="s">
        <v>455</v>
      </c>
      <c r="C567" s="67" t="s">
        <v>59</v>
      </c>
      <c r="D567" s="125">
        <f>IF('Quant. mod. (oc)'!D567&lt;0,0,ROUND('Quant. mod. (oc)'!D567,0))</f>
        <v>1</v>
      </c>
      <c r="E567" s="125">
        <f>IF('Quant. mod. (oc)'!E567&lt;0,0,ROUND('Quant. mod. (oc)'!E567,0))</f>
        <v>0</v>
      </c>
      <c r="F567" s="125">
        <f>IF('Quant. mod. (oc)'!F567&lt;0,0,ROUND('Quant. mod. (oc)'!F567,0))</f>
        <v>0</v>
      </c>
      <c r="G567" s="125">
        <f>IF('Quant. mod. (oc)'!G567&lt;0,0,ROUND('Quant. mod. (oc)'!G567,0))</f>
        <v>1</v>
      </c>
      <c r="H567" s="125">
        <f>IF('Quant. mod. (oc)'!H567&lt;0,0,ROUND('Quant. mod. (oc)'!H567,0))</f>
        <v>0</v>
      </c>
      <c r="I567" s="125">
        <f>IF('Quant. mod. (oc)'!I567&lt;0,0,ROUND('Quant. mod. (oc)'!I567,0))</f>
        <v>0</v>
      </c>
      <c r="J567" s="125">
        <f>IF('Quant. mod. (oc)'!J567&lt;0,0,ROUND('Quant. mod. (oc)'!J567,0))</f>
        <v>1</v>
      </c>
      <c r="K567" s="125">
        <f>IF('Quant. mod. (oc)'!K567&lt;0,0,ROUND('Quant. mod. (oc)'!K567,0))</f>
        <v>0</v>
      </c>
      <c r="L567" s="125">
        <f>IF('Quant. mod. (oc)'!L567&lt;0,0,ROUND('Quant. mod. (oc)'!L567,0))</f>
        <v>1</v>
      </c>
      <c r="M567" s="125">
        <f>IF('Quant. mod. (oc)'!M567&lt;0,0,ROUND('Quant. mod. (oc)'!M567,0))</f>
        <v>0</v>
      </c>
      <c r="N567" s="125">
        <f>IF('Quant. mod. (oc)'!N567&lt;0,0,ROUND('Quant. mod. (oc)'!N567,0))</f>
        <v>1</v>
      </c>
      <c r="O567" s="125">
        <f>IF('Quant. mod. (oc)'!O567&lt;0,0,ROUND('Quant. mod. (oc)'!O567,0))</f>
        <v>0</v>
      </c>
      <c r="P567" s="125">
        <f>IF('Quant. mod. (oc)'!P567&lt;0,0,ROUND('Quant. mod. (oc)'!P567,0))</f>
        <v>0</v>
      </c>
      <c r="Q567" s="125">
        <f>IF('Quant. mod. (oc)'!Q567&lt;0,0,ROUND('Quant. mod. (oc)'!Q567,0))</f>
        <v>1</v>
      </c>
      <c r="R567" s="125">
        <f>IF('Quant. mod. (oc)'!R567&lt;0,0,ROUND('Quant. mod. (oc)'!R567,0))</f>
        <v>0</v>
      </c>
      <c r="S567" s="125">
        <f>IF('Quant. mod. (oc)'!S567&lt;0,0,ROUND('Quant. mod. (oc)'!S567,0))</f>
        <v>0</v>
      </c>
      <c r="T567" s="125">
        <f>IF('Quant. mod. (oc)'!T567&lt;0,0,ROUND('Quant. mod. (oc)'!T567,0))</f>
        <v>1</v>
      </c>
      <c r="U567" s="125">
        <f>IF('Quant. mod. (oc)'!U567&lt;0,0,ROUND('Quant. mod. (oc)'!U567,0))</f>
        <v>0</v>
      </c>
      <c r="V567" s="125">
        <f>IF('Quant. mod. (oc)'!V567&lt;0,0,ROUND('Quant. mod. (oc)'!V567,0))</f>
        <v>1</v>
      </c>
      <c r="W567" s="125">
        <f>IF('Quant. mod. (oc)'!W567&lt;0,0,ROUND('Quant. mod. (oc)'!W567,0))</f>
        <v>0</v>
      </c>
      <c r="X567" s="125">
        <f>IF('Quant. mod. (oc)'!X567&lt;0,0,ROUND('Quant. mod. (oc)'!X567,0))</f>
        <v>1</v>
      </c>
      <c r="Y567" s="125">
        <f>IF('Quant. mod. (oc)'!Y567&lt;0,0,ROUND('Quant. mod. (oc)'!Y567,0))</f>
        <v>0</v>
      </c>
      <c r="Z567" s="125">
        <f>IF('Quant. mod. (oc)'!Z567&lt;0,0,ROUND('Quant. mod. (oc)'!Z567,0))</f>
        <v>0</v>
      </c>
      <c r="AA567" s="125">
        <f>IF('Quant. mod. (oc)'!AA567&lt;0,0,ROUND('Quant. mod. (oc)'!AA567,0))</f>
        <v>1</v>
      </c>
      <c r="AB567" s="125">
        <f>IF('Quant. mod. (oc)'!AB567&lt;0,0,ROUND('Quant. mod. (oc)'!AB567,0))</f>
        <v>0</v>
      </c>
      <c r="AC567" s="125">
        <f>IF('Quant. mod. (oc)'!AC567&lt;0,0,ROUND('Quant. mod. (oc)'!AC567,0))</f>
        <v>0</v>
      </c>
      <c r="AD567" s="125">
        <f>IF('Quant. mod. (oc)'!AD567&lt;0,0,ROUND('Quant. mod. (oc)'!AD567,0))</f>
        <v>1</v>
      </c>
      <c r="AE567" s="125">
        <f>IF('Quant. mod. (oc)'!AE567&lt;0,0,ROUND('Quant. mod. (oc)'!AE567,0))</f>
        <v>0</v>
      </c>
      <c r="AF567" s="125">
        <f>IF('Quant. mod. (oc)'!AF567&lt;0,0,ROUND('Quant. mod. (oc)'!AF567,0))</f>
        <v>1</v>
      </c>
      <c r="AG567" s="126">
        <f>IF('Quant. mod. (oc)'!AG567&lt;0,0,ROUND('Quant. mod. (oc)'!AG567,0))</f>
        <v>0</v>
      </c>
      <c r="AH567" s="22"/>
    </row>
    <row r="568" spans="1:34" x14ac:dyDescent="0.25">
      <c r="A568" s="112"/>
      <c r="B568" s="136" t="s">
        <v>191</v>
      </c>
      <c r="C568" s="67" t="s">
        <v>59</v>
      </c>
      <c r="D568" s="125">
        <f>IF('Quant. mod. (oc)'!D568&lt;0,0,ROUND('Quant. mod. (oc)'!D568,0))</f>
        <v>0</v>
      </c>
      <c r="E568" s="125">
        <f>IF('Quant. mod. (oc)'!E568&lt;0,0,ROUND('Quant. mod. (oc)'!E568,0))</f>
        <v>0</v>
      </c>
      <c r="F568" s="125">
        <f>IF('Quant. mod. (oc)'!F568&lt;0,0,ROUND('Quant. mod. (oc)'!F568,0))</f>
        <v>1</v>
      </c>
      <c r="G568" s="125">
        <f>IF('Quant. mod. (oc)'!G568&lt;0,0,ROUND('Quant. mod. (oc)'!G568,0))</f>
        <v>0</v>
      </c>
      <c r="H568" s="125">
        <f>IF('Quant. mod. (oc)'!H568&lt;0,0,ROUND('Quant. mod. (oc)'!H568,0))</f>
        <v>0</v>
      </c>
      <c r="I568" s="125">
        <f>IF('Quant. mod. (oc)'!I568&lt;0,0,ROUND('Quant. mod. (oc)'!I568,0))</f>
        <v>1</v>
      </c>
      <c r="J568" s="125">
        <f>IF('Quant. mod. (oc)'!J568&lt;0,0,ROUND('Quant. mod. (oc)'!J568,0))</f>
        <v>0</v>
      </c>
      <c r="K568" s="125">
        <f>IF('Quant. mod. (oc)'!K568&lt;0,0,ROUND('Quant. mod. (oc)'!K568,0))</f>
        <v>1</v>
      </c>
      <c r="L568" s="125">
        <f>IF('Quant. mod. (oc)'!L568&lt;0,0,ROUND('Quant. mod. (oc)'!L568,0))</f>
        <v>0</v>
      </c>
      <c r="M568" s="125">
        <f>IF('Quant. mod. (oc)'!M568&lt;0,0,ROUND('Quant. mod. (oc)'!M568,0))</f>
        <v>1</v>
      </c>
      <c r="N568" s="125">
        <f>IF('Quant. mod. (oc)'!N568&lt;0,0,ROUND('Quant. mod. (oc)'!N568,0))</f>
        <v>0</v>
      </c>
      <c r="O568" s="125">
        <f>IF('Quant. mod. (oc)'!O568&lt;0,0,ROUND('Quant. mod. (oc)'!O568,0))</f>
        <v>0</v>
      </c>
      <c r="P568" s="125">
        <f>IF('Quant. mod. (oc)'!P568&lt;0,0,ROUND('Quant. mod. (oc)'!P568,0))</f>
        <v>1</v>
      </c>
      <c r="Q568" s="125">
        <f>IF('Quant. mod. (oc)'!Q568&lt;0,0,ROUND('Quant. mod. (oc)'!Q568,0))</f>
        <v>0</v>
      </c>
      <c r="R568" s="125">
        <f>IF('Quant. mod. (oc)'!R568&lt;0,0,ROUND('Quant. mod. (oc)'!R568,0))</f>
        <v>0</v>
      </c>
      <c r="S568" s="125">
        <f>IF('Quant. mod. (oc)'!S568&lt;0,0,ROUND('Quant. mod. (oc)'!S568,0))</f>
        <v>1</v>
      </c>
      <c r="T568" s="125">
        <f>IF('Quant. mod. (oc)'!T568&lt;0,0,ROUND('Quant. mod. (oc)'!T568,0))</f>
        <v>0</v>
      </c>
      <c r="U568" s="125">
        <f>IF('Quant. mod. (oc)'!U568&lt;0,0,ROUND('Quant. mod. (oc)'!U568,0))</f>
        <v>1</v>
      </c>
      <c r="V568" s="125">
        <f>IF('Quant. mod. (oc)'!V568&lt;0,0,ROUND('Quant. mod. (oc)'!V568,0))</f>
        <v>0</v>
      </c>
      <c r="W568" s="125">
        <f>IF('Quant. mod. (oc)'!W568&lt;0,0,ROUND('Quant. mod. (oc)'!W568,0))</f>
        <v>1</v>
      </c>
      <c r="X568" s="125">
        <f>IF('Quant. mod. (oc)'!X568&lt;0,0,ROUND('Quant. mod. (oc)'!X568,0))</f>
        <v>0</v>
      </c>
      <c r="Y568" s="125">
        <f>IF('Quant. mod. (oc)'!Y568&lt;0,0,ROUND('Quant. mod. (oc)'!Y568,0))</f>
        <v>0</v>
      </c>
      <c r="Z568" s="125">
        <f>IF('Quant. mod. (oc)'!Z568&lt;0,0,ROUND('Quant. mod. (oc)'!Z568,0))</f>
        <v>1</v>
      </c>
      <c r="AA568" s="125">
        <f>IF('Quant. mod. (oc)'!AA568&lt;0,0,ROUND('Quant. mod. (oc)'!AA568,0))</f>
        <v>0</v>
      </c>
      <c r="AB568" s="125">
        <f>IF('Quant. mod. (oc)'!AB568&lt;0,0,ROUND('Quant. mod. (oc)'!AB568,0))</f>
        <v>0</v>
      </c>
      <c r="AC568" s="125">
        <f>IF('Quant. mod. (oc)'!AC568&lt;0,0,ROUND('Quant. mod. (oc)'!AC568,0))</f>
        <v>1</v>
      </c>
      <c r="AD568" s="125">
        <f>IF('Quant. mod. (oc)'!AD568&lt;0,0,ROUND('Quant. mod. (oc)'!AD568,0))</f>
        <v>0</v>
      </c>
      <c r="AE568" s="125">
        <f>IF('Quant. mod. (oc)'!AE568&lt;0,0,ROUND('Quant. mod. (oc)'!AE568,0))</f>
        <v>1</v>
      </c>
      <c r="AF568" s="125">
        <f>IF('Quant. mod. (oc)'!AF568&lt;0,0,ROUND('Quant. mod. (oc)'!AF568,0))</f>
        <v>0</v>
      </c>
      <c r="AG568" s="126">
        <f>IF('Quant. mod. (oc)'!AG568&lt;0,0,ROUND('Quant. mod. (oc)'!AG568,0))</f>
        <v>1</v>
      </c>
      <c r="AH568" s="22"/>
    </row>
    <row r="569" spans="1:34" ht="25.5" x14ac:dyDescent="0.25">
      <c r="A569" s="112"/>
      <c r="B569" s="136" t="s">
        <v>192</v>
      </c>
      <c r="C569" s="67" t="s">
        <v>59</v>
      </c>
      <c r="D569" s="125">
        <f>IF('Quant. mod. (oc)'!D569&lt;0,0,ROUND('Quant. mod. (oc)'!D569,0))</f>
        <v>0</v>
      </c>
      <c r="E569" s="125">
        <f>IF('Quant. mod. (oc)'!E569&lt;0,0,ROUND('Quant. mod. (oc)'!E569,0))</f>
        <v>0</v>
      </c>
      <c r="F569" s="125">
        <f>IF('Quant. mod. (oc)'!F569&lt;0,0,ROUND('Quant. mod. (oc)'!F569,0))</f>
        <v>1</v>
      </c>
      <c r="G569" s="125">
        <f>IF('Quant. mod. (oc)'!G569&lt;0,0,ROUND('Quant. mod. (oc)'!G569,0))</f>
        <v>0</v>
      </c>
      <c r="H569" s="125">
        <f>IF('Quant. mod. (oc)'!H569&lt;0,0,ROUND('Quant. mod. (oc)'!H569,0))</f>
        <v>0</v>
      </c>
      <c r="I569" s="125">
        <f>IF('Quant. mod. (oc)'!I569&lt;0,0,ROUND('Quant. mod. (oc)'!I569,0))</f>
        <v>1</v>
      </c>
      <c r="J569" s="125">
        <f>IF('Quant. mod. (oc)'!J569&lt;0,0,ROUND('Quant. mod. (oc)'!J569,0))</f>
        <v>0</v>
      </c>
      <c r="K569" s="125">
        <f>IF('Quant. mod. (oc)'!K569&lt;0,0,ROUND('Quant. mod. (oc)'!K569,0))</f>
        <v>1</v>
      </c>
      <c r="L569" s="125">
        <f>IF('Quant. mod. (oc)'!L569&lt;0,0,ROUND('Quant. mod. (oc)'!L569,0))</f>
        <v>0</v>
      </c>
      <c r="M569" s="125">
        <f>IF('Quant. mod. (oc)'!M569&lt;0,0,ROUND('Quant. mod. (oc)'!M569,0))</f>
        <v>1</v>
      </c>
      <c r="N569" s="125">
        <f>IF('Quant. mod. (oc)'!N569&lt;0,0,ROUND('Quant. mod. (oc)'!N569,0))</f>
        <v>0</v>
      </c>
      <c r="O569" s="125">
        <f>IF('Quant. mod. (oc)'!O569&lt;0,0,ROUND('Quant. mod. (oc)'!O569,0))</f>
        <v>0</v>
      </c>
      <c r="P569" s="125">
        <f>IF('Quant. mod. (oc)'!P569&lt;0,0,ROUND('Quant. mod. (oc)'!P569,0))</f>
        <v>1</v>
      </c>
      <c r="Q569" s="125">
        <f>IF('Quant. mod. (oc)'!Q569&lt;0,0,ROUND('Quant. mod. (oc)'!Q569,0))</f>
        <v>0</v>
      </c>
      <c r="R569" s="125">
        <f>IF('Quant. mod. (oc)'!R569&lt;0,0,ROUND('Quant. mod. (oc)'!R569,0))</f>
        <v>0</v>
      </c>
      <c r="S569" s="125">
        <f>IF('Quant. mod. (oc)'!S569&lt;0,0,ROUND('Quant. mod. (oc)'!S569,0))</f>
        <v>1</v>
      </c>
      <c r="T569" s="125">
        <f>IF('Quant. mod. (oc)'!T569&lt;0,0,ROUND('Quant. mod. (oc)'!T569,0))</f>
        <v>0</v>
      </c>
      <c r="U569" s="125">
        <f>IF('Quant. mod. (oc)'!U569&lt;0,0,ROUND('Quant. mod. (oc)'!U569,0))</f>
        <v>1</v>
      </c>
      <c r="V569" s="125">
        <f>IF('Quant. mod. (oc)'!V569&lt;0,0,ROUND('Quant. mod. (oc)'!V569,0))</f>
        <v>0</v>
      </c>
      <c r="W569" s="125">
        <f>IF('Quant. mod. (oc)'!W569&lt;0,0,ROUND('Quant. mod. (oc)'!W569,0))</f>
        <v>1</v>
      </c>
      <c r="X569" s="125">
        <f>IF('Quant. mod. (oc)'!X569&lt;0,0,ROUND('Quant. mod. (oc)'!X569,0))</f>
        <v>0</v>
      </c>
      <c r="Y569" s="125">
        <f>IF('Quant. mod. (oc)'!Y569&lt;0,0,ROUND('Quant. mod. (oc)'!Y569,0))</f>
        <v>0</v>
      </c>
      <c r="Z569" s="125">
        <f>IF('Quant. mod. (oc)'!Z569&lt;0,0,ROUND('Quant. mod. (oc)'!Z569,0))</f>
        <v>1</v>
      </c>
      <c r="AA569" s="125">
        <f>IF('Quant. mod. (oc)'!AA569&lt;0,0,ROUND('Quant. mod. (oc)'!AA569,0))</f>
        <v>0</v>
      </c>
      <c r="AB569" s="125">
        <f>IF('Quant. mod. (oc)'!AB569&lt;0,0,ROUND('Quant. mod. (oc)'!AB569,0))</f>
        <v>0</v>
      </c>
      <c r="AC569" s="125">
        <f>IF('Quant. mod. (oc)'!AC569&lt;0,0,ROUND('Quant. mod. (oc)'!AC569,0))</f>
        <v>1</v>
      </c>
      <c r="AD569" s="125">
        <f>IF('Quant. mod. (oc)'!AD569&lt;0,0,ROUND('Quant. mod. (oc)'!AD569,0))</f>
        <v>0</v>
      </c>
      <c r="AE569" s="125">
        <f>IF('Quant. mod. (oc)'!AE569&lt;0,0,ROUND('Quant. mod. (oc)'!AE569,0))</f>
        <v>1</v>
      </c>
      <c r="AF569" s="125">
        <f>IF('Quant. mod. (oc)'!AF569&lt;0,0,ROUND('Quant. mod. (oc)'!AF569,0))</f>
        <v>0</v>
      </c>
      <c r="AG569" s="126">
        <f>IF('Quant. mod. (oc)'!AG569&lt;0,0,ROUND('Quant. mod. (oc)'!AG569,0))</f>
        <v>1</v>
      </c>
      <c r="AH569" s="22"/>
    </row>
    <row r="570" spans="1:34" x14ac:dyDescent="0.25">
      <c r="A570" s="112"/>
      <c r="B570" s="137" t="s">
        <v>582</v>
      </c>
      <c r="C570" s="138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139"/>
      <c r="AC570" s="139"/>
      <c r="AD570" s="139"/>
      <c r="AE570" s="139"/>
      <c r="AF570" s="139"/>
      <c r="AG570" s="140"/>
      <c r="AH570" s="22"/>
    </row>
    <row r="571" spans="1:34" x14ac:dyDescent="0.25">
      <c r="A571" s="21"/>
      <c r="B571" s="120" t="s">
        <v>583</v>
      </c>
      <c r="C571" s="121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  <c r="AF571" s="127"/>
      <c r="AG571" s="128"/>
      <c r="AH571" s="22"/>
    </row>
    <row r="572" spans="1:34" x14ac:dyDescent="0.25">
      <c r="A572" s="21"/>
      <c r="B572" s="141" t="s">
        <v>584</v>
      </c>
      <c r="C572" s="125" t="s">
        <v>65</v>
      </c>
      <c r="D572" s="125">
        <f>IF('Quant. mod. (oc)'!D572&lt;0,0,'Quant. mod. (oc)'!D572)</f>
        <v>25920</v>
      </c>
      <c r="E572" s="125">
        <f>IF('Quant. mod. (oc)'!E572&lt;0,0,'Quant. mod. (oc)'!E572)</f>
        <v>25920</v>
      </c>
      <c r="F572" s="125">
        <f>IF('Quant. mod. (oc)'!F572&lt;0,0,'Quant. mod. (oc)'!F572)</f>
        <v>25920</v>
      </c>
      <c r="G572" s="125">
        <f>IF('Quant. mod. (oc)'!G572&lt;0,0,'Quant. mod. (oc)'!G572)</f>
        <v>25920</v>
      </c>
      <c r="H572" s="125">
        <f>IF('Quant. mod. (oc)'!H572&lt;0,0,'Quant. mod. (oc)'!H572)</f>
        <v>25920</v>
      </c>
      <c r="I572" s="125">
        <f>IF('Quant. mod. (oc)'!I572&lt;0,0,'Quant. mod. (oc)'!I572)</f>
        <v>25920</v>
      </c>
      <c r="J572" s="125">
        <f>IF('Quant. mod. (oc)'!J572&lt;0,0,'Quant. mod. (oc)'!J572)</f>
        <v>25920</v>
      </c>
      <c r="K572" s="125">
        <f>IF('Quant. mod. (oc)'!K572&lt;0,0,'Quant. mod. (oc)'!K572)</f>
        <v>25920</v>
      </c>
      <c r="L572" s="125">
        <f>IF('Quant. mod. (oc)'!L572&lt;0,0,'Quant. mod. (oc)'!L572)</f>
        <v>25920</v>
      </c>
      <c r="M572" s="125">
        <f>IF('Quant. mod. (oc)'!M572&lt;0,0,'Quant. mod. (oc)'!M572)</f>
        <v>25920</v>
      </c>
      <c r="N572" s="125">
        <f>IF('Quant. mod. (oc)'!N572&lt;0,0,'Quant. mod. (oc)'!N572)</f>
        <v>25920</v>
      </c>
      <c r="O572" s="125">
        <f>IF('Quant. mod. (oc)'!O572&lt;0,0,'Quant. mod. (oc)'!O572)</f>
        <v>25920</v>
      </c>
      <c r="P572" s="125">
        <f>IF('Quant. mod. (oc)'!P572&lt;0,0,'Quant. mod. (oc)'!P572)</f>
        <v>25920</v>
      </c>
      <c r="Q572" s="125">
        <f>IF('Quant. mod. (oc)'!Q572&lt;0,0,'Quant. mod. (oc)'!Q572)</f>
        <v>25920</v>
      </c>
      <c r="R572" s="125">
        <f>IF('Quant. mod. (oc)'!R572&lt;0,0,'Quant. mod. (oc)'!R572)</f>
        <v>25920</v>
      </c>
      <c r="S572" s="125">
        <f>IF('Quant. mod. (oc)'!S572&lt;0,0,'Quant. mod. (oc)'!S572)</f>
        <v>25920</v>
      </c>
      <c r="T572" s="125">
        <f>IF('Quant. mod. (oc)'!T572&lt;0,0,'Quant. mod. (oc)'!T572)</f>
        <v>25920</v>
      </c>
      <c r="U572" s="125">
        <f>IF('Quant. mod. (oc)'!U572&lt;0,0,'Quant. mod. (oc)'!U572)</f>
        <v>25920</v>
      </c>
      <c r="V572" s="125">
        <f>IF('Quant. mod. (oc)'!V572&lt;0,0,'Quant. mod. (oc)'!V572)</f>
        <v>25920</v>
      </c>
      <c r="W572" s="125">
        <f>IF('Quant. mod. (oc)'!W572&lt;0,0,'Quant. mod. (oc)'!W572)</f>
        <v>25920</v>
      </c>
      <c r="X572" s="125">
        <f>IF('Quant. mod. (oc)'!X572&lt;0,0,'Quant. mod. (oc)'!X572)</f>
        <v>25920</v>
      </c>
      <c r="Y572" s="125">
        <f>IF('Quant. mod. (oc)'!Y572&lt;0,0,'Quant. mod. (oc)'!Y572)</f>
        <v>25920</v>
      </c>
      <c r="Z572" s="125">
        <f>IF('Quant. mod. (oc)'!Z572&lt;0,0,'Quant. mod. (oc)'!Z572)</f>
        <v>25920</v>
      </c>
      <c r="AA572" s="125">
        <f>IF('Quant. mod. (oc)'!AA572&lt;0,0,'Quant. mod. (oc)'!AA572)</f>
        <v>25920</v>
      </c>
      <c r="AB572" s="125">
        <f>IF('Quant. mod. (oc)'!AB572&lt;0,0,'Quant. mod. (oc)'!AB572)</f>
        <v>25920</v>
      </c>
      <c r="AC572" s="125">
        <f>IF('Quant. mod. (oc)'!AC572&lt;0,0,'Quant. mod. (oc)'!AC572)</f>
        <v>25920</v>
      </c>
      <c r="AD572" s="125">
        <f>IF('Quant. mod. (oc)'!AD572&lt;0,0,'Quant. mod. (oc)'!AD572)</f>
        <v>25920</v>
      </c>
      <c r="AE572" s="125">
        <f>IF('Quant. mod. (oc)'!AE572&lt;0,0,'Quant. mod. (oc)'!AE572)</f>
        <v>25920</v>
      </c>
      <c r="AF572" s="125">
        <f>IF('Quant. mod. (oc)'!AF572&lt;0,0,'Quant. mod. (oc)'!AF572)</f>
        <v>25920</v>
      </c>
      <c r="AG572" s="126">
        <f>IF('Quant. mod. (oc)'!AG572&lt;0,0,'Quant. mod. (oc)'!AG572)</f>
        <v>25920</v>
      </c>
      <c r="AH572" s="22"/>
    </row>
    <row r="573" spans="1:34" x14ac:dyDescent="0.25">
      <c r="A573" s="21"/>
      <c r="B573" s="120" t="s">
        <v>585</v>
      </c>
      <c r="C573" s="121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  <c r="AF573" s="127"/>
      <c r="AG573" s="128"/>
      <c r="AH573" s="22"/>
    </row>
    <row r="574" spans="1:34" x14ac:dyDescent="0.25">
      <c r="A574" s="21"/>
      <c r="B574" s="141" t="s">
        <v>586</v>
      </c>
      <c r="C574" s="125" t="s">
        <v>65</v>
      </c>
      <c r="D574" s="125">
        <f>IF('Quant. mod. (oc)'!D574&lt;0,0,'Quant. mod. (oc)'!D574)</f>
        <v>1680.4969999999998</v>
      </c>
      <c r="E574" s="125">
        <f>IF('Quant. mod. (oc)'!E574&lt;0,0,'Quant. mod. (oc)'!E574)</f>
        <v>1680.4969999999998</v>
      </c>
      <c r="F574" s="125">
        <f>IF('Quant. mod. (oc)'!F574&lt;0,0,'Quant. mod. (oc)'!F574)</f>
        <v>1680.4969999999998</v>
      </c>
      <c r="G574" s="125">
        <f>IF('Quant. mod. (oc)'!G574&lt;0,0,'Quant. mod. (oc)'!G574)</f>
        <v>1680.4969999999998</v>
      </c>
      <c r="H574" s="125">
        <f>IF('Quant. mod. (oc)'!H574&lt;0,0,'Quant. mod. (oc)'!H574)</f>
        <v>1680.4969999999998</v>
      </c>
      <c r="I574" s="125">
        <f>IF('Quant. mod. (oc)'!I574&lt;0,0,'Quant. mod. (oc)'!I574)</f>
        <v>1680.4969999999998</v>
      </c>
      <c r="J574" s="125">
        <f>IF('Quant. mod. (oc)'!J574&lt;0,0,'Quant. mod. (oc)'!J574)</f>
        <v>1680.4969999999998</v>
      </c>
      <c r="K574" s="125">
        <f>IF('Quant. mod. (oc)'!K574&lt;0,0,'Quant. mod. (oc)'!K574)</f>
        <v>1680.4969999999998</v>
      </c>
      <c r="L574" s="125">
        <f>IF('Quant. mod. (oc)'!L574&lt;0,0,'Quant. mod. (oc)'!L574)</f>
        <v>1680.4969999999998</v>
      </c>
      <c r="M574" s="125">
        <f>IF('Quant. mod. (oc)'!M574&lt;0,0,'Quant. mod. (oc)'!M574)</f>
        <v>1680.4969999999998</v>
      </c>
      <c r="N574" s="125">
        <f>IF('Quant. mod. (oc)'!N574&lt;0,0,'Quant. mod. (oc)'!N574)</f>
        <v>1500.05</v>
      </c>
      <c r="O574" s="125">
        <f>IF('Quant. mod. (oc)'!O574&lt;0,0,'Quant. mod. (oc)'!O574)</f>
        <v>1956</v>
      </c>
      <c r="P574" s="125">
        <f>IF('Quant. mod. (oc)'!P574&lt;0,0,'Quant. mod. (oc)'!P574)</f>
        <v>1956</v>
      </c>
      <c r="Q574" s="125">
        <f>IF('Quant. mod. (oc)'!Q574&lt;0,0,'Quant. mod. (oc)'!Q574)</f>
        <v>1500.05</v>
      </c>
      <c r="R574" s="125">
        <f>IF('Quant. mod. (oc)'!R574&lt;0,0,'Quant. mod. (oc)'!R574)</f>
        <v>1956</v>
      </c>
      <c r="S574" s="125">
        <f>IF('Quant. mod. (oc)'!S574&lt;0,0,'Quant. mod. (oc)'!S574)</f>
        <v>1956</v>
      </c>
      <c r="T574" s="125">
        <f>IF('Quant. mod. (oc)'!T574&lt;0,0,'Quant. mod. (oc)'!T574)</f>
        <v>1500.05</v>
      </c>
      <c r="U574" s="125">
        <f>IF('Quant. mod. (oc)'!U574&lt;0,0,'Quant. mod. (oc)'!U574)</f>
        <v>1956</v>
      </c>
      <c r="V574" s="125">
        <f>IF('Quant. mod. (oc)'!V574&lt;0,0,'Quant. mod. (oc)'!V574)</f>
        <v>1500.05</v>
      </c>
      <c r="W574" s="125">
        <f>IF('Quant. mod. (oc)'!W574&lt;0,0,'Quant. mod. (oc)'!W574)</f>
        <v>1956</v>
      </c>
      <c r="X574" s="125">
        <f>IF('Quant. mod. (oc)'!X574&lt;0,0,'Quant. mod. (oc)'!X574)</f>
        <v>1491</v>
      </c>
      <c r="Y574" s="125">
        <f>IF('Quant. mod. (oc)'!Y574&lt;0,0,'Quant. mod. (oc)'!Y574)</f>
        <v>1491</v>
      </c>
      <c r="Z574" s="125">
        <f>IF('Quant. mod. (oc)'!Z574&lt;0,0,'Quant. mod. (oc)'!Z574)</f>
        <v>1491</v>
      </c>
      <c r="AA574" s="125">
        <f>IF('Quant. mod. (oc)'!AA574&lt;0,0,'Quant. mod. (oc)'!AA574)</f>
        <v>1491</v>
      </c>
      <c r="AB574" s="125">
        <f>IF('Quant. mod. (oc)'!AB574&lt;0,0,'Quant. mod. (oc)'!AB574)</f>
        <v>1491</v>
      </c>
      <c r="AC574" s="125">
        <f>IF('Quant. mod. (oc)'!AC574&lt;0,0,'Quant. mod. (oc)'!AC574)</f>
        <v>1491</v>
      </c>
      <c r="AD574" s="125">
        <f>IF('Quant. mod. (oc)'!AD574&lt;0,0,'Quant. mod. (oc)'!AD574)</f>
        <v>1491</v>
      </c>
      <c r="AE574" s="125">
        <f>IF('Quant. mod. (oc)'!AE574&lt;0,0,'Quant. mod. (oc)'!AE574)</f>
        <v>1491</v>
      </c>
      <c r="AF574" s="125">
        <f>IF('Quant. mod. (oc)'!AF574&lt;0,0,'Quant. mod. (oc)'!AF574)</f>
        <v>1491</v>
      </c>
      <c r="AG574" s="126">
        <f>IF('Quant. mod. (oc)'!AG574&lt;0,0,'Quant. mod. (oc)'!AG574)</f>
        <v>1491</v>
      </c>
      <c r="AH574" s="22"/>
    </row>
    <row r="575" spans="1:34" x14ac:dyDescent="0.25">
      <c r="A575" s="21"/>
      <c r="B575" s="141" t="s">
        <v>587</v>
      </c>
      <c r="C575" s="125" t="s">
        <v>65</v>
      </c>
      <c r="D575" s="125">
        <f>IF('Quant. mod. (oc)'!D575&lt;0,0,'Quant. mod. (oc)'!D575)</f>
        <v>104.1</v>
      </c>
      <c r="E575" s="125">
        <f>IF('Quant. mod. (oc)'!E575&lt;0,0,'Quant. mod. (oc)'!E575)</f>
        <v>104.1</v>
      </c>
      <c r="F575" s="125">
        <f>IF('Quant. mod. (oc)'!F575&lt;0,0,'Quant. mod. (oc)'!F575)</f>
        <v>0</v>
      </c>
      <c r="G575" s="125">
        <f>IF('Quant. mod. (oc)'!G575&lt;0,0,'Quant. mod. (oc)'!G575)</f>
        <v>104.1</v>
      </c>
      <c r="H575" s="125">
        <f>IF('Quant. mod. (oc)'!H575&lt;0,0,'Quant. mod. (oc)'!H575)</f>
        <v>104.1</v>
      </c>
      <c r="I575" s="125">
        <f>IF('Quant. mod. (oc)'!I575&lt;0,0,'Quant. mod. (oc)'!I575)</f>
        <v>0</v>
      </c>
      <c r="J575" s="125">
        <f>IF('Quant. mod. (oc)'!J575&lt;0,0,'Quant. mod. (oc)'!J575)</f>
        <v>104.1</v>
      </c>
      <c r="K575" s="125">
        <f>IF('Quant. mod. (oc)'!K575&lt;0,0,'Quant. mod. (oc)'!K575)</f>
        <v>0</v>
      </c>
      <c r="L575" s="125">
        <f>IF('Quant. mod. (oc)'!L575&lt;0,0,'Quant. mod. (oc)'!L575)</f>
        <v>104.1</v>
      </c>
      <c r="M575" s="125">
        <f>IF('Quant. mod. (oc)'!M575&lt;0,0,'Quant. mod. (oc)'!M575)</f>
        <v>0</v>
      </c>
      <c r="N575" s="125">
        <f>IF('Quant. mod. (oc)'!N575&lt;0,0,'Quant. mod. (oc)'!N575)</f>
        <v>34.003300000000003</v>
      </c>
      <c r="O575" s="125">
        <f>IF('Quant. mod. (oc)'!O575&lt;0,0,'Quant. mod. (oc)'!O575)</f>
        <v>34.003300000000003</v>
      </c>
      <c r="P575" s="125">
        <f>IF('Quant. mod. (oc)'!P575&lt;0,0,'Quant. mod. (oc)'!P575)</f>
        <v>0</v>
      </c>
      <c r="Q575" s="125">
        <f>IF('Quant. mod. (oc)'!Q575&lt;0,0,'Quant. mod. (oc)'!Q575)</f>
        <v>34.003300000000003</v>
      </c>
      <c r="R575" s="125">
        <f>IF('Quant. mod. (oc)'!R575&lt;0,0,'Quant. mod. (oc)'!R575)</f>
        <v>34.003300000000003</v>
      </c>
      <c r="S575" s="125">
        <f>IF('Quant. mod. (oc)'!S575&lt;0,0,'Quant. mod. (oc)'!S575)</f>
        <v>0</v>
      </c>
      <c r="T575" s="125">
        <f>IF('Quant. mod. (oc)'!T575&lt;0,0,'Quant. mod. (oc)'!T575)</f>
        <v>34.003300000000003</v>
      </c>
      <c r="U575" s="125">
        <f>IF('Quant. mod. (oc)'!U575&lt;0,0,'Quant. mod. (oc)'!U575)</f>
        <v>0</v>
      </c>
      <c r="V575" s="125">
        <f>IF('Quant. mod. (oc)'!V575&lt;0,0,'Quant. mod. (oc)'!V575)</f>
        <v>34.003300000000003</v>
      </c>
      <c r="W575" s="125">
        <f>IF('Quant. mod. (oc)'!W575&lt;0,0,'Quant. mod. (oc)'!W575)</f>
        <v>0</v>
      </c>
      <c r="X575" s="125">
        <f>IF('Quant. mod. (oc)'!X575&lt;0,0,'Quant. mod. (oc)'!X575)</f>
        <v>33.996699999999997</v>
      </c>
      <c r="Y575" s="125">
        <f>IF('Quant. mod. (oc)'!Y575&lt;0,0,'Quant. mod. (oc)'!Y575)</f>
        <v>33.996699999999997</v>
      </c>
      <c r="Z575" s="125">
        <f>IF('Quant. mod. (oc)'!Z575&lt;0,0,'Quant. mod. (oc)'!Z575)</f>
        <v>0</v>
      </c>
      <c r="AA575" s="125">
        <f>IF('Quant. mod. (oc)'!AA575&lt;0,0,'Quant. mod. (oc)'!AA575)</f>
        <v>33.996699999999997</v>
      </c>
      <c r="AB575" s="125">
        <f>IF('Quant. mod. (oc)'!AB575&lt;0,0,'Quant. mod. (oc)'!AB575)</f>
        <v>33.996699999999997</v>
      </c>
      <c r="AC575" s="125">
        <f>IF('Quant. mod. (oc)'!AC575&lt;0,0,'Quant. mod. (oc)'!AC575)</f>
        <v>0</v>
      </c>
      <c r="AD575" s="125">
        <f>IF('Quant. mod. (oc)'!AD575&lt;0,0,'Quant. mod. (oc)'!AD575)</f>
        <v>33.996699999999997</v>
      </c>
      <c r="AE575" s="125">
        <f>IF('Quant. mod. (oc)'!AE575&lt;0,0,'Quant. mod. (oc)'!AE575)</f>
        <v>0</v>
      </c>
      <c r="AF575" s="125">
        <f>IF('Quant. mod. (oc)'!AF575&lt;0,0,'Quant. mod. (oc)'!AF575)</f>
        <v>33.996699999999997</v>
      </c>
      <c r="AG575" s="126">
        <f>IF('Quant. mod. (oc)'!AG575&lt;0,0,'Quant. mod. (oc)'!AG575)</f>
        <v>0</v>
      </c>
      <c r="AH575" s="22"/>
    </row>
    <row r="576" spans="1:34" x14ac:dyDescent="0.25">
      <c r="A576" s="21"/>
      <c r="B576" s="141" t="s">
        <v>588</v>
      </c>
      <c r="C576" s="125" t="s">
        <v>65</v>
      </c>
      <c r="D576" s="125">
        <f>IF('Quant. mod. (oc)'!D576&lt;0,0,'Quant. mod. (oc)'!D576)</f>
        <v>0</v>
      </c>
      <c r="E576" s="125">
        <f>IF('Quant. mod. (oc)'!E576&lt;0,0,'Quant. mod. (oc)'!E576)</f>
        <v>0</v>
      </c>
      <c r="F576" s="125">
        <f>IF('Quant. mod. (oc)'!F576&lt;0,0,'Quant. mod. (oc)'!F576)</f>
        <v>1680.4969999999998</v>
      </c>
      <c r="G576" s="125">
        <f>IF('Quant. mod. (oc)'!G576&lt;0,0,'Quant. mod. (oc)'!G576)</f>
        <v>0</v>
      </c>
      <c r="H576" s="125">
        <f>IF('Quant. mod. (oc)'!H576&lt;0,0,'Quant. mod. (oc)'!H576)</f>
        <v>0</v>
      </c>
      <c r="I576" s="125">
        <f>IF('Quant. mod. (oc)'!I576&lt;0,0,'Quant. mod. (oc)'!I576)</f>
        <v>1680.4969999999998</v>
      </c>
      <c r="J576" s="125">
        <f>IF('Quant. mod. (oc)'!J576&lt;0,0,'Quant. mod. (oc)'!J576)</f>
        <v>0</v>
      </c>
      <c r="K576" s="125">
        <f>IF('Quant. mod. (oc)'!K576&lt;0,0,'Quant. mod. (oc)'!K576)</f>
        <v>1680.4969999999998</v>
      </c>
      <c r="L576" s="125">
        <f>IF('Quant. mod. (oc)'!L576&lt;0,0,'Quant. mod. (oc)'!L576)</f>
        <v>0</v>
      </c>
      <c r="M576" s="125">
        <f>IF('Quant. mod. (oc)'!M576&lt;0,0,'Quant. mod. (oc)'!M576)</f>
        <v>1680.4969999999998</v>
      </c>
      <c r="N576" s="125">
        <f>IF('Quant. mod. (oc)'!N576&lt;0,0,'Quant. mod. (oc)'!N576)</f>
        <v>0</v>
      </c>
      <c r="O576" s="125">
        <f>IF('Quant. mod. (oc)'!O576&lt;0,0,'Quant. mod. (oc)'!O576)</f>
        <v>0</v>
      </c>
      <c r="P576" s="125">
        <f>IF('Quant. mod. (oc)'!P576&lt;0,0,'Quant. mod. (oc)'!P576)</f>
        <v>1956</v>
      </c>
      <c r="Q576" s="125">
        <f>IF('Quant. mod. (oc)'!Q576&lt;0,0,'Quant. mod. (oc)'!Q576)</f>
        <v>0</v>
      </c>
      <c r="R576" s="125">
        <f>IF('Quant. mod. (oc)'!R576&lt;0,0,'Quant. mod. (oc)'!R576)</f>
        <v>0</v>
      </c>
      <c r="S576" s="125">
        <f>IF('Quant. mod. (oc)'!S576&lt;0,0,'Quant. mod. (oc)'!S576)</f>
        <v>1956</v>
      </c>
      <c r="T576" s="125">
        <f>IF('Quant. mod. (oc)'!T576&lt;0,0,'Quant. mod. (oc)'!T576)</f>
        <v>0</v>
      </c>
      <c r="U576" s="125">
        <f>IF('Quant. mod. (oc)'!U576&lt;0,0,'Quant. mod. (oc)'!U576)</f>
        <v>1956</v>
      </c>
      <c r="V576" s="125">
        <f>IF('Quant. mod. (oc)'!V576&lt;0,0,'Quant. mod. (oc)'!V576)</f>
        <v>0</v>
      </c>
      <c r="W576" s="125">
        <f>IF('Quant. mod. (oc)'!W576&lt;0,0,'Quant. mod. (oc)'!W576)</f>
        <v>1956</v>
      </c>
      <c r="X576" s="125">
        <f>IF('Quant. mod. (oc)'!X576&lt;0,0,'Quant. mod. (oc)'!X576)</f>
        <v>0</v>
      </c>
      <c r="Y576" s="125">
        <f>IF('Quant. mod. (oc)'!Y576&lt;0,0,'Quant. mod. (oc)'!Y576)</f>
        <v>0</v>
      </c>
      <c r="Z576" s="125">
        <f>IF('Quant. mod. (oc)'!Z576&lt;0,0,'Quant. mod. (oc)'!Z576)</f>
        <v>1491</v>
      </c>
      <c r="AA576" s="125">
        <f>IF('Quant. mod. (oc)'!AA576&lt;0,0,'Quant. mod. (oc)'!AA576)</f>
        <v>0</v>
      </c>
      <c r="AB576" s="125">
        <f>IF('Quant. mod. (oc)'!AB576&lt;0,0,'Quant. mod. (oc)'!AB576)</f>
        <v>0</v>
      </c>
      <c r="AC576" s="125">
        <f>IF('Quant. mod. (oc)'!AC576&lt;0,0,'Quant. mod. (oc)'!AC576)</f>
        <v>1491</v>
      </c>
      <c r="AD576" s="125">
        <f>IF('Quant. mod. (oc)'!AD576&lt;0,0,'Quant. mod. (oc)'!AD576)</f>
        <v>0</v>
      </c>
      <c r="AE576" s="125">
        <f>IF('Quant. mod. (oc)'!AE576&lt;0,0,'Quant. mod. (oc)'!AE576)</f>
        <v>1491</v>
      </c>
      <c r="AF576" s="125">
        <f>IF('Quant. mod. (oc)'!AF576&lt;0,0,'Quant. mod. (oc)'!AF576)</f>
        <v>0</v>
      </c>
      <c r="AG576" s="126">
        <f>IF('Quant. mod. (oc)'!AG576&lt;0,0,'Quant. mod. (oc)'!AG576)</f>
        <v>1491</v>
      </c>
      <c r="AH576" s="22"/>
    </row>
    <row r="577" spans="1:34" x14ac:dyDescent="0.25">
      <c r="A577" s="21"/>
      <c r="B577" s="120" t="s">
        <v>589</v>
      </c>
      <c r="C577" s="121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  <c r="AF577" s="127"/>
      <c r="AG577" s="128"/>
      <c r="AH577" s="22"/>
    </row>
    <row r="578" spans="1:34" x14ac:dyDescent="0.25">
      <c r="A578" s="21"/>
      <c r="B578" s="27" t="s">
        <v>590</v>
      </c>
      <c r="C578" s="125" t="s">
        <v>63</v>
      </c>
      <c r="D578" s="125">
        <f>IF('Quant. mod. (oc)'!D578&lt;0,0,'Quant. mod. (oc)'!D578)</f>
        <v>659.99999999999295</v>
      </c>
      <c r="E578" s="125">
        <f>IF('Quant. mod. (oc)'!E578&lt;0,0,'Quant. mod. (oc)'!E578)</f>
        <v>660</v>
      </c>
      <c r="F578" s="125">
        <f>IF('Quant. mod. (oc)'!F578&lt;0,0,'Quant. mod. (oc)'!F578)</f>
        <v>420</v>
      </c>
      <c r="G578" s="125">
        <f>IF('Quant. mod. (oc)'!G578&lt;0,0,'Quant. mod. (oc)'!G578)</f>
        <v>659.99999999999295</v>
      </c>
      <c r="H578" s="125">
        <f>IF('Quant. mod. (oc)'!H578&lt;0,0,'Quant. mod. (oc)'!H578)</f>
        <v>660</v>
      </c>
      <c r="I578" s="125">
        <f>IF('Quant. mod. (oc)'!I578&lt;0,0,'Quant. mod. (oc)'!I578)</f>
        <v>420</v>
      </c>
      <c r="J578" s="125">
        <f>IF('Quant. mod. (oc)'!J578&lt;0,0,'Quant. mod. (oc)'!J578)</f>
        <v>659.99999999999295</v>
      </c>
      <c r="K578" s="125">
        <f>IF('Quant. mod. (oc)'!K578&lt;0,0,'Quant. mod. (oc)'!K578)</f>
        <v>420</v>
      </c>
      <c r="L578" s="125">
        <f>IF('Quant. mod. (oc)'!L578&lt;0,0,'Quant. mod. (oc)'!L578)</f>
        <v>659.99999999999295</v>
      </c>
      <c r="M578" s="125">
        <f>IF('Quant. mod. (oc)'!M578&lt;0,0,'Quant. mod. (oc)'!M578)</f>
        <v>420</v>
      </c>
      <c r="N578" s="125">
        <f>IF('Quant. mod. (oc)'!N578&lt;0,0,'Quant. mod. (oc)'!N578)</f>
        <v>420</v>
      </c>
      <c r="O578" s="125">
        <f>IF('Quant. mod. (oc)'!O578&lt;0,0,'Quant. mod. (oc)'!O578)</f>
        <v>420</v>
      </c>
      <c r="P578" s="125">
        <f>IF('Quant. mod. (oc)'!P578&lt;0,0,'Quant. mod. (oc)'!P578)</f>
        <v>420</v>
      </c>
      <c r="Q578" s="125">
        <f>IF('Quant. mod. (oc)'!Q578&lt;0,0,'Quant. mod. (oc)'!Q578)</f>
        <v>420</v>
      </c>
      <c r="R578" s="125">
        <f>IF('Quant. mod. (oc)'!R578&lt;0,0,'Quant. mod. (oc)'!R578)</f>
        <v>420</v>
      </c>
      <c r="S578" s="125">
        <f>IF('Quant. mod. (oc)'!S578&lt;0,0,'Quant. mod. (oc)'!S578)</f>
        <v>420</v>
      </c>
      <c r="T578" s="125">
        <f>IF('Quant. mod. (oc)'!T578&lt;0,0,'Quant. mod. (oc)'!T578)</f>
        <v>420</v>
      </c>
      <c r="U578" s="125">
        <f>IF('Quant. mod. (oc)'!U578&lt;0,0,'Quant. mod. (oc)'!U578)</f>
        <v>420</v>
      </c>
      <c r="V578" s="125">
        <f>IF('Quant. mod. (oc)'!V578&lt;0,0,'Quant. mod. (oc)'!V578)</f>
        <v>420</v>
      </c>
      <c r="W578" s="125">
        <f>IF('Quant. mod. (oc)'!W578&lt;0,0,'Quant. mod. (oc)'!W578)</f>
        <v>420</v>
      </c>
      <c r="X578" s="125">
        <f>IF('Quant. mod. (oc)'!X578&lt;0,0,'Quant. mod. (oc)'!X578)</f>
        <v>420</v>
      </c>
      <c r="Y578" s="125">
        <f>IF('Quant. mod. (oc)'!Y578&lt;0,0,'Quant. mod. (oc)'!Y578)</f>
        <v>420</v>
      </c>
      <c r="Z578" s="125">
        <f>IF('Quant. mod. (oc)'!Z578&lt;0,0,'Quant. mod. (oc)'!Z578)</f>
        <v>420</v>
      </c>
      <c r="AA578" s="125">
        <f>IF('Quant. mod. (oc)'!AA578&lt;0,0,'Quant. mod. (oc)'!AA578)</f>
        <v>420</v>
      </c>
      <c r="AB578" s="125">
        <f>IF('Quant. mod. (oc)'!AB578&lt;0,0,'Quant. mod. (oc)'!AB578)</f>
        <v>420</v>
      </c>
      <c r="AC578" s="125">
        <f>IF('Quant. mod. (oc)'!AC578&lt;0,0,'Quant. mod. (oc)'!AC578)</f>
        <v>420</v>
      </c>
      <c r="AD578" s="125">
        <f>IF('Quant. mod. (oc)'!AD578&lt;0,0,'Quant. mod. (oc)'!AD578)</f>
        <v>420</v>
      </c>
      <c r="AE578" s="125">
        <f>IF('Quant. mod. (oc)'!AE578&lt;0,0,'Quant. mod. (oc)'!AE578)</f>
        <v>420</v>
      </c>
      <c r="AF578" s="125">
        <f>IF('Quant. mod. (oc)'!AF578&lt;0,0,'Quant. mod. (oc)'!AF578)</f>
        <v>420</v>
      </c>
      <c r="AG578" s="126">
        <f>IF('Quant. mod. (oc)'!AG578&lt;0,0,'Quant. mod. (oc)'!AG578)</f>
        <v>420</v>
      </c>
      <c r="AH578" s="22"/>
    </row>
    <row r="579" spans="1:34" x14ac:dyDescent="0.25">
      <c r="A579" s="21"/>
      <c r="B579" s="27" t="s">
        <v>904</v>
      </c>
      <c r="C579" s="125" t="s">
        <v>317</v>
      </c>
      <c r="D579" s="125">
        <f>IF('Dados (F)'!$D$51=1,IF('Quant. mod. (oc)'!D579&lt;0,0,'Quant. mod. (oc)'!D579),0)</f>
        <v>599.99999999999295</v>
      </c>
      <c r="E579" s="125">
        <f>IF('Dados (F)'!$D$51=1,IF('Quant. mod. (oc)'!E579&lt;0,0,'Quant. mod. (oc)'!E579),0)</f>
        <v>600</v>
      </c>
      <c r="F579" s="125">
        <f>IF('Dados (F)'!$D$51=1,IF('Quant. mod. (oc)'!F579&lt;0,0,'Quant. mod. (oc)'!F579),0)</f>
        <v>540</v>
      </c>
      <c r="G579" s="125">
        <f>IF('Dados (F)'!$D$51=1,IF('Quant. mod. (oc)'!G579&lt;0,0,'Quant. mod. (oc)'!G579),0)</f>
        <v>599.99999999999295</v>
      </c>
      <c r="H579" s="125">
        <f>IF('Dados (F)'!$D$51=1,IF('Quant. mod. (oc)'!H579&lt;0,0,'Quant. mod. (oc)'!H579),0)</f>
        <v>600</v>
      </c>
      <c r="I579" s="125">
        <f>IF('Dados (F)'!$D$51=1,IF('Quant. mod. (oc)'!I579&lt;0,0,'Quant. mod. (oc)'!I579),0)</f>
        <v>540</v>
      </c>
      <c r="J579" s="125">
        <f>IF('Dados (F)'!$D$51=1,IF('Quant. mod. (oc)'!J579&lt;0,0,'Quant. mod. (oc)'!J579),0)</f>
        <v>599.99999999999295</v>
      </c>
      <c r="K579" s="125">
        <f>IF('Dados (F)'!$D$51=1,IF('Quant. mod. (oc)'!K579&lt;0,0,'Quant. mod. (oc)'!K579),0)</f>
        <v>540</v>
      </c>
      <c r="L579" s="125">
        <f>IF('Dados (F)'!$D$51=1,IF('Quant. mod. (oc)'!L579&lt;0,0,'Quant. mod. (oc)'!L579),0)</f>
        <v>599.99999999999295</v>
      </c>
      <c r="M579" s="125">
        <f>IF('Dados (F)'!$D$51=1,IF('Quant. mod. (oc)'!M579&lt;0,0,'Quant. mod. (oc)'!M579),0)</f>
        <v>540</v>
      </c>
      <c r="N579" s="125">
        <f>IF('Dados (F)'!$D$51=1,IF('Quant. mod. (oc)'!N579&lt;0,0,'Quant. mod. (oc)'!N579),0)</f>
        <v>540</v>
      </c>
      <c r="O579" s="125">
        <f>IF('Dados (F)'!$D$51=1,IF('Quant. mod. (oc)'!O579&lt;0,0,'Quant. mod. (oc)'!O579),0)</f>
        <v>540</v>
      </c>
      <c r="P579" s="125">
        <f>IF('Dados (F)'!$D$51=1,IF('Quant. mod. (oc)'!P579&lt;0,0,'Quant. mod. (oc)'!P579),0)</f>
        <v>540</v>
      </c>
      <c r="Q579" s="125">
        <f>IF('Dados (F)'!$D$51=1,IF('Quant. mod. (oc)'!Q579&lt;0,0,'Quant. mod. (oc)'!Q579),0)</f>
        <v>540</v>
      </c>
      <c r="R579" s="125">
        <f>IF('Dados (F)'!$D$51=1,IF('Quant. mod. (oc)'!R579&lt;0,0,'Quant. mod. (oc)'!R579),0)</f>
        <v>540</v>
      </c>
      <c r="S579" s="125">
        <f>IF('Dados (F)'!$D$51=1,IF('Quant. mod. (oc)'!S579&lt;0,0,'Quant. mod. (oc)'!S579),0)</f>
        <v>540</v>
      </c>
      <c r="T579" s="125">
        <f>IF('Dados (F)'!$D$51=1,IF('Quant. mod. (oc)'!T579&lt;0,0,'Quant. mod. (oc)'!T579),0)</f>
        <v>540</v>
      </c>
      <c r="U579" s="125">
        <f>IF('Dados (F)'!$D$51=1,IF('Quant. mod. (oc)'!U579&lt;0,0,'Quant. mod. (oc)'!U579),0)</f>
        <v>540</v>
      </c>
      <c r="V579" s="125">
        <f>IF('Dados (F)'!$D$51=1,IF('Quant. mod. (oc)'!V579&lt;0,0,'Quant. mod. (oc)'!V579),0)</f>
        <v>540</v>
      </c>
      <c r="W579" s="125">
        <f>IF('Dados (F)'!$D$51=1,IF('Quant. mod. (oc)'!W579&lt;0,0,'Quant. mod. (oc)'!W579),0)</f>
        <v>540</v>
      </c>
      <c r="X579" s="125">
        <f>IF('Dados (F)'!$D$51=1,IF('Quant. mod. (oc)'!X579&lt;0,0,'Quant. mod. (oc)'!X579),0)</f>
        <v>540</v>
      </c>
      <c r="Y579" s="125">
        <f>IF('Dados (F)'!$D$51=1,IF('Quant. mod. (oc)'!Y579&lt;0,0,'Quant. mod. (oc)'!Y579),0)</f>
        <v>540</v>
      </c>
      <c r="Z579" s="125">
        <f>IF('Dados (F)'!$D$51=1,IF('Quant. mod. (oc)'!Z579&lt;0,0,'Quant. mod. (oc)'!Z579),0)</f>
        <v>540</v>
      </c>
      <c r="AA579" s="125">
        <f>IF('Dados (F)'!$D$51=1,IF('Quant. mod. (oc)'!AA579&lt;0,0,'Quant. mod. (oc)'!AA579),0)</f>
        <v>540</v>
      </c>
      <c r="AB579" s="125">
        <f>IF('Dados (F)'!$D$51=1,IF('Quant. mod. (oc)'!AB579&lt;0,0,'Quant. mod. (oc)'!AB579),0)</f>
        <v>540</v>
      </c>
      <c r="AC579" s="125">
        <f>IF('Dados (F)'!$D$51=1,IF('Quant. mod. (oc)'!AC579&lt;0,0,'Quant. mod. (oc)'!AC579),0)</f>
        <v>540</v>
      </c>
      <c r="AD579" s="125">
        <f>IF('Dados (F)'!$D$51=1,IF('Quant. mod. (oc)'!AD579&lt;0,0,'Quant. mod. (oc)'!AD579),0)</f>
        <v>540</v>
      </c>
      <c r="AE579" s="125">
        <f>IF('Dados (F)'!$D$51=1,IF('Quant. mod. (oc)'!AE579&lt;0,0,'Quant. mod. (oc)'!AE579),0)</f>
        <v>540</v>
      </c>
      <c r="AF579" s="125">
        <f>IF('Dados (F)'!$D$51=1,IF('Quant. mod. (oc)'!AF579&lt;0,0,'Quant. mod. (oc)'!AF579),0)</f>
        <v>540</v>
      </c>
      <c r="AG579" s="126">
        <f>IF('Dados (F)'!$D$51=1,IF('Quant. mod. (oc)'!AG579&lt;0,0,'Quant. mod. (oc)'!AG579),0)</f>
        <v>540</v>
      </c>
      <c r="AH579" s="22"/>
    </row>
    <row r="580" spans="1:34" x14ac:dyDescent="0.25">
      <c r="A580" s="21"/>
      <c r="B580" s="27" t="s">
        <v>621</v>
      </c>
      <c r="C580" s="125" t="s">
        <v>317</v>
      </c>
      <c r="D580" s="125">
        <f>IF('Dados (F)'!$D$51=2,IF('Quant. mod. (oc)'!D580&lt;0,0,'Quant. mod. (oc)'!D580),0)</f>
        <v>0</v>
      </c>
      <c r="E580" s="125">
        <f>IF('Dados (F)'!$D$51=2,IF('Quant. mod. (oc)'!E580&lt;0,0,'Quant. mod. (oc)'!E580),0)</f>
        <v>0</v>
      </c>
      <c r="F580" s="125">
        <f>IF('Dados (F)'!$D$51=2,IF('Quant. mod. (oc)'!F580&lt;0,0,'Quant. mod. (oc)'!F580),0)</f>
        <v>0</v>
      </c>
      <c r="G580" s="125">
        <f>IF('Dados (F)'!$D$51=2,IF('Quant. mod. (oc)'!G580&lt;0,0,'Quant. mod. (oc)'!G580),0)</f>
        <v>0</v>
      </c>
      <c r="H580" s="125">
        <f>IF('Dados (F)'!$D$51=2,IF('Quant. mod. (oc)'!H580&lt;0,0,'Quant. mod. (oc)'!H580),0)</f>
        <v>0</v>
      </c>
      <c r="I580" s="125">
        <f>IF('Dados (F)'!$D$51=2,IF('Quant. mod. (oc)'!I580&lt;0,0,'Quant. mod. (oc)'!I580),0)</f>
        <v>0</v>
      </c>
      <c r="J580" s="125">
        <f>IF('Dados (F)'!$D$51=2,IF('Quant. mod. (oc)'!J580&lt;0,0,'Quant. mod. (oc)'!J580),0)</f>
        <v>0</v>
      </c>
      <c r="K580" s="125">
        <f>IF('Dados (F)'!$D$51=2,IF('Quant. mod. (oc)'!K580&lt;0,0,'Quant. mod. (oc)'!K580),0)</f>
        <v>0</v>
      </c>
      <c r="L580" s="125">
        <f>IF('Dados (F)'!$D$51=2,IF('Quant. mod. (oc)'!L580&lt;0,0,'Quant. mod. (oc)'!L580),0)</f>
        <v>0</v>
      </c>
      <c r="M580" s="125">
        <f>IF('Dados (F)'!$D$51=2,IF('Quant. mod. (oc)'!M580&lt;0,0,'Quant. mod. (oc)'!M580),0)</f>
        <v>0</v>
      </c>
      <c r="N580" s="125">
        <f>IF('Dados (F)'!$D$51=2,IF('Quant. mod. (oc)'!N580&lt;0,0,'Quant. mod. (oc)'!N580),0)</f>
        <v>0</v>
      </c>
      <c r="O580" s="125">
        <f>IF('Dados (F)'!$D$51=2,IF('Quant. mod. (oc)'!O580&lt;0,0,'Quant. mod. (oc)'!O580),0)</f>
        <v>0</v>
      </c>
      <c r="P580" s="125">
        <f>IF('Dados (F)'!$D$51=2,IF('Quant. mod. (oc)'!P580&lt;0,0,'Quant. mod. (oc)'!P580),0)</f>
        <v>0</v>
      </c>
      <c r="Q580" s="125">
        <f>IF('Dados (F)'!$D$51=2,IF('Quant. mod. (oc)'!Q580&lt;0,0,'Quant. mod. (oc)'!Q580),0)</f>
        <v>0</v>
      </c>
      <c r="R580" s="125">
        <f>IF('Dados (F)'!$D$51=2,IF('Quant. mod. (oc)'!R580&lt;0,0,'Quant. mod. (oc)'!R580),0)</f>
        <v>0</v>
      </c>
      <c r="S580" s="125">
        <f>IF('Dados (F)'!$D$51=2,IF('Quant. mod. (oc)'!S580&lt;0,0,'Quant. mod. (oc)'!S580),0)</f>
        <v>0</v>
      </c>
      <c r="T580" s="125">
        <f>IF('Dados (F)'!$D$51=2,IF('Quant. mod. (oc)'!T580&lt;0,0,'Quant. mod. (oc)'!T580),0)</f>
        <v>0</v>
      </c>
      <c r="U580" s="125">
        <f>IF('Dados (F)'!$D$51=2,IF('Quant. mod. (oc)'!U580&lt;0,0,'Quant. mod. (oc)'!U580),0)</f>
        <v>0</v>
      </c>
      <c r="V580" s="125">
        <f>IF('Dados (F)'!$D$51=2,IF('Quant. mod. (oc)'!V580&lt;0,0,'Quant. mod. (oc)'!V580),0)</f>
        <v>0</v>
      </c>
      <c r="W580" s="125">
        <f>IF('Dados (F)'!$D$51=2,IF('Quant. mod. (oc)'!W580&lt;0,0,'Quant. mod. (oc)'!W580),0)</f>
        <v>0</v>
      </c>
      <c r="X580" s="125">
        <f>IF('Dados (F)'!$D$51=2,IF('Quant. mod. (oc)'!X580&lt;0,0,'Quant. mod. (oc)'!X580),0)</f>
        <v>0</v>
      </c>
      <c r="Y580" s="125">
        <f>IF('Dados (F)'!$D$51=2,IF('Quant. mod. (oc)'!Y580&lt;0,0,'Quant. mod. (oc)'!Y580),0)</f>
        <v>0</v>
      </c>
      <c r="Z580" s="125">
        <f>IF('Dados (F)'!$D$51=2,IF('Quant. mod. (oc)'!Z580&lt;0,0,'Quant. mod. (oc)'!Z580),0)</f>
        <v>0</v>
      </c>
      <c r="AA580" s="125">
        <f>IF('Dados (F)'!$D$51=2,IF('Quant. mod. (oc)'!AA580&lt;0,0,'Quant. mod. (oc)'!AA580),0)</f>
        <v>0</v>
      </c>
      <c r="AB580" s="125">
        <f>IF('Dados (F)'!$D$51=2,IF('Quant. mod. (oc)'!AB580&lt;0,0,'Quant. mod. (oc)'!AB580),0)</f>
        <v>0</v>
      </c>
      <c r="AC580" s="125">
        <f>IF('Dados (F)'!$D$51=2,IF('Quant. mod. (oc)'!AC580&lt;0,0,'Quant. mod. (oc)'!AC580),0)</f>
        <v>0</v>
      </c>
      <c r="AD580" s="125">
        <f>IF('Dados (F)'!$D$51=2,IF('Quant. mod. (oc)'!AD580&lt;0,0,'Quant. mod. (oc)'!AD580),0)</f>
        <v>0</v>
      </c>
      <c r="AE580" s="125">
        <f>IF('Dados (F)'!$D$51=2,IF('Quant. mod. (oc)'!AE580&lt;0,0,'Quant. mod. (oc)'!AE580),0)</f>
        <v>0</v>
      </c>
      <c r="AF580" s="125">
        <f>IF('Dados (F)'!$D$51=2,IF('Quant. mod. (oc)'!AF580&lt;0,0,'Quant. mod. (oc)'!AF580),0)</f>
        <v>0</v>
      </c>
      <c r="AG580" s="126">
        <f>IF('Dados (F)'!$D$51=2,IF('Quant. mod. (oc)'!AG580&lt;0,0,'Quant. mod. (oc)'!AG580),0)</f>
        <v>0</v>
      </c>
      <c r="AH580" s="22"/>
    </row>
    <row r="581" spans="1:34" x14ac:dyDescent="0.25">
      <c r="A581" s="21"/>
      <c r="B581" s="27" t="s">
        <v>622</v>
      </c>
      <c r="C581" s="125" t="s">
        <v>63</v>
      </c>
      <c r="D581" s="125">
        <f>IF('Quant. mod. (oc)'!D581&lt;0,0,'Quant. mod. (oc)'!D581)</f>
        <v>180</v>
      </c>
      <c r="E581" s="125">
        <f>IF('Quant. mod. (oc)'!E581&lt;0,0,'Quant. mod. (oc)'!E581)</f>
        <v>180</v>
      </c>
      <c r="F581" s="125">
        <f>IF('Quant. mod. (oc)'!F581&lt;0,0,'Quant. mod. (oc)'!F581)</f>
        <v>180</v>
      </c>
      <c r="G581" s="125">
        <f>IF('Quant. mod. (oc)'!G581&lt;0,0,'Quant. mod. (oc)'!G581)</f>
        <v>180</v>
      </c>
      <c r="H581" s="125">
        <f>IF('Quant. mod. (oc)'!H581&lt;0,0,'Quant. mod. (oc)'!H581)</f>
        <v>180</v>
      </c>
      <c r="I581" s="125">
        <f>IF('Quant. mod. (oc)'!I581&lt;0,0,'Quant. mod. (oc)'!I581)</f>
        <v>180</v>
      </c>
      <c r="J581" s="125">
        <f>IF('Quant. mod. (oc)'!J581&lt;0,0,'Quant. mod. (oc)'!J581)</f>
        <v>180</v>
      </c>
      <c r="K581" s="125">
        <f>IF('Quant. mod. (oc)'!K581&lt;0,0,'Quant. mod. (oc)'!K581)</f>
        <v>180</v>
      </c>
      <c r="L581" s="125">
        <f>IF('Quant. mod. (oc)'!L581&lt;0,0,'Quant. mod. (oc)'!L581)</f>
        <v>180</v>
      </c>
      <c r="M581" s="125">
        <f>IF('Quant. mod. (oc)'!M581&lt;0,0,'Quant. mod. (oc)'!M581)</f>
        <v>180</v>
      </c>
      <c r="N581" s="125">
        <f>IF('Quant. mod. (oc)'!N581&lt;0,0,'Quant. mod. (oc)'!N581)</f>
        <v>180</v>
      </c>
      <c r="O581" s="125">
        <f>IF('Quant. mod. (oc)'!O581&lt;0,0,'Quant. mod. (oc)'!O581)</f>
        <v>180</v>
      </c>
      <c r="P581" s="125">
        <f>IF('Quant. mod. (oc)'!P581&lt;0,0,'Quant. mod. (oc)'!P581)</f>
        <v>180</v>
      </c>
      <c r="Q581" s="125">
        <f>IF('Quant. mod. (oc)'!Q581&lt;0,0,'Quant. mod. (oc)'!Q581)</f>
        <v>180</v>
      </c>
      <c r="R581" s="125">
        <f>IF('Quant. mod. (oc)'!R581&lt;0,0,'Quant. mod. (oc)'!R581)</f>
        <v>180</v>
      </c>
      <c r="S581" s="125">
        <f>IF('Quant. mod. (oc)'!S581&lt;0,0,'Quant. mod. (oc)'!S581)</f>
        <v>180</v>
      </c>
      <c r="T581" s="125">
        <f>IF('Quant. mod. (oc)'!T581&lt;0,0,'Quant. mod. (oc)'!T581)</f>
        <v>180</v>
      </c>
      <c r="U581" s="125">
        <f>IF('Quant. mod. (oc)'!U581&lt;0,0,'Quant. mod. (oc)'!U581)</f>
        <v>180</v>
      </c>
      <c r="V581" s="125">
        <f>IF('Quant. mod. (oc)'!V581&lt;0,0,'Quant. mod. (oc)'!V581)</f>
        <v>180</v>
      </c>
      <c r="W581" s="125">
        <f>IF('Quant. mod. (oc)'!W581&lt;0,0,'Quant. mod. (oc)'!W581)</f>
        <v>180</v>
      </c>
      <c r="X581" s="125">
        <f>IF('Quant. mod. (oc)'!X581&lt;0,0,'Quant. mod. (oc)'!X581)</f>
        <v>180</v>
      </c>
      <c r="Y581" s="125">
        <f>IF('Quant. mod. (oc)'!Y581&lt;0,0,'Quant. mod. (oc)'!Y581)</f>
        <v>180</v>
      </c>
      <c r="Z581" s="125">
        <f>IF('Quant. mod. (oc)'!Z581&lt;0,0,'Quant. mod. (oc)'!Z581)</f>
        <v>180</v>
      </c>
      <c r="AA581" s="125">
        <f>IF('Quant. mod. (oc)'!AA581&lt;0,0,'Quant. mod. (oc)'!AA581)</f>
        <v>180</v>
      </c>
      <c r="AB581" s="125">
        <f>IF('Quant. mod. (oc)'!AB581&lt;0,0,'Quant. mod. (oc)'!AB581)</f>
        <v>180</v>
      </c>
      <c r="AC581" s="125">
        <f>IF('Quant. mod. (oc)'!AC581&lt;0,0,'Quant. mod. (oc)'!AC581)</f>
        <v>180</v>
      </c>
      <c r="AD581" s="125">
        <f>IF('Quant. mod. (oc)'!AD581&lt;0,0,'Quant. mod. (oc)'!AD581)</f>
        <v>180</v>
      </c>
      <c r="AE581" s="125">
        <f>IF('Quant. mod. (oc)'!AE581&lt;0,0,'Quant. mod. (oc)'!AE581)</f>
        <v>180</v>
      </c>
      <c r="AF581" s="125">
        <f>IF('Quant. mod. (oc)'!AF581&lt;0,0,'Quant. mod. (oc)'!AF581)</f>
        <v>180</v>
      </c>
      <c r="AG581" s="126">
        <f>IF('Quant. mod. (oc)'!AG581&lt;0,0,'Quant. mod. (oc)'!AG581)</f>
        <v>180</v>
      </c>
      <c r="AH581" s="22"/>
    </row>
    <row r="582" spans="1:34" x14ac:dyDescent="0.25">
      <c r="A582" s="21"/>
      <c r="B582" s="120" t="s">
        <v>591</v>
      </c>
      <c r="C582" s="121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  <c r="AF582" s="127"/>
      <c r="AG582" s="128"/>
      <c r="AH582" s="22"/>
    </row>
    <row r="583" spans="1:34" x14ac:dyDescent="0.25">
      <c r="A583" s="21"/>
      <c r="B583" s="120" t="s">
        <v>592</v>
      </c>
      <c r="C583" s="121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  <c r="AF583" s="127"/>
      <c r="AG583" s="128"/>
      <c r="AH583" s="22"/>
    </row>
    <row r="584" spans="1:34" x14ac:dyDescent="0.25">
      <c r="A584" s="21"/>
      <c r="B584" s="27" t="s">
        <v>593</v>
      </c>
      <c r="C584" s="67" t="s">
        <v>318</v>
      </c>
      <c r="D584" s="125">
        <f>IF('Quant. mod. (oc)'!D584&lt;0,0,'Quant. mod. (oc)'!D584)</f>
        <v>91.576999999999998</v>
      </c>
      <c r="E584" s="125">
        <f>IF('Quant. mod. (oc)'!E584&lt;0,0,'Quant. mod. (oc)'!E584)</f>
        <v>91.575000000000003</v>
      </c>
      <c r="F584" s="125">
        <f>IF('Quant. mod. (oc)'!F584&lt;0,0,'Quant. mod. (oc)'!F584)</f>
        <v>91.575000000000003</v>
      </c>
      <c r="G584" s="125">
        <f>IF('Quant. mod. (oc)'!G584&lt;0,0,'Quant. mod. (oc)'!G584)</f>
        <v>91.576999999999998</v>
      </c>
      <c r="H584" s="125">
        <f>IF('Quant. mod. (oc)'!H584&lt;0,0,'Quant. mod. (oc)'!H584)</f>
        <v>91.575000000000003</v>
      </c>
      <c r="I584" s="125">
        <f>IF('Quant. mod. (oc)'!I584&lt;0,0,'Quant. mod. (oc)'!I584)</f>
        <v>91.575000000000003</v>
      </c>
      <c r="J584" s="125">
        <f>IF('Quant. mod. (oc)'!J584&lt;0,0,'Quant. mod. (oc)'!J584)</f>
        <v>91.576999999999998</v>
      </c>
      <c r="K584" s="125">
        <f>IF('Quant. mod. (oc)'!K584&lt;0,0,'Quant. mod. (oc)'!K584)</f>
        <v>91.575000000000003</v>
      </c>
      <c r="L584" s="125">
        <f>IF('Quant. mod. (oc)'!L584&lt;0,0,'Quant. mod. (oc)'!L584)</f>
        <v>91.576999999999998</v>
      </c>
      <c r="M584" s="125">
        <f>IF('Quant. mod. (oc)'!M584&lt;0,0,'Quant. mod. (oc)'!M584)</f>
        <v>91.575000000000003</v>
      </c>
      <c r="N584" s="125">
        <f>IF('Quant. mod. (oc)'!N584&lt;0,0,'Quant. mod. (oc)'!N584)</f>
        <v>183.15</v>
      </c>
      <c r="O584" s="125">
        <f>IF('Quant. mod. (oc)'!O584&lt;0,0,'Quant. mod. (oc)'!O584)</f>
        <v>183.15</v>
      </c>
      <c r="P584" s="125">
        <f>IF('Quant. mod. (oc)'!P584&lt;0,0,'Quant. mod. (oc)'!P584)</f>
        <v>183.15</v>
      </c>
      <c r="Q584" s="125">
        <f>IF('Quant. mod. (oc)'!Q584&lt;0,0,'Quant. mod. (oc)'!Q584)</f>
        <v>183.15</v>
      </c>
      <c r="R584" s="125">
        <f>IF('Quant. mod. (oc)'!R584&lt;0,0,'Quant. mod. (oc)'!R584)</f>
        <v>183.15</v>
      </c>
      <c r="S584" s="125">
        <f>IF('Quant. mod. (oc)'!S584&lt;0,0,'Quant. mod. (oc)'!S584)</f>
        <v>183.15</v>
      </c>
      <c r="T584" s="125">
        <f>IF('Quant. mod. (oc)'!T584&lt;0,0,'Quant. mod. (oc)'!T584)</f>
        <v>183.15</v>
      </c>
      <c r="U584" s="125">
        <f>IF('Quant. mod. (oc)'!U584&lt;0,0,'Quant. mod. (oc)'!U584)</f>
        <v>183.15</v>
      </c>
      <c r="V584" s="125">
        <f>IF('Quant. mod. (oc)'!V584&lt;0,0,'Quant. mod. (oc)'!V584)</f>
        <v>183.15</v>
      </c>
      <c r="W584" s="125">
        <f>IF('Quant. mod. (oc)'!W584&lt;0,0,'Quant. mod. (oc)'!W584)</f>
        <v>183.15</v>
      </c>
      <c r="X584" s="125">
        <f>IF('Quant. mod. (oc)'!X584&lt;0,0,'Quant. mod. (oc)'!X584)</f>
        <v>183.14499999999998</v>
      </c>
      <c r="Y584" s="125">
        <f>IF('Quant. mod. (oc)'!Y584&lt;0,0,'Quant. mod. (oc)'!Y584)</f>
        <v>183.14499999999998</v>
      </c>
      <c r="Z584" s="125">
        <f>IF('Quant. mod. (oc)'!Z584&lt;0,0,'Quant. mod. (oc)'!Z584)</f>
        <v>183.14499999999998</v>
      </c>
      <c r="AA584" s="125">
        <f>IF('Quant. mod. (oc)'!AA584&lt;0,0,'Quant. mod. (oc)'!AA584)</f>
        <v>183.14499999999998</v>
      </c>
      <c r="AB584" s="125">
        <f>IF('Quant. mod. (oc)'!AB584&lt;0,0,'Quant. mod. (oc)'!AB584)</f>
        <v>183.14499999999998</v>
      </c>
      <c r="AC584" s="125">
        <f>IF('Quant. mod. (oc)'!AC584&lt;0,0,'Quant. mod. (oc)'!AC584)</f>
        <v>183.14499999999998</v>
      </c>
      <c r="AD584" s="125">
        <f>IF('Quant. mod. (oc)'!AD584&lt;0,0,'Quant. mod. (oc)'!AD584)</f>
        <v>183.14499999999998</v>
      </c>
      <c r="AE584" s="125">
        <f>IF('Quant. mod. (oc)'!AE584&lt;0,0,'Quant. mod. (oc)'!AE584)</f>
        <v>183.14499999999998</v>
      </c>
      <c r="AF584" s="125">
        <f>IF('Quant. mod. (oc)'!AF584&lt;0,0,'Quant. mod. (oc)'!AF584)</f>
        <v>183.14499999999998</v>
      </c>
      <c r="AG584" s="126">
        <f>IF('Quant. mod. (oc)'!AG584&lt;0,0,'Quant. mod. (oc)'!AG584)</f>
        <v>183.14499999999998</v>
      </c>
      <c r="AH584" s="22"/>
    </row>
    <row r="585" spans="1:34" x14ac:dyDescent="0.25">
      <c r="A585" s="21"/>
      <c r="B585" s="27" t="s">
        <v>594</v>
      </c>
      <c r="C585" s="67" t="s">
        <v>318</v>
      </c>
      <c r="D585" s="125">
        <f>IF('Quant. mod. (oc)'!D585&lt;0,0,'Quant. mod. (oc)'!D585)</f>
        <v>0.89</v>
      </c>
      <c r="E585" s="125">
        <f>IF('Quant. mod. (oc)'!E585&lt;0,0,'Quant. mod. (oc)'!E585)</f>
        <v>0.89</v>
      </c>
      <c r="F585" s="125">
        <f>IF('Quant. mod. (oc)'!F585&lt;0,0,'Quant. mod. (oc)'!F585)</f>
        <v>0.89</v>
      </c>
      <c r="G585" s="125">
        <f>IF('Quant. mod. (oc)'!G585&lt;0,0,'Quant. mod. (oc)'!G585)</f>
        <v>0.89</v>
      </c>
      <c r="H585" s="125">
        <f>IF('Quant. mod. (oc)'!H585&lt;0,0,'Quant. mod. (oc)'!H585)</f>
        <v>0.89</v>
      </c>
      <c r="I585" s="125">
        <f>IF('Quant. mod. (oc)'!I585&lt;0,0,'Quant. mod. (oc)'!I585)</f>
        <v>0.89</v>
      </c>
      <c r="J585" s="125">
        <f>IF('Quant. mod. (oc)'!J585&lt;0,0,'Quant. mod. (oc)'!J585)</f>
        <v>0.89</v>
      </c>
      <c r="K585" s="125">
        <f>IF('Quant. mod. (oc)'!K585&lt;0,0,'Quant. mod. (oc)'!K585)</f>
        <v>0.89</v>
      </c>
      <c r="L585" s="125">
        <f>IF('Quant. mod. (oc)'!L585&lt;0,0,'Quant. mod. (oc)'!L585)</f>
        <v>0.89</v>
      </c>
      <c r="M585" s="125">
        <f>IF('Quant. mod. (oc)'!M585&lt;0,0,'Quant. mod. (oc)'!M585)</f>
        <v>0.89</v>
      </c>
      <c r="N585" s="125">
        <f>IF('Quant. mod. (oc)'!N585&lt;0,0,'Quant. mod. (oc)'!N585)</f>
        <v>0.89</v>
      </c>
      <c r="O585" s="125">
        <f>IF('Quant. mod. (oc)'!O585&lt;0,0,'Quant. mod. (oc)'!O585)</f>
        <v>0.89</v>
      </c>
      <c r="P585" s="125">
        <f>IF('Quant. mod. (oc)'!P585&lt;0,0,'Quant. mod. (oc)'!P585)</f>
        <v>0.89</v>
      </c>
      <c r="Q585" s="125">
        <f>IF('Quant. mod. (oc)'!Q585&lt;0,0,'Quant. mod. (oc)'!Q585)</f>
        <v>0.89</v>
      </c>
      <c r="R585" s="125">
        <f>IF('Quant. mod. (oc)'!R585&lt;0,0,'Quant. mod. (oc)'!R585)</f>
        <v>0.89</v>
      </c>
      <c r="S585" s="125">
        <f>IF('Quant. mod. (oc)'!S585&lt;0,0,'Quant. mod. (oc)'!S585)</f>
        <v>0.89</v>
      </c>
      <c r="T585" s="125">
        <f>IF('Quant. mod. (oc)'!T585&lt;0,0,'Quant. mod. (oc)'!T585)</f>
        <v>0.89</v>
      </c>
      <c r="U585" s="125">
        <f>IF('Quant. mod. (oc)'!U585&lt;0,0,'Quant. mod. (oc)'!U585)</f>
        <v>0.89</v>
      </c>
      <c r="V585" s="125">
        <f>IF('Quant. mod. (oc)'!V585&lt;0,0,'Quant. mod. (oc)'!V585)</f>
        <v>0.89</v>
      </c>
      <c r="W585" s="125">
        <f>IF('Quant. mod. (oc)'!W585&lt;0,0,'Quant. mod. (oc)'!W585)</f>
        <v>0.89</v>
      </c>
      <c r="X585" s="125">
        <f>IF('Quant. mod. (oc)'!X585&lt;0,0,'Quant. mod. (oc)'!X585)</f>
        <v>0.89</v>
      </c>
      <c r="Y585" s="125">
        <f>IF('Quant. mod. (oc)'!Y585&lt;0,0,'Quant. mod. (oc)'!Y585)</f>
        <v>0.89</v>
      </c>
      <c r="Z585" s="125">
        <f>IF('Quant. mod. (oc)'!Z585&lt;0,0,'Quant. mod. (oc)'!Z585)</f>
        <v>0.89</v>
      </c>
      <c r="AA585" s="125">
        <f>IF('Quant. mod. (oc)'!AA585&lt;0,0,'Quant. mod. (oc)'!AA585)</f>
        <v>0.89</v>
      </c>
      <c r="AB585" s="125">
        <f>IF('Quant. mod. (oc)'!AB585&lt;0,0,'Quant. mod. (oc)'!AB585)</f>
        <v>0.89</v>
      </c>
      <c r="AC585" s="125">
        <f>IF('Quant. mod. (oc)'!AC585&lt;0,0,'Quant. mod. (oc)'!AC585)</f>
        <v>0.89</v>
      </c>
      <c r="AD585" s="125">
        <f>IF('Quant. mod. (oc)'!AD585&lt;0,0,'Quant. mod. (oc)'!AD585)</f>
        <v>0.89</v>
      </c>
      <c r="AE585" s="125">
        <f>IF('Quant. mod. (oc)'!AE585&lt;0,0,'Quant. mod. (oc)'!AE585)</f>
        <v>0.89</v>
      </c>
      <c r="AF585" s="125">
        <f>IF('Quant. mod. (oc)'!AF585&lt;0,0,'Quant. mod. (oc)'!AF585)</f>
        <v>0.89</v>
      </c>
      <c r="AG585" s="126">
        <f>IF('Quant. mod. (oc)'!AG585&lt;0,0,'Quant. mod. (oc)'!AG585)</f>
        <v>0.89</v>
      </c>
      <c r="AH585" s="22"/>
    </row>
    <row r="586" spans="1:34" x14ac:dyDescent="0.25">
      <c r="A586" s="21"/>
      <c r="B586" s="27" t="s">
        <v>595</v>
      </c>
      <c r="C586" s="67" t="s">
        <v>318</v>
      </c>
      <c r="D586" s="125">
        <f>IF('Quant. mod. (oc)'!D586&lt;0,0,'Quant. mod. (oc)'!D586)</f>
        <v>25.92</v>
      </c>
      <c r="E586" s="125">
        <f>IF('Quant. mod. (oc)'!E586&lt;0,0,'Quant. mod. (oc)'!E586)</f>
        <v>25.92</v>
      </c>
      <c r="F586" s="125">
        <f>IF('Quant. mod. (oc)'!F586&lt;0,0,'Quant. mod. (oc)'!F586)</f>
        <v>25.92</v>
      </c>
      <c r="G586" s="125">
        <f>IF('Quant. mod. (oc)'!G586&lt;0,0,'Quant. mod. (oc)'!G586)</f>
        <v>25.92</v>
      </c>
      <c r="H586" s="125">
        <f>IF('Quant. mod. (oc)'!H586&lt;0,0,'Quant. mod. (oc)'!H586)</f>
        <v>25.92</v>
      </c>
      <c r="I586" s="125">
        <f>IF('Quant. mod. (oc)'!I586&lt;0,0,'Quant. mod. (oc)'!I586)</f>
        <v>25.92</v>
      </c>
      <c r="J586" s="125">
        <f>IF('Quant. mod. (oc)'!J586&lt;0,0,'Quant. mod. (oc)'!J586)</f>
        <v>25.92</v>
      </c>
      <c r="K586" s="125">
        <f>IF('Quant. mod. (oc)'!K586&lt;0,0,'Quant. mod. (oc)'!K586)</f>
        <v>25.92</v>
      </c>
      <c r="L586" s="125">
        <f>IF('Quant. mod. (oc)'!L586&lt;0,0,'Quant. mod. (oc)'!L586)</f>
        <v>25.92</v>
      </c>
      <c r="M586" s="125">
        <f>IF('Quant. mod. (oc)'!M586&lt;0,0,'Quant. mod. (oc)'!M586)</f>
        <v>25.92</v>
      </c>
      <c r="N586" s="125">
        <f>IF('Quant. mod. (oc)'!N586&lt;0,0,'Quant. mod. (oc)'!N586)</f>
        <v>25.92</v>
      </c>
      <c r="O586" s="125">
        <f>IF('Quant. mod. (oc)'!O586&lt;0,0,'Quant. mod. (oc)'!O586)</f>
        <v>25.92</v>
      </c>
      <c r="P586" s="125">
        <f>IF('Quant. mod. (oc)'!P586&lt;0,0,'Quant. mod. (oc)'!P586)</f>
        <v>25.92</v>
      </c>
      <c r="Q586" s="125">
        <f>IF('Quant. mod. (oc)'!Q586&lt;0,0,'Quant. mod. (oc)'!Q586)</f>
        <v>25.92</v>
      </c>
      <c r="R586" s="125">
        <f>IF('Quant. mod. (oc)'!R586&lt;0,0,'Quant. mod. (oc)'!R586)</f>
        <v>25.92</v>
      </c>
      <c r="S586" s="125">
        <f>IF('Quant. mod. (oc)'!S586&lt;0,0,'Quant. mod. (oc)'!S586)</f>
        <v>25.92</v>
      </c>
      <c r="T586" s="125">
        <f>IF('Quant. mod. (oc)'!T586&lt;0,0,'Quant. mod. (oc)'!T586)</f>
        <v>25.92</v>
      </c>
      <c r="U586" s="125">
        <f>IF('Quant. mod. (oc)'!U586&lt;0,0,'Quant. mod. (oc)'!U586)</f>
        <v>25.92</v>
      </c>
      <c r="V586" s="125">
        <f>IF('Quant. mod. (oc)'!V586&lt;0,0,'Quant. mod. (oc)'!V586)</f>
        <v>25.92</v>
      </c>
      <c r="W586" s="125">
        <f>IF('Quant. mod. (oc)'!W586&lt;0,0,'Quant. mod. (oc)'!W586)</f>
        <v>25.92</v>
      </c>
      <c r="X586" s="125">
        <f>IF('Quant. mod. (oc)'!X586&lt;0,0,'Quant. mod. (oc)'!X586)</f>
        <v>25.92</v>
      </c>
      <c r="Y586" s="125">
        <f>IF('Quant. mod. (oc)'!Y586&lt;0,0,'Quant. mod. (oc)'!Y586)</f>
        <v>25.92</v>
      </c>
      <c r="Z586" s="125">
        <f>IF('Quant. mod. (oc)'!Z586&lt;0,0,'Quant. mod. (oc)'!Z586)</f>
        <v>25.92</v>
      </c>
      <c r="AA586" s="125">
        <f>IF('Quant. mod. (oc)'!AA586&lt;0,0,'Quant. mod. (oc)'!AA586)</f>
        <v>25.92</v>
      </c>
      <c r="AB586" s="125">
        <f>IF('Quant. mod. (oc)'!AB586&lt;0,0,'Quant. mod. (oc)'!AB586)</f>
        <v>25.92</v>
      </c>
      <c r="AC586" s="125">
        <f>IF('Quant. mod. (oc)'!AC586&lt;0,0,'Quant. mod. (oc)'!AC586)</f>
        <v>25.92</v>
      </c>
      <c r="AD586" s="125">
        <f>IF('Quant. mod. (oc)'!AD586&lt;0,0,'Quant. mod. (oc)'!AD586)</f>
        <v>25.92</v>
      </c>
      <c r="AE586" s="125">
        <f>IF('Quant. mod. (oc)'!AE586&lt;0,0,'Quant. mod. (oc)'!AE586)</f>
        <v>25.92</v>
      </c>
      <c r="AF586" s="125">
        <f>IF('Quant. mod. (oc)'!AF586&lt;0,0,'Quant. mod. (oc)'!AF586)</f>
        <v>25.92</v>
      </c>
      <c r="AG586" s="126">
        <f>IF('Quant. mod. (oc)'!AG586&lt;0,0,'Quant. mod. (oc)'!AG586)</f>
        <v>25.92</v>
      </c>
      <c r="AH586" s="22"/>
    </row>
    <row r="587" spans="1:34" x14ac:dyDescent="0.25">
      <c r="A587" s="21"/>
      <c r="B587" s="27" t="s">
        <v>596</v>
      </c>
      <c r="C587" s="67" t="s">
        <v>318</v>
      </c>
      <c r="D587" s="125">
        <f>IF('Quant. mod. (oc)'!D587&lt;0,0,'Quant. mod. (oc)'!D587)</f>
        <v>7.2</v>
      </c>
      <c r="E587" s="125">
        <f>IF('Quant. mod. (oc)'!E587&lt;0,0,'Quant. mod. (oc)'!E587)</f>
        <v>180</v>
      </c>
      <c r="F587" s="125">
        <f>IF('Quant. mod. (oc)'!F587&lt;0,0,'Quant. mod. (oc)'!F587)</f>
        <v>7.2</v>
      </c>
      <c r="G587" s="125">
        <f>IF('Quant. mod. (oc)'!G587&lt;0,0,'Quant. mod. (oc)'!G587)</f>
        <v>7.2</v>
      </c>
      <c r="H587" s="125">
        <f>IF('Quant. mod. (oc)'!H587&lt;0,0,'Quant. mod. (oc)'!H587)</f>
        <v>180</v>
      </c>
      <c r="I587" s="125">
        <f>IF('Quant. mod. (oc)'!I587&lt;0,0,'Quant. mod. (oc)'!I587)</f>
        <v>7.2</v>
      </c>
      <c r="J587" s="125">
        <f>IF('Quant. mod. (oc)'!J587&lt;0,0,'Quant. mod. (oc)'!J587)</f>
        <v>7.2</v>
      </c>
      <c r="K587" s="125">
        <f>IF('Quant. mod. (oc)'!K587&lt;0,0,'Quant. mod. (oc)'!K587)</f>
        <v>7.2</v>
      </c>
      <c r="L587" s="125">
        <f>IF('Quant. mod. (oc)'!L587&lt;0,0,'Quant. mod. (oc)'!L587)</f>
        <v>7.2</v>
      </c>
      <c r="M587" s="125">
        <f>IF('Quant. mod. (oc)'!M587&lt;0,0,'Quant. mod. (oc)'!M587)</f>
        <v>7.2</v>
      </c>
      <c r="N587" s="125">
        <f>IF('Quant. mod. (oc)'!N587&lt;0,0,'Quant. mod. (oc)'!N587)</f>
        <v>7.2</v>
      </c>
      <c r="O587" s="125">
        <f>IF('Quant. mod. (oc)'!O587&lt;0,0,'Quant. mod. (oc)'!O587)</f>
        <v>180</v>
      </c>
      <c r="P587" s="125">
        <f>IF('Quant. mod. (oc)'!P587&lt;0,0,'Quant. mod. (oc)'!P587)</f>
        <v>7.2</v>
      </c>
      <c r="Q587" s="125">
        <f>IF('Quant. mod. (oc)'!Q587&lt;0,0,'Quant. mod. (oc)'!Q587)</f>
        <v>7.2</v>
      </c>
      <c r="R587" s="125">
        <f>IF('Quant. mod. (oc)'!R587&lt;0,0,'Quant. mod. (oc)'!R587)</f>
        <v>180</v>
      </c>
      <c r="S587" s="125">
        <f>IF('Quant. mod. (oc)'!S587&lt;0,0,'Quant. mod. (oc)'!S587)</f>
        <v>7.2</v>
      </c>
      <c r="T587" s="125">
        <f>IF('Quant. mod. (oc)'!T587&lt;0,0,'Quant. mod. (oc)'!T587)</f>
        <v>7.2</v>
      </c>
      <c r="U587" s="125">
        <f>IF('Quant. mod. (oc)'!U587&lt;0,0,'Quant. mod. (oc)'!U587)</f>
        <v>7.2</v>
      </c>
      <c r="V587" s="125">
        <f>IF('Quant. mod. (oc)'!V587&lt;0,0,'Quant. mod. (oc)'!V587)</f>
        <v>7.2</v>
      </c>
      <c r="W587" s="125">
        <f>IF('Quant. mod. (oc)'!W587&lt;0,0,'Quant. mod. (oc)'!W587)</f>
        <v>7.2</v>
      </c>
      <c r="X587" s="125">
        <f>IF('Quant. mod. (oc)'!X587&lt;0,0,'Quant. mod. (oc)'!X587)</f>
        <v>7.2</v>
      </c>
      <c r="Y587" s="125">
        <f>IF('Quant. mod. (oc)'!Y587&lt;0,0,'Quant. mod. (oc)'!Y587)</f>
        <v>180</v>
      </c>
      <c r="Z587" s="125">
        <f>IF('Quant. mod. (oc)'!Z587&lt;0,0,'Quant. mod. (oc)'!Z587)</f>
        <v>7.2</v>
      </c>
      <c r="AA587" s="125">
        <f>IF('Quant. mod. (oc)'!AA587&lt;0,0,'Quant. mod. (oc)'!AA587)</f>
        <v>7.2</v>
      </c>
      <c r="AB587" s="125">
        <f>IF('Quant. mod. (oc)'!AB587&lt;0,0,'Quant. mod. (oc)'!AB587)</f>
        <v>180</v>
      </c>
      <c r="AC587" s="125">
        <f>IF('Quant. mod. (oc)'!AC587&lt;0,0,'Quant. mod. (oc)'!AC587)</f>
        <v>7.2</v>
      </c>
      <c r="AD587" s="125">
        <f>IF('Quant. mod. (oc)'!AD587&lt;0,0,'Quant. mod. (oc)'!AD587)</f>
        <v>7.2</v>
      </c>
      <c r="AE587" s="125">
        <f>IF('Quant. mod. (oc)'!AE587&lt;0,0,'Quant. mod. (oc)'!AE587)</f>
        <v>7.2</v>
      </c>
      <c r="AF587" s="125">
        <f>IF('Quant. mod. (oc)'!AF587&lt;0,0,'Quant. mod. (oc)'!AF587)</f>
        <v>7.2</v>
      </c>
      <c r="AG587" s="126">
        <f>IF('Quant. mod. (oc)'!AG587&lt;0,0,'Quant. mod. (oc)'!AG587)</f>
        <v>7.2</v>
      </c>
      <c r="AH587" s="22"/>
    </row>
    <row r="588" spans="1:34" x14ac:dyDescent="0.25">
      <c r="A588" s="21"/>
      <c r="B588" s="27" t="s">
        <v>597</v>
      </c>
      <c r="C588" s="67" t="s">
        <v>318</v>
      </c>
      <c r="D588" s="125">
        <f>IF('Quant. mod. (oc)'!D588&lt;0,0,'Quant. mod. (oc)'!D588)</f>
        <v>307.2</v>
      </c>
      <c r="E588" s="125">
        <f>IF('Quant. mod. (oc)'!E588&lt;0,0,'Quant. mod. (oc)'!E588)</f>
        <v>307.2</v>
      </c>
      <c r="F588" s="125">
        <f>IF('Quant. mod. (oc)'!F588&lt;0,0,'Quant. mod. (oc)'!F588)</f>
        <v>307.2</v>
      </c>
      <c r="G588" s="125">
        <f>IF('Quant. mod. (oc)'!G588&lt;0,0,'Quant. mod. (oc)'!G588)</f>
        <v>307.2</v>
      </c>
      <c r="H588" s="125">
        <f>IF('Quant. mod. (oc)'!H588&lt;0,0,'Quant. mod. (oc)'!H588)</f>
        <v>307.2</v>
      </c>
      <c r="I588" s="125">
        <f>IF('Quant. mod. (oc)'!I588&lt;0,0,'Quant. mod. (oc)'!I588)</f>
        <v>307.2</v>
      </c>
      <c r="J588" s="125">
        <f>IF('Quant. mod. (oc)'!J588&lt;0,0,'Quant. mod. (oc)'!J588)</f>
        <v>307.2</v>
      </c>
      <c r="K588" s="125">
        <f>IF('Quant. mod. (oc)'!K588&lt;0,0,'Quant. mod. (oc)'!K588)</f>
        <v>307.2</v>
      </c>
      <c r="L588" s="125">
        <f>IF('Quant. mod. (oc)'!L588&lt;0,0,'Quant. mod. (oc)'!L588)</f>
        <v>307.2</v>
      </c>
      <c r="M588" s="125">
        <f>IF('Quant. mod. (oc)'!M588&lt;0,0,'Quant. mod. (oc)'!M588)</f>
        <v>307.2</v>
      </c>
      <c r="N588" s="125">
        <f>IF('Quant. mod. (oc)'!N588&lt;0,0,'Quant. mod. (oc)'!N588)</f>
        <v>307.2</v>
      </c>
      <c r="O588" s="125">
        <f>IF('Quant. mod. (oc)'!O588&lt;0,0,'Quant. mod. (oc)'!O588)</f>
        <v>307.2</v>
      </c>
      <c r="P588" s="125">
        <f>IF('Quant. mod. (oc)'!P588&lt;0,0,'Quant. mod. (oc)'!P588)</f>
        <v>307.2</v>
      </c>
      <c r="Q588" s="125">
        <f>IF('Quant. mod. (oc)'!Q588&lt;0,0,'Quant. mod. (oc)'!Q588)</f>
        <v>307.2</v>
      </c>
      <c r="R588" s="125">
        <f>IF('Quant. mod. (oc)'!R588&lt;0,0,'Quant. mod. (oc)'!R588)</f>
        <v>307.2</v>
      </c>
      <c r="S588" s="125">
        <f>IF('Quant. mod. (oc)'!S588&lt;0,0,'Quant. mod. (oc)'!S588)</f>
        <v>307.2</v>
      </c>
      <c r="T588" s="125">
        <f>IF('Quant. mod. (oc)'!T588&lt;0,0,'Quant. mod. (oc)'!T588)</f>
        <v>307.2</v>
      </c>
      <c r="U588" s="125">
        <f>IF('Quant. mod. (oc)'!U588&lt;0,0,'Quant. mod. (oc)'!U588)</f>
        <v>307.2</v>
      </c>
      <c r="V588" s="125">
        <f>IF('Quant. mod. (oc)'!V588&lt;0,0,'Quant. mod. (oc)'!V588)</f>
        <v>307.2</v>
      </c>
      <c r="W588" s="125">
        <f>IF('Quant. mod. (oc)'!W588&lt;0,0,'Quant. mod. (oc)'!W588)</f>
        <v>307.2</v>
      </c>
      <c r="X588" s="125">
        <f>IF('Quant. mod. (oc)'!X588&lt;0,0,'Quant. mod. (oc)'!X588)</f>
        <v>307.2</v>
      </c>
      <c r="Y588" s="125">
        <f>IF('Quant. mod. (oc)'!Y588&lt;0,0,'Quant. mod. (oc)'!Y588)</f>
        <v>307.2</v>
      </c>
      <c r="Z588" s="125">
        <f>IF('Quant. mod. (oc)'!Z588&lt;0,0,'Quant. mod. (oc)'!Z588)</f>
        <v>307.2</v>
      </c>
      <c r="AA588" s="125">
        <f>IF('Quant. mod. (oc)'!AA588&lt;0,0,'Quant. mod. (oc)'!AA588)</f>
        <v>307.2</v>
      </c>
      <c r="AB588" s="125">
        <f>IF('Quant. mod. (oc)'!AB588&lt;0,0,'Quant. mod. (oc)'!AB588)</f>
        <v>307.2</v>
      </c>
      <c r="AC588" s="125">
        <f>IF('Quant. mod. (oc)'!AC588&lt;0,0,'Quant. mod. (oc)'!AC588)</f>
        <v>307.2</v>
      </c>
      <c r="AD588" s="125">
        <f>IF('Quant. mod. (oc)'!AD588&lt;0,0,'Quant. mod. (oc)'!AD588)</f>
        <v>307.2</v>
      </c>
      <c r="AE588" s="125">
        <f>IF('Quant. mod. (oc)'!AE588&lt;0,0,'Quant. mod. (oc)'!AE588)</f>
        <v>307.2</v>
      </c>
      <c r="AF588" s="125">
        <f>IF('Quant. mod. (oc)'!AF588&lt;0,0,'Quant. mod. (oc)'!AF588)</f>
        <v>307.2</v>
      </c>
      <c r="AG588" s="126">
        <f>IF('Quant. mod. (oc)'!AG588&lt;0,0,'Quant. mod. (oc)'!AG588)</f>
        <v>307.2</v>
      </c>
      <c r="AH588" s="22"/>
    </row>
    <row r="589" spans="1:34" x14ac:dyDescent="0.25">
      <c r="A589" s="21"/>
      <c r="B589" s="27" t="s">
        <v>598</v>
      </c>
      <c r="C589" s="67" t="s">
        <v>318</v>
      </c>
      <c r="D589" s="125">
        <f>IF('Quant. mod. (oc)'!D589&lt;0,0,'Quant. mod. (oc)'!D589)</f>
        <v>216</v>
      </c>
      <c r="E589" s="125">
        <f>IF('Quant. mod. (oc)'!E589&lt;0,0,'Quant. mod. (oc)'!E589)</f>
        <v>216</v>
      </c>
      <c r="F589" s="125">
        <f>IF('Quant. mod. (oc)'!F589&lt;0,0,'Quant. mod. (oc)'!F589)</f>
        <v>216</v>
      </c>
      <c r="G589" s="125">
        <f>IF('Quant. mod. (oc)'!G589&lt;0,0,'Quant. mod. (oc)'!G589)</f>
        <v>216</v>
      </c>
      <c r="H589" s="125">
        <f>IF('Quant. mod. (oc)'!H589&lt;0,0,'Quant. mod. (oc)'!H589)</f>
        <v>216</v>
      </c>
      <c r="I589" s="125">
        <f>IF('Quant. mod. (oc)'!I589&lt;0,0,'Quant. mod. (oc)'!I589)</f>
        <v>216</v>
      </c>
      <c r="J589" s="125">
        <f>IF('Quant. mod. (oc)'!J589&lt;0,0,'Quant. mod. (oc)'!J589)</f>
        <v>216</v>
      </c>
      <c r="K589" s="125">
        <f>IF('Quant. mod. (oc)'!K589&lt;0,0,'Quant. mod. (oc)'!K589)</f>
        <v>216</v>
      </c>
      <c r="L589" s="125">
        <f>IF('Quant. mod. (oc)'!L589&lt;0,0,'Quant. mod. (oc)'!L589)</f>
        <v>216</v>
      </c>
      <c r="M589" s="125">
        <f>IF('Quant. mod. (oc)'!M589&lt;0,0,'Quant. mod. (oc)'!M589)</f>
        <v>216</v>
      </c>
      <c r="N589" s="125">
        <f>IF('Quant. mod. (oc)'!N589&lt;0,0,'Quant. mod. (oc)'!N589)</f>
        <v>216</v>
      </c>
      <c r="O589" s="125">
        <f>IF('Quant. mod. (oc)'!O589&lt;0,0,'Quant. mod. (oc)'!O589)</f>
        <v>216</v>
      </c>
      <c r="P589" s="125">
        <f>IF('Quant. mod. (oc)'!P589&lt;0,0,'Quant. mod. (oc)'!P589)</f>
        <v>216</v>
      </c>
      <c r="Q589" s="125">
        <f>IF('Quant. mod. (oc)'!Q589&lt;0,0,'Quant. mod. (oc)'!Q589)</f>
        <v>216</v>
      </c>
      <c r="R589" s="125">
        <f>IF('Quant. mod. (oc)'!R589&lt;0,0,'Quant. mod. (oc)'!R589)</f>
        <v>216</v>
      </c>
      <c r="S589" s="125">
        <f>IF('Quant. mod. (oc)'!S589&lt;0,0,'Quant. mod. (oc)'!S589)</f>
        <v>216</v>
      </c>
      <c r="T589" s="125">
        <f>IF('Quant. mod. (oc)'!T589&lt;0,0,'Quant. mod. (oc)'!T589)</f>
        <v>216</v>
      </c>
      <c r="U589" s="125">
        <f>IF('Quant. mod. (oc)'!U589&lt;0,0,'Quant. mod. (oc)'!U589)</f>
        <v>216</v>
      </c>
      <c r="V589" s="125">
        <f>IF('Quant. mod. (oc)'!V589&lt;0,0,'Quant. mod. (oc)'!V589)</f>
        <v>216</v>
      </c>
      <c r="W589" s="125">
        <f>IF('Quant. mod. (oc)'!W589&lt;0,0,'Quant. mod. (oc)'!W589)</f>
        <v>216</v>
      </c>
      <c r="X589" s="125">
        <f>IF('Quant. mod. (oc)'!X589&lt;0,0,'Quant. mod. (oc)'!X589)</f>
        <v>216</v>
      </c>
      <c r="Y589" s="125">
        <f>IF('Quant. mod. (oc)'!Y589&lt;0,0,'Quant. mod. (oc)'!Y589)</f>
        <v>216</v>
      </c>
      <c r="Z589" s="125">
        <f>IF('Quant. mod. (oc)'!Z589&lt;0,0,'Quant. mod. (oc)'!Z589)</f>
        <v>216</v>
      </c>
      <c r="AA589" s="125">
        <f>IF('Quant. mod. (oc)'!AA589&lt;0,0,'Quant. mod. (oc)'!AA589)</f>
        <v>216</v>
      </c>
      <c r="AB589" s="125">
        <f>IF('Quant. mod. (oc)'!AB589&lt;0,0,'Quant. mod. (oc)'!AB589)</f>
        <v>216</v>
      </c>
      <c r="AC589" s="125">
        <f>IF('Quant. mod. (oc)'!AC589&lt;0,0,'Quant. mod. (oc)'!AC589)</f>
        <v>216</v>
      </c>
      <c r="AD589" s="125">
        <f>IF('Quant. mod. (oc)'!AD589&lt;0,0,'Quant. mod. (oc)'!AD589)</f>
        <v>216</v>
      </c>
      <c r="AE589" s="125">
        <f>IF('Quant. mod. (oc)'!AE589&lt;0,0,'Quant. mod. (oc)'!AE589)</f>
        <v>216</v>
      </c>
      <c r="AF589" s="125">
        <f>IF('Quant. mod. (oc)'!AF589&lt;0,0,'Quant. mod. (oc)'!AF589)</f>
        <v>216</v>
      </c>
      <c r="AG589" s="126">
        <f>IF('Quant. mod. (oc)'!AG589&lt;0,0,'Quant. mod. (oc)'!AG589)</f>
        <v>216</v>
      </c>
      <c r="AH589" s="22"/>
    </row>
    <row r="590" spans="1:34" x14ac:dyDescent="0.25">
      <c r="A590" s="21"/>
      <c r="B590" s="120" t="s">
        <v>599</v>
      </c>
      <c r="C590" s="121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  <c r="AF590" s="127"/>
      <c r="AG590" s="128"/>
      <c r="AH590" s="22"/>
    </row>
    <row r="591" spans="1:34" x14ac:dyDescent="0.25">
      <c r="A591" s="21"/>
      <c r="B591" s="27" t="s">
        <v>600</v>
      </c>
      <c r="C591" s="67" t="s">
        <v>318</v>
      </c>
      <c r="D591" s="125">
        <f>IF('Quant. mod. (oc)'!D591&lt;0,0,'Quant. mod. (oc)'!D591)</f>
        <v>266.39999999999998</v>
      </c>
      <c r="E591" s="125">
        <f>IF('Quant. mod. (oc)'!E591&lt;0,0,'Quant. mod. (oc)'!E591)</f>
        <v>0</v>
      </c>
      <c r="F591" s="125">
        <f>IF('Quant. mod. (oc)'!F591&lt;0,0,'Quant. mod. (oc)'!F591)</f>
        <v>0</v>
      </c>
      <c r="G591" s="125">
        <f>IF('Quant. mod. (oc)'!G591&lt;0,0,'Quant. mod. (oc)'!G591)</f>
        <v>266.39999999999998</v>
      </c>
      <c r="H591" s="125">
        <f>IF('Quant. mod. (oc)'!H591&lt;0,0,'Quant. mod. (oc)'!H591)</f>
        <v>0</v>
      </c>
      <c r="I591" s="125">
        <f>IF('Quant. mod. (oc)'!I591&lt;0,0,'Quant. mod. (oc)'!I591)</f>
        <v>0</v>
      </c>
      <c r="J591" s="125">
        <f>IF('Quant. mod. (oc)'!J591&lt;0,0,'Quant. mod. (oc)'!J591)</f>
        <v>266.39999999999998</v>
      </c>
      <c r="K591" s="125">
        <f>IF('Quant. mod. (oc)'!K591&lt;0,0,'Quant. mod. (oc)'!K591)</f>
        <v>0</v>
      </c>
      <c r="L591" s="125">
        <f>IF('Quant. mod. (oc)'!L591&lt;0,0,'Quant. mod. (oc)'!L591)</f>
        <v>266.39999999999998</v>
      </c>
      <c r="M591" s="125">
        <f>IF('Quant. mod. (oc)'!M591&lt;0,0,'Quant. mod. (oc)'!M591)</f>
        <v>0</v>
      </c>
      <c r="N591" s="125">
        <f>IF('Quant. mod. (oc)'!N591&lt;0,0,'Quant. mod. (oc)'!N591)</f>
        <v>266.39999999999998</v>
      </c>
      <c r="O591" s="125">
        <f>IF('Quant. mod. (oc)'!O591&lt;0,0,'Quant. mod. (oc)'!O591)</f>
        <v>0</v>
      </c>
      <c r="P591" s="125">
        <f>IF('Quant. mod. (oc)'!P591&lt;0,0,'Quant. mod. (oc)'!P591)</f>
        <v>0</v>
      </c>
      <c r="Q591" s="125">
        <f>IF('Quant. mod. (oc)'!Q591&lt;0,0,'Quant. mod. (oc)'!Q591)</f>
        <v>266.39999999999998</v>
      </c>
      <c r="R591" s="125">
        <f>IF('Quant. mod. (oc)'!R591&lt;0,0,'Quant. mod. (oc)'!R591)</f>
        <v>0</v>
      </c>
      <c r="S591" s="125">
        <f>IF('Quant. mod. (oc)'!S591&lt;0,0,'Quant. mod. (oc)'!S591)</f>
        <v>0</v>
      </c>
      <c r="T591" s="125">
        <f>IF('Quant. mod. (oc)'!T591&lt;0,0,'Quant. mod. (oc)'!T591)</f>
        <v>266.39999999999998</v>
      </c>
      <c r="U591" s="125">
        <f>IF('Quant. mod. (oc)'!U591&lt;0,0,'Quant. mod. (oc)'!U591)</f>
        <v>0</v>
      </c>
      <c r="V591" s="125">
        <f>IF('Quant. mod. (oc)'!V591&lt;0,0,'Quant. mod. (oc)'!V591)</f>
        <v>266.39999999999998</v>
      </c>
      <c r="W591" s="125">
        <f>IF('Quant. mod. (oc)'!W591&lt;0,0,'Quant. mod. (oc)'!W591)</f>
        <v>0</v>
      </c>
      <c r="X591" s="125">
        <f>IF('Quant. mod. (oc)'!X591&lt;0,0,'Quant. mod. (oc)'!X591)</f>
        <v>266.39999999999998</v>
      </c>
      <c r="Y591" s="125">
        <f>IF('Quant. mod. (oc)'!Y591&lt;0,0,'Quant. mod. (oc)'!Y591)</f>
        <v>0</v>
      </c>
      <c r="Z591" s="125">
        <f>IF('Quant. mod. (oc)'!Z591&lt;0,0,'Quant. mod. (oc)'!Z591)</f>
        <v>0</v>
      </c>
      <c r="AA591" s="125">
        <f>IF('Quant. mod. (oc)'!AA591&lt;0,0,'Quant. mod. (oc)'!AA591)</f>
        <v>266.39999999999998</v>
      </c>
      <c r="AB591" s="125">
        <f>IF('Quant. mod. (oc)'!AB591&lt;0,0,'Quant. mod. (oc)'!AB591)</f>
        <v>0</v>
      </c>
      <c r="AC591" s="125">
        <f>IF('Quant. mod. (oc)'!AC591&lt;0,0,'Quant. mod. (oc)'!AC591)</f>
        <v>0</v>
      </c>
      <c r="AD591" s="125">
        <f>IF('Quant. mod. (oc)'!AD591&lt;0,0,'Quant. mod. (oc)'!AD591)</f>
        <v>266.39999999999998</v>
      </c>
      <c r="AE591" s="125">
        <f>IF('Quant. mod. (oc)'!AE591&lt;0,0,'Quant. mod. (oc)'!AE591)</f>
        <v>0</v>
      </c>
      <c r="AF591" s="125">
        <f>IF('Quant. mod. (oc)'!AF591&lt;0,0,'Quant. mod. (oc)'!AF591)</f>
        <v>266.39999999999998</v>
      </c>
      <c r="AG591" s="126">
        <f>IF('Quant. mod. (oc)'!AG591&lt;0,0,'Quant. mod. (oc)'!AG591)</f>
        <v>0</v>
      </c>
      <c r="AH591" s="22"/>
    </row>
    <row r="592" spans="1:34" x14ac:dyDescent="0.25">
      <c r="A592" s="21"/>
      <c r="B592" s="27" t="s">
        <v>594</v>
      </c>
      <c r="C592" s="67" t="s">
        <v>318</v>
      </c>
      <c r="D592" s="125">
        <f>IF('Quant. mod. (oc)'!D592&lt;0,0,'Quant. mod. (oc)'!D592)</f>
        <v>0.89</v>
      </c>
      <c r="E592" s="125">
        <f>IF('Quant. mod. (oc)'!E592&lt;0,0,'Quant. mod. (oc)'!E592)</f>
        <v>0</v>
      </c>
      <c r="F592" s="125">
        <f>IF('Quant. mod. (oc)'!F592&lt;0,0,'Quant. mod. (oc)'!F592)</f>
        <v>0</v>
      </c>
      <c r="G592" s="125">
        <f>IF('Quant. mod. (oc)'!G592&lt;0,0,'Quant. mod. (oc)'!G592)</f>
        <v>0.89</v>
      </c>
      <c r="H592" s="125">
        <f>IF('Quant. mod. (oc)'!H592&lt;0,0,'Quant. mod. (oc)'!H592)</f>
        <v>0</v>
      </c>
      <c r="I592" s="125">
        <f>IF('Quant. mod. (oc)'!I592&lt;0,0,'Quant. mod. (oc)'!I592)</f>
        <v>0</v>
      </c>
      <c r="J592" s="125">
        <f>IF('Quant. mod. (oc)'!J592&lt;0,0,'Quant. mod. (oc)'!J592)</f>
        <v>0.89</v>
      </c>
      <c r="K592" s="125">
        <f>IF('Quant. mod. (oc)'!K592&lt;0,0,'Quant. mod. (oc)'!K592)</f>
        <v>0</v>
      </c>
      <c r="L592" s="125">
        <f>IF('Quant. mod. (oc)'!L592&lt;0,0,'Quant. mod. (oc)'!L592)</f>
        <v>0.89</v>
      </c>
      <c r="M592" s="125">
        <f>IF('Quant. mod. (oc)'!M592&lt;0,0,'Quant. mod. (oc)'!M592)</f>
        <v>0</v>
      </c>
      <c r="N592" s="125">
        <f>IF('Quant. mod. (oc)'!N592&lt;0,0,'Quant. mod. (oc)'!N592)</f>
        <v>0.89</v>
      </c>
      <c r="O592" s="125">
        <f>IF('Quant. mod. (oc)'!O592&lt;0,0,'Quant. mod. (oc)'!O592)</f>
        <v>0</v>
      </c>
      <c r="P592" s="125">
        <f>IF('Quant. mod. (oc)'!P592&lt;0,0,'Quant. mod. (oc)'!P592)</f>
        <v>0</v>
      </c>
      <c r="Q592" s="125">
        <f>IF('Quant. mod. (oc)'!Q592&lt;0,0,'Quant. mod. (oc)'!Q592)</f>
        <v>0.89</v>
      </c>
      <c r="R592" s="125">
        <f>IF('Quant. mod. (oc)'!R592&lt;0,0,'Quant. mod. (oc)'!R592)</f>
        <v>0</v>
      </c>
      <c r="S592" s="125">
        <f>IF('Quant. mod. (oc)'!S592&lt;0,0,'Quant. mod. (oc)'!S592)</f>
        <v>0</v>
      </c>
      <c r="T592" s="125">
        <f>IF('Quant. mod. (oc)'!T592&lt;0,0,'Quant. mod. (oc)'!T592)</f>
        <v>0.89</v>
      </c>
      <c r="U592" s="125">
        <f>IF('Quant. mod. (oc)'!U592&lt;0,0,'Quant. mod. (oc)'!U592)</f>
        <v>0</v>
      </c>
      <c r="V592" s="125">
        <f>IF('Quant. mod. (oc)'!V592&lt;0,0,'Quant. mod. (oc)'!V592)</f>
        <v>0.89</v>
      </c>
      <c r="W592" s="125">
        <f>IF('Quant. mod. (oc)'!W592&lt;0,0,'Quant. mod. (oc)'!W592)</f>
        <v>0</v>
      </c>
      <c r="X592" s="125">
        <f>IF('Quant. mod. (oc)'!X592&lt;0,0,'Quant. mod. (oc)'!X592)</f>
        <v>0.89</v>
      </c>
      <c r="Y592" s="125">
        <f>IF('Quant. mod. (oc)'!Y592&lt;0,0,'Quant. mod. (oc)'!Y592)</f>
        <v>0</v>
      </c>
      <c r="Z592" s="125">
        <f>IF('Quant. mod. (oc)'!Z592&lt;0,0,'Quant. mod. (oc)'!Z592)</f>
        <v>0</v>
      </c>
      <c r="AA592" s="125">
        <f>IF('Quant. mod. (oc)'!AA592&lt;0,0,'Quant. mod. (oc)'!AA592)</f>
        <v>0.89</v>
      </c>
      <c r="AB592" s="125">
        <f>IF('Quant. mod. (oc)'!AB592&lt;0,0,'Quant. mod. (oc)'!AB592)</f>
        <v>0</v>
      </c>
      <c r="AC592" s="125">
        <f>IF('Quant. mod. (oc)'!AC592&lt;0,0,'Quant. mod. (oc)'!AC592)</f>
        <v>0</v>
      </c>
      <c r="AD592" s="125">
        <f>IF('Quant. mod. (oc)'!AD592&lt;0,0,'Quant. mod. (oc)'!AD592)</f>
        <v>0.89</v>
      </c>
      <c r="AE592" s="125">
        <f>IF('Quant. mod. (oc)'!AE592&lt;0,0,'Quant. mod. (oc)'!AE592)</f>
        <v>0</v>
      </c>
      <c r="AF592" s="125">
        <f>IF('Quant. mod. (oc)'!AF592&lt;0,0,'Quant. mod. (oc)'!AF592)</f>
        <v>0.89</v>
      </c>
      <c r="AG592" s="126">
        <f>IF('Quant. mod. (oc)'!AG592&lt;0,0,'Quant. mod. (oc)'!AG592)</f>
        <v>0</v>
      </c>
      <c r="AH592" s="22"/>
    </row>
    <row r="593" spans="1:34" x14ac:dyDescent="0.25">
      <c r="A593" s="21"/>
      <c r="B593" s="27" t="s">
        <v>601</v>
      </c>
      <c r="C593" s="67" t="s">
        <v>318</v>
      </c>
      <c r="D593" s="125">
        <f>IF('Quant. mod. (oc)'!D593&lt;0,0,'Quant. mod. (oc)'!D593)</f>
        <v>9.6</v>
      </c>
      <c r="E593" s="125">
        <f>IF('Quant. mod. (oc)'!E593&lt;0,0,'Quant. mod. (oc)'!E593)</f>
        <v>0</v>
      </c>
      <c r="F593" s="125">
        <f>IF('Quant. mod. (oc)'!F593&lt;0,0,'Quant. mod. (oc)'!F593)</f>
        <v>0</v>
      </c>
      <c r="G593" s="125">
        <f>IF('Quant. mod. (oc)'!G593&lt;0,0,'Quant. mod. (oc)'!G593)</f>
        <v>9.6</v>
      </c>
      <c r="H593" s="125">
        <f>IF('Quant. mod. (oc)'!H593&lt;0,0,'Quant. mod. (oc)'!H593)</f>
        <v>0</v>
      </c>
      <c r="I593" s="125">
        <f>IF('Quant. mod. (oc)'!I593&lt;0,0,'Quant. mod. (oc)'!I593)</f>
        <v>0</v>
      </c>
      <c r="J593" s="125">
        <f>IF('Quant. mod. (oc)'!J593&lt;0,0,'Quant. mod. (oc)'!J593)</f>
        <v>9.6</v>
      </c>
      <c r="K593" s="125">
        <f>IF('Quant. mod. (oc)'!K593&lt;0,0,'Quant. mod. (oc)'!K593)</f>
        <v>0</v>
      </c>
      <c r="L593" s="125">
        <f>IF('Quant. mod. (oc)'!L593&lt;0,0,'Quant. mod. (oc)'!L593)</f>
        <v>9.6</v>
      </c>
      <c r="M593" s="125">
        <f>IF('Quant. mod. (oc)'!M593&lt;0,0,'Quant. mod. (oc)'!M593)</f>
        <v>0</v>
      </c>
      <c r="N593" s="125">
        <f>IF('Quant. mod. (oc)'!N593&lt;0,0,'Quant. mod. (oc)'!N593)</f>
        <v>9.6</v>
      </c>
      <c r="O593" s="125">
        <f>IF('Quant. mod. (oc)'!O593&lt;0,0,'Quant. mod. (oc)'!O593)</f>
        <v>0</v>
      </c>
      <c r="P593" s="125">
        <f>IF('Quant. mod. (oc)'!P593&lt;0,0,'Quant. mod. (oc)'!P593)</f>
        <v>0</v>
      </c>
      <c r="Q593" s="125">
        <f>IF('Quant. mod. (oc)'!Q593&lt;0,0,'Quant. mod. (oc)'!Q593)</f>
        <v>9.6</v>
      </c>
      <c r="R593" s="125">
        <f>IF('Quant. mod. (oc)'!R593&lt;0,0,'Quant. mod. (oc)'!R593)</f>
        <v>0</v>
      </c>
      <c r="S593" s="125">
        <f>IF('Quant. mod. (oc)'!S593&lt;0,0,'Quant. mod. (oc)'!S593)</f>
        <v>0</v>
      </c>
      <c r="T593" s="125">
        <f>IF('Quant. mod. (oc)'!T593&lt;0,0,'Quant. mod. (oc)'!T593)</f>
        <v>9.6</v>
      </c>
      <c r="U593" s="125">
        <f>IF('Quant. mod. (oc)'!U593&lt;0,0,'Quant. mod. (oc)'!U593)</f>
        <v>0</v>
      </c>
      <c r="V593" s="125">
        <f>IF('Quant. mod. (oc)'!V593&lt;0,0,'Quant. mod. (oc)'!V593)</f>
        <v>9.6</v>
      </c>
      <c r="W593" s="125">
        <f>IF('Quant. mod. (oc)'!W593&lt;0,0,'Quant. mod. (oc)'!W593)</f>
        <v>0</v>
      </c>
      <c r="X593" s="125">
        <f>IF('Quant. mod. (oc)'!X593&lt;0,0,'Quant. mod. (oc)'!X593)</f>
        <v>9.6</v>
      </c>
      <c r="Y593" s="125">
        <f>IF('Quant. mod. (oc)'!Y593&lt;0,0,'Quant. mod. (oc)'!Y593)</f>
        <v>0</v>
      </c>
      <c r="Z593" s="125">
        <f>IF('Quant. mod. (oc)'!Z593&lt;0,0,'Quant. mod. (oc)'!Z593)</f>
        <v>0</v>
      </c>
      <c r="AA593" s="125">
        <f>IF('Quant. mod. (oc)'!AA593&lt;0,0,'Quant. mod. (oc)'!AA593)</f>
        <v>9.6</v>
      </c>
      <c r="AB593" s="125">
        <f>IF('Quant. mod. (oc)'!AB593&lt;0,0,'Quant. mod. (oc)'!AB593)</f>
        <v>0</v>
      </c>
      <c r="AC593" s="125">
        <f>IF('Quant. mod. (oc)'!AC593&lt;0,0,'Quant. mod. (oc)'!AC593)</f>
        <v>0</v>
      </c>
      <c r="AD593" s="125">
        <f>IF('Quant. mod. (oc)'!AD593&lt;0,0,'Quant. mod. (oc)'!AD593)</f>
        <v>9.6</v>
      </c>
      <c r="AE593" s="125">
        <f>IF('Quant. mod. (oc)'!AE593&lt;0,0,'Quant. mod. (oc)'!AE593)</f>
        <v>0</v>
      </c>
      <c r="AF593" s="125">
        <f>IF('Quant. mod. (oc)'!AF593&lt;0,0,'Quant. mod. (oc)'!AF593)</f>
        <v>9.6</v>
      </c>
      <c r="AG593" s="126">
        <f>IF('Quant. mod. (oc)'!AG593&lt;0,0,'Quant. mod. (oc)'!AG593)</f>
        <v>0</v>
      </c>
      <c r="AH593" s="22"/>
    </row>
    <row r="594" spans="1:34" x14ac:dyDescent="0.25">
      <c r="A594" s="21"/>
      <c r="B594" s="27" t="s">
        <v>602</v>
      </c>
      <c r="C594" s="67" t="s">
        <v>318</v>
      </c>
      <c r="D594" s="125">
        <f>IF('Quant. mod. (oc)'!D594&lt;0,0,'Quant. mod. (oc)'!D594)</f>
        <v>0</v>
      </c>
      <c r="E594" s="125">
        <f>IF('Quant. mod. (oc)'!E594&lt;0,0,'Quant. mod. (oc)'!E594)</f>
        <v>0</v>
      </c>
      <c r="F594" s="125">
        <f>IF('Quant. mod. (oc)'!F594&lt;0,0,'Quant. mod. (oc)'!F594)</f>
        <v>480</v>
      </c>
      <c r="G594" s="125">
        <f>IF('Quant. mod. (oc)'!G594&lt;0,0,'Quant. mod. (oc)'!G594)</f>
        <v>0</v>
      </c>
      <c r="H594" s="125">
        <f>IF('Quant. mod. (oc)'!H594&lt;0,0,'Quant. mod. (oc)'!H594)</f>
        <v>0</v>
      </c>
      <c r="I594" s="125">
        <f>IF('Quant. mod. (oc)'!I594&lt;0,0,'Quant. mod. (oc)'!I594)</f>
        <v>480</v>
      </c>
      <c r="J594" s="125">
        <f>IF('Quant. mod. (oc)'!J594&lt;0,0,'Quant. mod. (oc)'!J594)</f>
        <v>0</v>
      </c>
      <c r="K594" s="125">
        <f>IF('Quant. mod. (oc)'!K594&lt;0,0,'Quant. mod. (oc)'!K594)</f>
        <v>480</v>
      </c>
      <c r="L594" s="125">
        <f>IF('Quant. mod. (oc)'!L594&lt;0,0,'Quant. mod. (oc)'!L594)</f>
        <v>0</v>
      </c>
      <c r="M594" s="125">
        <f>IF('Quant. mod. (oc)'!M594&lt;0,0,'Quant. mod. (oc)'!M594)</f>
        <v>480</v>
      </c>
      <c r="N594" s="125">
        <f>IF('Quant. mod. (oc)'!N594&lt;0,0,'Quant. mod. (oc)'!N594)</f>
        <v>0</v>
      </c>
      <c r="O594" s="125">
        <f>IF('Quant. mod. (oc)'!O594&lt;0,0,'Quant. mod. (oc)'!O594)</f>
        <v>0</v>
      </c>
      <c r="P594" s="125">
        <f>IF('Quant. mod. (oc)'!P594&lt;0,0,'Quant. mod. (oc)'!P594)</f>
        <v>480</v>
      </c>
      <c r="Q594" s="125">
        <f>IF('Quant. mod. (oc)'!Q594&lt;0,0,'Quant. mod. (oc)'!Q594)</f>
        <v>0</v>
      </c>
      <c r="R594" s="125">
        <f>IF('Quant. mod. (oc)'!R594&lt;0,0,'Quant. mod. (oc)'!R594)</f>
        <v>0</v>
      </c>
      <c r="S594" s="125">
        <f>IF('Quant. mod. (oc)'!S594&lt;0,0,'Quant. mod. (oc)'!S594)</f>
        <v>480</v>
      </c>
      <c r="T594" s="125">
        <f>IF('Quant. mod. (oc)'!T594&lt;0,0,'Quant. mod. (oc)'!T594)</f>
        <v>0</v>
      </c>
      <c r="U594" s="125">
        <f>IF('Quant. mod. (oc)'!U594&lt;0,0,'Quant. mod. (oc)'!U594)</f>
        <v>480</v>
      </c>
      <c r="V594" s="125">
        <f>IF('Quant. mod. (oc)'!V594&lt;0,0,'Quant. mod. (oc)'!V594)</f>
        <v>0</v>
      </c>
      <c r="W594" s="125">
        <f>IF('Quant. mod. (oc)'!W594&lt;0,0,'Quant. mod. (oc)'!W594)</f>
        <v>480</v>
      </c>
      <c r="X594" s="125">
        <f>IF('Quant. mod. (oc)'!X594&lt;0,0,'Quant. mod. (oc)'!X594)</f>
        <v>0</v>
      </c>
      <c r="Y594" s="125">
        <f>IF('Quant. mod. (oc)'!Y594&lt;0,0,'Quant. mod. (oc)'!Y594)</f>
        <v>0</v>
      </c>
      <c r="Z594" s="125">
        <f>IF('Quant. mod. (oc)'!Z594&lt;0,0,'Quant. mod. (oc)'!Z594)</f>
        <v>480</v>
      </c>
      <c r="AA594" s="125">
        <f>IF('Quant. mod. (oc)'!AA594&lt;0,0,'Quant. mod. (oc)'!AA594)</f>
        <v>0</v>
      </c>
      <c r="AB594" s="125">
        <f>IF('Quant. mod. (oc)'!AB594&lt;0,0,'Quant. mod. (oc)'!AB594)</f>
        <v>0</v>
      </c>
      <c r="AC594" s="125">
        <f>IF('Quant. mod. (oc)'!AC594&lt;0,0,'Quant. mod. (oc)'!AC594)</f>
        <v>480</v>
      </c>
      <c r="AD594" s="125">
        <f>IF('Quant. mod. (oc)'!AD594&lt;0,0,'Quant. mod. (oc)'!AD594)</f>
        <v>0</v>
      </c>
      <c r="AE594" s="125">
        <f>IF('Quant. mod. (oc)'!AE594&lt;0,0,'Quant. mod. (oc)'!AE594)</f>
        <v>480</v>
      </c>
      <c r="AF594" s="125">
        <f>IF('Quant. mod. (oc)'!AF594&lt;0,0,'Quant. mod. (oc)'!AF594)</f>
        <v>0</v>
      </c>
      <c r="AG594" s="126">
        <f>IF('Quant. mod. (oc)'!AG594&lt;0,0,'Quant. mod. (oc)'!AG594)</f>
        <v>480</v>
      </c>
      <c r="AH594" s="22"/>
    </row>
    <row r="595" spans="1:34" x14ac:dyDescent="0.25">
      <c r="A595" s="21"/>
      <c r="B595" s="27" t="s">
        <v>603</v>
      </c>
      <c r="C595" s="67" t="s">
        <v>318</v>
      </c>
      <c r="D595" s="125">
        <f>IF('Quant. mod. (oc)'!D595&lt;0,0,'Quant. mod. (oc)'!D595)</f>
        <v>0</v>
      </c>
      <c r="E595" s="125">
        <f>IF('Quant. mod. (oc)'!E595&lt;0,0,'Quant. mod. (oc)'!E595)</f>
        <v>0</v>
      </c>
      <c r="F595" s="125">
        <f>IF('Quant. mod. (oc)'!F595&lt;0,0,'Quant. mod. (oc)'!F595)</f>
        <v>408</v>
      </c>
      <c r="G595" s="125">
        <f>IF('Quant. mod. (oc)'!G595&lt;0,0,'Quant. mod. (oc)'!G595)</f>
        <v>0</v>
      </c>
      <c r="H595" s="125">
        <f>IF('Quant. mod. (oc)'!H595&lt;0,0,'Quant. mod. (oc)'!H595)</f>
        <v>0</v>
      </c>
      <c r="I595" s="125">
        <f>IF('Quant. mod. (oc)'!I595&lt;0,0,'Quant. mod. (oc)'!I595)</f>
        <v>408</v>
      </c>
      <c r="J595" s="125">
        <f>IF('Quant. mod. (oc)'!J595&lt;0,0,'Quant. mod. (oc)'!J595)</f>
        <v>0</v>
      </c>
      <c r="K595" s="125">
        <f>IF('Quant. mod. (oc)'!K595&lt;0,0,'Quant. mod. (oc)'!K595)</f>
        <v>408</v>
      </c>
      <c r="L595" s="125">
        <f>IF('Quant. mod. (oc)'!L595&lt;0,0,'Quant. mod. (oc)'!L595)</f>
        <v>0</v>
      </c>
      <c r="M595" s="125">
        <f>IF('Quant. mod. (oc)'!M595&lt;0,0,'Quant. mod. (oc)'!M595)</f>
        <v>408</v>
      </c>
      <c r="N595" s="125">
        <f>IF('Quant. mod. (oc)'!N595&lt;0,0,'Quant. mod. (oc)'!N595)</f>
        <v>0</v>
      </c>
      <c r="O595" s="125">
        <f>IF('Quant. mod. (oc)'!O595&lt;0,0,'Quant. mod. (oc)'!O595)</f>
        <v>0</v>
      </c>
      <c r="P595" s="125">
        <f>IF('Quant. mod. (oc)'!P595&lt;0,0,'Quant. mod. (oc)'!P595)</f>
        <v>408</v>
      </c>
      <c r="Q595" s="125">
        <f>IF('Quant. mod. (oc)'!Q595&lt;0,0,'Quant. mod. (oc)'!Q595)</f>
        <v>0</v>
      </c>
      <c r="R595" s="125">
        <f>IF('Quant. mod. (oc)'!R595&lt;0,0,'Quant. mod. (oc)'!R595)</f>
        <v>0</v>
      </c>
      <c r="S595" s="125">
        <f>IF('Quant. mod. (oc)'!S595&lt;0,0,'Quant. mod. (oc)'!S595)</f>
        <v>408</v>
      </c>
      <c r="T595" s="125">
        <f>IF('Quant. mod. (oc)'!T595&lt;0,0,'Quant. mod. (oc)'!T595)</f>
        <v>0</v>
      </c>
      <c r="U595" s="125">
        <f>IF('Quant. mod. (oc)'!U595&lt;0,0,'Quant. mod. (oc)'!U595)</f>
        <v>408</v>
      </c>
      <c r="V595" s="125">
        <f>IF('Quant. mod. (oc)'!V595&lt;0,0,'Quant. mod. (oc)'!V595)</f>
        <v>0</v>
      </c>
      <c r="W595" s="125">
        <f>IF('Quant. mod. (oc)'!W595&lt;0,0,'Quant. mod. (oc)'!W595)</f>
        <v>408</v>
      </c>
      <c r="X595" s="125">
        <f>IF('Quant. mod. (oc)'!X595&lt;0,0,'Quant. mod. (oc)'!X595)</f>
        <v>0</v>
      </c>
      <c r="Y595" s="125">
        <f>IF('Quant. mod. (oc)'!Y595&lt;0,0,'Quant. mod. (oc)'!Y595)</f>
        <v>0</v>
      </c>
      <c r="Z595" s="125">
        <f>IF('Quant. mod. (oc)'!Z595&lt;0,0,'Quant. mod. (oc)'!Z595)</f>
        <v>216</v>
      </c>
      <c r="AA595" s="125">
        <f>IF('Quant. mod. (oc)'!AA595&lt;0,0,'Quant. mod. (oc)'!AA595)</f>
        <v>0</v>
      </c>
      <c r="AB595" s="125">
        <f>IF('Quant. mod. (oc)'!AB595&lt;0,0,'Quant. mod. (oc)'!AB595)</f>
        <v>0</v>
      </c>
      <c r="AC595" s="125">
        <f>IF('Quant. mod. (oc)'!AC595&lt;0,0,'Quant. mod. (oc)'!AC595)</f>
        <v>216</v>
      </c>
      <c r="AD595" s="125">
        <f>IF('Quant. mod. (oc)'!AD595&lt;0,0,'Quant. mod. (oc)'!AD595)</f>
        <v>0</v>
      </c>
      <c r="AE595" s="125">
        <f>IF('Quant. mod. (oc)'!AE595&lt;0,0,'Quant. mod. (oc)'!AE595)</f>
        <v>216</v>
      </c>
      <c r="AF595" s="125">
        <f>IF('Quant. mod. (oc)'!AF595&lt;0,0,'Quant. mod. (oc)'!AF595)</f>
        <v>0</v>
      </c>
      <c r="AG595" s="126">
        <f>IF('Quant. mod. (oc)'!AG595&lt;0,0,'Quant. mod. (oc)'!AG595)</f>
        <v>216</v>
      </c>
      <c r="AH595" s="22"/>
    </row>
    <row r="596" spans="1:34" x14ac:dyDescent="0.25">
      <c r="A596" s="21"/>
      <c r="B596" s="120" t="s">
        <v>604</v>
      </c>
      <c r="C596" s="121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  <c r="AF596" s="127"/>
      <c r="AG596" s="128"/>
      <c r="AH596" s="22"/>
    </row>
    <row r="597" spans="1:34" x14ac:dyDescent="0.25">
      <c r="A597" s="21"/>
      <c r="B597" s="141" t="s">
        <v>605</v>
      </c>
      <c r="C597" s="125" t="s">
        <v>319</v>
      </c>
      <c r="D597" s="125">
        <f>IF('Quant. mod. (oc)'!D597&lt;0,0,'Quant. mod. (oc)'!D597)</f>
        <v>1200</v>
      </c>
      <c r="E597" s="125">
        <f>IF('Quant. mod. (oc)'!E597&lt;0,0,'Quant. mod. (oc)'!E597)</f>
        <v>1200</v>
      </c>
      <c r="F597" s="125">
        <f>IF('Quant. mod. (oc)'!F597&lt;0,0,'Quant. mod. (oc)'!F597)</f>
        <v>1200</v>
      </c>
      <c r="G597" s="125">
        <f>IF('Quant. mod. (oc)'!G597&lt;0,0,'Quant. mod. (oc)'!G597)</f>
        <v>1200</v>
      </c>
      <c r="H597" s="125">
        <f>IF('Quant. mod. (oc)'!H597&lt;0,0,'Quant. mod. (oc)'!H597)</f>
        <v>1200</v>
      </c>
      <c r="I597" s="125">
        <f>IF('Quant. mod. (oc)'!I597&lt;0,0,'Quant. mod. (oc)'!I597)</f>
        <v>1200</v>
      </c>
      <c r="J597" s="125">
        <f>IF('Quant. mod. (oc)'!J597&lt;0,0,'Quant. mod. (oc)'!J597)</f>
        <v>1200</v>
      </c>
      <c r="K597" s="125">
        <f>IF('Quant. mod. (oc)'!K597&lt;0,0,'Quant. mod. (oc)'!K597)</f>
        <v>1200</v>
      </c>
      <c r="L597" s="125">
        <f>IF('Quant. mod. (oc)'!L597&lt;0,0,'Quant. mod. (oc)'!L597)</f>
        <v>1200</v>
      </c>
      <c r="M597" s="125">
        <f>IF('Quant. mod. (oc)'!M597&lt;0,0,'Quant. mod. (oc)'!M597)</f>
        <v>1200</v>
      </c>
      <c r="N597" s="125">
        <f>IF('Quant. mod. (oc)'!N597&lt;0,0,'Quant. mod. (oc)'!N597)</f>
        <v>1200</v>
      </c>
      <c r="O597" s="125">
        <f>IF('Quant. mod. (oc)'!O597&lt;0,0,'Quant. mod. (oc)'!O597)</f>
        <v>1200</v>
      </c>
      <c r="P597" s="125">
        <f>IF('Quant. mod. (oc)'!P597&lt;0,0,'Quant. mod. (oc)'!P597)</f>
        <v>1200</v>
      </c>
      <c r="Q597" s="125">
        <f>IF('Quant. mod. (oc)'!Q597&lt;0,0,'Quant. mod. (oc)'!Q597)</f>
        <v>1200</v>
      </c>
      <c r="R597" s="125">
        <f>IF('Quant. mod. (oc)'!R597&lt;0,0,'Quant. mod. (oc)'!R597)</f>
        <v>1200</v>
      </c>
      <c r="S597" s="125">
        <f>IF('Quant. mod. (oc)'!S597&lt;0,0,'Quant. mod. (oc)'!S597)</f>
        <v>1200</v>
      </c>
      <c r="T597" s="125">
        <f>IF('Quant. mod. (oc)'!T597&lt;0,0,'Quant. mod. (oc)'!T597)</f>
        <v>1200</v>
      </c>
      <c r="U597" s="125">
        <f>IF('Quant. mod. (oc)'!U597&lt;0,0,'Quant. mod. (oc)'!U597)</f>
        <v>1200</v>
      </c>
      <c r="V597" s="125">
        <f>IF('Quant. mod. (oc)'!V597&lt;0,0,'Quant. mod. (oc)'!V597)</f>
        <v>1200</v>
      </c>
      <c r="W597" s="125">
        <f>IF('Quant. mod. (oc)'!W597&lt;0,0,'Quant. mod. (oc)'!W597)</f>
        <v>1200</v>
      </c>
      <c r="X597" s="125">
        <f>IF('Quant. mod. (oc)'!X597&lt;0,0,'Quant. mod. (oc)'!X597)</f>
        <v>1200</v>
      </c>
      <c r="Y597" s="125">
        <f>IF('Quant. mod. (oc)'!Y597&lt;0,0,'Quant. mod. (oc)'!Y597)</f>
        <v>1200</v>
      </c>
      <c r="Z597" s="125">
        <f>IF('Quant. mod. (oc)'!Z597&lt;0,0,'Quant. mod. (oc)'!Z597)</f>
        <v>1200</v>
      </c>
      <c r="AA597" s="125">
        <f>IF('Quant. mod. (oc)'!AA597&lt;0,0,'Quant. mod. (oc)'!AA597)</f>
        <v>1200</v>
      </c>
      <c r="AB597" s="125">
        <f>IF('Quant. mod. (oc)'!AB597&lt;0,0,'Quant. mod. (oc)'!AB597)</f>
        <v>1200</v>
      </c>
      <c r="AC597" s="125">
        <f>IF('Quant. mod. (oc)'!AC597&lt;0,0,'Quant. mod. (oc)'!AC597)</f>
        <v>1200</v>
      </c>
      <c r="AD597" s="125">
        <f>IF('Quant. mod. (oc)'!AD597&lt;0,0,'Quant. mod. (oc)'!AD597)</f>
        <v>1200</v>
      </c>
      <c r="AE597" s="125">
        <f>IF('Quant. mod. (oc)'!AE597&lt;0,0,'Quant. mod. (oc)'!AE597)</f>
        <v>1200</v>
      </c>
      <c r="AF597" s="125">
        <f>IF('Quant. mod. (oc)'!AF597&lt;0,0,'Quant. mod. (oc)'!AF597)</f>
        <v>1200</v>
      </c>
      <c r="AG597" s="126">
        <f>IF('Quant. mod. (oc)'!AG597&lt;0,0,'Quant. mod. (oc)'!AG597)</f>
        <v>1200</v>
      </c>
      <c r="AH597" s="22"/>
    </row>
    <row r="598" spans="1:34" x14ac:dyDescent="0.25">
      <c r="A598" s="21"/>
      <c r="B598" s="141" t="s">
        <v>606</v>
      </c>
      <c r="C598" s="125" t="s">
        <v>319</v>
      </c>
      <c r="D598" s="125">
        <f>IF('Quant. mod. (oc)'!D598&lt;0,0,'Quant. mod. (oc)'!D598)</f>
        <v>240</v>
      </c>
      <c r="E598" s="125">
        <f>IF('Quant. mod. (oc)'!E598&lt;0,0,'Quant. mod. (oc)'!E598)</f>
        <v>240</v>
      </c>
      <c r="F598" s="125">
        <f>IF('Quant. mod. (oc)'!F598&lt;0,0,'Quant. mod. (oc)'!F598)</f>
        <v>240</v>
      </c>
      <c r="G598" s="125">
        <f>IF('Quant. mod. (oc)'!G598&lt;0,0,'Quant. mod. (oc)'!G598)</f>
        <v>240</v>
      </c>
      <c r="H598" s="125">
        <f>IF('Quant. mod. (oc)'!H598&lt;0,0,'Quant. mod. (oc)'!H598)</f>
        <v>240</v>
      </c>
      <c r="I598" s="125">
        <f>IF('Quant. mod. (oc)'!I598&lt;0,0,'Quant. mod. (oc)'!I598)</f>
        <v>240</v>
      </c>
      <c r="J598" s="125">
        <f>IF('Quant. mod. (oc)'!J598&lt;0,0,'Quant. mod. (oc)'!J598)</f>
        <v>240</v>
      </c>
      <c r="K598" s="125">
        <f>IF('Quant. mod. (oc)'!K598&lt;0,0,'Quant. mod. (oc)'!K598)</f>
        <v>240</v>
      </c>
      <c r="L598" s="125">
        <f>IF('Quant. mod. (oc)'!L598&lt;0,0,'Quant. mod. (oc)'!L598)</f>
        <v>240</v>
      </c>
      <c r="M598" s="125">
        <f>IF('Quant. mod. (oc)'!M598&lt;0,0,'Quant. mod. (oc)'!M598)</f>
        <v>240</v>
      </c>
      <c r="N598" s="125">
        <f>IF('Quant. mod. (oc)'!N598&lt;0,0,'Quant. mod. (oc)'!N598)</f>
        <v>240</v>
      </c>
      <c r="O598" s="125">
        <f>IF('Quant. mod. (oc)'!O598&lt;0,0,'Quant. mod. (oc)'!O598)</f>
        <v>240</v>
      </c>
      <c r="P598" s="125">
        <f>IF('Quant. mod. (oc)'!P598&lt;0,0,'Quant. mod. (oc)'!P598)</f>
        <v>240</v>
      </c>
      <c r="Q598" s="125">
        <f>IF('Quant. mod. (oc)'!Q598&lt;0,0,'Quant. mod. (oc)'!Q598)</f>
        <v>240</v>
      </c>
      <c r="R598" s="125">
        <f>IF('Quant. mod. (oc)'!R598&lt;0,0,'Quant. mod. (oc)'!R598)</f>
        <v>240</v>
      </c>
      <c r="S598" s="125">
        <f>IF('Quant. mod. (oc)'!S598&lt;0,0,'Quant. mod. (oc)'!S598)</f>
        <v>240</v>
      </c>
      <c r="T598" s="125">
        <f>IF('Quant. mod. (oc)'!T598&lt;0,0,'Quant. mod. (oc)'!T598)</f>
        <v>240</v>
      </c>
      <c r="U598" s="125">
        <f>IF('Quant. mod. (oc)'!U598&lt;0,0,'Quant. mod. (oc)'!U598)</f>
        <v>240</v>
      </c>
      <c r="V598" s="125">
        <f>IF('Quant. mod. (oc)'!V598&lt;0,0,'Quant. mod. (oc)'!V598)</f>
        <v>240</v>
      </c>
      <c r="W598" s="125">
        <f>IF('Quant. mod. (oc)'!W598&lt;0,0,'Quant. mod. (oc)'!W598)</f>
        <v>240</v>
      </c>
      <c r="X598" s="125">
        <f>IF('Quant. mod. (oc)'!X598&lt;0,0,'Quant. mod. (oc)'!X598)</f>
        <v>240</v>
      </c>
      <c r="Y598" s="125">
        <f>IF('Quant. mod. (oc)'!Y598&lt;0,0,'Quant. mod. (oc)'!Y598)</f>
        <v>240</v>
      </c>
      <c r="Z598" s="125">
        <f>IF('Quant. mod. (oc)'!Z598&lt;0,0,'Quant. mod. (oc)'!Z598)</f>
        <v>240</v>
      </c>
      <c r="AA598" s="125">
        <f>IF('Quant. mod. (oc)'!AA598&lt;0,0,'Quant. mod. (oc)'!AA598)</f>
        <v>240</v>
      </c>
      <c r="AB598" s="125">
        <f>IF('Quant. mod. (oc)'!AB598&lt;0,0,'Quant. mod. (oc)'!AB598)</f>
        <v>240</v>
      </c>
      <c r="AC598" s="125">
        <f>IF('Quant. mod. (oc)'!AC598&lt;0,0,'Quant. mod. (oc)'!AC598)</f>
        <v>240</v>
      </c>
      <c r="AD598" s="125">
        <f>IF('Quant. mod. (oc)'!AD598&lt;0,0,'Quant. mod. (oc)'!AD598)</f>
        <v>240</v>
      </c>
      <c r="AE598" s="125">
        <f>IF('Quant. mod. (oc)'!AE598&lt;0,0,'Quant. mod. (oc)'!AE598)</f>
        <v>240</v>
      </c>
      <c r="AF598" s="125">
        <f>IF('Quant. mod. (oc)'!AF598&lt;0,0,'Quant. mod. (oc)'!AF598)</f>
        <v>240</v>
      </c>
      <c r="AG598" s="126">
        <f>IF('Quant. mod. (oc)'!AG598&lt;0,0,'Quant. mod. (oc)'!AG598)</f>
        <v>240</v>
      </c>
      <c r="AH598" s="22"/>
    </row>
    <row r="599" spans="1:34" x14ac:dyDescent="0.25">
      <c r="A599" s="21"/>
      <c r="B599" s="141" t="s">
        <v>607</v>
      </c>
      <c r="C599" s="125" t="s">
        <v>319</v>
      </c>
      <c r="D599" s="125">
        <f>IF('Quant. mod. (oc)'!D599&lt;0,0,'Quant. mod. (oc)'!D599)</f>
        <v>120</v>
      </c>
      <c r="E599" s="125">
        <f>IF('Quant. mod. (oc)'!E599&lt;0,0,'Quant. mod. (oc)'!E599)</f>
        <v>120</v>
      </c>
      <c r="F599" s="125">
        <f>IF('Quant. mod. (oc)'!F599&lt;0,0,'Quant. mod. (oc)'!F599)</f>
        <v>120</v>
      </c>
      <c r="G599" s="125">
        <f>IF('Quant. mod. (oc)'!G599&lt;0,0,'Quant. mod. (oc)'!G599)</f>
        <v>120</v>
      </c>
      <c r="H599" s="125">
        <f>IF('Quant. mod. (oc)'!H599&lt;0,0,'Quant. mod. (oc)'!H599)</f>
        <v>120</v>
      </c>
      <c r="I599" s="125">
        <f>IF('Quant. mod. (oc)'!I599&lt;0,0,'Quant. mod. (oc)'!I599)</f>
        <v>120</v>
      </c>
      <c r="J599" s="125">
        <f>IF('Quant. mod. (oc)'!J599&lt;0,0,'Quant. mod. (oc)'!J599)</f>
        <v>120</v>
      </c>
      <c r="K599" s="125">
        <f>IF('Quant. mod. (oc)'!K599&lt;0,0,'Quant. mod. (oc)'!K599)</f>
        <v>120</v>
      </c>
      <c r="L599" s="125">
        <f>IF('Quant. mod. (oc)'!L599&lt;0,0,'Quant. mod. (oc)'!L599)</f>
        <v>120</v>
      </c>
      <c r="M599" s="125">
        <f>IF('Quant. mod. (oc)'!M599&lt;0,0,'Quant. mod. (oc)'!M599)</f>
        <v>120</v>
      </c>
      <c r="N599" s="125">
        <f>IF('Quant. mod. (oc)'!N599&lt;0,0,'Quant. mod. (oc)'!N599)</f>
        <v>120</v>
      </c>
      <c r="O599" s="125">
        <f>IF('Quant. mod. (oc)'!O599&lt;0,0,'Quant. mod. (oc)'!O599)</f>
        <v>120</v>
      </c>
      <c r="P599" s="125">
        <f>IF('Quant. mod. (oc)'!P599&lt;0,0,'Quant. mod. (oc)'!P599)</f>
        <v>120</v>
      </c>
      <c r="Q599" s="125">
        <f>IF('Quant. mod. (oc)'!Q599&lt;0,0,'Quant. mod. (oc)'!Q599)</f>
        <v>120</v>
      </c>
      <c r="R599" s="125">
        <f>IF('Quant. mod. (oc)'!R599&lt;0,0,'Quant. mod. (oc)'!R599)</f>
        <v>120</v>
      </c>
      <c r="S599" s="125">
        <f>IF('Quant. mod. (oc)'!S599&lt;0,0,'Quant. mod. (oc)'!S599)</f>
        <v>120</v>
      </c>
      <c r="T599" s="125">
        <f>IF('Quant. mod. (oc)'!T599&lt;0,0,'Quant. mod. (oc)'!T599)</f>
        <v>120</v>
      </c>
      <c r="U599" s="125">
        <f>IF('Quant. mod. (oc)'!U599&lt;0,0,'Quant. mod. (oc)'!U599)</f>
        <v>120</v>
      </c>
      <c r="V599" s="125">
        <f>IF('Quant. mod. (oc)'!V599&lt;0,0,'Quant. mod. (oc)'!V599)</f>
        <v>120</v>
      </c>
      <c r="W599" s="125">
        <f>IF('Quant. mod. (oc)'!W599&lt;0,0,'Quant. mod. (oc)'!W599)</f>
        <v>120</v>
      </c>
      <c r="X599" s="125">
        <f>IF('Quant. mod. (oc)'!X599&lt;0,0,'Quant. mod. (oc)'!X599)</f>
        <v>120</v>
      </c>
      <c r="Y599" s="125">
        <f>IF('Quant. mod. (oc)'!Y599&lt;0,0,'Quant. mod. (oc)'!Y599)</f>
        <v>120</v>
      </c>
      <c r="Z599" s="125">
        <f>IF('Quant. mod. (oc)'!Z599&lt;0,0,'Quant. mod. (oc)'!Z599)</f>
        <v>120</v>
      </c>
      <c r="AA599" s="125">
        <f>IF('Quant. mod. (oc)'!AA599&lt;0,0,'Quant. mod. (oc)'!AA599)</f>
        <v>120</v>
      </c>
      <c r="AB599" s="125">
        <f>IF('Quant. mod. (oc)'!AB599&lt;0,0,'Quant. mod. (oc)'!AB599)</f>
        <v>120</v>
      </c>
      <c r="AC599" s="125">
        <f>IF('Quant. mod. (oc)'!AC599&lt;0,0,'Quant. mod. (oc)'!AC599)</f>
        <v>120</v>
      </c>
      <c r="AD599" s="125">
        <f>IF('Quant. mod. (oc)'!AD599&lt;0,0,'Quant. mod. (oc)'!AD599)</f>
        <v>120</v>
      </c>
      <c r="AE599" s="125">
        <f>IF('Quant. mod. (oc)'!AE599&lt;0,0,'Quant. mod. (oc)'!AE599)</f>
        <v>120</v>
      </c>
      <c r="AF599" s="125">
        <f>IF('Quant. mod. (oc)'!AF599&lt;0,0,'Quant. mod. (oc)'!AF599)</f>
        <v>120</v>
      </c>
      <c r="AG599" s="126">
        <f>IF('Quant. mod. (oc)'!AG599&lt;0,0,'Quant. mod. (oc)'!AG599)</f>
        <v>120</v>
      </c>
      <c r="AH599" s="22"/>
    </row>
    <row r="600" spans="1:34" x14ac:dyDescent="0.25">
      <c r="A600" s="21"/>
      <c r="B600" s="141" t="s">
        <v>608</v>
      </c>
      <c r="C600" s="125" t="s">
        <v>319</v>
      </c>
      <c r="D600" s="125">
        <f>IF('Quant. mod. (oc)'!D600&lt;0,0,'Quant. mod. (oc)'!D600)</f>
        <v>240</v>
      </c>
      <c r="E600" s="125">
        <f>IF('Quant. mod. (oc)'!E600&lt;0,0,'Quant. mod. (oc)'!E600)</f>
        <v>240</v>
      </c>
      <c r="F600" s="125">
        <f>IF('Quant. mod. (oc)'!F600&lt;0,0,'Quant. mod. (oc)'!F600)</f>
        <v>240</v>
      </c>
      <c r="G600" s="125">
        <f>IF('Quant. mod. (oc)'!G600&lt;0,0,'Quant. mod. (oc)'!G600)</f>
        <v>240</v>
      </c>
      <c r="H600" s="125">
        <f>IF('Quant. mod. (oc)'!H600&lt;0,0,'Quant. mod. (oc)'!H600)</f>
        <v>240</v>
      </c>
      <c r="I600" s="125">
        <f>IF('Quant. mod. (oc)'!I600&lt;0,0,'Quant. mod. (oc)'!I600)</f>
        <v>240</v>
      </c>
      <c r="J600" s="125">
        <f>IF('Quant. mod. (oc)'!J600&lt;0,0,'Quant. mod. (oc)'!J600)</f>
        <v>240</v>
      </c>
      <c r="K600" s="125">
        <f>IF('Quant. mod. (oc)'!K600&lt;0,0,'Quant. mod. (oc)'!K600)</f>
        <v>240</v>
      </c>
      <c r="L600" s="125">
        <f>IF('Quant. mod. (oc)'!L600&lt;0,0,'Quant. mod. (oc)'!L600)</f>
        <v>240</v>
      </c>
      <c r="M600" s="125">
        <f>IF('Quant. mod. (oc)'!M600&lt;0,0,'Quant. mod. (oc)'!M600)</f>
        <v>240</v>
      </c>
      <c r="N600" s="125">
        <f>IF('Quant. mod. (oc)'!N600&lt;0,0,'Quant. mod. (oc)'!N600)</f>
        <v>240</v>
      </c>
      <c r="O600" s="125">
        <f>IF('Quant. mod. (oc)'!O600&lt;0,0,'Quant. mod. (oc)'!O600)</f>
        <v>240</v>
      </c>
      <c r="P600" s="125">
        <f>IF('Quant. mod. (oc)'!P600&lt;0,0,'Quant. mod. (oc)'!P600)</f>
        <v>240</v>
      </c>
      <c r="Q600" s="125">
        <f>IF('Quant. mod. (oc)'!Q600&lt;0,0,'Quant. mod. (oc)'!Q600)</f>
        <v>240</v>
      </c>
      <c r="R600" s="125">
        <f>IF('Quant. mod. (oc)'!R600&lt;0,0,'Quant. mod. (oc)'!R600)</f>
        <v>240</v>
      </c>
      <c r="S600" s="125">
        <f>IF('Quant. mod. (oc)'!S600&lt;0,0,'Quant. mod. (oc)'!S600)</f>
        <v>240</v>
      </c>
      <c r="T600" s="125">
        <f>IF('Quant. mod. (oc)'!T600&lt;0,0,'Quant. mod. (oc)'!T600)</f>
        <v>240</v>
      </c>
      <c r="U600" s="125">
        <f>IF('Quant. mod. (oc)'!U600&lt;0,0,'Quant. mod. (oc)'!U600)</f>
        <v>240</v>
      </c>
      <c r="V600" s="125">
        <f>IF('Quant. mod. (oc)'!V600&lt;0,0,'Quant. mod. (oc)'!V600)</f>
        <v>240</v>
      </c>
      <c r="W600" s="125">
        <f>IF('Quant. mod. (oc)'!W600&lt;0,0,'Quant. mod. (oc)'!W600)</f>
        <v>240</v>
      </c>
      <c r="X600" s="125">
        <f>IF('Quant. mod. (oc)'!X600&lt;0,0,'Quant. mod. (oc)'!X600)</f>
        <v>240</v>
      </c>
      <c r="Y600" s="125">
        <f>IF('Quant. mod. (oc)'!Y600&lt;0,0,'Quant. mod. (oc)'!Y600)</f>
        <v>240</v>
      </c>
      <c r="Z600" s="125">
        <f>IF('Quant. mod. (oc)'!Z600&lt;0,0,'Quant. mod. (oc)'!Z600)</f>
        <v>240</v>
      </c>
      <c r="AA600" s="125">
        <f>IF('Quant. mod. (oc)'!AA600&lt;0,0,'Quant. mod. (oc)'!AA600)</f>
        <v>240</v>
      </c>
      <c r="AB600" s="125">
        <f>IF('Quant. mod. (oc)'!AB600&lt;0,0,'Quant. mod. (oc)'!AB600)</f>
        <v>240</v>
      </c>
      <c r="AC600" s="125">
        <f>IF('Quant. mod. (oc)'!AC600&lt;0,0,'Quant. mod. (oc)'!AC600)</f>
        <v>240</v>
      </c>
      <c r="AD600" s="125">
        <f>IF('Quant. mod. (oc)'!AD600&lt;0,0,'Quant. mod. (oc)'!AD600)</f>
        <v>240</v>
      </c>
      <c r="AE600" s="125">
        <f>IF('Quant. mod. (oc)'!AE600&lt;0,0,'Quant. mod. (oc)'!AE600)</f>
        <v>240</v>
      </c>
      <c r="AF600" s="125">
        <f>IF('Quant. mod. (oc)'!AF600&lt;0,0,'Quant. mod. (oc)'!AF600)</f>
        <v>240</v>
      </c>
      <c r="AG600" s="126">
        <f>IF('Quant. mod. (oc)'!AG600&lt;0,0,'Quant. mod. (oc)'!AG600)</f>
        <v>240</v>
      </c>
      <c r="AH600" s="22"/>
    </row>
    <row r="601" spans="1:34" x14ac:dyDescent="0.25">
      <c r="A601" s="21"/>
      <c r="B601" s="141" t="s">
        <v>609</v>
      </c>
      <c r="C601" s="125" t="s">
        <v>319</v>
      </c>
      <c r="D601" s="125">
        <f>IF('Quant. mod. (oc)'!D601&lt;0,0,'Quant. mod. (oc)'!D601)</f>
        <v>240</v>
      </c>
      <c r="E601" s="125">
        <f>IF('Quant. mod. (oc)'!E601&lt;0,0,'Quant. mod. (oc)'!E601)</f>
        <v>240</v>
      </c>
      <c r="F601" s="125">
        <f>IF('Quant. mod. (oc)'!F601&lt;0,0,'Quant. mod. (oc)'!F601)</f>
        <v>240</v>
      </c>
      <c r="G601" s="125">
        <f>IF('Quant. mod. (oc)'!G601&lt;0,0,'Quant. mod. (oc)'!G601)</f>
        <v>240</v>
      </c>
      <c r="H601" s="125">
        <f>IF('Quant. mod. (oc)'!H601&lt;0,0,'Quant. mod. (oc)'!H601)</f>
        <v>240</v>
      </c>
      <c r="I601" s="125">
        <f>IF('Quant. mod. (oc)'!I601&lt;0,0,'Quant. mod. (oc)'!I601)</f>
        <v>240</v>
      </c>
      <c r="J601" s="125">
        <f>IF('Quant. mod. (oc)'!J601&lt;0,0,'Quant. mod. (oc)'!J601)</f>
        <v>240</v>
      </c>
      <c r="K601" s="125">
        <f>IF('Quant. mod. (oc)'!K601&lt;0,0,'Quant. mod. (oc)'!K601)</f>
        <v>240</v>
      </c>
      <c r="L601" s="125">
        <f>IF('Quant. mod. (oc)'!L601&lt;0,0,'Quant. mod. (oc)'!L601)</f>
        <v>240</v>
      </c>
      <c r="M601" s="125">
        <f>IF('Quant. mod. (oc)'!M601&lt;0,0,'Quant. mod. (oc)'!M601)</f>
        <v>240</v>
      </c>
      <c r="N601" s="125">
        <f>IF('Quant. mod. (oc)'!N601&lt;0,0,'Quant. mod. (oc)'!N601)</f>
        <v>240</v>
      </c>
      <c r="O601" s="125">
        <f>IF('Quant. mod. (oc)'!O601&lt;0,0,'Quant. mod. (oc)'!O601)</f>
        <v>240</v>
      </c>
      <c r="P601" s="125">
        <f>IF('Quant. mod. (oc)'!P601&lt;0,0,'Quant. mod. (oc)'!P601)</f>
        <v>240</v>
      </c>
      <c r="Q601" s="125">
        <f>IF('Quant. mod. (oc)'!Q601&lt;0,0,'Quant. mod. (oc)'!Q601)</f>
        <v>240</v>
      </c>
      <c r="R601" s="125">
        <f>IF('Quant. mod. (oc)'!R601&lt;0,0,'Quant. mod. (oc)'!R601)</f>
        <v>240</v>
      </c>
      <c r="S601" s="125">
        <f>IF('Quant. mod. (oc)'!S601&lt;0,0,'Quant. mod. (oc)'!S601)</f>
        <v>240</v>
      </c>
      <c r="T601" s="125">
        <f>IF('Quant. mod. (oc)'!T601&lt;0,0,'Quant. mod. (oc)'!T601)</f>
        <v>240</v>
      </c>
      <c r="U601" s="125">
        <f>IF('Quant. mod. (oc)'!U601&lt;0,0,'Quant. mod. (oc)'!U601)</f>
        <v>240</v>
      </c>
      <c r="V601" s="125">
        <f>IF('Quant. mod. (oc)'!V601&lt;0,0,'Quant. mod. (oc)'!V601)</f>
        <v>240</v>
      </c>
      <c r="W601" s="125">
        <f>IF('Quant. mod. (oc)'!W601&lt;0,0,'Quant. mod. (oc)'!W601)</f>
        <v>240</v>
      </c>
      <c r="X601" s="125">
        <f>IF('Quant. mod. (oc)'!X601&lt;0,0,'Quant. mod. (oc)'!X601)</f>
        <v>240</v>
      </c>
      <c r="Y601" s="125">
        <f>IF('Quant. mod. (oc)'!Y601&lt;0,0,'Quant. mod. (oc)'!Y601)</f>
        <v>240</v>
      </c>
      <c r="Z601" s="125">
        <f>IF('Quant. mod. (oc)'!Z601&lt;0,0,'Quant. mod. (oc)'!Z601)</f>
        <v>240</v>
      </c>
      <c r="AA601" s="125">
        <f>IF('Quant. mod. (oc)'!AA601&lt;0,0,'Quant. mod. (oc)'!AA601)</f>
        <v>240</v>
      </c>
      <c r="AB601" s="125">
        <f>IF('Quant. mod. (oc)'!AB601&lt;0,0,'Quant. mod. (oc)'!AB601)</f>
        <v>240</v>
      </c>
      <c r="AC601" s="125">
        <f>IF('Quant. mod. (oc)'!AC601&lt;0,0,'Quant. mod. (oc)'!AC601)</f>
        <v>240</v>
      </c>
      <c r="AD601" s="125">
        <f>IF('Quant. mod. (oc)'!AD601&lt;0,0,'Quant. mod. (oc)'!AD601)</f>
        <v>240</v>
      </c>
      <c r="AE601" s="125">
        <f>IF('Quant. mod. (oc)'!AE601&lt;0,0,'Quant. mod. (oc)'!AE601)</f>
        <v>240</v>
      </c>
      <c r="AF601" s="125">
        <f>IF('Quant. mod. (oc)'!AF601&lt;0,0,'Quant. mod. (oc)'!AF601)</f>
        <v>240</v>
      </c>
      <c r="AG601" s="126">
        <f>IF('Quant. mod. (oc)'!AG601&lt;0,0,'Quant. mod. (oc)'!AG601)</f>
        <v>240</v>
      </c>
      <c r="AH601" s="22"/>
    </row>
    <row r="602" spans="1:34" x14ac:dyDescent="0.25">
      <c r="A602" s="21"/>
      <c r="B602" s="141" t="s">
        <v>610</v>
      </c>
      <c r="C602" s="125" t="s">
        <v>319</v>
      </c>
      <c r="D602" s="125">
        <f>IF('Quant. mod. (oc)'!D602&lt;0,0,'Quant. mod. (oc)'!D602)</f>
        <v>240</v>
      </c>
      <c r="E602" s="125">
        <f>IF('Quant. mod. (oc)'!E602&lt;0,0,'Quant. mod. (oc)'!E602)</f>
        <v>240</v>
      </c>
      <c r="F602" s="125">
        <f>IF('Quant. mod. (oc)'!F602&lt;0,0,'Quant. mod. (oc)'!F602)</f>
        <v>240</v>
      </c>
      <c r="G602" s="125">
        <f>IF('Quant. mod. (oc)'!G602&lt;0,0,'Quant. mod. (oc)'!G602)</f>
        <v>240</v>
      </c>
      <c r="H602" s="125">
        <f>IF('Quant. mod. (oc)'!H602&lt;0,0,'Quant. mod. (oc)'!H602)</f>
        <v>240</v>
      </c>
      <c r="I602" s="125">
        <f>IF('Quant. mod. (oc)'!I602&lt;0,0,'Quant. mod. (oc)'!I602)</f>
        <v>240</v>
      </c>
      <c r="J602" s="125">
        <f>IF('Quant. mod. (oc)'!J602&lt;0,0,'Quant. mod. (oc)'!J602)</f>
        <v>240</v>
      </c>
      <c r="K602" s="125">
        <f>IF('Quant. mod. (oc)'!K602&lt;0,0,'Quant. mod. (oc)'!K602)</f>
        <v>240</v>
      </c>
      <c r="L602" s="125">
        <f>IF('Quant. mod. (oc)'!L602&lt;0,0,'Quant. mod. (oc)'!L602)</f>
        <v>240</v>
      </c>
      <c r="M602" s="125">
        <f>IF('Quant. mod. (oc)'!M602&lt;0,0,'Quant. mod. (oc)'!M602)</f>
        <v>240</v>
      </c>
      <c r="N602" s="125">
        <f>IF('Quant. mod. (oc)'!N602&lt;0,0,'Quant. mod. (oc)'!N602)</f>
        <v>240</v>
      </c>
      <c r="O602" s="125">
        <f>IF('Quant. mod. (oc)'!O602&lt;0,0,'Quant. mod. (oc)'!O602)</f>
        <v>240</v>
      </c>
      <c r="P602" s="125">
        <f>IF('Quant. mod. (oc)'!P602&lt;0,0,'Quant. mod. (oc)'!P602)</f>
        <v>240</v>
      </c>
      <c r="Q602" s="125">
        <f>IF('Quant. mod. (oc)'!Q602&lt;0,0,'Quant. mod. (oc)'!Q602)</f>
        <v>240</v>
      </c>
      <c r="R602" s="125">
        <f>IF('Quant. mod. (oc)'!R602&lt;0,0,'Quant. mod. (oc)'!R602)</f>
        <v>240</v>
      </c>
      <c r="S602" s="125">
        <f>IF('Quant. mod. (oc)'!S602&lt;0,0,'Quant. mod. (oc)'!S602)</f>
        <v>240</v>
      </c>
      <c r="T602" s="125">
        <f>IF('Quant. mod. (oc)'!T602&lt;0,0,'Quant. mod. (oc)'!T602)</f>
        <v>240</v>
      </c>
      <c r="U602" s="125">
        <f>IF('Quant. mod. (oc)'!U602&lt;0,0,'Quant. mod. (oc)'!U602)</f>
        <v>240</v>
      </c>
      <c r="V602" s="125">
        <f>IF('Quant. mod. (oc)'!V602&lt;0,0,'Quant. mod. (oc)'!V602)</f>
        <v>240</v>
      </c>
      <c r="W602" s="125">
        <f>IF('Quant. mod. (oc)'!W602&lt;0,0,'Quant. mod. (oc)'!W602)</f>
        <v>240</v>
      </c>
      <c r="X602" s="125">
        <f>IF('Quant. mod. (oc)'!X602&lt;0,0,'Quant. mod. (oc)'!X602)</f>
        <v>240</v>
      </c>
      <c r="Y602" s="125">
        <f>IF('Quant. mod. (oc)'!Y602&lt;0,0,'Quant. mod. (oc)'!Y602)</f>
        <v>240</v>
      </c>
      <c r="Z602" s="125">
        <f>IF('Quant. mod. (oc)'!Z602&lt;0,0,'Quant. mod. (oc)'!Z602)</f>
        <v>240</v>
      </c>
      <c r="AA602" s="125">
        <f>IF('Quant. mod. (oc)'!AA602&lt;0,0,'Quant. mod. (oc)'!AA602)</f>
        <v>240</v>
      </c>
      <c r="AB602" s="125">
        <f>IF('Quant. mod. (oc)'!AB602&lt;0,0,'Quant. mod. (oc)'!AB602)</f>
        <v>240</v>
      </c>
      <c r="AC602" s="125">
        <f>IF('Quant. mod. (oc)'!AC602&lt;0,0,'Quant. mod. (oc)'!AC602)</f>
        <v>240</v>
      </c>
      <c r="AD602" s="125">
        <f>IF('Quant. mod. (oc)'!AD602&lt;0,0,'Quant. mod. (oc)'!AD602)</f>
        <v>240</v>
      </c>
      <c r="AE602" s="125">
        <f>IF('Quant. mod. (oc)'!AE602&lt;0,0,'Quant. mod. (oc)'!AE602)</f>
        <v>240</v>
      </c>
      <c r="AF602" s="125">
        <f>IF('Quant. mod. (oc)'!AF602&lt;0,0,'Quant. mod. (oc)'!AF602)</f>
        <v>240</v>
      </c>
      <c r="AG602" s="126">
        <f>IF('Quant. mod. (oc)'!AG602&lt;0,0,'Quant. mod. (oc)'!AG602)</f>
        <v>240</v>
      </c>
      <c r="AH602" s="22"/>
    </row>
    <row r="603" spans="1:34" x14ac:dyDescent="0.25">
      <c r="A603" s="21"/>
      <c r="B603" s="120" t="s">
        <v>611</v>
      </c>
      <c r="C603" s="121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  <c r="AF603" s="127"/>
      <c r="AG603" s="128"/>
      <c r="AH603" s="22"/>
    </row>
    <row r="604" spans="1:34" x14ac:dyDescent="0.25">
      <c r="A604" s="21"/>
      <c r="B604" s="141" t="s">
        <v>623</v>
      </c>
      <c r="C604" s="125" t="s">
        <v>60</v>
      </c>
      <c r="D604" s="125">
        <f>IF('Quant. mod. (oc)'!D604&lt;0,0,ROUND('Quant. mod. (oc)'!D604,0))</f>
        <v>2</v>
      </c>
      <c r="E604" s="125">
        <f>IF('Quant. mod. (oc)'!E604&lt;0,0,ROUND('Quant. mod. (oc)'!E604,0))</f>
        <v>2</v>
      </c>
      <c r="F604" s="125">
        <f>IF('Quant. mod. (oc)'!F604&lt;0,0,ROUND('Quant. mod. (oc)'!F604,0))</f>
        <v>2</v>
      </c>
      <c r="G604" s="125">
        <f>IF('Quant. mod. (oc)'!G604&lt;0,0,ROUND('Quant. mod. (oc)'!G604,0))</f>
        <v>2</v>
      </c>
      <c r="H604" s="125">
        <f>IF('Quant. mod. (oc)'!H604&lt;0,0,ROUND('Quant. mod. (oc)'!H604,0))</f>
        <v>2</v>
      </c>
      <c r="I604" s="125">
        <f>IF('Quant. mod. (oc)'!I604&lt;0,0,ROUND('Quant. mod. (oc)'!I604,0))</f>
        <v>2</v>
      </c>
      <c r="J604" s="125">
        <f>IF('Quant. mod. (oc)'!J604&lt;0,0,ROUND('Quant. mod. (oc)'!J604,0))</f>
        <v>2</v>
      </c>
      <c r="K604" s="125">
        <f>IF('Quant. mod. (oc)'!K604&lt;0,0,ROUND('Quant. mod. (oc)'!K604,0))</f>
        <v>2</v>
      </c>
      <c r="L604" s="125">
        <f>IF('Quant. mod. (oc)'!L604&lt;0,0,ROUND('Quant. mod. (oc)'!L604,0))</f>
        <v>2</v>
      </c>
      <c r="M604" s="125">
        <f>IF('Quant. mod. (oc)'!M604&lt;0,0,ROUND('Quant. mod. (oc)'!M604,0))</f>
        <v>2</v>
      </c>
      <c r="N604" s="125">
        <f>IF('Quant. mod. (oc)'!N604&lt;0,0,ROUND('Quant. mod. (oc)'!N604,0))</f>
        <v>2</v>
      </c>
      <c r="O604" s="125">
        <f>IF('Quant. mod. (oc)'!O604&lt;0,0,ROUND('Quant. mod. (oc)'!O604,0))</f>
        <v>2</v>
      </c>
      <c r="P604" s="125">
        <f>IF('Quant. mod. (oc)'!P604&lt;0,0,ROUND('Quant. mod. (oc)'!P604,0))</f>
        <v>2</v>
      </c>
      <c r="Q604" s="125">
        <f>IF('Quant. mod. (oc)'!Q604&lt;0,0,ROUND('Quant. mod. (oc)'!Q604,0))</f>
        <v>2</v>
      </c>
      <c r="R604" s="125">
        <f>IF('Quant. mod. (oc)'!R604&lt;0,0,ROUND('Quant. mod. (oc)'!R604,0))</f>
        <v>2</v>
      </c>
      <c r="S604" s="125">
        <f>IF('Quant. mod. (oc)'!S604&lt;0,0,ROUND('Quant. mod. (oc)'!S604,0))</f>
        <v>2</v>
      </c>
      <c r="T604" s="125">
        <f>IF('Quant. mod. (oc)'!T604&lt;0,0,ROUND('Quant. mod. (oc)'!T604,0))</f>
        <v>2</v>
      </c>
      <c r="U604" s="125">
        <f>IF('Quant. mod. (oc)'!U604&lt;0,0,ROUND('Quant. mod. (oc)'!U604,0))</f>
        <v>2</v>
      </c>
      <c r="V604" s="125">
        <f>IF('Quant. mod. (oc)'!V604&lt;0,0,ROUND('Quant. mod. (oc)'!V604,0))</f>
        <v>2</v>
      </c>
      <c r="W604" s="125">
        <f>IF('Quant. mod. (oc)'!W604&lt;0,0,ROUND('Quant. mod. (oc)'!W604,0))</f>
        <v>2</v>
      </c>
      <c r="X604" s="125">
        <f>IF('Quant. mod. (oc)'!X604&lt;0,0,ROUND('Quant. mod. (oc)'!X604,0))</f>
        <v>2</v>
      </c>
      <c r="Y604" s="125">
        <f>IF('Quant. mod. (oc)'!Y604&lt;0,0,ROUND('Quant. mod. (oc)'!Y604,0))</f>
        <v>2</v>
      </c>
      <c r="Z604" s="125">
        <f>IF('Quant. mod. (oc)'!Z604&lt;0,0,ROUND('Quant. mod. (oc)'!Z604,0))</f>
        <v>2</v>
      </c>
      <c r="AA604" s="125">
        <f>IF('Quant. mod. (oc)'!AA604&lt;0,0,ROUND('Quant. mod. (oc)'!AA604,0))</f>
        <v>2</v>
      </c>
      <c r="AB604" s="125">
        <f>IF('Quant. mod. (oc)'!AB604&lt;0,0,ROUND('Quant. mod. (oc)'!AB604,0))</f>
        <v>2</v>
      </c>
      <c r="AC604" s="125">
        <f>IF('Quant. mod. (oc)'!AC604&lt;0,0,ROUND('Quant. mod. (oc)'!AC604,0))</f>
        <v>2</v>
      </c>
      <c r="AD604" s="125">
        <f>IF('Quant. mod. (oc)'!AD604&lt;0,0,ROUND('Quant. mod. (oc)'!AD604,0))</f>
        <v>2</v>
      </c>
      <c r="AE604" s="125">
        <f>IF('Quant. mod. (oc)'!AE604&lt;0,0,ROUND('Quant. mod. (oc)'!AE604,0))</f>
        <v>2</v>
      </c>
      <c r="AF604" s="125">
        <f>IF('Quant. mod. (oc)'!AF604&lt;0,0,ROUND('Quant. mod. (oc)'!AF604,0))</f>
        <v>2</v>
      </c>
      <c r="AG604" s="126">
        <f>IF('Quant. mod. (oc)'!AG604&lt;0,0,ROUND('Quant. mod. (oc)'!AG604,0))</f>
        <v>2</v>
      </c>
      <c r="AH604" s="22"/>
    </row>
    <row r="605" spans="1:34" x14ac:dyDescent="0.25">
      <c r="A605" s="21"/>
      <c r="B605" s="141" t="s">
        <v>624</v>
      </c>
      <c r="C605" s="125" t="s">
        <v>60</v>
      </c>
      <c r="D605" s="125">
        <f>IF('Quant. mod. (oc)'!D605&lt;0,0,ROUND('Quant. mod. (oc)'!D605,0))</f>
        <v>2</v>
      </c>
      <c r="E605" s="125">
        <f>IF('Quant. mod. (oc)'!E605&lt;0,0,ROUND('Quant. mod. (oc)'!E605,0))</f>
        <v>2</v>
      </c>
      <c r="F605" s="125">
        <f>IF('Quant. mod. (oc)'!F605&lt;0,0,ROUND('Quant. mod. (oc)'!F605,0))</f>
        <v>2</v>
      </c>
      <c r="G605" s="125">
        <f>IF('Quant. mod. (oc)'!G605&lt;0,0,ROUND('Quant. mod. (oc)'!G605,0))</f>
        <v>2</v>
      </c>
      <c r="H605" s="125">
        <f>IF('Quant. mod. (oc)'!H605&lt;0,0,ROUND('Quant. mod. (oc)'!H605,0))</f>
        <v>2</v>
      </c>
      <c r="I605" s="125">
        <f>IF('Quant. mod. (oc)'!I605&lt;0,0,ROUND('Quant. mod. (oc)'!I605,0))</f>
        <v>2</v>
      </c>
      <c r="J605" s="125">
        <f>IF('Quant. mod. (oc)'!J605&lt;0,0,ROUND('Quant. mod. (oc)'!J605,0))</f>
        <v>2</v>
      </c>
      <c r="K605" s="125">
        <f>IF('Quant. mod. (oc)'!K605&lt;0,0,ROUND('Quant. mod. (oc)'!K605,0))</f>
        <v>2</v>
      </c>
      <c r="L605" s="125">
        <f>IF('Quant. mod. (oc)'!L605&lt;0,0,ROUND('Quant. mod. (oc)'!L605,0))</f>
        <v>2</v>
      </c>
      <c r="M605" s="125">
        <f>IF('Quant. mod. (oc)'!M605&lt;0,0,ROUND('Quant. mod. (oc)'!M605,0))</f>
        <v>2</v>
      </c>
      <c r="N605" s="125">
        <f>IF('Quant. mod. (oc)'!N605&lt;0,0,ROUND('Quant. mod. (oc)'!N605,0))</f>
        <v>2</v>
      </c>
      <c r="O605" s="125">
        <f>IF('Quant. mod. (oc)'!O605&lt;0,0,ROUND('Quant. mod. (oc)'!O605,0))</f>
        <v>2</v>
      </c>
      <c r="P605" s="125">
        <f>IF('Quant. mod. (oc)'!P605&lt;0,0,ROUND('Quant. mod. (oc)'!P605,0))</f>
        <v>2</v>
      </c>
      <c r="Q605" s="125">
        <f>IF('Quant. mod. (oc)'!Q605&lt;0,0,ROUND('Quant. mod. (oc)'!Q605,0))</f>
        <v>2</v>
      </c>
      <c r="R605" s="125">
        <f>IF('Quant. mod. (oc)'!R605&lt;0,0,ROUND('Quant. mod. (oc)'!R605,0))</f>
        <v>2</v>
      </c>
      <c r="S605" s="125">
        <f>IF('Quant. mod. (oc)'!S605&lt;0,0,ROUND('Quant. mod. (oc)'!S605,0))</f>
        <v>2</v>
      </c>
      <c r="T605" s="125">
        <f>IF('Quant. mod. (oc)'!T605&lt;0,0,ROUND('Quant. mod. (oc)'!T605,0))</f>
        <v>2</v>
      </c>
      <c r="U605" s="125">
        <f>IF('Quant. mod. (oc)'!U605&lt;0,0,ROUND('Quant. mod. (oc)'!U605,0))</f>
        <v>2</v>
      </c>
      <c r="V605" s="125">
        <f>IF('Quant. mod. (oc)'!V605&lt;0,0,ROUND('Quant. mod. (oc)'!V605,0))</f>
        <v>2</v>
      </c>
      <c r="W605" s="125">
        <f>IF('Quant. mod. (oc)'!W605&lt;0,0,ROUND('Quant. mod. (oc)'!W605,0))</f>
        <v>2</v>
      </c>
      <c r="X605" s="125">
        <f>IF('Quant. mod. (oc)'!X605&lt;0,0,ROUND('Quant. mod. (oc)'!X605,0))</f>
        <v>2</v>
      </c>
      <c r="Y605" s="125">
        <f>IF('Quant. mod. (oc)'!Y605&lt;0,0,ROUND('Quant. mod. (oc)'!Y605,0))</f>
        <v>2</v>
      </c>
      <c r="Z605" s="125">
        <f>IF('Quant. mod. (oc)'!Z605&lt;0,0,ROUND('Quant. mod. (oc)'!Z605,0))</f>
        <v>2</v>
      </c>
      <c r="AA605" s="125">
        <f>IF('Quant. mod. (oc)'!AA605&lt;0,0,ROUND('Quant. mod. (oc)'!AA605,0))</f>
        <v>2</v>
      </c>
      <c r="AB605" s="125">
        <f>IF('Quant. mod. (oc)'!AB605&lt;0,0,ROUND('Quant. mod. (oc)'!AB605,0))</f>
        <v>2</v>
      </c>
      <c r="AC605" s="125">
        <f>IF('Quant. mod. (oc)'!AC605&lt;0,0,ROUND('Quant. mod. (oc)'!AC605,0))</f>
        <v>2</v>
      </c>
      <c r="AD605" s="125">
        <f>IF('Quant. mod. (oc)'!AD605&lt;0,0,ROUND('Quant. mod. (oc)'!AD605,0))</f>
        <v>2</v>
      </c>
      <c r="AE605" s="125">
        <f>IF('Quant. mod. (oc)'!AE605&lt;0,0,ROUND('Quant. mod. (oc)'!AE605,0))</f>
        <v>2</v>
      </c>
      <c r="AF605" s="125">
        <f>IF('Quant. mod. (oc)'!AF605&lt;0,0,ROUND('Quant. mod. (oc)'!AF605,0))</f>
        <v>2</v>
      </c>
      <c r="AG605" s="126">
        <f>IF('Quant. mod. (oc)'!AG605&lt;0,0,ROUND('Quant. mod. (oc)'!AG605,0))</f>
        <v>2</v>
      </c>
      <c r="AH605" s="22"/>
    </row>
    <row r="606" spans="1:34" x14ac:dyDescent="0.25">
      <c r="A606" s="21"/>
      <c r="B606" s="141" t="s">
        <v>625</v>
      </c>
      <c r="C606" s="125" t="s">
        <v>60</v>
      </c>
      <c r="D606" s="125">
        <f>IF('Quant. mod. (oc)'!D606&lt;0,0,ROUND('Quant. mod. (oc)'!D606,0))</f>
        <v>2</v>
      </c>
      <c r="E606" s="125">
        <f>IF('Quant. mod. (oc)'!E606&lt;0,0,ROUND('Quant. mod. (oc)'!E606,0))</f>
        <v>2</v>
      </c>
      <c r="F606" s="125">
        <f>IF('Quant. mod. (oc)'!F606&lt;0,0,ROUND('Quant. mod. (oc)'!F606,0))</f>
        <v>2</v>
      </c>
      <c r="G606" s="125">
        <f>IF('Quant. mod. (oc)'!G606&lt;0,0,ROUND('Quant. mod. (oc)'!G606,0))</f>
        <v>2</v>
      </c>
      <c r="H606" s="125">
        <f>IF('Quant. mod. (oc)'!H606&lt;0,0,ROUND('Quant. mod. (oc)'!H606,0))</f>
        <v>2</v>
      </c>
      <c r="I606" s="125">
        <f>IF('Quant. mod. (oc)'!I606&lt;0,0,ROUND('Quant. mod. (oc)'!I606,0))</f>
        <v>2</v>
      </c>
      <c r="J606" s="125">
        <f>IF('Quant. mod. (oc)'!J606&lt;0,0,ROUND('Quant. mod. (oc)'!J606,0))</f>
        <v>2</v>
      </c>
      <c r="K606" s="125">
        <f>IF('Quant. mod. (oc)'!K606&lt;0,0,ROUND('Quant. mod. (oc)'!K606,0))</f>
        <v>2</v>
      </c>
      <c r="L606" s="125">
        <f>IF('Quant. mod. (oc)'!L606&lt;0,0,ROUND('Quant. mod. (oc)'!L606,0))</f>
        <v>2</v>
      </c>
      <c r="M606" s="125">
        <f>IF('Quant. mod. (oc)'!M606&lt;0,0,ROUND('Quant. mod. (oc)'!M606,0))</f>
        <v>2</v>
      </c>
      <c r="N606" s="125">
        <f>IF('Quant. mod. (oc)'!N606&lt;0,0,ROUND('Quant. mod. (oc)'!N606,0))</f>
        <v>2</v>
      </c>
      <c r="O606" s="125">
        <f>IF('Quant. mod. (oc)'!O606&lt;0,0,ROUND('Quant. mod. (oc)'!O606,0))</f>
        <v>2</v>
      </c>
      <c r="P606" s="125">
        <f>IF('Quant. mod. (oc)'!P606&lt;0,0,ROUND('Quant. mod. (oc)'!P606,0))</f>
        <v>2</v>
      </c>
      <c r="Q606" s="125">
        <f>IF('Quant. mod. (oc)'!Q606&lt;0,0,ROUND('Quant. mod. (oc)'!Q606,0))</f>
        <v>2</v>
      </c>
      <c r="R606" s="125">
        <f>IF('Quant. mod. (oc)'!R606&lt;0,0,ROUND('Quant. mod. (oc)'!R606,0))</f>
        <v>2</v>
      </c>
      <c r="S606" s="125">
        <f>IF('Quant. mod. (oc)'!S606&lt;0,0,ROUND('Quant. mod. (oc)'!S606,0))</f>
        <v>2</v>
      </c>
      <c r="T606" s="125">
        <f>IF('Quant. mod. (oc)'!T606&lt;0,0,ROUND('Quant. mod. (oc)'!T606,0))</f>
        <v>2</v>
      </c>
      <c r="U606" s="125">
        <f>IF('Quant. mod. (oc)'!U606&lt;0,0,ROUND('Quant. mod. (oc)'!U606,0))</f>
        <v>2</v>
      </c>
      <c r="V606" s="125">
        <f>IF('Quant. mod. (oc)'!V606&lt;0,0,ROUND('Quant. mod. (oc)'!V606,0))</f>
        <v>2</v>
      </c>
      <c r="W606" s="125">
        <f>IF('Quant. mod. (oc)'!W606&lt;0,0,ROUND('Quant. mod. (oc)'!W606,0))</f>
        <v>2</v>
      </c>
      <c r="X606" s="125">
        <f>IF('Quant. mod. (oc)'!X606&lt;0,0,ROUND('Quant. mod. (oc)'!X606,0))</f>
        <v>2</v>
      </c>
      <c r="Y606" s="125">
        <f>IF('Quant. mod. (oc)'!Y606&lt;0,0,ROUND('Quant. mod. (oc)'!Y606,0))</f>
        <v>2</v>
      </c>
      <c r="Z606" s="125">
        <f>IF('Quant. mod. (oc)'!Z606&lt;0,0,ROUND('Quant. mod. (oc)'!Z606,0))</f>
        <v>2</v>
      </c>
      <c r="AA606" s="125">
        <f>IF('Quant. mod. (oc)'!AA606&lt;0,0,ROUND('Quant. mod. (oc)'!AA606,0))</f>
        <v>2</v>
      </c>
      <c r="AB606" s="125">
        <f>IF('Quant. mod. (oc)'!AB606&lt;0,0,ROUND('Quant. mod. (oc)'!AB606,0))</f>
        <v>2</v>
      </c>
      <c r="AC606" s="125">
        <f>IF('Quant. mod. (oc)'!AC606&lt;0,0,ROUND('Quant. mod. (oc)'!AC606,0))</f>
        <v>2</v>
      </c>
      <c r="AD606" s="125">
        <f>IF('Quant. mod. (oc)'!AD606&lt;0,0,ROUND('Quant. mod. (oc)'!AD606,0))</f>
        <v>2</v>
      </c>
      <c r="AE606" s="125">
        <f>IF('Quant. mod. (oc)'!AE606&lt;0,0,ROUND('Quant. mod. (oc)'!AE606,0))</f>
        <v>2</v>
      </c>
      <c r="AF606" s="125">
        <f>IF('Quant. mod. (oc)'!AF606&lt;0,0,ROUND('Quant. mod. (oc)'!AF606,0))</f>
        <v>2</v>
      </c>
      <c r="AG606" s="126">
        <f>IF('Quant. mod. (oc)'!AG606&lt;0,0,ROUND('Quant. mod. (oc)'!AG606,0))</f>
        <v>2</v>
      </c>
      <c r="AH606" s="22"/>
    </row>
    <row r="607" spans="1:34" x14ac:dyDescent="0.25">
      <c r="A607" s="21"/>
      <c r="B607" s="141" t="s">
        <v>626</v>
      </c>
      <c r="C607" s="125" t="s">
        <v>60</v>
      </c>
      <c r="D607" s="125">
        <f>IF('Quant. mod. (oc)'!D607&lt;0,0,ROUND('Quant. mod. (oc)'!D607,0))</f>
        <v>2</v>
      </c>
      <c r="E607" s="125">
        <f>IF('Quant. mod. (oc)'!E607&lt;0,0,ROUND('Quant. mod. (oc)'!E607,0))</f>
        <v>2</v>
      </c>
      <c r="F607" s="125">
        <f>IF('Quant. mod. (oc)'!F607&lt;0,0,ROUND('Quant. mod. (oc)'!F607,0))</f>
        <v>2</v>
      </c>
      <c r="G607" s="125">
        <f>IF('Quant. mod. (oc)'!G607&lt;0,0,ROUND('Quant. mod. (oc)'!G607,0))</f>
        <v>2</v>
      </c>
      <c r="H607" s="125">
        <f>IF('Quant. mod. (oc)'!H607&lt;0,0,ROUND('Quant. mod. (oc)'!H607,0))</f>
        <v>2</v>
      </c>
      <c r="I607" s="125">
        <f>IF('Quant. mod. (oc)'!I607&lt;0,0,ROUND('Quant. mod. (oc)'!I607,0))</f>
        <v>2</v>
      </c>
      <c r="J607" s="125">
        <f>IF('Quant. mod. (oc)'!J607&lt;0,0,ROUND('Quant. mod. (oc)'!J607,0))</f>
        <v>2</v>
      </c>
      <c r="K607" s="125">
        <f>IF('Quant. mod. (oc)'!K607&lt;0,0,ROUND('Quant. mod. (oc)'!K607,0))</f>
        <v>2</v>
      </c>
      <c r="L607" s="125">
        <f>IF('Quant. mod. (oc)'!L607&lt;0,0,ROUND('Quant. mod. (oc)'!L607,0))</f>
        <v>2</v>
      </c>
      <c r="M607" s="125">
        <f>IF('Quant. mod. (oc)'!M607&lt;0,0,ROUND('Quant. mod. (oc)'!M607,0))</f>
        <v>2</v>
      </c>
      <c r="N607" s="125">
        <f>IF('Quant. mod. (oc)'!N607&lt;0,0,ROUND('Quant. mod. (oc)'!N607,0))</f>
        <v>2</v>
      </c>
      <c r="O607" s="125">
        <f>IF('Quant. mod. (oc)'!O607&lt;0,0,ROUND('Quant. mod. (oc)'!O607,0))</f>
        <v>2</v>
      </c>
      <c r="P607" s="125">
        <f>IF('Quant. mod. (oc)'!P607&lt;0,0,ROUND('Quant. mod. (oc)'!P607,0))</f>
        <v>2</v>
      </c>
      <c r="Q607" s="125">
        <f>IF('Quant. mod. (oc)'!Q607&lt;0,0,ROUND('Quant. mod. (oc)'!Q607,0))</f>
        <v>2</v>
      </c>
      <c r="R607" s="125">
        <f>IF('Quant. mod. (oc)'!R607&lt;0,0,ROUND('Quant. mod. (oc)'!R607,0))</f>
        <v>2</v>
      </c>
      <c r="S607" s="125">
        <f>IF('Quant. mod. (oc)'!S607&lt;0,0,ROUND('Quant. mod. (oc)'!S607,0))</f>
        <v>2</v>
      </c>
      <c r="T607" s="125">
        <f>IF('Quant. mod. (oc)'!T607&lt;0,0,ROUND('Quant. mod. (oc)'!T607,0))</f>
        <v>2</v>
      </c>
      <c r="U607" s="125">
        <f>IF('Quant. mod. (oc)'!U607&lt;0,0,ROUND('Quant. mod. (oc)'!U607,0))</f>
        <v>2</v>
      </c>
      <c r="V607" s="125">
        <f>IF('Quant. mod. (oc)'!V607&lt;0,0,ROUND('Quant. mod. (oc)'!V607,0))</f>
        <v>2</v>
      </c>
      <c r="W607" s="125">
        <f>IF('Quant. mod. (oc)'!W607&lt;0,0,ROUND('Quant. mod. (oc)'!W607,0))</f>
        <v>2</v>
      </c>
      <c r="X607" s="125">
        <f>IF('Quant. mod. (oc)'!X607&lt;0,0,ROUND('Quant. mod. (oc)'!X607,0))</f>
        <v>2</v>
      </c>
      <c r="Y607" s="125">
        <f>IF('Quant. mod. (oc)'!Y607&lt;0,0,ROUND('Quant. mod. (oc)'!Y607,0))</f>
        <v>2</v>
      </c>
      <c r="Z607" s="125">
        <f>IF('Quant. mod. (oc)'!Z607&lt;0,0,ROUND('Quant. mod. (oc)'!Z607,0))</f>
        <v>2</v>
      </c>
      <c r="AA607" s="125">
        <f>IF('Quant. mod. (oc)'!AA607&lt;0,0,ROUND('Quant. mod. (oc)'!AA607,0))</f>
        <v>2</v>
      </c>
      <c r="AB607" s="125">
        <f>IF('Quant. mod. (oc)'!AB607&lt;0,0,ROUND('Quant. mod. (oc)'!AB607,0))</f>
        <v>2</v>
      </c>
      <c r="AC607" s="125">
        <f>IF('Quant. mod. (oc)'!AC607&lt;0,0,ROUND('Quant. mod. (oc)'!AC607,0))</f>
        <v>2</v>
      </c>
      <c r="AD607" s="125">
        <f>IF('Quant. mod. (oc)'!AD607&lt;0,0,ROUND('Quant. mod. (oc)'!AD607,0))</f>
        <v>2</v>
      </c>
      <c r="AE607" s="125">
        <f>IF('Quant. mod. (oc)'!AE607&lt;0,0,ROUND('Quant. mod. (oc)'!AE607,0))</f>
        <v>2</v>
      </c>
      <c r="AF607" s="125">
        <f>IF('Quant. mod. (oc)'!AF607&lt;0,0,ROUND('Quant. mod. (oc)'!AF607,0))</f>
        <v>2</v>
      </c>
      <c r="AG607" s="126">
        <f>IF('Quant. mod. (oc)'!AG607&lt;0,0,ROUND('Quant. mod. (oc)'!AG607,0))</f>
        <v>2</v>
      </c>
      <c r="AH607" s="22"/>
    </row>
    <row r="608" spans="1:34" x14ac:dyDescent="0.25">
      <c r="A608" s="21"/>
      <c r="B608" s="141" t="s">
        <v>627</v>
      </c>
      <c r="C608" s="125" t="s">
        <v>60</v>
      </c>
      <c r="D608" s="125">
        <f>IF('Quant. mod. (oc)'!D608&lt;0,0,ROUND('Quant. mod. (oc)'!D608,0))</f>
        <v>2</v>
      </c>
      <c r="E608" s="125">
        <f>IF('Quant. mod. (oc)'!E608&lt;0,0,ROUND('Quant. mod. (oc)'!E608,0))</f>
        <v>2</v>
      </c>
      <c r="F608" s="125">
        <f>IF('Quant. mod. (oc)'!F608&lt;0,0,ROUND('Quant. mod. (oc)'!F608,0))</f>
        <v>2</v>
      </c>
      <c r="G608" s="125">
        <f>IF('Quant. mod. (oc)'!G608&lt;0,0,ROUND('Quant. mod. (oc)'!G608,0))</f>
        <v>2</v>
      </c>
      <c r="H608" s="125">
        <f>IF('Quant. mod. (oc)'!H608&lt;0,0,ROUND('Quant. mod. (oc)'!H608,0))</f>
        <v>2</v>
      </c>
      <c r="I608" s="125">
        <f>IF('Quant. mod. (oc)'!I608&lt;0,0,ROUND('Quant. mod. (oc)'!I608,0))</f>
        <v>2</v>
      </c>
      <c r="J608" s="125">
        <f>IF('Quant. mod. (oc)'!J608&lt;0,0,ROUND('Quant. mod. (oc)'!J608,0))</f>
        <v>2</v>
      </c>
      <c r="K608" s="125">
        <f>IF('Quant. mod. (oc)'!K608&lt;0,0,ROUND('Quant. mod. (oc)'!K608,0))</f>
        <v>2</v>
      </c>
      <c r="L608" s="125">
        <f>IF('Quant. mod. (oc)'!L608&lt;0,0,ROUND('Quant. mod. (oc)'!L608,0))</f>
        <v>2</v>
      </c>
      <c r="M608" s="125">
        <f>IF('Quant. mod. (oc)'!M608&lt;0,0,ROUND('Quant. mod. (oc)'!M608,0))</f>
        <v>2</v>
      </c>
      <c r="N608" s="125">
        <f>IF('Quant. mod. (oc)'!N608&lt;0,0,ROUND('Quant. mod. (oc)'!N608,0))</f>
        <v>2</v>
      </c>
      <c r="O608" s="125">
        <f>IF('Quant. mod. (oc)'!O608&lt;0,0,ROUND('Quant. mod. (oc)'!O608,0))</f>
        <v>2</v>
      </c>
      <c r="P608" s="125">
        <f>IF('Quant. mod. (oc)'!P608&lt;0,0,ROUND('Quant. mod. (oc)'!P608,0))</f>
        <v>2</v>
      </c>
      <c r="Q608" s="125">
        <f>IF('Quant. mod. (oc)'!Q608&lt;0,0,ROUND('Quant. mod. (oc)'!Q608,0))</f>
        <v>2</v>
      </c>
      <c r="R608" s="125">
        <f>IF('Quant. mod. (oc)'!R608&lt;0,0,ROUND('Quant. mod. (oc)'!R608,0))</f>
        <v>2</v>
      </c>
      <c r="S608" s="125">
        <f>IF('Quant. mod. (oc)'!S608&lt;0,0,ROUND('Quant. mod. (oc)'!S608,0))</f>
        <v>2</v>
      </c>
      <c r="T608" s="125">
        <f>IF('Quant. mod. (oc)'!T608&lt;0,0,ROUND('Quant. mod. (oc)'!T608,0))</f>
        <v>2</v>
      </c>
      <c r="U608" s="125">
        <f>IF('Quant. mod. (oc)'!U608&lt;0,0,ROUND('Quant. mod. (oc)'!U608,0))</f>
        <v>2</v>
      </c>
      <c r="V608" s="125">
        <f>IF('Quant. mod. (oc)'!V608&lt;0,0,ROUND('Quant. mod. (oc)'!V608,0))</f>
        <v>2</v>
      </c>
      <c r="W608" s="125">
        <f>IF('Quant. mod. (oc)'!W608&lt;0,0,ROUND('Quant. mod. (oc)'!W608,0))</f>
        <v>2</v>
      </c>
      <c r="X608" s="125">
        <f>IF('Quant. mod. (oc)'!X608&lt;0,0,ROUND('Quant. mod. (oc)'!X608,0))</f>
        <v>2</v>
      </c>
      <c r="Y608" s="125">
        <f>IF('Quant. mod. (oc)'!Y608&lt;0,0,ROUND('Quant. mod. (oc)'!Y608,0))</f>
        <v>2</v>
      </c>
      <c r="Z608" s="125">
        <f>IF('Quant. mod. (oc)'!Z608&lt;0,0,ROUND('Quant. mod. (oc)'!Z608,0))</f>
        <v>2</v>
      </c>
      <c r="AA608" s="125">
        <f>IF('Quant. mod. (oc)'!AA608&lt;0,0,ROUND('Quant. mod. (oc)'!AA608,0))</f>
        <v>2</v>
      </c>
      <c r="AB608" s="125">
        <f>IF('Quant. mod. (oc)'!AB608&lt;0,0,ROUND('Quant. mod. (oc)'!AB608,0))</f>
        <v>2</v>
      </c>
      <c r="AC608" s="125">
        <f>IF('Quant. mod. (oc)'!AC608&lt;0,0,ROUND('Quant. mod. (oc)'!AC608,0))</f>
        <v>2</v>
      </c>
      <c r="AD608" s="125">
        <f>IF('Quant. mod. (oc)'!AD608&lt;0,0,ROUND('Quant. mod. (oc)'!AD608,0))</f>
        <v>2</v>
      </c>
      <c r="AE608" s="125">
        <f>IF('Quant. mod. (oc)'!AE608&lt;0,0,ROUND('Quant. mod. (oc)'!AE608,0))</f>
        <v>2</v>
      </c>
      <c r="AF608" s="125">
        <f>IF('Quant. mod. (oc)'!AF608&lt;0,0,ROUND('Quant. mod. (oc)'!AF608,0))</f>
        <v>2</v>
      </c>
      <c r="AG608" s="126">
        <f>IF('Quant. mod. (oc)'!AG608&lt;0,0,ROUND('Quant. mod. (oc)'!AG608,0))</f>
        <v>2</v>
      </c>
      <c r="AH608" s="22"/>
    </row>
    <row r="609" spans="1:34" x14ac:dyDescent="0.25">
      <c r="A609" s="21"/>
      <c r="B609" s="141" t="s">
        <v>628</v>
      </c>
      <c r="C609" s="125" t="s">
        <v>60</v>
      </c>
      <c r="D609" s="125">
        <f>IF('Quant. mod. (oc)'!D609&lt;0,0,ROUND('Quant. mod. (oc)'!D609,0))</f>
        <v>2</v>
      </c>
      <c r="E609" s="125">
        <f>IF('Quant. mod. (oc)'!E609&lt;0,0,ROUND('Quant. mod. (oc)'!E609,0))</f>
        <v>2</v>
      </c>
      <c r="F609" s="125">
        <f>IF('Quant. mod. (oc)'!F609&lt;0,0,ROUND('Quant. mod. (oc)'!F609,0))</f>
        <v>2</v>
      </c>
      <c r="G609" s="125">
        <f>IF('Quant. mod. (oc)'!G609&lt;0,0,ROUND('Quant. mod. (oc)'!G609,0))</f>
        <v>2</v>
      </c>
      <c r="H609" s="125">
        <f>IF('Quant. mod. (oc)'!H609&lt;0,0,ROUND('Quant. mod. (oc)'!H609,0))</f>
        <v>2</v>
      </c>
      <c r="I609" s="125">
        <f>IF('Quant. mod. (oc)'!I609&lt;0,0,ROUND('Quant. mod. (oc)'!I609,0))</f>
        <v>2</v>
      </c>
      <c r="J609" s="125">
        <f>IF('Quant. mod. (oc)'!J609&lt;0,0,ROUND('Quant. mod. (oc)'!J609,0))</f>
        <v>2</v>
      </c>
      <c r="K609" s="125">
        <f>IF('Quant. mod. (oc)'!K609&lt;0,0,ROUND('Quant. mod. (oc)'!K609,0))</f>
        <v>2</v>
      </c>
      <c r="L609" s="125">
        <f>IF('Quant. mod. (oc)'!L609&lt;0,0,ROUND('Quant. mod. (oc)'!L609,0))</f>
        <v>2</v>
      </c>
      <c r="M609" s="125">
        <f>IF('Quant. mod. (oc)'!M609&lt;0,0,ROUND('Quant. mod. (oc)'!M609,0))</f>
        <v>2</v>
      </c>
      <c r="N609" s="125">
        <f>IF('Quant. mod. (oc)'!N609&lt;0,0,ROUND('Quant. mod. (oc)'!N609,0))</f>
        <v>2</v>
      </c>
      <c r="O609" s="125">
        <f>IF('Quant. mod. (oc)'!O609&lt;0,0,ROUND('Quant. mod. (oc)'!O609,0))</f>
        <v>2</v>
      </c>
      <c r="P609" s="125">
        <f>IF('Quant. mod. (oc)'!P609&lt;0,0,ROUND('Quant. mod. (oc)'!P609,0))</f>
        <v>2</v>
      </c>
      <c r="Q609" s="125">
        <f>IF('Quant. mod. (oc)'!Q609&lt;0,0,ROUND('Quant. mod. (oc)'!Q609,0))</f>
        <v>2</v>
      </c>
      <c r="R609" s="125">
        <f>IF('Quant. mod. (oc)'!R609&lt;0,0,ROUND('Quant. mod. (oc)'!R609,0))</f>
        <v>2</v>
      </c>
      <c r="S609" s="125">
        <f>IF('Quant. mod. (oc)'!S609&lt;0,0,ROUND('Quant. mod. (oc)'!S609,0))</f>
        <v>2</v>
      </c>
      <c r="T609" s="125">
        <f>IF('Quant. mod. (oc)'!T609&lt;0,0,ROUND('Quant. mod. (oc)'!T609,0))</f>
        <v>2</v>
      </c>
      <c r="U609" s="125">
        <f>IF('Quant. mod. (oc)'!U609&lt;0,0,ROUND('Quant. mod. (oc)'!U609,0))</f>
        <v>2</v>
      </c>
      <c r="V609" s="125">
        <f>IF('Quant. mod. (oc)'!V609&lt;0,0,ROUND('Quant. mod. (oc)'!V609,0))</f>
        <v>2</v>
      </c>
      <c r="W609" s="125">
        <f>IF('Quant. mod. (oc)'!W609&lt;0,0,ROUND('Quant. mod. (oc)'!W609,0))</f>
        <v>2</v>
      </c>
      <c r="X609" s="125">
        <f>IF('Quant. mod. (oc)'!X609&lt;0,0,ROUND('Quant. mod. (oc)'!X609,0))</f>
        <v>2</v>
      </c>
      <c r="Y609" s="125">
        <f>IF('Quant. mod. (oc)'!Y609&lt;0,0,ROUND('Quant. mod. (oc)'!Y609,0))</f>
        <v>2</v>
      </c>
      <c r="Z609" s="125">
        <f>IF('Quant. mod. (oc)'!Z609&lt;0,0,ROUND('Quant. mod. (oc)'!Z609,0))</f>
        <v>2</v>
      </c>
      <c r="AA609" s="125">
        <f>IF('Quant. mod. (oc)'!AA609&lt;0,0,ROUND('Quant. mod. (oc)'!AA609,0))</f>
        <v>2</v>
      </c>
      <c r="AB609" s="125">
        <f>IF('Quant. mod. (oc)'!AB609&lt;0,0,ROUND('Quant. mod. (oc)'!AB609,0))</f>
        <v>2</v>
      </c>
      <c r="AC609" s="125">
        <f>IF('Quant. mod. (oc)'!AC609&lt;0,0,ROUND('Quant. mod. (oc)'!AC609,0))</f>
        <v>2</v>
      </c>
      <c r="AD609" s="125">
        <f>IF('Quant. mod. (oc)'!AD609&lt;0,0,ROUND('Quant. mod. (oc)'!AD609,0))</f>
        <v>2</v>
      </c>
      <c r="AE609" s="125">
        <f>IF('Quant. mod. (oc)'!AE609&lt;0,0,ROUND('Quant. mod. (oc)'!AE609,0))</f>
        <v>2</v>
      </c>
      <c r="AF609" s="125">
        <f>IF('Quant. mod. (oc)'!AF609&lt;0,0,ROUND('Quant. mod. (oc)'!AF609,0))</f>
        <v>2</v>
      </c>
      <c r="AG609" s="126">
        <f>IF('Quant. mod. (oc)'!AG609&lt;0,0,ROUND('Quant. mod. (oc)'!AG609,0))</f>
        <v>2</v>
      </c>
      <c r="AH609" s="22"/>
    </row>
    <row r="610" spans="1:34" x14ac:dyDescent="0.25">
      <c r="A610" s="21"/>
      <c r="B610" s="141" t="s">
        <v>629</v>
      </c>
      <c r="C610" s="125" t="s">
        <v>60</v>
      </c>
      <c r="D610" s="125">
        <f>IF('Quant. mod. (oc)'!D610&lt;0,0,ROUND('Quant. mod. (oc)'!D610,0))</f>
        <v>2</v>
      </c>
      <c r="E610" s="125">
        <f>IF('Quant. mod. (oc)'!E610&lt;0,0,ROUND('Quant. mod. (oc)'!E610,0))</f>
        <v>2</v>
      </c>
      <c r="F610" s="125">
        <f>IF('Quant. mod. (oc)'!F610&lt;0,0,ROUND('Quant. mod. (oc)'!F610,0))</f>
        <v>2</v>
      </c>
      <c r="G610" s="125">
        <f>IF('Quant. mod. (oc)'!G610&lt;0,0,ROUND('Quant. mod. (oc)'!G610,0))</f>
        <v>2</v>
      </c>
      <c r="H610" s="125">
        <f>IF('Quant. mod. (oc)'!H610&lt;0,0,ROUND('Quant. mod. (oc)'!H610,0))</f>
        <v>2</v>
      </c>
      <c r="I610" s="125">
        <f>IF('Quant. mod. (oc)'!I610&lt;0,0,ROUND('Quant. mod. (oc)'!I610,0))</f>
        <v>2</v>
      </c>
      <c r="J610" s="125">
        <f>IF('Quant. mod. (oc)'!J610&lt;0,0,ROUND('Quant. mod. (oc)'!J610,0))</f>
        <v>2</v>
      </c>
      <c r="K610" s="125">
        <f>IF('Quant. mod. (oc)'!K610&lt;0,0,ROUND('Quant. mod. (oc)'!K610,0))</f>
        <v>2</v>
      </c>
      <c r="L610" s="125">
        <f>IF('Quant. mod. (oc)'!L610&lt;0,0,ROUND('Quant. mod. (oc)'!L610,0))</f>
        <v>2</v>
      </c>
      <c r="M610" s="125">
        <f>IF('Quant. mod. (oc)'!M610&lt;0,0,ROUND('Quant. mod. (oc)'!M610,0))</f>
        <v>2</v>
      </c>
      <c r="N610" s="125">
        <f>IF('Quant. mod. (oc)'!N610&lt;0,0,ROUND('Quant. mod. (oc)'!N610,0))</f>
        <v>2</v>
      </c>
      <c r="O610" s="125">
        <f>IF('Quant. mod. (oc)'!O610&lt;0,0,ROUND('Quant. mod. (oc)'!O610,0))</f>
        <v>2</v>
      </c>
      <c r="P610" s="125">
        <f>IF('Quant. mod. (oc)'!P610&lt;0,0,ROUND('Quant. mod. (oc)'!P610,0))</f>
        <v>2</v>
      </c>
      <c r="Q610" s="125">
        <f>IF('Quant. mod. (oc)'!Q610&lt;0,0,ROUND('Quant. mod. (oc)'!Q610,0))</f>
        <v>2</v>
      </c>
      <c r="R610" s="125">
        <f>IF('Quant. mod. (oc)'!R610&lt;0,0,ROUND('Quant. mod. (oc)'!R610,0))</f>
        <v>2</v>
      </c>
      <c r="S610" s="125">
        <f>IF('Quant. mod. (oc)'!S610&lt;0,0,ROUND('Quant. mod. (oc)'!S610,0))</f>
        <v>2</v>
      </c>
      <c r="T610" s="125">
        <f>IF('Quant. mod. (oc)'!T610&lt;0,0,ROUND('Quant. mod. (oc)'!T610,0))</f>
        <v>2</v>
      </c>
      <c r="U610" s="125">
        <f>IF('Quant. mod. (oc)'!U610&lt;0,0,ROUND('Quant. mod. (oc)'!U610,0))</f>
        <v>2</v>
      </c>
      <c r="V610" s="125">
        <f>IF('Quant. mod. (oc)'!V610&lt;0,0,ROUND('Quant. mod. (oc)'!V610,0))</f>
        <v>2</v>
      </c>
      <c r="W610" s="125">
        <f>IF('Quant. mod. (oc)'!W610&lt;0,0,ROUND('Quant. mod. (oc)'!W610,0))</f>
        <v>2</v>
      </c>
      <c r="X610" s="125">
        <f>IF('Quant. mod. (oc)'!X610&lt;0,0,ROUND('Quant. mod. (oc)'!X610,0))</f>
        <v>2</v>
      </c>
      <c r="Y610" s="125">
        <f>IF('Quant. mod. (oc)'!Y610&lt;0,0,ROUND('Quant. mod. (oc)'!Y610,0))</f>
        <v>2</v>
      </c>
      <c r="Z610" s="125">
        <f>IF('Quant. mod. (oc)'!Z610&lt;0,0,ROUND('Quant. mod. (oc)'!Z610,0))</f>
        <v>2</v>
      </c>
      <c r="AA610" s="125">
        <f>IF('Quant. mod. (oc)'!AA610&lt;0,0,ROUND('Quant. mod. (oc)'!AA610,0))</f>
        <v>2</v>
      </c>
      <c r="AB610" s="125">
        <f>IF('Quant. mod. (oc)'!AB610&lt;0,0,ROUND('Quant. mod. (oc)'!AB610,0))</f>
        <v>2</v>
      </c>
      <c r="AC610" s="125">
        <f>IF('Quant. mod. (oc)'!AC610&lt;0,0,ROUND('Quant. mod. (oc)'!AC610,0))</f>
        <v>2</v>
      </c>
      <c r="AD610" s="125">
        <f>IF('Quant. mod. (oc)'!AD610&lt;0,0,ROUND('Quant. mod. (oc)'!AD610,0))</f>
        <v>2</v>
      </c>
      <c r="AE610" s="125">
        <f>IF('Quant. mod. (oc)'!AE610&lt;0,0,ROUND('Quant. mod. (oc)'!AE610,0))</f>
        <v>2</v>
      </c>
      <c r="AF610" s="125">
        <f>IF('Quant. mod. (oc)'!AF610&lt;0,0,ROUND('Quant. mod. (oc)'!AF610,0))</f>
        <v>2</v>
      </c>
      <c r="AG610" s="126">
        <f>IF('Quant. mod. (oc)'!AG610&lt;0,0,ROUND('Quant. mod. (oc)'!AG610,0))</f>
        <v>2</v>
      </c>
      <c r="AH610" s="22"/>
    </row>
    <row r="611" spans="1:34" x14ac:dyDescent="0.25">
      <c r="A611" s="21"/>
      <c r="B611" s="141" t="s">
        <v>630</v>
      </c>
      <c r="C611" s="125" t="s">
        <v>60</v>
      </c>
      <c r="D611" s="125">
        <f>IF('Quant. mod. (oc)'!D611&lt;0,0,ROUND('Quant. mod. (oc)'!D611,0))</f>
        <v>2</v>
      </c>
      <c r="E611" s="125">
        <f>IF('Quant. mod. (oc)'!E611&lt;0,0,ROUND('Quant. mod. (oc)'!E611,0))</f>
        <v>2</v>
      </c>
      <c r="F611" s="125">
        <f>IF('Quant. mod. (oc)'!F611&lt;0,0,ROUND('Quant. mod. (oc)'!F611,0))</f>
        <v>2</v>
      </c>
      <c r="G611" s="125">
        <f>IF('Quant. mod. (oc)'!G611&lt;0,0,ROUND('Quant. mod. (oc)'!G611,0))</f>
        <v>2</v>
      </c>
      <c r="H611" s="125">
        <f>IF('Quant. mod. (oc)'!H611&lt;0,0,ROUND('Quant. mod. (oc)'!H611,0))</f>
        <v>2</v>
      </c>
      <c r="I611" s="125">
        <f>IF('Quant. mod. (oc)'!I611&lt;0,0,ROUND('Quant. mod. (oc)'!I611,0))</f>
        <v>2</v>
      </c>
      <c r="J611" s="125">
        <f>IF('Quant. mod. (oc)'!J611&lt;0,0,ROUND('Quant. mod. (oc)'!J611,0))</f>
        <v>2</v>
      </c>
      <c r="K611" s="125">
        <f>IF('Quant. mod. (oc)'!K611&lt;0,0,ROUND('Quant. mod. (oc)'!K611,0))</f>
        <v>2</v>
      </c>
      <c r="L611" s="125">
        <f>IF('Quant. mod. (oc)'!L611&lt;0,0,ROUND('Quant. mod. (oc)'!L611,0))</f>
        <v>2</v>
      </c>
      <c r="M611" s="125">
        <f>IF('Quant. mod. (oc)'!M611&lt;0,0,ROUND('Quant. mod. (oc)'!M611,0))</f>
        <v>2</v>
      </c>
      <c r="N611" s="125">
        <f>IF('Quant. mod. (oc)'!N611&lt;0,0,ROUND('Quant. mod. (oc)'!N611,0))</f>
        <v>2</v>
      </c>
      <c r="O611" s="125">
        <f>IF('Quant. mod. (oc)'!O611&lt;0,0,ROUND('Quant. mod. (oc)'!O611,0))</f>
        <v>2</v>
      </c>
      <c r="P611" s="125">
        <f>IF('Quant. mod. (oc)'!P611&lt;0,0,ROUND('Quant. mod. (oc)'!P611,0))</f>
        <v>2</v>
      </c>
      <c r="Q611" s="125">
        <f>IF('Quant. mod. (oc)'!Q611&lt;0,0,ROUND('Quant. mod. (oc)'!Q611,0))</f>
        <v>2</v>
      </c>
      <c r="R611" s="125">
        <f>IF('Quant. mod. (oc)'!R611&lt;0,0,ROUND('Quant. mod. (oc)'!R611,0))</f>
        <v>2</v>
      </c>
      <c r="S611" s="125">
        <f>IF('Quant. mod. (oc)'!S611&lt;0,0,ROUND('Quant. mod. (oc)'!S611,0))</f>
        <v>2</v>
      </c>
      <c r="T611" s="125">
        <f>IF('Quant. mod. (oc)'!T611&lt;0,0,ROUND('Quant. mod. (oc)'!T611,0))</f>
        <v>2</v>
      </c>
      <c r="U611" s="125">
        <f>IF('Quant. mod. (oc)'!U611&lt;0,0,ROUND('Quant. mod. (oc)'!U611,0))</f>
        <v>2</v>
      </c>
      <c r="V611" s="125">
        <f>IF('Quant. mod. (oc)'!V611&lt;0,0,ROUND('Quant. mod. (oc)'!V611,0))</f>
        <v>2</v>
      </c>
      <c r="W611" s="125">
        <f>IF('Quant. mod. (oc)'!W611&lt;0,0,ROUND('Quant. mod. (oc)'!W611,0))</f>
        <v>2</v>
      </c>
      <c r="X611" s="125">
        <f>IF('Quant. mod. (oc)'!X611&lt;0,0,ROUND('Quant. mod. (oc)'!X611,0))</f>
        <v>2</v>
      </c>
      <c r="Y611" s="125">
        <f>IF('Quant. mod. (oc)'!Y611&lt;0,0,ROUND('Quant. mod. (oc)'!Y611,0))</f>
        <v>2</v>
      </c>
      <c r="Z611" s="125">
        <f>IF('Quant. mod. (oc)'!Z611&lt;0,0,ROUND('Quant. mod. (oc)'!Z611,0))</f>
        <v>2</v>
      </c>
      <c r="AA611" s="125">
        <f>IF('Quant. mod. (oc)'!AA611&lt;0,0,ROUND('Quant. mod. (oc)'!AA611,0))</f>
        <v>2</v>
      </c>
      <c r="AB611" s="125">
        <f>IF('Quant. mod. (oc)'!AB611&lt;0,0,ROUND('Quant. mod. (oc)'!AB611,0))</f>
        <v>2</v>
      </c>
      <c r="AC611" s="125">
        <f>IF('Quant. mod. (oc)'!AC611&lt;0,0,ROUND('Quant. mod. (oc)'!AC611,0))</f>
        <v>2</v>
      </c>
      <c r="AD611" s="125">
        <f>IF('Quant. mod. (oc)'!AD611&lt;0,0,ROUND('Quant. mod. (oc)'!AD611,0))</f>
        <v>2</v>
      </c>
      <c r="AE611" s="125">
        <f>IF('Quant. mod. (oc)'!AE611&lt;0,0,ROUND('Quant. mod. (oc)'!AE611,0))</f>
        <v>2</v>
      </c>
      <c r="AF611" s="125">
        <f>IF('Quant. mod. (oc)'!AF611&lt;0,0,ROUND('Quant. mod. (oc)'!AF611,0))</f>
        <v>2</v>
      </c>
      <c r="AG611" s="126">
        <f>IF('Quant. mod. (oc)'!AG611&lt;0,0,ROUND('Quant. mod. (oc)'!AG611,0))</f>
        <v>2</v>
      </c>
      <c r="AH611" s="22"/>
    </row>
    <row r="612" spans="1:34" x14ac:dyDescent="0.25">
      <c r="A612" s="21"/>
      <c r="B612" s="141" t="s">
        <v>631</v>
      </c>
      <c r="C612" s="125" t="s">
        <v>60</v>
      </c>
      <c r="D612" s="125">
        <f>IF('Quant. mod. (oc)'!D612&lt;0,0,ROUND('Quant. mod. (oc)'!D612,0))</f>
        <v>2</v>
      </c>
      <c r="E612" s="125">
        <f>IF('Quant. mod. (oc)'!E612&lt;0,0,ROUND('Quant. mod. (oc)'!E612,0))</f>
        <v>2</v>
      </c>
      <c r="F612" s="125">
        <f>IF('Quant. mod. (oc)'!F612&lt;0,0,ROUND('Quant. mod. (oc)'!F612,0))</f>
        <v>2</v>
      </c>
      <c r="G612" s="125">
        <f>IF('Quant. mod. (oc)'!G612&lt;0,0,ROUND('Quant. mod. (oc)'!G612,0))</f>
        <v>2</v>
      </c>
      <c r="H612" s="125">
        <f>IF('Quant. mod. (oc)'!H612&lt;0,0,ROUND('Quant. mod. (oc)'!H612,0))</f>
        <v>2</v>
      </c>
      <c r="I612" s="125">
        <f>IF('Quant. mod. (oc)'!I612&lt;0,0,ROUND('Quant. mod. (oc)'!I612,0))</f>
        <v>2</v>
      </c>
      <c r="J612" s="125">
        <f>IF('Quant. mod. (oc)'!J612&lt;0,0,ROUND('Quant. mod. (oc)'!J612,0))</f>
        <v>2</v>
      </c>
      <c r="K612" s="125">
        <f>IF('Quant. mod. (oc)'!K612&lt;0,0,ROUND('Quant. mod. (oc)'!K612,0))</f>
        <v>2</v>
      </c>
      <c r="L612" s="125">
        <f>IF('Quant. mod. (oc)'!L612&lt;0,0,ROUND('Quant. mod. (oc)'!L612,0))</f>
        <v>2</v>
      </c>
      <c r="M612" s="125">
        <f>IF('Quant. mod. (oc)'!M612&lt;0,0,ROUND('Quant. mod. (oc)'!M612,0))</f>
        <v>2</v>
      </c>
      <c r="N612" s="125">
        <f>IF('Quant. mod. (oc)'!N612&lt;0,0,ROUND('Quant. mod. (oc)'!N612,0))</f>
        <v>2</v>
      </c>
      <c r="O612" s="125">
        <f>IF('Quant. mod. (oc)'!O612&lt;0,0,ROUND('Quant. mod. (oc)'!O612,0))</f>
        <v>2</v>
      </c>
      <c r="P612" s="125">
        <f>IF('Quant. mod. (oc)'!P612&lt;0,0,ROUND('Quant. mod. (oc)'!P612,0))</f>
        <v>2</v>
      </c>
      <c r="Q612" s="125">
        <f>IF('Quant. mod. (oc)'!Q612&lt;0,0,ROUND('Quant. mod. (oc)'!Q612,0))</f>
        <v>2</v>
      </c>
      <c r="R612" s="125">
        <f>IF('Quant. mod. (oc)'!R612&lt;0,0,ROUND('Quant. mod. (oc)'!R612,0))</f>
        <v>2</v>
      </c>
      <c r="S612" s="125">
        <f>IF('Quant. mod. (oc)'!S612&lt;0,0,ROUND('Quant. mod. (oc)'!S612,0))</f>
        <v>2</v>
      </c>
      <c r="T612" s="125">
        <f>IF('Quant. mod. (oc)'!T612&lt;0,0,ROUND('Quant. mod. (oc)'!T612,0))</f>
        <v>2</v>
      </c>
      <c r="U612" s="125">
        <f>IF('Quant. mod. (oc)'!U612&lt;0,0,ROUND('Quant. mod. (oc)'!U612,0))</f>
        <v>2</v>
      </c>
      <c r="V612" s="125">
        <f>IF('Quant. mod. (oc)'!V612&lt;0,0,ROUND('Quant. mod. (oc)'!V612,0))</f>
        <v>2</v>
      </c>
      <c r="W612" s="125">
        <f>IF('Quant. mod. (oc)'!W612&lt;0,0,ROUND('Quant. mod. (oc)'!W612,0))</f>
        <v>2</v>
      </c>
      <c r="X612" s="125">
        <f>IF('Quant. mod. (oc)'!X612&lt;0,0,ROUND('Quant. mod. (oc)'!X612,0))</f>
        <v>2</v>
      </c>
      <c r="Y612" s="125">
        <f>IF('Quant. mod. (oc)'!Y612&lt;0,0,ROUND('Quant. mod. (oc)'!Y612,0))</f>
        <v>2</v>
      </c>
      <c r="Z612" s="125">
        <f>IF('Quant. mod. (oc)'!Z612&lt;0,0,ROUND('Quant. mod. (oc)'!Z612,0))</f>
        <v>2</v>
      </c>
      <c r="AA612" s="125">
        <f>IF('Quant. mod. (oc)'!AA612&lt;0,0,ROUND('Quant. mod. (oc)'!AA612,0))</f>
        <v>2</v>
      </c>
      <c r="AB612" s="125">
        <f>IF('Quant. mod. (oc)'!AB612&lt;0,0,ROUND('Quant. mod. (oc)'!AB612,0))</f>
        <v>2</v>
      </c>
      <c r="AC612" s="125">
        <f>IF('Quant. mod. (oc)'!AC612&lt;0,0,ROUND('Quant. mod. (oc)'!AC612,0))</f>
        <v>2</v>
      </c>
      <c r="AD612" s="125">
        <f>IF('Quant. mod. (oc)'!AD612&lt;0,0,ROUND('Quant. mod. (oc)'!AD612,0))</f>
        <v>2</v>
      </c>
      <c r="AE612" s="125">
        <f>IF('Quant. mod. (oc)'!AE612&lt;0,0,ROUND('Quant. mod. (oc)'!AE612,0))</f>
        <v>2</v>
      </c>
      <c r="AF612" s="125">
        <f>IF('Quant. mod. (oc)'!AF612&lt;0,0,ROUND('Quant. mod. (oc)'!AF612,0))</f>
        <v>2</v>
      </c>
      <c r="AG612" s="126">
        <f>IF('Quant. mod. (oc)'!AG612&lt;0,0,ROUND('Quant. mod. (oc)'!AG612,0))</f>
        <v>2</v>
      </c>
      <c r="AH612" s="22"/>
    </row>
    <row r="613" spans="1:34" x14ac:dyDescent="0.25">
      <c r="A613" s="21"/>
      <c r="B613" s="141" t="s">
        <v>632</v>
      </c>
      <c r="C613" s="125" t="s">
        <v>60</v>
      </c>
      <c r="D613" s="125">
        <f>IF('Quant. mod. (oc)'!D613&lt;0,0,ROUND('Quant. mod. (oc)'!D613,0))</f>
        <v>2</v>
      </c>
      <c r="E613" s="125">
        <f>IF('Quant. mod. (oc)'!E613&lt;0,0,ROUND('Quant. mod. (oc)'!E613,0))</f>
        <v>2</v>
      </c>
      <c r="F613" s="125">
        <f>IF('Quant. mod. (oc)'!F613&lt;0,0,ROUND('Quant. mod. (oc)'!F613,0))</f>
        <v>2</v>
      </c>
      <c r="G613" s="125">
        <f>IF('Quant. mod. (oc)'!G613&lt;0,0,ROUND('Quant. mod. (oc)'!G613,0))</f>
        <v>2</v>
      </c>
      <c r="H613" s="125">
        <f>IF('Quant. mod. (oc)'!H613&lt;0,0,ROUND('Quant. mod. (oc)'!H613,0))</f>
        <v>2</v>
      </c>
      <c r="I613" s="125">
        <f>IF('Quant. mod. (oc)'!I613&lt;0,0,ROUND('Quant. mod. (oc)'!I613,0))</f>
        <v>2</v>
      </c>
      <c r="J613" s="125">
        <f>IF('Quant. mod. (oc)'!J613&lt;0,0,ROUND('Quant. mod. (oc)'!J613,0))</f>
        <v>2</v>
      </c>
      <c r="K613" s="125">
        <f>IF('Quant. mod. (oc)'!K613&lt;0,0,ROUND('Quant. mod. (oc)'!K613,0))</f>
        <v>2</v>
      </c>
      <c r="L613" s="125">
        <f>IF('Quant. mod. (oc)'!L613&lt;0,0,ROUND('Quant. mod. (oc)'!L613,0))</f>
        <v>2</v>
      </c>
      <c r="M613" s="125">
        <f>IF('Quant. mod. (oc)'!M613&lt;0,0,ROUND('Quant. mod. (oc)'!M613,0))</f>
        <v>2</v>
      </c>
      <c r="N613" s="125">
        <f>IF('Quant. mod. (oc)'!N613&lt;0,0,ROUND('Quant. mod. (oc)'!N613,0))</f>
        <v>2</v>
      </c>
      <c r="O613" s="125">
        <f>IF('Quant. mod. (oc)'!O613&lt;0,0,ROUND('Quant. mod. (oc)'!O613,0))</f>
        <v>2</v>
      </c>
      <c r="P613" s="125">
        <f>IF('Quant. mod. (oc)'!P613&lt;0,0,ROUND('Quant. mod. (oc)'!P613,0))</f>
        <v>2</v>
      </c>
      <c r="Q613" s="125">
        <f>IF('Quant. mod. (oc)'!Q613&lt;0,0,ROUND('Quant. mod. (oc)'!Q613,0))</f>
        <v>2</v>
      </c>
      <c r="R613" s="125">
        <f>IF('Quant. mod. (oc)'!R613&lt;0,0,ROUND('Quant. mod. (oc)'!R613,0))</f>
        <v>2</v>
      </c>
      <c r="S613" s="125">
        <f>IF('Quant. mod. (oc)'!S613&lt;0,0,ROUND('Quant. mod. (oc)'!S613,0))</f>
        <v>2</v>
      </c>
      <c r="T613" s="125">
        <f>IF('Quant. mod. (oc)'!T613&lt;0,0,ROUND('Quant. mod. (oc)'!T613,0))</f>
        <v>2</v>
      </c>
      <c r="U613" s="125">
        <f>IF('Quant. mod. (oc)'!U613&lt;0,0,ROUND('Quant. mod. (oc)'!U613,0))</f>
        <v>2</v>
      </c>
      <c r="V613" s="125">
        <f>IF('Quant. mod. (oc)'!V613&lt;0,0,ROUND('Quant. mod. (oc)'!V613,0))</f>
        <v>2</v>
      </c>
      <c r="W613" s="125">
        <f>IF('Quant. mod. (oc)'!W613&lt;0,0,ROUND('Quant. mod. (oc)'!W613,0))</f>
        <v>2</v>
      </c>
      <c r="X613" s="125">
        <f>IF('Quant. mod. (oc)'!X613&lt;0,0,ROUND('Quant. mod. (oc)'!X613,0))</f>
        <v>2</v>
      </c>
      <c r="Y613" s="125">
        <f>IF('Quant. mod. (oc)'!Y613&lt;0,0,ROUND('Quant. mod. (oc)'!Y613,0))</f>
        <v>2</v>
      </c>
      <c r="Z613" s="125">
        <f>IF('Quant. mod. (oc)'!Z613&lt;0,0,ROUND('Quant. mod. (oc)'!Z613,0))</f>
        <v>2</v>
      </c>
      <c r="AA613" s="125">
        <f>IF('Quant. mod. (oc)'!AA613&lt;0,0,ROUND('Quant. mod. (oc)'!AA613,0))</f>
        <v>2</v>
      </c>
      <c r="AB613" s="125">
        <f>IF('Quant. mod. (oc)'!AB613&lt;0,0,ROUND('Quant. mod. (oc)'!AB613,0))</f>
        <v>2</v>
      </c>
      <c r="AC613" s="125">
        <f>IF('Quant. mod. (oc)'!AC613&lt;0,0,ROUND('Quant. mod. (oc)'!AC613,0))</f>
        <v>2</v>
      </c>
      <c r="AD613" s="125">
        <f>IF('Quant. mod. (oc)'!AD613&lt;0,0,ROUND('Quant. mod. (oc)'!AD613,0))</f>
        <v>2</v>
      </c>
      <c r="AE613" s="125">
        <f>IF('Quant. mod. (oc)'!AE613&lt;0,0,ROUND('Quant. mod. (oc)'!AE613,0))</f>
        <v>2</v>
      </c>
      <c r="AF613" s="125">
        <f>IF('Quant. mod. (oc)'!AF613&lt;0,0,ROUND('Quant. mod. (oc)'!AF613,0))</f>
        <v>2</v>
      </c>
      <c r="AG613" s="126">
        <f>IF('Quant. mod. (oc)'!AG613&lt;0,0,ROUND('Quant. mod. (oc)'!AG613,0))</f>
        <v>2</v>
      </c>
      <c r="AH613" s="22"/>
    </row>
    <row r="614" spans="1:34" x14ac:dyDescent="0.25">
      <c r="A614" s="21"/>
      <c r="B614" s="141" t="s">
        <v>633</v>
      </c>
      <c r="C614" s="125" t="s">
        <v>60</v>
      </c>
      <c r="D614" s="125">
        <f>IF('Quant. mod. (oc)'!D614&lt;0,0,ROUND('Quant. mod. (oc)'!D614,0))</f>
        <v>2</v>
      </c>
      <c r="E614" s="125">
        <f>IF('Quant. mod. (oc)'!E614&lt;0,0,ROUND('Quant. mod. (oc)'!E614,0))</f>
        <v>2</v>
      </c>
      <c r="F614" s="125">
        <f>IF('Quant. mod. (oc)'!F614&lt;0,0,ROUND('Quant. mod. (oc)'!F614,0))</f>
        <v>2</v>
      </c>
      <c r="G614" s="125">
        <f>IF('Quant. mod. (oc)'!G614&lt;0,0,ROUND('Quant. mod. (oc)'!G614,0))</f>
        <v>2</v>
      </c>
      <c r="H614" s="125">
        <f>IF('Quant. mod. (oc)'!H614&lt;0,0,ROUND('Quant. mod. (oc)'!H614,0))</f>
        <v>2</v>
      </c>
      <c r="I614" s="125">
        <f>IF('Quant. mod. (oc)'!I614&lt;0,0,ROUND('Quant. mod. (oc)'!I614,0))</f>
        <v>2</v>
      </c>
      <c r="J614" s="125">
        <f>IF('Quant. mod. (oc)'!J614&lt;0,0,ROUND('Quant. mod. (oc)'!J614,0))</f>
        <v>2</v>
      </c>
      <c r="K614" s="125">
        <f>IF('Quant. mod. (oc)'!K614&lt;0,0,ROUND('Quant. mod. (oc)'!K614,0))</f>
        <v>2</v>
      </c>
      <c r="L614" s="125">
        <f>IF('Quant. mod. (oc)'!L614&lt;0,0,ROUND('Quant. mod. (oc)'!L614,0))</f>
        <v>2</v>
      </c>
      <c r="M614" s="125">
        <f>IF('Quant. mod. (oc)'!M614&lt;0,0,ROUND('Quant. mod. (oc)'!M614,0))</f>
        <v>2</v>
      </c>
      <c r="N614" s="125">
        <f>IF('Quant. mod. (oc)'!N614&lt;0,0,ROUND('Quant. mod. (oc)'!N614,0))</f>
        <v>2</v>
      </c>
      <c r="O614" s="125">
        <f>IF('Quant. mod. (oc)'!O614&lt;0,0,ROUND('Quant. mod. (oc)'!O614,0))</f>
        <v>2</v>
      </c>
      <c r="P614" s="125">
        <f>IF('Quant. mod. (oc)'!P614&lt;0,0,ROUND('Quant. mod. (oc)'!P614,0))</f>
        <v>2</v>
      </c>
      <c r="Q614" s="125">
        <f>IF('Quant. mod. (oc)'!Q614&lt;0,0,ROUND('Quant. mod. (oc)'!Q614,0))</f>
        <v>2</v>
      </c>
      <c r="R614" s="125">
        <f>IF('Quant. mod. (oc)'!R614&lt;0,0,ROUND('Quant. mod. (oc)'!R614,0))</f>
        <v>2</v>
      </c>
      <c r="S614" s="125">
        <f>IF('Quant. mod. (oc)'!S614&lt;0,0,ROUND('Quant. mod. (oc)'!S614,0))</f>
        <v>2</v>
      </c>
      <c r="T614" s="125">
        <f>IF('Quant. mod. (oc)'!T614&lt;0,0,ROUND('Quant. mod. (oc)'!T614,0))</f>
        <v>2</v>
      </c>
      <c r="U614" s="125">
        <f>IF('Quant. mod. (oc)'!U614&lt;0,0,ROUND('Quant. mod. (oc)'!U614,0))</f>
        <v>2</v>
      </c>
      <c r="V614" s="125">
        <f>IF('Quant. mod. (oc)'!V614&lt;0,0,ROUND('Quant. mod. (oc)'!V614,0))</f>
        <v>2</v>
      </c>
      <c r="W614" s="125">
        <f>IF('Quant. mod. (oc)'!W614&lt;0,0,ROUND('Quant. mod. (oc)'!W614,0))</f>
        <v>2</v>
      </c>
      <c r="X614" s="125">
        <f>IF('Quant. mod. (oc)'!X614&lt;0,0,ROUND('Quant. mod. (oc)'!X614,0))</f>
        <v>2</v>
      </c>
      <c r="Y614" s="125">
        <f>IF('Quant. mod. (oc)'!Y614&lt;0,0,ROUND('Quant. mod. (oc)'!Y614,0))</f>
        <v>2</v>
      </c>
      <c r="Z614" s="125">
        <f>IF('Quant. mod. (oc)'!Z614&lt;0,0,ROUND('Quant. mod. (oc)'!Z614,0))</f>
        <v>2</v>
      </c>
      <c r="AA614" s="125">
        <f>IF('Quant. mod. (oc)'!AA614&lt;0,0,ROUND('Quant. mod. (oc)'!AA614,0))</f>
        <v>2</v>
      </c>
      <c r="AB614" s="125">
        <f>IF('Quant. mod. (oc)'!AB614&lt;0,0,ROUND('Quant. mod. (oc)'!AB614,0))</f>
        <v>2</v>
      </c>
      <c r="AC614" s="125">
        <f>IF('Quant. mod. (oc)'!AC614&lt;0,0,ROUND('Quant. mod. (oc)'!AC614,0))</f>
        <v>2</v>
      </c>
      <c r="AD614" s="125">
        <f>IF('Quant. mod. (oc)'!AD614&lt;0,0,ROUND('Quant. mod. (oc)'!AD614,0))</f>
        <v>2</v>
      </c>
      <c r="AE614" s="125">
        <f>IF('Quant. mod. (oc)'!AE614&lt;0,0,ROUND('Quant. mod. (oc)'!AE614,0))</f>
        <v>2</v>
      </c>
      <c r="AF614" s="125">
        <f>IF('Quant. mod. (oc)'!AF614&lt;0,0,ROUND('Quant. mod. (oc)'!AF614,0))</f>
        <v>2</v>
      </c>
      <c r="AG614" s="126">
        <f>IF('Quant. mod. (oc)'!AG614&lt;0,0,ROUND('Quant. mod. (oc)'!AG614,0))</f>
        <v>2</v>
      </c>
      <c r="AH614" s="22"/>
    </row>
    <row r="615" spans="1:34" x14ac:dyDescent="0.25">
      <c r="A615" s="21"/>
      <c r="B615" s="141" t="s">
        <v>634</v>
      </c>
      <c r="C615" s="125" t="s">
        <v>60</v>
      </c>
      <c r="D615" s="125">
        <f>IF('Quant. mod. (oc)'!D615&lt;0,0,ROUND('Quant. mod. (oc)'!D615,0))</f>
        <v>2</v>
      </c>
      <c r="E615" s="125">
        <f>IF('Quant. mod. (oc)'!E615&lt;0,0,ROUND('Quant. mod. (oc)'!E615,0))</f>
        <v>2</v>
      </c>
      <c r="F615" s="125">
        <f>IF('Quant. mod. (oc)'!F615&lt;0,0,ROUND('Quant. mod. (oc)'!F615,0))</f>
        <v>2</v>
      </c>
      <c r="G615" s="125">
        <f>IF('Quant. mod. (oc)'!G615&lt;0,0,ROUND('Quant. mod. (oc)'!G615,0))</f>
        <v>2</v>
      </c>
      <c r="H615" s="125">
        <f>IF('Quant. mod. (oc)'!H615&lt;0,0,ROUND('Quant. mod. (oc)'!H615,0))</f>
        <v>2</v>
      </c>
      <c r="I615" s="125">
        <f>IF('Quant. mod. (oc)'!I615&lt;0,0,ROUND('Quant. mod. (oc)'!I615,0))</f>
        <v>2</v>
      </c>
      <c r="J615" s="125">
        <f>IF('Quant. mod. (oc)'!J615&lt;0,0,ROUND('Quant. mod. (oc)'!J615,0))</f>
        <v>2</v>
      </c>
      <c r="K615" s="125">
        <f>IF('Quant. mod. (oc)'!K615&lt;0,0,ROUND('Quant. mod. (oc)'!K615,0))</f>
        <v>2</v>
      </c>
      <c r="L615" s="125">
        <f>IF('Quant. mod. (oc)'!L615&lt;0,0,ROUND('Quant. mod. (oc)'!L615,0))</f>
        <v>2</v>
      </c>
      <c r="M615" s="125">
        <f>IF('Quant. mod. (oc)'!M615&lt;0,0,ROUND('Quant. mod. (oc)'!M615,0))</f>
        <v>2</v>
      </c>
      <c r="N615" s="125">
        <f>IF('Quant. mod. (oc)'!N615&lt;0,0,ROUND('Quant. mod. (oc)'!N615,0))</f>
        <v>2</v>
      </c>
      <c r="O615" s="125">
        <f>IF('Quant. mod. (oc)'!O615&lt;0,0,ROUND('Quant. mod. (oc)'!O615,0))</f>
        <v>2</v>
      </c>
      <c r="P615" s="125">
        <f>IF('Quant. mod. (oc)'!P615&lt;0,0,ROUND('Quant. mod. (oc)'!P615,0))</f>
        <v>2</v>
      </c>
      <c r="Q615" s="125">
        <f>IF('Quant. mod. (oc)'!Q615&lt;0,0,ROUND('Quant. mod. (oc)'!Q615,0))</f>
        <v>2</v>
      </c>
      <c r="R615" s="125">
        <f>IF('Quant. mod. (oc)'!R615&lt;0,0,ROUND('Quant. mod. (oc)'!R615,0))</f>
        <v>2</v>
      </c>
      <c r="S615" s="125">
        <f>IF('Quant. mod. (oc)'!S615&lt;0,0,ROUND('Quant. mod. (oc)'!S615,0))</f>
        <v>2</v>
      </c>
      <c r="T615" s="125">
        <f>IF('Quant. mod. (oc)'!T615&lt;0,0,ROUND('Quant. mod. (oc)'!T615,0))</f>
        <v>2</v>
      </c>
      <c r="U615" s="125">
        <f>IF('Quant. mod. (oc)'!U615&lt;0,0,ROUND('Quant. mod. (oc)'!U615,0))</f>
        <v>2</v>
      </c>
      <c r="V615" s="125">
        <f>IF('Quant. mod. (oc)'!V615&lt;0,0,ROUND('Quant. mod. (oc)'!V615,0))</f>
        <v>2</v>
      </c>
      <c r="W615" s="125">
        <f>IF('Quant. mod. (oc)'!W615&lt;0,0,ROUND('Quant. mod. (oc)'!W615,0))</f>
        <v>2</v>
      </c>
      <c r="X615" s="125">
        <f>IF('Quant. mod. (oc)'!X615&lt;0,0,ROUND('Quant. mod. (oc)'!X615,0))</f>
        <v>2</v>
      </c>
      <c r="Y615" s="125">
        <f>IF('Quant. mod. (oc)'!Y615&lt;0,0,ROUND('Quant. mod. (oc)'!Y615,0))</f>
        <v>2</v>
      </c>
      <c r="Z615" s="125">
        <f>IF('Quant. mod. (oc)'!Z615&lt;0,0,ROUND('Quant. mod. (oc)'!Z615,0))</f>
        <v>2</v>
      </c>
      <c r="AA615" s="125">
        <f>IF('Quant. mod. (oc)'!AA615&lt;0,0,ROUND('Quant. mod. (oc)'!AA615,0))</f>
        <v>2</v>
      </c>
      <c r="AB615" s="125">
        <f>IF('Quant. mod. (oc)'!AB615&lt;0,0,ROUND('Quant. mod. (oc)'!AB615,0))</f>
        <v>2</v>
      </c>
      <c r="AC615" s="125">
        <f>IF('Quant. mod. (oc)'!AC615&lt;0,0,ROUND('Quant. mod. (oc)'!AC615,0))</f>
        <v>2</v>
      </c>
      <c r="AD615" s="125">
        <f>IF('Quant. mod. (oc)'!AD615&lt;0,0,ROUND('Quant. mod. (oc)'!AD615,0))</f>
        <v>2</v>
      </c>
      <c r="AE615" s="125">
        <f>IF('Quant. mod. (oc)'!AE615&lt;0,0,ROUND('Quant. mod. (oc)'!AE615,0))</f>
        <v>2</v>
      </c>
      <c r="AF615" s="125">
        <f>IF('Quant. mod. (oc)'!AF615&lt;0,0,ROUND('Quant. mod. (oc)'!AF615,0))</f>
        <v>2</v>
      </c>
      <c r="AG615" s="126">
        <f>IF('Quant. mod. (oc)'!AG615&lt;0,0,ROUND('Quant. mod. (oc)'!AG615,0))</f>
        <v>2</v>
      </c>
      <c r="AH615" s="22"/>
    </row>
    <row r="616" spans="1:34" x14ac:dyDescent="0.25">
      <c r="A616" s="21"/>
      <c r="B616" s="141" t="s">
        <v>635</v>
      </c>
      <c r="C616" s="125" t="s">
        <v>60</v>
      </c>
      <c r="D616" s="125">
        <f>IF('Quant. mod. (oc)'!D616&lt;0,0,ROUND('Quant. mod. (oc)'!D616,0))</f>
        <v>1</v>
      </c>
      <c r="E616" s="125">
        <f>IF('Quant. mod. (oc)'!E616&lt;0,0,ROUND('Quant. mod. (oc)'!E616,0))</f>
        <v>1</v>
      </c>
      <c r="F616" s="125">
        <f>IF('Quant. mod. (oc)'!F616&lt;0,0,ROUND('Quant. mod. (oc)'!F616,0))</f>
        <v>1</v>
      </c>
      <c r="G616" s="125">
        <f>IF('Quant. mod. (oc)'!G616&lt;0,0,ROUND('Quant. mod. (oc)'!G616,0))</f>
        <v>1</v>
      </c>
      <c r="H616" s="125">
        <f>IF('Quant. mod. (oc)'!H616&lt;0,0,ROUND('Quant. mod. (oc)'!H616,0))</f>
        <v>1</v>
      </c>
      <c r="I616" s="125">
        <f>IF('Quant. mod. (oc)'!I616&lt;0,0,ROUND('Quant. mod. (oc)'!I616,0))</f>
        <v>1</v>
      </c>
      <c r="J616" s="125">
        <f>IF('Quant. mod. (oc)'!J616&lt;0,0,ROUND('Quant. mod. (oc)'!J616,0))</f>
        <v>1</v>
      </c>
      <c r="K616" s="125">
        <f>IF('Quant. mod. (oc)'!K616&lt;0,0,ROUND('Quant. mod. (oc)'!K616,0))</f>
        <v>1</v>
      </c>
      <c r="L616" s="125">
        <f>IF('Quant. mod. (oc)'!L616&lt;0,0,ROUND('Quant. mod. (oc)'!L616,0))</f>
        <v>1</v>
      </c>
      <c r="M616" s="125">
        <f>IF('Quant. mod. (oc)'!M616&lt;0,0,ROUND('Quant. mod. (oc)'!M616,0))</f>
        <v>1</v>
      </c>
      <c r="N616" s="125">
        <f>IF('Quant. mod. (oc)'!N616&lt;0,0,ROUND('Quant. mod. (oc)'!N616,0))</f>
        <v>1</v>
      </c>
      <c r="O616" s="125">
        <f>IF('Quant. mod. (oc)'!O616&lt;0,0,ROUND('Quant. mod. (oc)'!O616,0))</f>
        <v>1</v>
      </c>
      <c r="P616" s="125">
        <f>IF('Quant. mod. (oc)'!P616&lt;0,0,ROUND('Quant. mod. (oc)'!P616,0))</f>
        <v>1</v>
      </c>
      <c r="Q616" s="125">
        <f>IF('Quant. mod. (oc)'!Q616&lt;0,0,ROUND('Quant. mod. (oc)'!Q616,0))</f>
        <v>1</v>
      </c>
      <c r="R616" s="125">
        <f>IF('Quant. mod. (oc)'!R616&lt;0,0,ROUND('Quant. mod. (oc)'!R616,0))</f>
        <v>1</v>
      </c>
      <c r="S616" s="125">
        <f>IF('Quant. mod. (oc)'!S616&lt;0,0,ROUND('Quant. mod. (oc)'!S616,0))</f>
        <v>1</v>
      </c>
      <c r="T616" s="125">
        <f>IF('Quant. mod. (oc)'!T616&lt;0,0,ROUND('Quant. mod. (oc)'!T616,0))</f>
        <v>1</v>
      </c>
      <c r="U616" s="125">
        <f>IF('Quant. mod. (oc)'!U616&lt;0,0,ROUND('Quant. mod. (oc)'!U616,0))</f>
        <v>1</v>
      </c>
      <c r="V616" s="125">
        <f>IF('Quant. mod. (oc)'!V616&lt;0,0,ROUND('Quant. mod. (oc)'!V616,0))</f>
        <v>1</v>
      </c>
      <c r="W616" s="125">
        <f>IF('Quant. mod. (oc)'!W616&lt;0,0,ROUND('Quant. mod. (oc)'!W616,0))</f>
        <v>1</v>
      </c>
      <c r="X616" s="125">
        <f>IF('Quant. mod. (oc)'!X616&lt;0,0,ROUND('Quant. mod. (oc)'!X616,0))</f>
        <v>1</v>
      </c>
      <c r="Y616" s="125">
        <f>IF('Quant. mod. (oc)'!Y616&lt;0,0,ROUND('Quant. mod. (oc)'!Y616,0))</f>
        <v>1</v>
      </c>
      <c r="Z616" s="125">
        <f>IF('Quant. mod. (oc)'!Z616&lt;0,0,ROUND('Quant. mod. (oc)'!Z616,0))</f>
        <v>1</v>
      </c>
      <c r="AA616" s="125">
        <f>IF('Quant. mod. (oc)'!AA616&lt;0,0,ROUND('Quant. mod. (oc)'!AA616,0))</f>
        <v>1</v>
      </c>
      <c r="AB616" s="125">
        <f>IF('Quant. mod. (oc)'!AB616&lt;0,0,ROUND('Quant. mod. (oc)'!AB616,0))</f>
        <v>1</v>
      </c>
      <c r="AC616" s="125">
        <f>IF('Quant. mod. (oc)'!AC616&lt;0,0,ROUND('Quant. mod. (oc)'!AC616,0))</f>
        <v>1</v>
      </c>
      <c r="AD616" s="125">
        <f>IF('Quant. mod. (oc)'!AD616&lt;0,0,ROUND('Quant. mod. (oc)'!AD616,0))</f>
        <v>1</v>
      </c>
      <c r="AE616" s="125">
        <f>IF('Quant. mod. (oc)'!AE616&lt;0,0,ROUND('Quant. mod. (oc)'!AE616,0))</f>
        <v>1</v>
      </c>
      <c r="AF616" s="125">
        <f>IF('Quant. mod. (oc)'!AF616&lt;0,0,ROUND('Quant. mod. (oc)'!AF616,0))</f>
        <v>1</v>
      </c>
      <c r="AG616" s="126">
        <f>IF('Quant. mod. (oc)'!AG616&lt;0,0,ROUND('Quant. mod. (oc)'!AG616,0))</f>
        <v>1</v>
      </c>
      <c r="AH616" s="22"/>
    </row>
    <row r="617" spans="1:34" x14ac:dyDescent="0.25">
      <c r="A617" s="21"/>
      <c r="B617" s="141" t="s">
        <v>636</v>
      </c>
      <c r="C617" s="125" t="s">
        <v>60</v>
      </c>
      <c r="D617" s="125">
        <f>IF('Quant. mod. (oc)'!D617&lt;0,0,ROUND('Quant. mod. (oc)'!D617,0))</f>
        <v>1</v>
      </c>
      <c r="E617" s="125">
        <f>IF('Quant. mod. (oc)'!E617&lt;0,0,ROUND('Quant. mod. (oc)'!E617,0))</f>
        <v>1</v>
      </c>
      <c r="F617" s="125">
        <f>IF('Quant. mod. (oc)'!F617&lt;0,0,ROUND('Quant. mod. (oc)'!F617,0))</f>
        <v>1</v>
      </c>
      <c r="G617" s="125">
        <f>IF('Quant. mod. (oc)'!G617&lt;0,0,ROUND('Quant. mod. (oc)'!G617,0))</f>
        <v>1</v>
      </c>
      <c r="H617" s="125">
        <f>IF('Quant. mod. (oc)'!H617&lt;0,0,ROUND('Quant. mod. (oc)'!H617,0))</f>
        <v>1</v>
      </c>
      <c r="I617" s="125">
        <f>IF('Quant. mod. (oc)'!I617&lt;0,0,ROUND('Quant. mod. (oc)'!I617,0))</f>
        <v>1</v>
      </c>
      <c r="J617" s="125">
        <f>IF('Quant. mod. (oc)'!J617&lt;0,0,ROUND('Quant. mod. (oc)'!J617,0))</f>
        <v>1</v>
      </c>
      <c r="K617" s="125">
        <f>IF('Quant. mod. (oc)'!K617&lt;0,0,ROUND('Quant. mod. (oc)'!K617,0))</f>
        <v>1</v>
      </c>
      <c r="L617" s="125">
        <f>IF('Quant. mod. (oc)'!L617&lt;0,0,ROUND('Quant. mod. (oc)'!L617,0))</f>
        <v>1</v>
      </c>
      <c r="M617" s="125">
        <f>IF('Quant. mod. (oc)'!M617&lt;0,0,ROUND('Quant. mod. (oc)'!M617,0))</f>
        <v>1</v>
      </c>
      <c r="N617" s="125">
        <f>IF('Quant. mod. (oc)'!N617&lt;0,0,ROUND('Quant. mod. (oc)'!N617,0))</f>
        <v>1</v>
      </c>
      <c r="O617" s="125">
        <f>IF('Quant. mod. (oc)'!O617&lt;0,0,ROUND('Quant. mod. (oc)'!O617,0))</f>
        <v>1</v>
      </c>
      <c r="P617" s="125">
        <f>IF('Quant. mod. (oc)'!P617&lt;0,0,ROUND('Quant. mod. (oc)'!P617,0))</f>
        <v>1</v>
      </c>
      <c r="Q617" s="125">
        <f>IF('Quant. mod. (oc)'!Q617&lt;0,0,ROUND('Quant. mod. (oc)'!Q617,0))</f>
        <v>1</v>
      </c>
      <c r="R617" s="125">
        <f>IF('Quant. mod. (oc)'!R617&lt;0,0,ROUND('Quant. mod. (oc)'!R617,0))</f>
        <v>1</v>
      </c>
      <c r="S617" s="125">
        <f>IF('Quant. mod. (oc)'!S617&lt;0,0,ROUND('Quant. mod. (oc)'!S617,0))</f>
        <v>1</v>
      </c>
      <c r="T617" s="125">
        <f>IF('Quant. mod. (oc)'!T617&lt;0,0,ROUND('Quant. mod. (oc)'!T617,0))</f>
        <v>1</v>
      </c>
      <c r="U617" s="125">
        <f>IF('Quant. mod. (oc)'!U617&lt;0,0,ROUND('Quant. mod. (oc)'!U617,0))</f>
        <v>1</v>
      </c>
      <c r="V617" s="125">
        <f>IF('Quant. mod. (oc)'!V617&lt;0,0,ROUND('Quant. mod. (oc)'!V617,0))</f>
        <v>1</v>
      </c>
      <c r="W617" s="125">
        <f>IF('Quant. mod. (oc)'!W617&lt;0,0,ROUND('Quant. mod. (oc)'!W617,0))</f>
        <v>1</v>
      </c>
      <c r="X617" s="125">
        <f>IF('Quant. mod. (oc)'!X617&lt;0,0,ROUND('Quant. mod. (oc)'!X617,0))</f>
        <v>1</v>
      </c>
      <c r="Y617" s="125">
        <f>IF('Quant. mod. (oc)'!Y617&lt;0,0,ROUND('Quant. mod. (oc)'!Y617,0))</f>
        <v>1</v>
      </c>
      <c r="Z617" s="125">
        <f>IF('Quant. mod. (oc)'!Z617&lt;0,0,ROUND('Quant. mod. (oc)'!Z617,0))</f>
        <v>1</v>
      </c>
      <c r="AA617" s="125">
        <f>IF('Quant. mod. (oc)'!AA617&lt;0,0,ROUND('Quant. mod. (oc)'!AA617,0))</f>
        <v>1</v>
      </c>
      <c r="AB617" s="125">
        <f>IF('Quant. mod. (oc)'!AB617&lt;0,0,ROUND('Quant. mod. (oc)'!AB617,0))</f>
        <v>1</v>
      </c>
      <c r="AC617" s="125">
        <f>IF('Quant. mod. (oc)'!AC617&lt;0,0,ROUND('Quant. mod. (oc)'!AC617,0))</f>
        <v>1</v>
      </c>
      <c r="AD617" s="125">
        <f>IF('Quant. mod. (oc)'!AD617&lt;0,0,ROUND('Quant. mod. (oc)'!AD617,0))</f>
        <v>1</v>
      </c>
      <c r="AE617" s="125">
        <f>IF('Quant. mod. (oc)'!AE617&lt;0,0,ROUND('Quant. mod. (oc)'!AE617,0))</f>
        <v>1</v>
      </c>
      <c r="AF617" s="125">
        <f>IF('Quant. mod. (oc)'!AF617&lt;0,0,ROUND('Quant. mod. (oc)'!AF617,0))</f>
        <v>1</v>
      </c>
      <c r="AG617" s="126">
        <f>IF('Quant. mod. (oc)'!AG617&lt;0,0,ROUND('Quant. mod. (oc)'!AG617,0))</f>
        <v>1</v>
      </c>
      <c r="AH617" s="22"/>
    </row>
    <row r="618" spans="1:34" x14ac:dyDescent="0.25">
      <c r="A618" s="21"/>
      <c r="B618" s="141" t="s">
        <v>637</v>
      </c>
      <c r="C618" s="125" t="s">
        <v>60</v>
      </c>
      <c r="D618" s="125">
        <f>IF('Quant. mod. (oc)'!D618&lt;0,0,ROUND('Quant. mod. (oc)'!D618,0))</f>
        <v>2</v>
      </c>
      <c r="E618" s="125">
        <f>IF('Quant. mod. (oc)'!E618&lt;0,0,ROUND('Quant. mod. (oc)'!E618,0))</f>
        <v>2</v>
      </c>
      <c r="F618" s="125">
        <f>IF('Quant. mod. (oc)'!F618&lt;0,0,ROUND('Quant. mod. (oc)'!F618,0))</f>
        <v>2</v>
      </c>
      <c r="G618" s="125">
        <f>IF('Quant. mod. (oc)'!G618&lt;0,0,ROUND('Quant. mod. (oc)'!G618,0))</f>
        <v>2</v>
      </c>
      <c r="H618" s="125">
        <f>IF('Quant. mod. (oc)'!H618&lt;0,0,ROUND('Quant. mod. (oc)'!H618,0))</f>
        <v>2</v>
      </c>
      <c r="I618" s="125">
        <f>IF('Quant. mod. (oc)'!I618&lt;0,0,ROUND('Quant. mod. (oc)'!I618,0))</f>
        <v>2</v>
      </c>
      <c r="J618" s="125">
        <f>IF('Quant. mod. (oc)'!J618&lt;0,0,ROUND('Quant. mod. (oc)'!J618,0))</f>
        <v>2</v>
      </c>
      <c r="K618" s="125">
        <f>IF('Quant. mod. (oc)'!K618&lt;0,0,ROUND('Quant. mod. (oc)'!K618,0))</f>
        <v>2</v>
      </c>
      <c r="L618" s="125">
        <f>IF('Quant. mod. (oc)'!L618&lt;0,0,ROUND('Quant. mod. (oc)'!L618,0))</f>
        <v>2</v>
      </c>
      <c r="M618" s="125">
        <f>IF('Quant. mod. (oc)'!M618&lt;0,0,ROUND('Quant. mod. (oc)'!M618,0))</f>
        <v>2</v>
      </c>
      <c r="N618" s="125">
        <f>IF('Quant. mod. (oc)'!N618&lt;0,0,ROUND('Quant. mod. (oc)'!N618,0))</f>
        <v>2</v>
      </c>
      <c r="O618" s="125">
        <f>IF('Quant. mod. (oc)'!O618&lt;0,0,ROUND('Quant. mod. (oc)'!O618,0))</f>
        <v>2</v>
      </c>
      <c r="P618" s="125">
        <f>IF('Quant. mod. (oc)'!P618&lt;0,0,ROUND('Quant. mod. (oc)'!P618,0))</f>
        <v>2</v>
      </c>
      <c r="Q618" s="125">
        <f>IF('Quant. mod. (oc)'!Q618&lt;0,0,ROUND('Quant. mod. (oc)'!Q618,0))</f>
        <v>2</v>
      </c>
      <c r="R618" s="125">
        <f>IF('Quant. mod. (oc)'!R618&lt;0,0,ROUND('Quant. mod. (oc)'!R618,0))</f>
        <v>2</v>
      </c>
      <c r="S618" s="125">
        <f>IF('Quant. mod. (oc)'!S618&lt;0,0,ROUND('Quant. mod. (oc)'!S618,0))</f>
        <v>2</v>
      </c>
      <c r="T618" s="125">
        <f>IF('Quant. mod. (oc)'!T618&lt;0,0,ROUND('Quant. mod. (oc)'!T618,0))</f>
        <v>2</v>
      </c>
      <c r="U618" s="125">
        <f>IF('Quant. mod. (oc)'!U618&lt;0,0,ROUND('Quant. mod. (oc)'!U618,0))</f>
        <v>2</v>
      </c>
      <c r="V618" s="125">
        <f>IF('Quant. mod. (oc)'!V618&lt;0,0,ROUND('Quant. mod. (oc)'!V618,0))</f>
        <v>2</v>
      </c>
      <c r="W618" s="125">
        <f>IF('Quant. mod. (oc)'!W618&lt;0,0,ROUND('Quant. mod. (oc)'!W618,0))</f>
        <v>2</v>
      </c>
      <c r="X618" s="125">
        <f>IF('Quant. mod. (oc)'!X618&lt;0,0,ROUND('Quant. mod. (oc)'!X618,0))</f>
        <v>2</v>
      </c>
      <c r="Y618" s="125">
        <f>IF('Quant. mod. (oc)'!Y618&lt;0,0,ROUND('Quant. mod. (oc)'!Y618,0))</f>
        <v>2</v>
      </c>
      <c r="Z618" s="125">
        <f>IF('Quant. mod. (oc)'!Z618&lt;0,0,ROUND('Quant. mod. (oc)'!Z618,0))</f>
        <v>2</v>
      </c>
      <c r="AA618" s="125">
        <f>IF('Quant. mod. (oc)'!AA618&lt;0,0,ROUND('Quant. mod. (oc)'!AA618,0))</f>
        <v>2</v>
      </c>
      <c r="AB618" s="125">
        <f>IF('Quant. mod. (oc)'!AB618&lt;0,0,ROUND('Quant. mod. (oc)'!AB618,0))</f>
        <v>2</v>
      </c>
      <c r="AC618" s="125">
        <f>IF('Quant. mod. (oc)'!AC618&lt;0,0,ROUND('Quant. mod. (oc)'!AC618,0))</f>
        <v>2</v>
      </c>
      <c r="AD618" s="125">
        <f>IF('Quant. mod. (oc)'!AD618&lt;0,0,ROUND('Quant. mod. (oc)'!AD618,0))</f>
        <v>2</v>
      </c>
      <c r="AE618" s="125">
        <f>IF('Quant. mod. (oc)'!AE618&lt;0,0,ROUND('Quant. mod. (oc)'!AE618,0))</f>
        <v>2</v>
      </c>
      <c r="AF618" s="125">
        <f>IF('Quant. mod. (oc)'!AF618&lt;0,0,ROUND('Quant. mod. (oc)'!AF618,0))</f>
        <v>2</v>
      </c>
      <c r="AG618" s="126">
        <f>IF('Quant. mod. (oc)'!AG618&lt;0,0,ROUND('Quant. mod. (oc)'!AG618,0))</f>
        <v>2</v>
      </c>
      <c r="AH618" s="22"/>
    </row>
    <row r="619" spans="1:34" x14ac:dyDescent="0.25">
      <c r="A619" s="21"/>
      <c r="B619" s="141" t="s">
        <v>638</v>
      </c>
      <c r="C619" s="125" t="s">
        <v>60</v>
      </c>
      <c r="D619" s="125">
        <f>IF('Quant. mod. (oc)'!D619&lt;0,0,ROUND('Quant. mod. (oc)'!D619,0))</f>
        <v>2</v>
      </c>
      <c r="E619" s="125">
        <f>IF('Quant. mod. (oc)'!E619&lt;0,0,ROUND('Quant. mod. (oc)'!E619,0))</f>
        <v>2</v>
      </c>
      <c r="F619" s="125">
        <f>IF('Quant. mod. (oc)'!F619&lt;0,0,ROUND('Quant. mod. (oc)'!F619,0))</f>
        <v>2</v>
      </c>
      <c r="G619" s="125">
        <f>IF('Quant. mod. (oc)'!G619&lt;0,0,ROUND('Quant. mod. (oc)'!G619,0))</f>
        <v>2</v>
      </c>
      <c r="H619" s="125">
        <f>IF('Quant. mod. (oc)'!H619&lt;0,0,ROUND('Quant. mod. (oc)'!H619,0))</f>
        <v>2</v>
      </c>
      <c r="I619" s="125">
        <f>IF('Quant. mod. (oc)'!I619&lt;0,0,ROUND('Quant. mod. (oc)'!I619,0))</f>
        <v>2</v>
      </c>
      <c r="J619" s="125">
        <f>IF('Quant. mod. (oc)'!J619&lt;0,0,ROUND('Quant. mod. (oc)'!J619,0))</f>
        <v>2</v>
      </c>
      <c r="K619" s="125">
        <f>IF('Quant. mod. (oc)'!K619&lt;0,0,ROUND('Quant. mod. (oc)'!K619,0))</f>
        <v>2</v>
      </c>
      <c r="L619" s="125">
        <f>IF('Quant. mod. (oc)'!L619&lt;0,0,ROUND('Quant. mod. (oc)'!L619,0))</f>
        <v>2</v>
      </c>
      <c r="M619" s="125">
        <f>IF('Quant. mod. (oc)'!M619&lt;0,0,ROUND('Quant. mod. (oc)'!M619,0))</f>
        <v>2</v>
      </c>
      <c r="N619" s="125">
        <f>IF('Quant. mod. (oc)'!N619&lt;0,0,ROUND('Quant. mod. (oc)'!N619,0))</f>
        <v>2</v>
      </c>
      <c r="O619" s="125">
        <f>IF('Quant. mod. (oc)'!O619&lt;0,0,ROUND('Quant. mod. (oc)'!O619,0))</f>
        <v>2</v>
      </c>
      <c r="P619" s="125">
        <f>IF('Quant. mod. (oc)'!P619&lt;0,0,ROUND('Quant. mod. (oc)'!P619,0))</f>
        <v>2</v>
      </c>
      <c r="Q619" s="125">
        <f>IF('Quant. mod. (oc)'!Q619&lt;0,0,ROUND('Quant. mod. (oc)'!Q619,0))</f>
        <v>2</v>
      </c>
      <c r="R619" s="125">
        <f>IF('Quant. mod. (oc)'!R619&lt;0,0,ROUND('Quant. mod. (oc)'!R619,0))</f>
        <v>2</v>
      </c>
      <c r="S619" s="125">
        <f>IF('Quant. mod. (oc)'!S619&lt;0,0,ROUND('Quant. mod. (oc)'!S619,0))</f>
        <v>2</v>
      </c>
      <c r="T619" s="125">
        <f>IF('Quant. mod. (oc)'!T619&lt;0,0,ROUND('Quant. mod. (oc)'!T619,0))</f>
        <v>2</v>
      </c>
      <c r="U619" s="125">
        <f>IF('Quant. mod. (oc)'!U619&lt;0,0,ROUND('Quant. mod. (oc)'!U619,0))</f>
        <v>2</v>
      </c>
      <c r="V619" s="125">
        <f>IF('Quant. mod. (oc)'!V619&lt;0,0,ROUND('Quant. mod. (oc)'!V619,0))</f>
        <v>2</v>
      </c>
      <c r="W619" s="125">
        <f>IF('Quant. mod. (oc)'!W619&lt;0,0,ROUND('Quant. mod. (oc)'!W619,0))</f>
        <v>2</v>
      </c>
      <c r="X619" s="125">
        <f>IF('Quant. mod. (oc)'!X619&lt;0,0,ROUND('Quant. mod. (oc)'!X619,0))</f>
        <v>2</v>
      </c>
      <c r="Y619" s="125">
        <f>IF('Quant. mod. (oc)'!Y619&lt;0,0,ROUND('Quant. mod. (oc)'!Y619,0))</f>
        <v>2</v>
      </c>
      <c r="Z619" s="125">
        <f>IF('Quant. mod. (oc)'!Z619&lt;0,0,ROUND('Quant. mod. (oc)'!Z619,0))</f>
        <v>2</v>
      </c>
      <c r="AA619" s="125">
        <f>IF('Quant. mod. (oc)'!AA619&lt;0,0,ROUND('Quant. mod. (oc)'!AA619,0))</f>
        <v>2</v>
      </c>
      <c r="AB619" s="125">
        <f>IF('Quant. mod. (oc)'!AB619&lt;0,0,ROUND('Quant. mod. (oc)'!AB619,0))</f>
        <v>2</v>
      </c>
      <c r="AC619" s="125">
        <f>IF('Quant. mod. (oc)'!AC619&lt;0,0,ROUND('Quant. mod. (oc)'!AC619,0))</f>
        <v>2</v>
      </c>
      <c r="AD619" s="125">
        <f>IF('Quant. mod. (oc)'!AD619&lt;0,0,ROUND('Quant. mod. (oc)'!AD619,0))</f>
        <v>2</v>
      </c>
      <c r="AE619" s="125">
        <f>IF('Quant. mod. (oc)'!AE619&lt;0,0,ROUND('Quant. mod. (oc)'!AE619,0))</f>
        <v>2</v>
      </c>
      <c r="AF619" s="125">
        <f>IF('Quant. mod. (oc)'!AF619&lt;0,0,ROUND('Quant. mod. (oc)'!AF619,0))</f>
        <v>2</v>
      </c>
      <c r="AG619" s="126">
        <f>IF('Quant. mod. (oc)'!AG619&lt;0,0,ROUND('Quant. mod. (oc)'!AG619,0))</f>
        <v>2</v>
      </c>
      <c r="AH619" s="22"/>
    </row>
    <row r="620" spans="1:34" x14ac:dyDescent="0.25">
      <c r="A620" s="21"/>
      <c r="B620" s="141" t="s">
        <v>639</v>
      </c>
      <c r="C620" s="125" t="s">
        <v>60</v>
      </c>
      <c r="D620" s="125">
        <f>IF('Quant. mod. (oc)'!D620&lt;0,0,ROUND('Quant. mod. (oc)'!D620,0))</f>
        <v>2</v>
      </c>
      <c r="E620" s="125">
        <f>IF('Quant. mod. (oc)'!E620&lt;0,0,ROUND('Quant. mod. (oc)'!E620,0))</f>
        <v>2</v>
      </c>
      <c r="F620" s="125">
        <f>IF('Quant. mod. (oc)'!F620&lt;0,0,ROUND('Quant. mod. (oc)'!F620,0))</f>
        <v>2</v>
      </c>
      <c r="G620" s="125">
        <f>IF('Quant. mod. (oc)'!G620&lt;0,0,ROUND('Quant. mod. (oc)'!G620,0))</f>
        <v>2</v>
      </c>
      <c r="H620" s="125">
        <f>IF('Quant. mod. (oc)'!H620&lt;0,0,ROUND('Quant. mod. (oc)'!H620,0))</f>
        <v>2</v>
      </c>
      <c r="I620" s="125">
        <f>IF('Quant. mod. (oc)'!I620&lt;0,0,ROUND('Quant. mod. (oc)'!I620,0))</f>
        <v>2</v>
      </c>
      <c r="J620" s="125">
        <f>IF('Quant. mod. (oc)'!J620&lt;0,0,ROUND('Quant. mod. (oc)'!J620,0))</f>
        <v>2</v>
      </c>
      <c r="K620" s="125">
        <f>IF('Quant. mod. (oc)'!K620&lt;0,0,ROUND('Quant. mod. (oc)'!K620,0))</f>
        <v>2</v>
      </c>
      <c r="L620" s="125">
        <f>IF('Quant. mod. (oc)'!L620&lt;0,0,ROUND('Quant. mod. (oc)'!L620,0))</f>
        <v>2</v>
      </c>
      <c r="M620" s="125">
        <f>IF('Quant. mod. (oc)'!M620&lt;0,0,ROUND('Quant. mod. (oc)'!M620,0))</f>
        <v>2</v>
      </c>
      <c r="N620" s="125">
        <f>IF('Quant. mod. (oc)'!N620&lt;0,0,ROUND('Quant. mod. (oc)'!N620,0))</f>
        <v>2</v>
      </c>
      <c r="O620" s="125">
        <f>IF('Quant. mod. (oc)'!O620&lt;0,0,ROUND('Quant. mod. (oc)'!O620,0))</f>
        <v>2</v>
      </c>
      <c r="P620" s="125">
        <f>IF('Quant. mod. (oc)'!P620&lt;0,0,ROUND('Quant. mod. (oc)'!P620,0))</f>
        <v>2</v>
      </c>
      <c r="Q620" s="125">
        <f>IF('Quant. mod. (oc)'!Q620&lt;0,0,ROUND('Quant. mod. (oc)'!Q620,0))</f>
        <v>2</v>
      </c>
      <c r="R620" s="125">
        <f>IF('Quant. mod. (oc)'!R620&lt;0,0,ROUND('Quant. mod. (oc)'!R620,0))</f>
        <v>2</v>
      </c>
      <c r="S620" s="125">
        <f>IF('Quant. mod. (oc)'!S620&lt;0,0,ROUND('Quant. mod. (oc)'!S620,0))</f>
        <v>2</v>
      </c>
      <c r="T620" s="125">
        <f>IF('Quant. mod. (oc)'!T620&lt;0,0,ROUND('Quant. mod. (oc)'!T620,0))</f>
        <v>2</v>
      </c>
      <c r="U620" s="125">
        <f>IF('Quant. mod. (oc)'!U620&lt;0,0,ROUND('Quant. mod. (oc)'!U620,0))</f>
        <v>2</v>
      </c>
      <c r="V620" s="125">
        <f>IF('Quant. mod. (oc)'!V620&lt;0,0,ROUND('Quant. mod. (oc)'!V620,0))</f>
        <v>2</v>
      </c>
      <c r="W620" s="125">
        <f>IF('Quant. mod. (oc)'!W620&lt;0,0,ROUND('Quant. mod. (oc)'!W620,0))</f>
        <v>2</v>
      </c>
      <c r="X620" s="125">
        <f>IF('Quant. mod. (oc)'!X620&lt;0,0,ROUND('Quant. mod. (oc)'!X620,0))</f>
        <v>2</v>
      </c>
      <c r="Y620" s="125">
        <f>IF('Quant. mod. (oc)'!Y620&lt;0,0,ROUND('Quant. mod. (oc)'!Y620,0))</f>
        <v>2</v>
      </c>
      <c r="Z620" s="125">
        <f>IF('Quant. mod. (oc)'!Z620&lt;0,0,ROUND('Quant. mod. (oc)'!Z620,0))</f>
        <v>2</v>
      </c>
      <c r="AA620" s="125">
        <f>IF('Quant. mod. (oc)'!AA620&lt;0,0,ROUND('Quant. mod. (oc)'!AA620,0))</f>
        <v>2</v>
      </c>
      <c r="AB620" s="125">
        <f>IF('Quant. mod. (oc)'!AB620&lt;0,0,ROUND('Quant. mod. (oc)'!AB620,0))</f>
        <v>2</v>
      </c>
      <c r="AC620" s="125">
        <f>IF('Quant. mod. (oc)'!AC620&lt;0,0,ROUND('Quant. mod. (oc)'!AC620,0))</f>
        <v>2</v>
      </c>
      <c r="AD620" s="125">
        <f>IF('Quant. mod. (oc)'!AD620&lt;0,0,ROUND('Quant. mod. (oc)'!AD620,0))</f>
        <v>2</v>
      </c>
      <c r="AE620" s="125">
        <f>IF('Quant. mod. (oc)'!AE620&lt;0,0,ROUND('Quant. mod. (oc)'!AE620,0))</f>
        <v>2</v>
      </c>
      <c r="AF620" s="125">
        <f>IF('Quant. mod. (oc)'!AF620&lt;0,0,ROUND('Quant. mod. (oc)'!AF620,0))</f>
        <v>2</v>
      </c>
      <c r="AG620" s="126">
        <f>IF('Quant. mod. (oc)'!AG620&lt;0,0,ROUND('Quant. mod. (oc)'!AG620,0))</f>
        <v>2</v>
      </c>
      <c r="AH620" s="22"/>
    </row>
    <row r="621" spans="1:34" x14ac:dyDescent="0.25">
      <c r="A621" s="21"/>
      <c r="B621" s="141" t="s">
        <v>640</v>
      </c>
      <c r="C621" s="125" t="s">
        <v>60</v>
      </c>
      <c r="D621" s="125">
        <f>IF('Quant. mod. (oc)'!D621&lt;0,0,ROUND('Quant. mod. (oc)'!D621,0))</f>
        <v>2</v>
      </c>
      <c r="E621" s="125">
        <f>IF('Quant. mod. (oc)'!E621&lt;0,0,ROUND('Quant. mod. (oc)'!E621,0))</f>
        <v>2</v>
      </c>
      <c r="F621" s="125">
        <f>IF('Quant. mod. (oc)'!F621&lt;0,0,ROUND('Quant. mod. (oc)'!F621,0))</f>
        <v>2</v>
      </c>
      <c r="G621" s="125">
        <f>IF('Quant. mod. (oc)'!G621&lt;0,0,ROUND('Quant. mod. (oc)'!G621,0))</f>
        <v>2</v>
      </c>
      <c r="H621" s="125">
        <f>IF('Quant. mod. (oc)'!H621&lt;0,0,ROUND('Quant. mod. (oc)'!H621,0))</f>
        <v>2</v>
      </c>
      <c r="I621" s="125">
        <f>IF('Quant. mod. (oc)'!I621&lt;0,0,ROUND('Quant. mod. (oc)'!I621,0))</f>
        <v>2</v>
      </c>
      <c r="J621" s="125">
        <f>IF('Quant. mod. (oc)'!J621&lt;0,0,ROUND('Quant. mod. (oc)'!J621,0))</f>
        <v>2</v>
      </c>
      <c r="K621" s="125">
        <f>IF('Quant. mod. (oc)'!K621&lt;0,0,ROUND('Quant. mod. (oc)'!K621,0))</f>
        <v>2</v>
      </c>
      <c r="L621" s="125">
        <f>IF('Quant. mod. (oc)'!L621&lt;0,0,ROUND('Quant. mod. (oc)'!L621,0))</f>
        <v>2</v>
      </c>
      <c r="M621" s="125">
        <f>IF('Quant. mod. (oc)'!M621&lt;0,0,ROUND('Quant. mod. (oc)'!M621,0))</f>
        <v>2</v>
      </c>
      <c r="N621" s="125">
        <f>IF('Quant. mod. (oc)'!N621&lt;0,0,ROUND('Quant. mod. (oc)'!N621,0))</f>
        <v>2</v>
      </c>
      <c r="O621" s="125">
        <f>IF('Quant. mod. (oc)'!O621&lt;0,0,ROUND('Quant. mod. (oc)'!O621,0))</f>
        <v>2</v>
      </c>
      <c r="P621" s="125">
        <f>IF('Quant. mod. (oc)'!P621&lt;0,0,ROUND('Quant. mod. (oc)'!P621,0))</f>
        <v>2</v>
      </c>
      <c r="Q621" s="125">
        <f>IF('Quant. mod. (oc)'!Q621&lt;0,0,ROUND('Quant. mod. (oc)'!Q621,0))</f>
        <v>2</v>
      </c>
      <c r="R621" s="125">
        <f>IF('Quant. mod. (oc)'!R621&lt;0,0,ROUND('Quant. mod. (oc)'!R621,0))</f>
        <v>2</v>
      </c>
      <c r="S621" s="125">
        <f>IF('Quant. mod. (oc)'!S621&lt;0,0,ROUND('Quant. mod. (oc)'!S621,0))</f>
        <v>2</v>
      </c>
      <c r="T621" s="125">
        <f>IF('Quant. mod. (oc)'!T621&lt;0,0,ROUND('Quant. mod. (oc)'!T621,0))</f>
        <v>2</v>
      </c>
      <c r="U621" s="125">
        <f>IF('Quant. mod. (oc)'!U621&lt;0,0,ROUND('Quant. mod. (oc)'!U621,0))</f>
        <v>2</v>
      </c>
      <c r="V621" s="125">
        <f>IF('Quant. mod. (oc)'!V621&lt;0,0,ROUND('Quant. mod. (oc)'!V621,0))</f>
        <v>2</v>
      </c>
      <c r="W621" s="125">
        <f>IF('Quant. mod. (oc)'!W621&lt;0,0,ROUND('Quant. mod. (oc)'!W621,0))</f>
        <v>2</v>
      </c>
      <c r="X621" s="125">
        <f>IF('Quant. mod. (oc)'!X621&lt;0,0,ROUND('Quant. mod. (oc)'!X621,0))</f>
        <v>2</v>
      </c>
      <c r="Y621" s="125">
        <f>IF('Quant. mod. (oc)'!Y621&lt;0,0,ROUND('Quant. mod. (oc)'!Y621,0))</f>
        <v>2</v>
      </c>
      <c r="Z621" s="125">
        <f>IF('Quant. mod. (oc)'!Z621&lt;0,0,ROUND('Quant. mod. (oc)'!Z621,0))</f>
        <v>2</v>
      </c>
      <c r="AA621" s="125">
        <f>IF('Quant. mod. (oc)'!AA621&lt;0,0,ROUND('Quant. mod. (oc)'!AA621,0))</f>
        <v>2</v>
      </c>
      <c r="AB621" s="125">
        <f>IF('Quant. mod. (oc)'!AB621&lt;0,0,ROUND('Quant. mod. (oc)'!AB621,0))</f>
        <v>2</v>
      </c>
      <c r="AC621" s="125">
        <f>IF('Quant. mod. (oc)'!AC621&lt;0,0,ROUND('Quant. mod. (oc)'!AC621,0))</f>
        <v>2</v>
      </c>
      <c r="AD621" s="125">
        <f>IF('Quant. mod. (oc)'!AD621&lt;0,0,ROUND('Quant. mod. (oc)'!AD621,0))</f>
        <v>2</v>
      </c>
      <c r="AE621" s="125">
        <f>IF('Quant. mod. (oc)'!AE621&lt;0,0,ROUND('Quant. mod. (oc)'!AE621,0))</f>
        <v>2</v>
      </c>
      <c r="AF621" s="125">
        <f>IF('Quant. mod. (oc)'!AF621&lt;0,0,ROUND('Quant. mod. (oc)'!AF621,0))</f>
        <v>2</v>
      </c>
      <c r="AG621" s="126">
        <f>IF('Quant. mod. (oc)'!AG621&lt;0,0,ROUND('Quant. mod. (oc)'!AG621,0))</f>
        <v>2</v>
      </c>
      <c r="AH621" s="22"/>
    </row>
    <row r="622" spans="1:34" x14ac:dyDescent="0.25">
      <c r="A622" s="21"/>
      <c r="B622" s="141" t="s">
        <v>641</v>
      </c>
      <c r="C622" s="125" t="s">
        <v>60</v>
      </c>
      <c r="D622" s="125">
        <f>IF('Quant. mod. (oc)'!D622&lt;0,0,ROUND('Quant. mod. (oc)'!D622,0))</f>
        <v>2</v>
      </c>
      <c r="E622" s="125">
        <f>IF('Quant. mod. (oc)'!E622&lt;0,0,ROUND('Quant. mod. (oc)'!E622,0))</f>
        <v>2</v>
      </c>
      <c r="F622" s="125">
        <f>IF('Quant. mod. (oc)'!F622&lt;0,0,ROUND('Quant. mod. (oc)'!F622,0))</f>
        <v>2</v>
      </c>
      <c r="G622" s="125">
        <f>IF('Quant. mod. (oc)'!G622&lt;0,0,ROUND('Quant. mod. (oc)'!G622,0))</f>
        <v>2</v>
      </c>
      <c r="H622" s="125">
        <f>IF('Quant. mod. (oc)'!H622&lt;0,0,ROUND('Quant. mod. (oc)'!H622,0))</f>
        <v>2</v>
      </c>
      <c r="I622" s="125">
        <f>IF('Quant. mod. (oc)'!I622&lt;0,0,ROUND('Quant. mod. (oc)'!I622,0))</f>
        <v>2</v>
      </c>
      <c r="J622" s="125">
        <f>IF('Quant. mod. (oc)'!J622&lt;0,0,ROUND('Quant. mod. (oc)'!J622,0))</f>
        <v>2</v>
      </c>
      <c r="K622" s="125">
        <f>IF('Quant. mod. (oc)'!K622&lt;0,0,ROUND('Quant. mod. (oc)'!K622,0))</f>
        <v>2</v>
      </c>
      <c r="L622" s="125">
        <f>IF('Quant. mod. (oc)'!L622&lt;0,0,ROUND('Quant. mod. (oc)'!L622,0))</f>
        <v>2</v>
      </c>
      <c r="M622" s="125">
        <f>IF('Quant. mod. (oc)'!M622&lt;0,0,ROUND('Quant. mod. (oc)'!M622,0))</f>
        <v>2</v>
      </c>
      <c r="N622" s="125">
        <f>IF('Quant. mod. (oc)'!N622&lt;0,0,ROUND('Quant. mod. (oc)'!N622,0))</f>
        <v>2</v>
      </c>
      <c r="O622" s="125">
        <f>IF('Quant. mod. (oc)'!O622&lt;0,0,ROUND('Quant. mod. (oc)'!O622,0))</f>
        <v>2</v>
      </c>
      <c r="P622" s="125">
        <f>IF('Quant. mod. (oc)'!P622&lt;0,0,ROUND('Quant. mod. (oc)'!P622,0))</f>
        <v>2</v>
      </c>
      <c r="Q622" s="125">
        <f>IF('Quant. mod. (oc)'!Q622&lt;0,0,ROUND('Quant. mod. (oc)'!Q622,0))</f>
        <v>2</v>
      </c>
      <c r="R622" s="125">
        <f>IF('Quant. mod. (oc)'!R622&lt;0,0,ROUND('Quant. mod. (oc)'!R622,0))</f>
        <v>2</v>
      </c>
      <c r="S622" s="125">
        <f>IF('Quant. mod. (oc)'!S622&lt;0,0,ROUND('Quant. mod. (oc)'!S622,0))</f>
        <v>2</v>
      </c>
      <c r="T622" s="125">
        <f>IF('Quant. mod. (oc)'!T622&lt;0,0,ROUND('Quant. mod. (oc)'!T622,0))</f>
        <v>2</v>
      </c>
      <c r="U622" s="125">
        <f>IF('Quant. mod. (oc)'!U622&lt;0,0,ROUND('Quant. mod. (oc)'!U622,0))</f>
        <v>2</v>
      </c>
      <c r="V622" s="125">
        <f>IF('Quant. mod. (oc)'!V622&lt;0,0,ROUND('Quant. mod. (oc)'!V622,0))</f>
        <v>2</v>
      </c>
      <c r="W622" s="125">
        <f>IF('Quant. mod. (oc)'!W622&lt;0,0,ROUND('Quant. mod. (oc)'!W622,0))</f>
        <v>2</v>
      </c>
      <c r="X622" s="125">
        <f>IF('Quant. mod. (oc)'!X622&lt;0,0,ROUND('Quant. mod. (oc)'!X622,0))</f>
        <v>2</v>
      </c>
      <c r="Y622" s="125">
        <f>IF('Quant. mod. (oc)'!Y622&lt;0,0,ROUND('Quant. mod. (oc)'!Y622,0))</f>
        <v>2</v>
      </c>
      <c r="Z622" s="125">
        <f>IF('Quant. mod. (oc)'!Z622&lt;0,0,ROUND('Quant. mod. (oc)'!Z622,0))</f>
        <v>2</v>
      </c>
      <c r="AA622" s="125">
        <f>IF('Quant. mod. (oc)'!AA622&lt;0,0,ROUND('Quant. mod. (oc)'!AA622,0))</f>
        <v>2</v>
      </c>
      <c r="AB622" s="125">
        <f>IF('Quant. mod. (oc)'!AB622&lt;0,0,ROUND('Quant. mod. (oc)'!AB622,0))</f>
        <v>2</v>
      </c>
      <c r="AC622" s="125">
        <f>IF('Quant. mod. (oc)'!AC622&lt;0,0,ROUND('Quant. mod. (oc)'!AC622,0))</f>
        <v>2</v>
      </c>
      <c r="AD622" s="125">
        <f>IF('Quant. mod. (oc)'!AD622&lt;0,0,ROUND('Quant. mod. (oc)'!AD622,0))</f>
        <v>2</v>
      </c>
      <c r="AE622" s="125">
        <f>IF('Quant. mod. (oc)'!AE622&lt;0,0,ROUND('Quant. mod. (oc)'!AE622,0))</f>
        <v>2</v>
      </c>
      <c r="AF622" s="125">
        <f>IF('Quant. mod. (oc)'!AF622&lt;0,0,ROUND('Quant. mod. (oc)'!AF622,0))</f>
        <v>2</v>
      </c>
      <c r="AG622" s="126">
        <f>IF('Quant. mod. (oc)'!AG622&lt;0,0,ROUND('Quant. mod. (oc)'!AG622,0))</f>
        <v>2</v>
      </c>
      <c r="AH622" s="22"/>
    </row>
    <row r="623" spans="1:34" x14ac:dyDescent="0.25">
      <c r="A623" s="21"/>
      <c r="B623" s="141" t="s">
        <v>642</v>
      </c>
      <c r="C623" s="125" t="s">
        <v>60</v>
      </c>
      <c r="D623" s="125">
        <f>IF('Quant. mod. (oc)'!D623&lt;0,0,ROUND('Quant. mod. (oc)'!D623,0))</f>
        <v>2</v>
      </c>
      <c r="E623" s="125">
        <f>IF('Quant. mod. (oc)'!E623&lt;0,0,ROUND('Quant. mod. (oc)'!E623,0))</f>
        <v>2</v>
      </c>
      <c r="F623" s="125">
        <f>IF('Quant. mod. (oc)'!F623&lt;0,0,ROUND('Quant. mod. (oc)'!F623,0))</f>
        <v>2</v>
      </c>
      <c r="G623" s="125">
        <f>IF('Quant. mod. (oc)'!G623&lt;0,0,ROUND('Quant. mod. (oc)'!G623,0))</f>
        <v>2</v>
      </c>
      <c r="H623" s="125">
        <f>IF('Quant. mod. (oc)'!H623&lt;0,0,ROUND('Quant. mod. (oc)'!H623,0))</f>
        <v>2</v>
      </c>
      <c r="I623" s="125">
        <f>IF('Quant. mod. (oc)'!I623&lt;0,0,ROUND('Quant. mod. (oc)'!I623,0))</f>
        <v>2</v>
      </c>
      <c r="J623" s="125">
        <f>IF('Quant. mod. (oc)'!J623&lt;0,0,ROUND('Quant. mod. (oc)'!J623,0))</f>
        <v>2</v>
      </c>
      <c r="K623" s="125">
        <f>IF('Quant. mod. (oc)'!K623&lt;0,0,ROUND('Quant. mod. (oc)'!K623,0))</f>
        <v>2</v>
      </c>
      <c r="L623" s="125">
        <f>IF('Quant. mod. (oc)'!L623&lt;0,0,ROUND('Quant. mod. (oc)'!L623,0))</f>
        <v>2</v>
      </c>
      <c r="M623" s="125">
        <f>IF('Quant. mod. (oc)'!M623&lt;0,0,ROUND('Quant. mod. (oc)'!M623,0))</f>
        <v>2</v>
      </c>
      <c r="N623" s="125">
        <f>IF('Quant. mod. (oc)'!N623&lt;0,0,ROUND('Quant. mod. (oc)'!N623,0))</f>
        <v>2</v>
      </c>
      <c r="O623" s="125">
        <f>IF('Quant. mod. (oc)'!O623&lt;0,0,ROUND('Quant. mod. (oc)'!O623,0))</f>
        <v>2</v>
      </c>
      <c r="P623" s="125">
        <f>IF('Quant. mod. (oc)'!P623&lt;0,0,ROUND('Quant. mod. (oc)'!P623,0))</f>
        <v>2</v>
      </c>
      <c r="Q623" s="125">
        <f>IF('Quant. mod. (oc)'!Q623&lt;0,0,ROUND('Quant. mod. (oc)'!Q623,0))</f>
        <v>2</v>
      </c>
      <c r="R623" s="125">
        <f>IF('Quant. mod. (oc)'!R623&lt;0,0,ROUND('Quant. mod. (oc)'!R623,0))</f>
        <v>2</v>
      </c>
      <c r="S623" s="125">
        <f>IF('Quant. mod. (oc)'!S623&lt;0,0,ROUND('Quant. mod. (oc)'!S623,0))</f>
        <v>2</v>
      </c>
      <c r="T623" s="125">
        <f>IF('Quant. mod. (oc)'!T623&lt;0,0,ROUND('Quant. mod. (oc)'!T623,0))</f>
        <v>2</v>
      </c>
      <c r="U623" s="125">
        <f>IF('Quant. mod. (oc)'!U623&lt;0,0,ROUND('Quant. mod. (oc)'!U623,0))</f>
        <v>2</v>
      </c>
      <c r="V623" s="125">
        <f>IF('Quant. mod. (oc)'!V623&lt;0,0,ROUND('Quant. mod. (oc)'!V623,0))</f>
        <v>2</v>
      </c>
      <c r="W623" s="125">
        <f>IF('Quant. mod. (oc)'!W623&lt;0,0,ROUND('Quant. mod. (oc)'!W623,0))</f>
        <v>2</v>
      </c>
      <c r="X623" s="125">
        <f>IF('Quant. mod. (oc)'!X623&lt;0,0,ROUND('Quant. mod. (oc)'!X623,0))</f>
        <v>2</v>
      </c>
      <c r="Y623" s="125">
        <f>IF('Quant. mod. (oc)'!Y623&lt;0,0,ROUND('Quant. mod. (oc)'!Y623,0))</f>
        <v>2</v>
      </c>
      <c r="Z623" s="125">
        <f>IF('Quant. mod. (oc)'!Z623&lt;0,0,ROUND('Quant. mod. (oc)'!Z623,0))</f>
        <v>2</v>
      </c>
      <c r="AA623" s="125">
        <f>IF('Quant. mod. (oc)'!AA623&lt;0,0,ROUND('Quant. mod. (oc)'!AA623,0))</f>
        <v>2</v>
      </c>
      <c r="AB623" s="125">
        <f>IF('Quant. mod. (oc)'!AB623&lt;0,0,ROUND('Quant. mod. (oc)'!AB623,0))</f>
        <v>2</v>
      </c>
      <c r="AC623" s="125">
        <f>IF('Quant. mod. (oc)'!AC623&lt;0,0,ROUND('Quant. mod. (oc)'!AC623,0))</f>
        <v>2</v>
      </c>
      <c r="AD623" s="125">
        <f>IF('Quant. mod. (oc)'!AD623&lt;0,0,ROUND('Quant. mod. (oc)'!AD623,0))</f>
        <v>2</v>
      </c>
      <c r="AE623" s="125">
        <f>IF('Quant. mod. (oc)'!AE623&lt;0,0,ROUND('Quant. mod. (oc)'!AE623,0))</f>
        <v>2</v>
      </c>
      <c r="AF623" s="125">
        <f>IF('Quant. mod. (oc)'!AF623&lt;0,0,ROUND('Quant. mod. (oc)'!AF623,0))</f>
        <v>2</v>
      </c>
      <c r="AG623" s="126">
        <f>IF('Quant. mod. (oc)'!AG623&lt;0,0,ROUND('Quant. mod. (oc)'!AG623,0))</f>
        <v>2</v>
      </c>
      <c r="AH623" s="22"/>
    </row>
    <row r="624" spans="1:34" x14ac:dyDescent="0.25">
      <c r="A624" s="21"/>
      <c r="B624" s="141" t="s">
        <v>643</v>
      </c>
      <c r="C624" s="125" t="s">
        <v>60</v>
      </c>
      <c r="D624" s="125">
        <f>IF('Quant. mod. (oc)'!D624&lt;0,0,ROUND('Quant. mod. (oc)'!D624,0))</f>
        <v>2</v>
      </c>
      <c r="E624" s="125">
        <f>IF('Quant. mod. (oc)'!E624&lt;0,0,ROUND('Quant. mod. (oc)'!E624,0))</f>
        <v>2</v>
      </c>
      <c r="F624" s="125">
        <f>IF('Quant. mod. (oc)'!F624&lt;0,0,ROUND('Quant. mod. (oc)'!F624,0))</f>
        <v>2</v>
      </c>
      <c r="G624" s="125">
        <f>IF('Quant. mod. (oc)'!G624&lt;0,0,ROUND('Quant. mod. (oc)'!G624,0))</f>
        <v>2</v>
      </c>
      <c r="H624" s="125">
        <f>IF('Quant. mod. (oc)'!H624&lt;0,0,ROUND('Quant. mod. (oc)'!H624,0))</f>
        <v>2</v>
      </c>
      <c r="I624" s="125">
        <f>IF('Quant. mod. (oc)'!I624&lt;0,0,ROUND('Quant. mod. (oc)'!I624,0))</f>
        <v>2</v>
      </c>
      <c r="J624" s="125">
        <f>IF('Quant. mod. (oc)'!J624&lt;0,0,ROUND('Quant. mod. (oc)'!J624,0))</f>
        <v>2</v>
      </c>
      <c r="K624" s="125">
        <f>IF('Quant. mod. (oc)'!K624&lt;0,0,ROUND('Quant. mod. (oc)'!K624,0))</f>
        <v>2</v>
      </c>
      <c r="L624" s="125">
        <f>IF('Quant. mod. (oc)'!L624&lt;0,0,ROUND('Quant. mod. (oc)'!L624,0))</f>
        <v>2</v>
      </c>
      <c r="M624" s="125">
        <f>IF('Quant. mod. (oc)'!M624&lt;0,0,ROUND('Quant. mod. (oc)'!M624,0))</f>
        <v>2</v>
      </c>
      <c r="N624" s="125">
        <f>IF('Quant. mod. (oc)'!N624&lt;0,0,ROUND('Quant. mod. (oc)'!N624,0))</f>
        <v>2</v>
      </c>
      <c r="O624" s="125">
        <f>IF('Quant. mod. (oc)'!O624&lt;0,0,ROUND('Quant. mod. (oc)'!O624,0))</f>
        <v>2</v>
      </c>
      <c r="P624" s="125">
        <f>IF('Quant. mod. (oc)'!P624&lt;0,0,ROUND('Quant. mod. (oc)'!P624,0))</f>
        <v>2</v>
      </c>
      <c r="Q624" s="125">
        <f>IF('Quant. mod. (oc)'!Q624&lt;0,0,ROUND('Quant. mod. (oc)'!Q624,0))</f>
        <v>2</v>
      </c>
      <c r="R624" s="125">
        <f>IF('Quant. mod. (oc)'!R624&lt;0,0,ROUND('Quant. mod. (oc)'!R624,0))</f>
        <v>2</v>
      </c>
      <c r="S624" s="125">
        <f>IF('Quant. mod. (oc)'!S624&lt;0,0,ROUND('Quant. mod. (oc)'!S624,0))</f>
        <v>2</v>
      </c>
      <c r="T624" s="125">
        <f>IF('Quant. mod. (oc)'!T624&lt;0,0,ROUND('Quant. mod. (oc)'!T624,0))</f>
        <v>2</v>
      </c>
      <c r="U624" s="125">
        <f>IF('Quant. mod. (oc)'!U624&lt;0,0,ROUND('Quant. mod. (oc)'!U624,0))</f>
        <v>2</v>
      </c>
      <c r="V624" s="125">
        <f>IF('Quant. mod. (oc)'!V624&lt;0,0,ROUND('Quant. mod. (oc)'!V624,0))</f>
        <v>2</v>
      </c>
      <c r="W624" s="125">
        <f>IF('Quant. mod. (oc)'!W624&lt;0,0,ROUND('Quant. mod. (oc)'!W624,0))</f>
        <v>2</v>
      </c>
      <c r="X624" s="125">
        <f>IF('Quant. mod. (oc)'!X624&lt;0,0,ROUND('Quant. mod. (oc)'!X624,0))</f>
        <v>2</v>
      </c>
      <c r="Y624" s="125">
        <f>IF('Quant. mod. (oc)'!Y624&lt;0,0,ROUND('Quant. mod. (oc)'!Y624,0))</f>
        <v>2</v>
      </c>
      <c r="Z624" s="125">
        <f>IF('Quant. mod. (oc)'!Z624&lt;0,0,ROUND('Quant. mod. (oc)'!Z624,0))</f>
        <v>2</v>
      </c>
      <c r="AA624" s="125">
        <f>IF('Quant. mod. (oc)'!AA624&lt;0,0,ROUND('Quant. mod. (oc)'!AA624,0))</f>
        <v>2</v>
      </c>
      <c r="AB624" s="125">
        <f>IF('Quant. mod. (oc)'!AB624&lt;0,0,ROUND('Quant. mod. (oc)'!AB624,0))</f>
        <v>2</v>
      </c>
      <c r="AC624" s="125">
        <f>IF('Quant. mod. (oc)'!AC624&lt;0,0,ROUND('Quant. mod. (oc)'!AC624,0))</f>
        <v>2</v>
      </c>
      <c r="AD624" s="125">
        <f>IF('Quant. mod. (oc)'!AD624&lt;0,0,ROUND('Quant. mod. (oc)'!AD624,0))</f>
        <v>2</v>
      </c>
      <c r="AE624" s="125">
        <f>IF('Quant. mod. (oc)'!AE624&lt;0,0,ROUND('Quant. mod. (oc)'!AE624,0))</f>
        <v>2</v>
      </c>
      <c r="AF624" s="125">
        <f>IF('Quant. mod. (oc)'!AF624&lt;0,0,ROUND('Quant. mod. (oc)'!AF624,0))</f>
        <v>2</v>
      </c>
      <c r="AG624" s="126">
        <f>IF('Quant. mod. (oc)'!AG624&lt;0,0,ROUND('Quant. mod. (oc)'!AG624,0))</f>
        <v>2</v>
      </c>
      <c r="AH624" s="22"/>
    </row>
    <row r="625" spans="1:34" x14ac:dyDescent="0.25">
      <c r="A625" s="21"/>
      <c r="B625" s="141" t="s">
        <v>644</v>
      </c>
      <c r="C625" s="125" t="s">
        <v>60</v>
      </c>
      <c r="D625" s="125">
        <f>IF('Quant. mod. (oc)'!D625&lt;0,0,ROUND('Quant. mod. (oc)'!D625,0))</f>
        <v>2</v>
      </c>
      <c r="E625" s="125">
        <f>IF('Quant. mod. (oc)'!E625&lt;0,0,ROUND('Quant. mod. (oc)'!E625,0))</f>
        <v>2</v>
      </c>
      <c r="F625" s="125">
        <f>IF('Quant. mod. (oc)'!F625&lt;0,0,ROUND('Quant. mod. (oc)'!F625,0))</f>
        <v>2</v>
      </c>
      <c r="G625" s="125">
        <f>IF('Quant. mod. (oc)'!G625&lt;0,0,ROUND('Quant. mod. (oc)'!G625,0))</f>
        <v>2</v>
      </c>
      <c r="H625" s="125">
        <f>IF('Quant. mod. (oc)'!H625&lt;0,0,ROUND('Quant. mod. (oc)'!H625,0))</f>
        <v>2</v>
      </c>
      <c r="I625" s="125">
        <f>IF('Quant. mod. (oc)'!I625&lt;0,0,ROUND('Quant. mod. (oc)'!I625,0))</f>
        <v>2</v>
      </c>
      <c r="J625" s="125">
        <f>IF('Quant. mod. (oc)'!J625&lt;0,0,ROUND('Quant. mod. (oc)'!J625,0))</f>
        <v>2</v>
      </c>
      <c r="K625" s="125">
        <f>IF('Quant. mod. (oc)'!K625&lt;0,0,ROUND('Quant. mod. (oc)'!K625,0))</f>
        <v>2</v>
      </c>
      <c r="L625" s="125">
        <f>IF('Quant. mod. (oc)'!L625&lt;0,0,ROUND('Quant. mod. (oc)'!L625,0))</f>
        <v>2</v>
      </c>
      <c r="M625" s="125">
        <f>IF('Quant. mod. (oc)'!M625&lt;0,0,ROUND('Quant. mod. (oc)'!M625,0))</f>
        <v>2</v>
      </c>
      <c r="N625" s="125">
        <f>IF('Quant. mod. (oc)'!N625&lt;0,0,ROUND('Quant. mod. (oc)'!N625,0))</f>
        <v>2</v>
      </c>
      <c r="O625" s="125">
        <f>IF('Quant. mod. (oc)'!O625&lt;0,0,ROUND('Quant. mod. (oc)'!O625,0))</f>
        <v>2</v>
      </c>
      <c r="P625" s="125">
        <f>IF('Quant. mod. (oc)'!P625&lt;0,0,ROUND('Quant. mod. (oc)'!P625,0))</f>
        <v>2</v>
      </c>
      <c r="Q625" s="125">
        <f>IF('Quant. mod. (oc)'!Q625&lt;0,0,ROUND('Quant. mod. (oc)'!Q625,0))</f>
        <v>2</v>
      </c>
      <c r="R625" s="125">
        <f>IF('Quant. mod. (oc)'!R625&lt;0,0,ROUND('Quant. mod. (oc)'!R625,0))</f>
        <v>2</v>
      </c>
      <c r="S625" s="125">
        <f>IF('Quant. mod. (oc)'!S625&lt;0,0,ROUND('Quant. mod. (oc)'!S625,0))</f>
        <v>2</v>
      </c>
      <c r="T625" s="125">
        <f>IF('Quant. mod. (oc)'!T625&lt;0,0,ROUND('Quant. mod. (oc)'!T625,0))</f>
        <v>2</v>
      </c>
      <c r="U625" s="125">
        <f>IF('Quant. mod. (oc)'!U625&lt;0,0,ROUND('Quant. mod. (oc)'!U625,0))</f>
        <v>2</v>
      </c>
      <c r="V625" s="125">
        <f>IF('Quant. mod. (oc)'!V625&lt;0,0,ROUND('Quant. mod. (oc)'!V625,0))</f>
        <v>2</v>
      </c>
      <c r="W625" s="125">
        <f>IF('Quant. mod. (oc)'!W625&lt;0,0,ROUND('Quant. mod. (oc)'!W625,0))</f>
        <v>2</v>
      </c>
      <c r="X625" s="125">
        <f>IF('Quant. mod. (oc)'!X625&lt;0,0,ROUND('Quant. mod. (oc)'!X625,0))</f>
        <v>2</v>
      </c>
      <c r="Y625" s="125">
        <f>IF('Quant. mod. (oc)'!Y625&lt;0,0,ROUND('Quant. mod. (oc)'!Y625,0))</f>
        <v>2</v>
      </c>
      <c r="Z625" s="125">
        <f>IF('Quant. mod. (oc)'!Z625&lt;0,0,ROUND('Quant. mod. (oc)'!Z625,0))</f>
        <v>2</v>
      </c>
      <c r="AA625" s="125">
        <f>IF('Quant. mod. (oc)'!AA625&lt;0,0,ROUND('Quant. mod. (oc)'!AA625,0))</f>
        <v>2</v>
      </c>
      <c r="AB625" s="125">
        <f>IF('Quant. mod. (oc)'!AB625&lt;0,0,ROUND('Quant. mod. (oc)'!AB625,0))</f>
        <v>2</v>
      </c>
      <c r="AC625" s="125">
        <f>IF('Quant. mod. (oc)'!AC625&lt;0,0,ROUND('Quant. mod. (oc)'!AC625,0))</f>
        <v>2</v>
      </c>
      <c r="AD625" s="125">
        <f>IF('Quant. mod. (oc)'!AD625&lt;0,0,ROUND('Quant. mod. (oc)'!AD625,0))</f>
        <v>2</v>
      </c>
      <c r="AE625" s="125">
        <f>IF('Quant. mod. (oc)'!AE625&lt;0,0,ROUND('Quant. mod. (oc)'!AE625,0))</f>
        <v>2</v>
      </c>
      <c r="AF625" s="125">
        <f>IF('Quant. mod. (oc)'!AF625&lt;0,0,ROUND('Quant. mod. (oc)'!AF625,0))</f>
        <v>2</v>
      </c>
      <c r="AG625" s="126">
        <f>IF('Quant. mod. (oc)'!AG625&lt;0,0,ROUND('Quant. mod. (oc)'!AG625,0))</f>
        <v>2</v>
      </c>
      <c r="AH625" s="22"/>
    </row>
    <row r="626" spans="1:34" x14ac:dyDescent="0.25">
      <c r="A626" s="21"/>
      <c r="B626" s="141" t="s">
        <v>645</v>
      </c>
      <c r="C626" s="125" t="s">
        <v>60</v>
      </c>
      <c r="D626" s="125">
        <f>IF('Quant. mod. (oc)'!D626&lt;0,0,ROUND('Quant. mod. (oc)'!D626,0))</f>
        <v>2</v>
      </c>
      <c r="E626" s="125">
        <f>IF('Quant. mod. (oc)'!E626&lt;0,0,ROUND('Quant. mod. (oc)'!E626,0))</f>
        <v>2</v>
      </c>
      <c r="F626" s="125">
        <f>IF('Quant. mod. (oc)'!F626&lt;0,0,ROUND('Quant. mod. (oc)'!F626,0))</f>
        <v>2</v>
      </c>
      <c r="G626" s="125">
        <f>IF('Quant. mod. (oc)'!G626&lt;0,0,ROUND('Quant. mod. (oc)'!G626,0))</f>
        <v>2</v>
      </c>
      <c r="H626" s="125">
        <f>IF('Quant. mod. (oc)'!H626&lt;0,0,ROUND('Quant. mod. (oc)'!H626,0))</f>
        <v>2</v>
      </c>
      <c r="I626" s="125">
        <f>IF('Quant. mod. (oc)'!I626&lt;0,0,ROUND('Quant. mod. (oc)'!I626,0))</f>
        <v>2</v>
      </c>
      <c r="J626" s="125">
        <f>IF('Quant. mod. (oc)'!J626&lt;0,0,ROUND('Quant. mod. (oc)'!J626,0))</f>
        <v>2</v>
      </c>
      <c r="K626" s="125">
        <f>IF('Quant. mod. (oc)'!K626&lt;0,0,ROUND('Quant. mod. (oc)'!K626,0))</f>
        <v>2</v>
      </c>
      <c r="L626" s="125">
        <f>IF('Quant. mod. (oc)'!L626&lt;0,0,ROUND('Quant. mod. (oc)'!L626,0))</f>
        <v>2</v>
      </c>
      <c r="M626" s="125">
        <f>IF('Quant. mod. (oc)'!M626&lt;0,0,ROUND('Quant. mod. (oc)'!M626,0))</f>
        <v>2</v>
      </c>
      <c r="N626" s="125">
        <f>IF('Quant. mod. (oc)'!N626&lt;0,0,ROUND('Quant. mod. (oc)'!N626,0))</f>
        <v>2</v>
      </c>
      <c r="O626" s="125">
        <f>IF('Quant. mod. (oc)'!O626&lt;0,0,ROUND('Quant. mod. (oc)'!O626,0))</f>
        <v>2</v>
      </c>
      <c r="P626" s="125">
        <f>IF('Quant. mod. (oc)'!P626&lt;0,0,ROUND('Quant. mod. (oc)'!P626,0))</f>
        <v>2</v>
      </c>
      <c r="Q626" s="125">
        <f>IF('Quant. mod. (oc)'!Q626&lt;0,0,ROUND('Quant. mod. (oc)'!Q626,0))</f>
        <v>2</v>
      </c>
      <c r="R626" s="125">
        <f>IF('Quant. mod. (oc)'!R626&lt;0,0,ROUND('Quant. mod. (oc)'!R626,0))</f>
        <v>2</v>
      </c>
      <c r="S626" s="125">
        <f>IF('Quant. mod. (oc)'!S626&lt;0,0,ROUND('Quant. mod. (oc)'!S626,0))</f>
        <v>2</v>
      </c>
      <c r="T626" s="125">
        <f>IF('Quant. mod. (oc)'!T626&lt;0,0,ROUND('Quant. mod. (oc)'!T626,0))</f>
        <v>2</v>
      </c>
      <c r="U626" s="125">
        <f>IF('Quant. mod. (oc)'!U626&lt;0,0,ROUND('Quant. mod. (oc)'!U626,0))</f>
        <v>2</v>
      </c>
      <c r="V626" s="125">
        <f>IF('Quant. mod. (oc)'!V626&lt;0,0,ROUND('Quant. mod. (oc)'!V626,0))</f>
        <v>2</v>
      </c>
      <c r="W626" s="125">
        <f>IF('Quant. mod. (oc)'!W626&lt;0,0,ROUND('Quant. mod. (oc)'!W626,0))</f>
        <v>2</v>
      </c>
      <c r="X626" s="125">
        <f>IF('Quant. mod. (oc)'!X626&lt;0,0,ROUND('Quant. mod. (oc)'!X626,0))</f>
        <v>2</v>
      </c>
      <c r="Y626" s="125">
        <f>IF('Quant. mod. (oc)'!Y626&lt;0,0,ROUND('Quant. mod. (oc)'!Y626,0))</f>
        <v>2</v>
      </c>
      <c r="Z626" s="125">
        <f>IF('Quant. mod. (oc)'!Z626&lt;0,0,ROUND('Quant. mod. (oc)'!Z626,0))</f>
        <v>2</v>
      </c>
      <c r="AA626" s="125">
        <f>IF('Quant. mod. (oc)'!AA626&lt;0,0,ROUND('Quant. mod. (oc)'!AA626,0))</f>
        <v>2</v>
      </c>
      <c r="AB626" s="125">
        <f>IF('Quant. mod. (oc)'!AB626&lt;0,0,ROUND('Quant. mod. (oc)'!AB626,0))</f>
        <v>2</v>
      </c>
      <c r="AC626" s="125">
        <f>IF('Quant. mod. (oc)'!AC626&lt;0,0,ROUND('Quant. mod. (oc)'!AC626,0))</f>
        <v>2</v>
      </c>
      <c r="AD626" s="125">
        <f>IF('Quant. mod. (oc)'!AD626&lt;0,0,ROUND('Quant. mod. (oc)'!AD626,0))</f>
        <v>2</v>
      </c>
      <c r="AE626" s="125">
        <f>IF('Quant. mod. (oc)'!AE626&lt;0,0,ROUND('Quant. mod. (oc)'!AE626,0))</f>
        <v>2</v>
      </c>
      <c r="AF626" s="125">
        <f>IF('Quant. mod. (oc)'!AF626&lt;0,0,ROUND('Quant. mod. (oc)'!AF626,0))</f>
        <v>2</v>
      </c>
      <c r="AG626" s="126">
        <f>IF('Quant. mod. (oc)'!AG626&lt;0,0,ROUND('Quant. mod. (oc)'!AG626,0))</f>
        <v>2</v>
      </c>
      <c r="AH626" s="22"/>
    </row>
    <row r="627" spans="1:34" x14ac:dyDescent="0.25">
      <c r="A627" s="21"/>
      <c r="B627" s="141" t="s">
        <v>646</v>
      </c>
      <c r="C627" s="125" t="s">
        <v>60</v>
      </c>
      <c r="D627" s="125">
        <f>IF('Quant. mod. (oc)'!D627&lt;0,0,ROUND('Quant. mod. (oc)'!D627,0))</f>
        <v>2</v>
      </c>
      <c r="E627" s="125">
        <f>IF('Quant. mod. (oc)'!E627&lt;0,0,ROUND('Quant. mod. (oc)'!E627,0))</f>
        <v>2</v>
      </c>
      <c r="F627" s="125">
        <f>IF('Quant. mod. (oc)'!F627&lt;0,0,ROUND('Quant. mod. (oc)'!F627,0))</f>
        <v>2</v>
      </c>
      <c r="G627" s="125">
        <f>IF('Quant. mod. (oc)'!G627&lt;0,0,ROUND('Quant. mod. (oc)'!G627,0))</f>
        <v>2</v>
      </c>
      <c r="H627" s="125">
        <f>IF('Quant. mod. (oc)'!H627&lt;0,0,ROUND('Quant. mod. (oc)'!H627,0))</f>
        <v>2</v>
      </c>
      <c r="I627" s="125">
        <f>IF('Quant. mod. (oc)'!I627&lt;0,0,ROUND('Quant. mod. (oc)'!I627,0))</f>
        <v>2</v>
      </c>
      <c r="J627" s="125">
        <f>IF('Quant. mod. (oc)'!J627&lt;0,0,ROUND('Quant. mod. (oc)'!J627,0))</f>
        <v>2</v>
      </c>
      <c r="K627" s="125">
        <f>IF('Quant. mod. (oc)'!K627&lt;0,0,ROUND('Quant. mod. (oc)'!K627,0))</f>
        <v>2</v>
      </c>
      <c r="L627" s="125">
        <f>IF('Quant. mod. (oc)'!L627&lt;0,0,ROUND('Quant. mod. (oc)'!L627,0))</f>
        <v>2</v>
      </c>
      <c r="M627" s="125">
        <f>IF('Quant. mod. (oc)'!M627&lt;0,0,ROUND('Quant. mod. (oc)'!M627,0))</f>
        <v>2</v>
      </c>
      <c r="N627" s="125">
        <f>IF('Quant. mod. (oc)'!N627&lt;0,0,ROUND('Quant. mod. (oc)'!N627,0))</f>
        <v>2</v>
      </c>
      <c r="O627" s="125">
        <f>IF('Quant. mod. (oc)'!O627&lt;0,0,ROUND('Quant. mod. (oc)'!O627,0))</f>
        <v>2</v>
      </c>
      <c r="P627" s="125">
        <f>IF('Quant. mod. (oc)'!P627&lt;0,0,ROUND('Quant. mod. (oc)'!P627,0))</f>
        <v>2</v>
      </c>
      <c r="Q627" s="125">
        <f>IF('Quant. mod. (oc)'!Q627&lt;0,0,ROUND('Quant. mod. (oc)'!Q627,0))</f>
        <v>2</v>
      </c>
      <c r="R627" s="125">
        <f>IF('Quant. mod. (oc)'!R627&lt;0,0,ROUND('Quant. mod. (oc)'!R627,0))</f>
        <v>2</v>
      </c>
      <c r="S627" s="125">
        <f>IF('Quant. mod. (oc)'!S627&lt;0,0,ROUND('Quant. mod. (oc)'!S627,0))</f>
        <v>2</v>
      </c>
      <c r="T627" s="125">
        <f>IF('Quant. mod. (oc)'!T627&lt;0,0,ROUND('Quant. mod. (oc)'!T627,0))</f>
        <v>2</v>
      </c>
      <c r="U627" s="125">
        <f>IF('Quant. mod. (oc)'!U627&lt;0,0,ROUND('Quant. mod. (oc)'!U627,0))</f>
        <v>2</v>
      </c>
      <c r="V627" s="125">
        <f>IF('Quant. mod. (oc)'!V627&lt;0,0,ROUND('Quant. mod. (oc)'!V627,0))</f>
        <v>2</v>
      </c>
      <c r="W627" s="125">
        <f>IF('Quant. mod. (oc)'!W627&lt;0,0,ROUND('Quant. mod. (oc)'!W627,0))</f>
        <v>2</v>
      </c>
      <c r="X627" s="125">
        <f>IF('Quant. mod. (oc)'!X627&lt;0,0,ROUND('Quant. mod. (oc)'!X627,0))</f>
        <v>2</v>
      </c>
      <c r="Y627" s="125">
        <f>IF('Quant. mod. (oc)'!Y627&lt;0,0,ROUND('Quant. mod. (oc)'!Y627,0))</f>
        <v>2</v>
      </c>
      <c r="Z627" s="125">
        <f>IF('Quant. mod. (oc)'!Z627&lt;0,0,ROUND('Quant. mod. (oc)'!Z627,0))</f>
        <v>2</v>
      </c>
      <c r="AA627" s="125">
        <f>IF('Quant. mod. (oc)'!AA627&lt;0,0,ROUND('Quant. mod. (oc)'!AA627,0))</f>
        <v>2</v>
      </c>
      <c r="AB627" s="125">
        <f>IF('Quant. mod. (oc)'!AB627&lt;0,0,ROUND('Quant. mod. (oc)'!AB627,0))</f>
        <v>2</v>
      </c>
      <c r="AC627" s="125">
        <f>IF('Quant. mod. (oc)'!AC627&lt;0,0,ROUND('Quant. mod. (oc)'!AC627,0))</f>
        <v>2</v>
      </c>
      <c r="AD627" s="125">
        <f>IF('Quant. mod. (oc)'!AD627&lt;0,0,ROUND('Quant. mod. (oc)'!AD627,0))</f>
        <v>2</v>
      </c>
      <c r="AE627" s="125">
        <f>IF('Quant. mod. (oc)'!AE627&lt;0,0,ROUND('Quant. mod. (oc)'!AE627,0))</f>
        <v>2</v>
      </c>
      <c r="AF627" s="125">
        <f>IF('Quant. mod. (oc)'!AF627&lt;0,0,ROUND('Quant. mod. (oc)'!AF627,0))</f>
        <v>2</v>
      </c>
      <c r="AG627" s="126">
        <f>IF('Quant. mod. (oc)'!AG627&lt;0,0,ROUND('Quant. mod. (oc)'!AG627,0))</f>
        <v>2</v>
      </c>
      <c r="AH627" s="22"/>
    </row>
    <row r="628" spans="1:34" x14ac:dyDescent="0.25">
      <c r="A628" s="21"/>
      <c r="B628" s="141" t="s">
        <v>647</v>
      </c>
      <c r="C628" s="125" t="s">
        <v>60</v>
      </c>
      <c r="D628" s="125">
        <f>IF('Quant. mod. (oc)'!D628&lt;0,0,ROUND('Quant. mod. (oc)'!D628,0))</f>
        <v>2</v>
      </c>
      <c r="E628" s="125">
        <f>IF('Quant. mod. (oc)'!E628&lt;0,0,ROUND('Quant. mod. (oc)'!E628,0))</f>
        <v>2</v>
      </c>
      <c r="F628" s="125">
        <f>IF('Quant. mod. (oc)'!F628&lt;0,0,ROUND('Quant. mod. (oc)'!F628,0))</f>
        <v>2</v>
      </c>
      <c r="G628" s="125">
        <f>IF('Quant. mod. (oc)'!G628&lt;0,0,ROUND('Quant. mod. (oc)'!G628,0))</f>
        <v>2</v>
      </c>
      <c r="H628" s="125">
        <f>IF('Quant. mod. (oc)'!H628&lt;0,0,ROUND('Quant. mod. (oc)'!H628,0))</f>
        <v>2</v>
      </c>
      <c r="I628" s="125">
        <f>IF('Quant. mod. (oc)'!I628&lt;0,0,ROUND('Quant. mod. (oc)'!I628,0))</f>
        <v>2</v>
      </c>
      <c r="J628" s="125">
        <f>IF('Quant. mod. (oc)'!J628&lt;0,0,ROUND('Quant. mod. (oc)'!J628,0))</f>
        <v>2</v>
      </c>
      <c r="K628" s="125">
        <f>IF('Quant. mod. (oc)'!K628&lt;0,0,ROUND('Quant. mod. (oc)'!K628,0))</f>
        <v>2</v>
      </c>
      <c r="L628" s="125">
        <f>IF('Quant. mod. (oc)'!L628&lt;0,0,ROUND('Quant. mod. (oc)'!L628,0))</f>
        <v>2</v>
      </c>
      <c r="M628" s="125">
        <f>IF('Quant. mod. (oc)'!M628&lt;0,0,ROUND('Quant. mod. (oc)'!M628,0))</f>
        <v>2</v>
      </c>
      <c r="N628" s="125">
        <f>IF('Quant. mod. (oc)'!N628&lt;0,0,ROUND('Quant. mod. (oc)'!N628,0))</f>
        <v>2</v>
      </c>
      <c r="O628" s="125">
        <f>IF('Quant. mod. (oc)'!O628&lt;0,0,ROUND('Quant. mod. (oc)'!O628,0))</f>
        <v>2</v>
      </c>
      <c r="P628" s="125">
        <f>IF('Quant. mod. (oc)'!P628&lt;0,0,ROUND('Quant. mod. (oc)'!P628,0))</f>
        <v>2</v>
      </c>
      <c r="Q628" s="125">
        <f>IF('Quant. mod. (oc)'!Q628&lt;0,0,ROUND('Quant. mod. (oc)'!Q628,0))</f>
        <v>2</v>
      </c>
      <c r="R628" s="125">
        <f>IF('Quant. mod. (oc)'!R628&lt;0,0,ROUND('Quant. mod. (oc)'!R628,0))</f>
        <v>2</v>
      </c>
      <c r="S628" s="125">
        <f>IF('Quant. mod. (oc)'!S628&lt;0,0,ROUND('Quant. mod. (oc)'!S628,0))</f>
        <v>2</v>
      </c>
      <c r="T628" s="125">
        <f>IF('Quant. mod. (oc)'!T628&lt;0,0,ROUND('Quant. mod. (oc)'!T628,0))</f>
        <v>2</v>
      </c>
      <c r="U628" s="125">
        <f>IF('Quant. mod. (oc)'!U628&lt;0,0,ROUND('Quant. mod. (oc)'!U628,0))</f>
        <v>2</v>
      </c>
      <c r="V628" s="125">
        <f>IF('Quant. mod. (oc)'!V628&lt;0,0,ROUND('Quant. mod. (oc)'!V628,0))</f>
        <v>2</v>
      </c>
      <c r="W628" s="125">
        <f>IF('Quant. mod. (oc)'!W628&lt;0,0,ROUND('Quant. mod. (oc)'!W628,0))</f>
        <v>2</v>
      </c>
      <c r="X628" s="125">
        <f>IF('Quant. mod. (oc)'!X628&lt;0,0,ROUND('Quant. mod. (oc)'!X628,0))</f>
        <v>2</v>
      </c>
      <c r="Y628" s="125">
        <f>IF('Quant. mod. (oc)'!Y628&lt;0,0,ROUND('Quant. mod. (oc)'!Y628,0))</f>
        <v>2</v>
      </c>
      <c r="Z628" s="125">
        <f>IF('Quant. mod. (oc)'!Z628&lt;0,0,ROUND('Quant. mod. (oc)'!Z628,0))</f>
        <v>2</v>
      </c>
      <c r="AA628" s="125">
        <f>IF('Quant. mod. (oc)'!AA628&lt;0,0,ROUND('Quant. mod. (oc)'!AA628,0))</f>
        <v>2</v>
      </c>
      <c r="AB628" s="125">
        <f>IF('Quant. mod. (oc)'!AB628&lt;0,0,ROUND('Quant. mod. (oc)'!AB628,0))</f>
        <v>2</v>
      </c>
      <c r="AC628" s="125">
        <f>IF('Quant. mod. (oc)'!AC628&lt;0,0,ROUND('Quant. mod. (oc)'!AC628,0))</f>
        <v>2</v>
      </c>
      <c r="AD628" s="125">
        <f>IF('Quant. mod. (oc)'!AD628&lt;0,0,ROUND('Quant. mod. (oc)'!AD628,0))</f>
        <v>2</v>
      </c>
      <c r="AE628" s="125">
        <f>IF('Quant. mod. (oc)'!AE628&lt;0,0,ROUND('Quant. mod. (oc)'!AE628,0))</f>
        <v>2</v>
      </c>
      <c r="AF628" s="125">
        <f>IF('Quant. mod. (oc)'!AF628&lt;0,0,ROUND('Quant. mod. (oc)'!AF628,0))</f>
        <v>2</v>
      </c>
      <c r="AG628" s="126">
        <f>IF('Quant. mod. (oc)'!AG628&lt;0,0,ROUND('Quant. mod. (oc)'!AG628,0))</f>
        <v>2</v>
      </c>
      <c r="AH628" s="22"/>
    </row>
    <row r="629" spans="1:34" x14ac:dyDescent="0.25">
      <c r="A629" s="21"/>
      <c r="B629" s="141" t="s">
        <v>648</v>
      </c>
      <c r="C629" s="125" t="s">
        <v>60</v>
      </c>
      <c r="D629" s="125">
        <f>IF('Quant. mod. (oc)'!D629&lt;0,0,ROUND('Quant. mod. (oc)'!D629,0))</f>
        <v>2</v>
      </c>
      <c r="E629" s="125">
        <f>IF('Quant. mod. (oc)'!E629&lt;0,0,ROUND('Quant. mod. (oc)'!E629,0))</f>
        <v>2</v>
      </c>
      <c r="F629" s="125">
        <f>IF('Quant. mod. (oc)'!F629&lt;0,0,ROUND('Quant. mod. (oc)'!F629,0))</f>
        <v>2</v>
      </c>
      <c r="G629" s="125">
        <f>IF('Quant. mod. (oc)'!G629&lt;0,0,ROUND('Quant. mod. (oc)'!G629,0))</f>
        <v>2</v>
      </c>
      <c r="H629" s="125">
        <f>IF('Quant. mod. (oc)'!H629&lt;0,0,ROUND('Quant. mod. (oc)'!H629,0))</f>
        <v>2</v>
      </c>
      <c r="I629" s="125">
        <f>IF('Quant. mod. (oc)'!I629&lt;0,0,ROUND('Quant. mod. (oc)'!I629,0))</f>
        <v>2</v>
      </c>
      <c r="J629" s="125">
        <f>IF('Quant. mod. (oc)'!J629&lt;0,0,ROUND('Quant. mod. (oc)'!J629,0))</f>
        <v>2</v>
      </c>
      <c r="K629" s="125">
        <f>IF('Quant. mod. (oc)'!K629&lt;0,0,ROUND('Quant. mod. (oc)'!K629,0))</f>
        <v>2</v>
      </c>
      <c r="L629" s="125">
        <f>IF('Quant. mod. (oc)'!L629&lt;0,0,ROUND('Quant. mod. (oc)'!L629,0))</f>
        <v>2</v>
      </c>
      <c r="M629" s="125">
        <f>IF('Quant. mod. (oc)'!M629&lt;0,0,ROUND('Quant. mod. (oc)'!M629,0))</f>
        <v>2</v>
      </c>
      <c r="N629" s="125">
        <f>IF('Quant. mod. (oc)'!N629&lt;0,0,ROUND('Quant. mod. (oc)'!N629,0))</f>
        <v>2</v>
      </c>
      <c r="O629" s="125">
        <f>IF('Quant. mod. (oc)'!O629&lt;0,0,ROUND('Quant. mod. (oc)'!O629,0))</f>
        <v>2</v>
      </c>
      <c r="P629" s="125">
        <f>IF('Quant. mod. (oc)'!P629&lt;0,0,ROUND('Quant. mod. (oc)'!P629,0))</f>
        <v>2</v>
      </c>
      <c r="Q629" s="125">
        <f>IF('Quant. mod. (oc)'!Q629&lt;0,0,ROUND('Quant. mod. (oc)'!Q629,0))</f>
        <v>2</v>
      </c>
      <c r="R629" s="125">
        <f>IF('Quant. mod. (oc)'!R629&lt;0,0,ROUND('Quant. mod. (oc)'!R629,0))</f>
        <v>2</v>
      </c>
      <c r="S629" s="125">
        <f>IF('Quant. mod. (oc)'!S629&lt;0,0,ROUND('Quant. mod. (oc)'!S629,0))</f>
        <v>2</v>
      </c>
      <c r="T629" s="125">
        <f>IF('Quant. mod. (oc)'!T629&lt;0,0,ROUND('Quant. mod. (oc)'!T629,0))</f>
        <v>2</v>
      </c>
      <c r="U629" s="125">
        <f>IF('Quant. mod. (oc)'!U629&lt;0,0,ROUND('Quant. mod. (oc)'!U629,0))</f>
        <v>2</v>
      </c>
      <c r="V629" s="125">
        <f>IF('Quant. mod. (oc)'!V629&lt;0,0,ROUND('Quant. mod. (oc)'!V629,0))</f>
        <v>2</v>
      </c>
      <c r="W629" s="125">
        <f>IF('Quant. mod. (oc)'!W629&lt;0,0,ROUND('Quant. mod. (oc)'!W629,0))</f>
        <v>2</v>
      </c>
      <c r="X629" s="125">
        <f>IF('Quant. mod. (oc)'!X629&lt;0,0,ROUND('Quant. mod. (oc)'!X629,0))</f>
        <v>2</v>
      </c>
      <c r="Y629" s="125">
        <f>IF('Quant. mod. (oc)'!Y629&lt;0,0,ROUND('Quant. mod. (oc)'!Y629,0))</f>
        <v>2</v>
      </c>
      <c r="Z629" s="125">
        <f>IF('Quant. mod. (oc)'!Z629&lt;0,0,ROUND('Quant. mod. (oc)'!Z629,0))</f>
        <v>2</v>
      </c>
      <c r="AA629" s="125">
        <f>IF('Quant. mod. (oc)'!AA629&lt;0,0,ROUND('Quant. mod. (oc)'!AA629,0))</f>
        <v>2</v>
      </c>
      <c r="AB629" s="125">
        <f>IF('Quant. mod. (oc)'!AB629&lt;0,0,ROUND('Quant. mod. (oc)'!AB629,0))</f>
        <v>2</v>
      </c>
      <c r="AC629" s="125">
        <f>IF('Quant. mod. (oc)'!AC629&lt;0,0,ROUND('Quant. mod. (oc)'!AC629,0))</f>
        <v>2</v>
      </c>
      <c r="AD629" s="125">
        <f>IF('Quant. mod. (oc)'!AD629&lt;0,0,ROUND('Quant. mod. (oc)'!AD629,0))</f>
        <v>2</v>
      </c>
      <c r="AE629" s="125">
        <f>IF('Quant. mod. (oc)'!AE629&lt;0,0,ROUND('Quant. mod. (oc)'!AE629,0))</f>
        <v>2</v>
      </c>
      <c r="AF629" s="125">
        <f>IF('Quant. mod. (oc)'!AF629&lt;0,0,ROUND('Quant. mod. (oc)'!AF629,0))</f>
        <v>2</v>
      </c>
      <c r="AG629" s="126">
        <f>IF('Quant. mod. (oc)'!AG629&lt;0,0,ROUND('Quant. mod. (oc)'!AG629,0))</f>
        <v>2</v>
      </c>
      <c r="AH629" s="22"/>
    </row>
    <row r="630" spans="1:34" x14ac:dyDescent="0.25">
      <c r="A630" s="21"/>
      <c r="B630" s="141" t="s">
        <v>649</v>
      </c>
      <c r="C630" s="125" t="s">
        <v>60</v>
      </c>
      <c r="D630" s="125">
        <f>IF('Quant. mod. (oc)'!D630&lt;0,0,ROUND('Quant. mod. (oc)'!D630,0))</f>
        <v>2</v>
      </c>
      <c r="E630" s="125">
        <f>IF('Quant. mod. (oc)'!E630&lt;0,0,ROUND('Quant. mod. (oc)'!E630,0))</f>
        <v>2</v>
      </c>
      <c r="F630" s="125">
        <f>IF('Quant. mod. (oc)'!F630&lt;0,0,ROUND('Quant. mod. (oc)'!F630,0))</f>
        <v>2</v>
      </c>
      <c r="G630" s="125">
        <f>IF('Quant. mod. (oc)'!G630&lt;0,0,ROUND('Quant. mod. (oc)'!G630,0))</f>
        <v>2</v>
      </c>
      <c r="H630" s="125">
        <f>IF('Quant. mod. (oc)'!H630&lt;0,0,ROUND('Quant. mod. (oc)'!H630,0))</f>
        <v>2</v>
      </c>
      <c r="I630" s="125">
        <f>IF('Quant. mod. (oc)'!I630&lt;0,0,ROUND('Quant. mod. (oc)'!I630,0))</f>
        <v>2</v>
      </c>
      <c r="J630" s="125">
        <f>IF('Quant. mod. (oc)'!J630&lt;0,0,ROUND('Quant. mod. (oc)'!J630,0))</f>
        <v>2</v>
      </c>
      <c r="K630" s="125">
        <f>IF('Quant. mod. (oc)'!K630&lt;0,0,ROUND('Quant. mod. (oc)'!K630,0))</f>
        <v>2</v>
      </c>
      <c r="L630" s="125">
        <f>IF('Quant. mod. (oc)'!L630&lt;0,0,ROUND('Quant. mod. (oc)'!L630,0))</f>
        <v>2</v>
      </c>
      <c r="M630" s="125">
        <f>IF('Quant. mod. (oc)'!M630&lt;0,0,ROUND('Quant. mod. (oc)'!M630,0))</f>
        <v>2</v>
      </c>
      <c r="N630" s="125">
        <f>IF('Quant. mod. (oc)'!N630&lt;0,0,ROUND('Quant. mod. (oc)'!N630,0))</f>
        <v>2</v>
      </c>
      <c r="O630" s="125">
        <f>IF('Quant. mod. (oc)'!O630&lt;0,0,ROUND('Quant. mod. (oc)'!O630,0))</f>
        <v>2</v>
      </c>
      <c r="P630" s="125">
        <f>IF('Quant. mod. (oc)'!P630&lt;0,0,ROUND('Quant. mod. (oc)'!P630,0))</f>
        <v>2</v>
      </c>
      <c r="Q630" s="125">
        <f>IF('Quant. mod. (oc)'!Q630&lt;0,0,ROUND('Quant. mod. (oc)'!Q630,0))</f>
        <v>2</v>
      </c>
      <c r="R630" s="125">
        <f>IF('Quant. mod. (oc)'!R630&lt;0,0,ROUND('Quant. mod. (oc)'!R630,0))</f>
        <v>2</v>
      </c>
      <c r="S630" s="125">
        <f>IF('Quant. mod. (oc)'!S630&lt;0,0,ROUND('Quant. mod. (oc)'!S630,0))</f>
        <v>2</v>
      </c>
      <c r="T630" s="125">
        <f>IF('Quant. mod. (oc)'!T630&lt;0,0,ROUND('Quant. mod. (oc)'!T630,0))</f>
        <v>2</v>
      </c>
      <c r="U630" s="125">
        <f>IF('Quant. mod. (oc)'!U630&lt;0,0,ROUND('Quant. mod. (oc)'!U630,0))</f>
        <v>2</v>
      </c>
      <c r="V630" s="125">
        <f>IF('Quant. mod. (oc)'!V630&lt;0,0,ROUND('Quant. mod. (oc)'!V630,0))</f>
        <v>2</v>
      </c>
      <c r="W630" s="125">
        <f>IF('Quant. mod. (oc)'!W630&lt;0,0,ROUND('Quant. mod. (oc)'!W630,0))</f>
        <v>2</v>
      </c>
      <c r="X630" s="125">
        <f>IF('Quant. mod. (oc)'!X630&lt;0,0,ROUND('Quant. mod. (oc)'!X630,0))</f>
        <v>2</v>
      </c>
      <c r="Y630" s="125">
        <f>IF('Quant. mod. (oc)'!Y630&lt;0,0,ROUND('Quant. mod. (oc)'!Y630,0))</f>
        <v>2</v>
      </c>
      <c r="Z630" s="125">
        <f>IF('Quant. mod. (oc)'!Z630&lt;0,0,ROUND('Quant. mod. (oc)'!Z630,0))</f>
        <v>2</v>
      </c>
      <c r="AA630" s="125">
        <f>IF('Quant. mod. (oc)'!AA630&lt;0,0,ROUND('Quant. mod. (oc)'!AA630,0))</f>
        <v>2</v>
      </c>
      <c r="AB630" s="125">
        <f>IF('Quant. mod. (oc)'!AB630&lt;0,0,ROUND('Quant. mod. (oc)'!AB630,0))</f>
        <v>2</v>
      </c>
      <c r="AC630" s="125">
        <f>IF('Quant. mod. (oc)'!AC630&lt;0,0,ROUND('Quant. mod. (oc)'!AC630,0))</f>
        <v>2</v>
      </c>
      <c r="AD630" s="125">
        <f>IF('Quant. mod. (oc)'!AD630&lt;0,0,ROUND('Quant. mod. (oc)'!AD630,0))</f>
        <v>2</v>
      </c>
      <c r="AE630" s="125">
        <f>IF('Quant. mod. (oc)'!AE630&lt;0,0,ROUND('Quant. mod. (oc)'!AE630,0))</f>
        <v>2</v>
      </c>
      <c r="AF630" s="125">
        <f>IF('Quant. mod. (oc)'!AF630&lt;0,0,ROUND('Quant. mod. (oc)'!AF630,0))</f>
        <v>2</v>
      </c>
      <c r="AG630" s="126">
        <f>IF('Quant. mod. (oc)'!AG630&lt;0,0,ROUND('Quant. mod. (oc)'!AG630,0))</f>
        <v>2</v>
      </c>
      <c r="AH630" s="22"/>
    </row>
    <row r="631" spans="1:34" x14ac:dyDescent="0.25">
      <c r="A631" s="21"/>
      <c r="B631" s="141" t="s">
        <v>650</v>
      </c>
      <c r="C631" s="125" t="s">
        <v>60</v>
      </c>
      <c r="D631" s="125">
        <f>IF('Quant. mod. (oc)'!D631&lt;0,0,ROUND('Quant. mod. (oc)'!D631,0))</f>
        <v>2</v>
      </c>
      <c r="E631" s="125">
        <f>IF('Quant. mod. (oc)'!E631&lt;0,0,ROUND('Quant. mod. (oc)'!E631,0))</f>
        <v>2</v>
      </c>
      <c r="F631" s="125">
        <f>IF('Quant. mod. (oc)'!F631&lt;0,0,ROUND('Quant. mod. (oc)'!F631,0))</f>
        <v>2</v>
      </c>
      <c r="G631" s="125">
        <f>IF('Quant. mod. (oc)'!G631&lt;0,0,ROUND('Quant. mod. (oc)'!G631,0))</f>
        <v>2</v>
      </c>
      <c r="H631" s="125">
        <f>IF('Quant. mod. (oc)'!H631&lt;0,0,ROUND('Quant. mod. (oc)'!H631,0))</f>
        <v>2</v>
      </c>
      <c r="I631" s="125">
        <f>IF('Quant. mod. (oc)'!I631&lt;0,0,ROUND('Quant. mod. (oc)'!I631,0))</f>
        <v>2</v>
      </c>
      <c r="J631" s="125">
        <f>IF('Quant. mod. (oc)'!J631&lt;0,0,ROUND('Quant. mod. (oc)'!J631,0))</f>
        <v>2</v>
      </c>
      <c r="K631" s="125">
        <f>IF('Quant. mod. (oc)'!K631&lt;0,0,ROUND('Quant. mod. (oc)'!K631,0))</f>
        <v>2</v>
      </c>
      <c r="L631" s="125">
        <f>IF('Quant. mod. (oc)'!L631&lt;0,0,ROUND('Quant. mod. (oc)'!L631,0))</f>
        <v>2</v>
      </c>
      <c r="M631" s="125">
        <f>IF('Quant. mod. (oc)'!M631&lt;0,0,ROUND('Quant. mod. (oc)'!M631,0))</f>
        <v>2</v>
      </c>
      <c r="N631" s="125">
        <f>IF('Quant. mod. (oc)'!N631&lt;0,0,ROUND('Quant. mod. (oc)'!N631,0))</f>
        <v>2</v>
      </c>
      <c r="O631" s="125">
        <f>IF('Quant. mod. (oc)'!O631&lt;0,0,ROUND('Quant. mod. (oc)'!O631,0))</f>
        <v>2</v>
      </c>
      <c r="P631" s="125">
        <f>IF('Quant. mod. (oc)'!P631&lt;0,0,ROUND('Quant. mod. (oc)'!P631,0))</f>
        <v>2</v>
      </c>
      <c r="Q631" s="125">
        <f>IF('Quant. mod. (oc)'!Q631&lt;0,0,ROUND('Quant. mod. (oc)'!Q631,0))</f>
        <v>2</v>
      </c>
      <c r="R631" s="125">
        <f>IF('Quant. mod. (oc)'!R631&lt;0,0,ROUND('Quant. mod. (oc)'!R631,0))</f>
        <v>2</v>
      </c>
      <c r="S631" s="125">
        <f>IF('Quant. mod. (oc)'!S631&lt;0,0,ROUND('Quant. mod. (oc)'!S631,0))</f>
        <v>2</v>
      </c>
      <c r="T631" s="125">
        <f>IF('Quant. mod. (oc)'!T631&lt;0,0,ROUND('Quant. mod. (oc)'!T631,0))</f>
        <v>2</v>
      </c>
      <c r="U631" s="125">
        <f>IF('Quant. mod. (oc)'!U631&lt;0,0,ROUND('Quant. mod. (oc)'!U631,0))</f>
        <v>2</v>
      </c>
      <c r="V631" s="125">
        <f>IF('Quant. mod. (oc)'!V631&lt;0,0,ROUND('Quant. mod. (oc)'!V631,0))</f>
        <v>2</v>
      </c>
      <c r="W631" s="125">
        <f>IF('Quant. mod. (oc)'!W631&lt;0,0,ROUND('Quant. mod. (oc)'!W631,0))</f>
        <v>2</v>
      </c>
      <c r="X631" s="125">
        <f>IF('Quant. mod. (oc)'!X631&lt;0,0,ROUND('Quant. mod. (oc)'!X631,0))</f>
        <v>2</v>
      </c>
      <c r="Y631" s="125">
        <f>IF('Quant. mod. (oc)'!Y631&lt;0,0,ROUND('Quant. mod. (oc)'!Y631,0))</f>
        <v>2</v>
      </c>
      <c r="Z631" s="125">
        <f>IF('Quant. mod. (oc)'!Z631&lt;0,0,ROUND('Quant. mod. (oc)'!Z631,0))</f>
        <v>2</v>
      </c>
      <c r="AA631" s="125">
        <f>IF('Quant. mod. (oc)'!AA631&lt;0,0,ROUND('Quant. mod. (oc)'!AA631,0))</f>
        <v>2</v>
      </c>
      <c r="AB631" s="125">
        <f>IF('Quant. mod. (oc)'!AB631&lt;0,0,ROUND('Quant. mod. (oc)'!AB631,0))</f>
        <v>2</v>
      </c>
      <c r="AC631" s="125">
        <f>IF('Quant. mod. (oc)'!AC631&lt;0,0,ROUND('Quant. mod. (oc)'!AC631,0))</f>
        <v>2</v>
      </c>
      <c r="AD631" s="125">
        <f>IF('Quant. mod. (oc)'!AD631&lt;0,0,ROUND('Quant. mod. (oc)'!AD631,0))</f>
        <v>2</v>
      </c>
      <c r="AE631" s="125">
        <f>IF('Quant. mod. (oc)'!AE631&lt;0,0,ROUND('Quant. mod. (oc)'!AE631,0))</f>
        <v>2</v>
      </c>
      <c r="AF631" s="125">
        <f>IF('Quant. mod. (oc)'!AF631&lt;0,0,ROUND('Quant. mod. (oc)'!AF631,0))</f>
        <v>2</v>
      </c>
      <c r="AG631" s="126">
        <f>IF('Quant. mod. (oc)'!AG631&lt;0,0,ROUND('Quant. mod. (oc)'!AG631,0))</f>
        <v>2</v>
      </c>
      <c r="AH631" s="22"/>
    </row>
    <row r="632" spans="1:34" x14ac:dyDescent="0.25">
      <c r="A632" s="21"/>
      <c r="B632" s="141" t="s">
        <v>651</v>
      </c>
      <c r="C632" s="125" t="s">
        <v>60</v>
      </c>
      <c r="D632" s="125">
        <f>IF('Quant. mod. (oc)'!D632&lt;0,0,ROUND('Quant. mod. (oc)'!D632,0))</f>
        <v>2</v>
      </c>
      <c r="E632" s="125">
        <f>IF('Quant. mod. (oc)'!E632&lt;0,0,ROUND('Quant. mod. (oc)'!E632,0))</f>
        <v>2</v>
      </c>
      <c r="F632" s="125">
        <f>IF('Quant. mod. (oc)'!F632&lt;0,0,ROUND('Quant. mod. (oc)'!F632,0))</f>
        <v>2</v>
      </c>
      <c r="G632" s="125">
        <f>IF('Quant. mod. (oc)'!G632&lt;0,0,ROUND('Quant. mod. (oc)'!G632,0))</f>
        <v>2</v>
      </c>
      <c r="H632" s="125">
        <f>IF('Quant. mod. (oc)'!H632&lt;0,0,ROUND('Quant. mod. (oc)'!H632,0))</f>
        <v>2</v>
      </c>
      <c r="I632" s="125">
        <f>IF('Quant. mod. (oc)'!I632&lt;0,0,ROUND('Quant. mod. (oc)'!I632,0))</f>
        <v>2</v>
      </c>
      <c r="J632" s="125">
        <f>IF('Quant. mod. (oc)'!J632&lt;0,0,ROUND('Quant. mod. (oc)'!J632,0))</f>
        <v>2</v>
      </c>
      <c r="K632" s="125">
        <f>IF('Quant. mod. (oc)'!K632&lt;0,0,ROUND('Quant. mod. (oc)'!K632,0))</f>
        <v>2</v>
      </c>
      <c r="L632" s="125">
        <f>IF('Quant. mod. (oc)'!L632&lt;0,0,ROUND('Quant. mod. (oc)'!L632,0))</f>
        <v>2</v>
      </c>
      <c r="M632" s="125">
        <f>IF('Quant. mod. (oc)'!M632&lt;0,0,ROUND('Quant. mod. (oc)'!M632,0))</f>
        <v>2</v>
      </c>
      <c r="N632" s="125">
        <f>IF('Quant. mod. (oc)'!N632&lt;0,0,ROUND('Quant. mod. (oc)'!N632,0))</f>
        <v>2</v>
      </c>
      <c r="O632" s="125">
        <f>IF('Quant. mod. (oc)'!O632&lt;0,0,ROUND('Quant. mod. (oc)'!O632,0))</f>
        <v>2</v>
      </c>
      <c r="P632" s="125">
        <f>IF('Quant. mod. (oc)'!P632&lt;0,0,ROUND('Quant. mod. (oc)'!P632,0))</f>
        <v>2</v>
      </c>
      <c r="Q632" s="125">
        <f>IF('Quant. mod. (oc)'!Q632&lt;0,0,ROUND('Quant. mod. (oc)'!Q632,0))</f>
        <v>2</v>
      </c>
      <c r="R632" s="125">
        <f>IF('Quant. mod. (oc)'!R632&lt;0,0,ROUND('Quant. mod. (oc)'!R632,0))</f>
        <v>2</v>
      </c>
      <c r="S632" s="125">
        <f>IF('Quant. mod. (oc)'!S632&lt;0,0,ROUND('Quant. mod. (oc)'!S632,0))</f>
        <v>2</v>
      </c>
      <c r="T632" s="125">
        <f>IF('Quant. mod. (oc)'!T632&lt;0,0,ROUND('Quant. mod. (oc)'!T632,0))</f>
        <v>2</v>
      </c>
      <c r="U632" s="125">
        <f>IF('Quant. mod. (oc)'!U632&lt;0,0,ROUND('Quant. mod. (oc)'!U632,0))</f>
        <v>2</v>
      </c>
      <c r="V632" s="125">
        <f>IF('Quant. mod. (oc)'!V632&lt;0,0,ROUND('Quant. mod. (oc)'!V632,0))</f>
        <v>2</v>
      </c>
      <c r="W632" s="125">
        <f>IF('Quant. mod. (oc)'!W632&lt;0,0,ROUND('Quant. mod. (oc)'!W632,0))</f>
        <v>2</v>
      </c>
      <c r="X632" s="125">
        <f>IF('Quant. mod. (oc)'!X632&lt;0,0,ROUND('Quant. mod. (oc)'!X632,0))</f>
        <v>2</v>
      </c>
      <c r="Y632" s="125">
        <f>IF('Quant. mod. (oc)'!Y632&lt;0,0,ROUND('Quant. mod. (oc)'!Y632,0))</f>
        <v>2</v>
      </c>
      <c r="Z632" s="125">
        <f>IF('Quant. mod. (oc)'!Z632&lt;0,0,ROUND('Quant. mod. (oc)'!Z632,0))</f>
        <v>2</v>
      </c>
      <c r="AA632" s="125">
        <f>IF('Quant. mod. (oc)'!AA632&lt;0,0,ROUND('Quant. mod. (oc)'!AA632,0))</f>
        <v>2</v>
      </c>
      <c r="AB632" s="125">
        <f>IF('Quant. mod. (oc)'!AB632&lt;0,0,ROUND('Quant. mod. (oc)'!AB632,0))</f>
        <v>2</v>
      </c>
      <c r="AC632" s="125">
        <f>IF('Quant. mod. (oc)'!AC632&lt;0,0,ROUND('Quant. mod. (oc)'!AC632,0))</f>
        <v>2</v>
      </c>
      <c r="AD632" s="125">
        <f>IF('Quant. mod. (oc)'!AD632&lt;0,0,ROUND('Quant. mod. (oc)'!AD632,0))</f>
        <v>2</v>
      </c>
      <c r="AE632" s="125">
        <f>IF('Quant. mod. (oc)'!AE632&lt;0,0,ROUND('Quant. mod. (oc)'!AE632,0))</f>
        <v>2</v>
      </c>
      <c r="AF632" s="125">
        <f>IF('Quant. mod. (oc)'!AF632&lt;0,0,ROUND('Quant. mod. (oc)'!AF632,0))</f>
        <v>2</v>
      </c>
      <c r="AG632" s="126">
        <f>IF('Quant. mod. (oc)'!AG632&lt;0,0,ROUND('Quant. mod. (oc)'!AG632,0))</f>
        <v>2</v>
      </c>
      <c r="AH632" s="22"/>
    </row>
    <row r="633" spans="1:34" x14ac:dyDescent="0.25">
      <c r="A633" s="21"/>
      <c r="B633" s="141" t="s">
        <v>652</v>
      </c>
      <c r="C633" s="125" t="s">
        <v>60</v>
      </c>
      <c r="D633" s="125">
        <f>IF('Quant. mod. (oc)'!D633&lt;0,0,ROUND('Quant. mod. (oc)'!D633,0))</f>
        <v>2</v>
      </c>
      <c r="E633" s="125">
        <f>IF('Quant. mod. (oc)'!E633&lt;0,0,ROUND('Quant. mod. (oc)'!E633,0))</f>
        <v>2</v>
      </c>
      <c r="F633" s="125">
        <f>IF('Quant. mod. (oc)'!F633&lt;0,0,ROUND('Quant. mod. (oc)'!F633,0))</f>
        <v>2</v>
      </c>
      <c r="G633" s="125">
        <f>IF('Quant. mod. (oc)'!G633&lt;0,0,ROUND('Quant. mod. (oc)'!G633,0))</f>
        <v>2</v>
      </c>
      <c r="H633" s="125">
        <f>IF('Quant. mod. (oc)'!H633&lt;0,0,ROUND('Quant. mod. (oc)'!H633,0))</f>
        <v>2</v>
      </c>
      <c r="I633" s="125">
        <f>IF('Quant. mod. (oc)'!I633&lt;0,0,ROUND('Quant. mod. (oc)'!I633,0))</f>
        <v>2</v>
      </c>
      <c r="J633" s="125">
        <f>IF('Quant. mod. (oc)'!J633&lt;0,0,ROUND('Quant. mod. (oc)'!J633,0))</f>
        <v>2</v>
      </c>
      <c r="K633" s="125">
        <f>IF('Quant. mod. (oc)'!K633&lt;0,0,ROUND('Quant. mod. (oc)'!K633,0))</f>
        <v>2</v>
      </c>
      <c r="L633" s="125">
        <f>IF('Quant. mod. (oc)'!L633&lt;0,0,ROUND('Quant. mod. (oc)'!L633,0))</f>
        <v>2</v>
      </c>
      <c r="M633" s="125">
        <f>IF('Quant. mod. (oc)'!M633&lt;0,0,ROUND('Quant. mod. (oc)'!M633,0))</f>
        <v>2</v>
      </c>
      <c r="N633" s="125">
        <f>IF('Quant. mod. (oc)'!N633&lt;0,0,ROUND('Quant. mod. (oc)'!N633,0))</f>
        <v>2</v>
      </c>
      <c r="O633" s="125">
        <f>IF('Quant. mod. (oc)'!O633&lt;0,0,ROUND('Quant. mod. (oc)'!O633,0))</f>
        <v>2</v>
      </c>
      <c r="P633" s="125">
        <f>IF('Quant. mod. (oc)'!P633&lt;0,0,ROUND('Quant. mod. (oc)'!P633,0))</f>
        <v>2</v>
      </c>
      <c r="Q633" s="125">
        <f>IF('Quant. mod. (oc)'!Q633&lt;0,0,ROUND('Quant. mod. (oc)'!Q633,0))</f>
        <v>2</v>
      </c>
      <c r="R633" s="125">
        <f>IF('Quant. mod. (oc)'!R633&lt;0,0,ROUND('Quant. mod. (oc)'!R633,0))</f>
        <v>2</v>
      </c>
      <c r="S633" s="125">
        <f>IF('Quant. mod. (oc)'!S633&lt;0,0,ROUND('Quant. mod. (oc)'!S633,0))</f>
        <v>2</v>
      </c>
      <c r="T633" s="125">
        <f>IF('Quant. mod. (oc)'!T633&lt;0,0,ROUND('Quant. mod. (oc)'!T633,0))</f>
        <v>2</v>
      </c>
      <c r="U633" s="125">
        <f>IF('Quant. mod. (oc)'!U633&lt;0,0,ROUND('Quant. mod. (oc)'!U633,0))</f>
        <v>2</v>
      </c>
      <c r="V633" s="125">
        <f>IF('Quant. mod. (oc)'!V633&lt;0,0,ROUND('Quant. mod. (oc)'!V633,0))</f>
        <v>2</v>
      </c>
      <c r="W633" s="125">
        <f>IF('Quant. mod. (oc)'!W633&lt;0,0,ROUND('Quant. mod. (oc)'!W633,0))</f>
        <v>2</v>
      </c>
      <c r="X633" s="125">
        <f>IF('Quant. mod. (oc)'!X633&lt;0,0,ROUND('Quant. mod. (oc)'!X633,0))</f>
        <v>2</v>
      </c>
      <c r="Y633" s="125">
        <f>IF('Quant. mod. (oc)'!Y633&lt;0,0,ROUND('Quant. mod. (oc)'!Y633,0))</f>
        <v>2</v>
      </c>
      <c r="Z633" s="125">
        <f>IF('Quant. mod. (oc)'!Z633&lt;0,0,ROUND('Quant. mod. (oc)'!Z633,0))</f>
        <v>2</v>
      </c>
      <c r="AA633" s="125">
        <f>IF('Quant. mod. (oc)'!AA633&lt;0,0,ROUND('Quant. mod. (oc)'!AA633,0))</f>
        <v>2</v>
      </c>
      <c r="AB633" s="125">
        <f>IF('Quant. mod. (oc)'!AB633&lt;0,0,ROUND('Quant. mod. (oc)'!AB633,0))</f>
        <v>2</v>
      </c>
      <c r="AC633" s="125">
        <f>IF('Quant. mod. (oc)'!AC633&lt;0,0,ROUND('Quant. mod. (oc)'!AC633,0))</f>
        <v>2</v>
      </c>
      <c r="AD633" s="125">
        <f>IF('Quant. mod. (oc)'!AD633&lt;0,0,ROUND('Quant. mod. (oc)'!AD633,0))</f>
        <v>2</v>
      </c>
      <c r="AE633" s="125">
        <f>IF('Quant. mod. (oc)'!AE633&lt;0,0,ROUND('Quant. mod. (oc)'!AE633,0))</f>
        <v>2</v>
      </c>
      <c r="AF633" s="125">
        <f>IF('Quant. mod. (oc)'!AF633&lt;0,0,ROUND('Quant. mod. (oc)'!AF633,0))</f>
        <v>2</v>
      </c>
      <c r="AG633" s="126">
        <f>IF('Quant. mod. (oc)'!AG633&lt;0,0,ROUND('Quant. mod. (oc)'!AG633,0))</f>
        <v>2</v>
      </c>
      <c r="AH633" s="22"/>
    </row>
    <row r="634" spans="1:34" x14ac:dyDescent="0.25">
      <c r="A634" s="21"/>
      <c r="B634" s="141" t="s">
        <v>653</v>
      </c>
      <c r="C634" s="125" t="s">
        <v>60</v>
      </c>
      <c r="D634" s="125">
        <f>IF('Quant. mod. (oc)'!D634&lt;0,0,ROUND('Quant. mod. (oc)'!D634,0))</f>
        <v>2</v>
      </c>
      <c r="E634" s="125">
        <f>IF('Quant. mod. (oc)'!E634&lt;0,0,ROUND('Quant. mod. (oc)'!E634,0))</f>
        <v>2</v>
      </c>
      <c r="F634" s="125">
        <f>IF('Quant. mod. (oc)'!F634&lt;0,0,ROUND('Quant. mod. (oc)'!F634,0))</f>
        <v>2</v>
      </c>
      <c r="G634" s="125">
        <f>IF('Quant. mod. (oc)'!G634&lt;0,0,ROUND('Quant. mod. (oc)'!G634,0))</f>
        <v>2</v>
      </c>
      <c r="H634" s="125">
        <f>IF('Quant. mod. (oc)'!H634&lt;0,0,ROUND('Quant. mod. (oc)'!H634,0))</f>
        <v>2</v>
      </c>
      <c r="I634" s="125">
        <f>IF('Quant. mod. (oc)'!I634&lt;0,0,ROUND('Quant. mod. (oc)'!I634,0))</f>
        <v>2</v>
      </c>
      <c r="J634" s="125">
        <f>IF('Quant. mod. (oc)'!J634&lt;0,0,ROUND('Quant. mod. (oc)'!J634,0))</f>
        <v>2</v>
      </c>
      <c r="K634" s="125">
        <f>IF('Quant. mod. (oc)'!K634&lt;0,0,ROUND('Quant. mod. (oc)'!K634,0))</f>
        <v>2</v>
      </c>
      <c r="L634" s="125">
        <f>IF('Quant. mod. (oc)'!L634&lt;0,0,ROUND('Quant. mod. (oc)'!L634,0))</f>
        <v>2</v>
      </c>
      <c r="M634" s="125">
        <f>IF('Quant. mod. (oc)'!M634&lt;0,0,ROUND('Quant. mod. (oc)'!M634,0))</f>
        <v>2</v>
      </c>
      <c r="N634" s="125">
        <f>IF('Quant. mod. (oc)'!N634&lt;0,0,ROUND('Quant. mod. (oc)'!N634,0))</f>
        <v>2</v>
      </c>
      <c r="O634" s="125">
        <f>IF('Quant. mod. (oc)'!O634&lt;0,0,ROUND('Quant. mod. (oc)'!O634,0))</f>
        <v>2</v>
      </c>
      <c r="P634" s="125">
        <f>IF('Quant. mod. (oc)'!P634&lt;0,0,ROUND('Quant. mod. (oc)'!P634,0))</f>
        <v>2</v>
      </c>
      <c r="Q634" s="125">
        <f>IF('Quant. mod. (oc)'!Q634&lt;0,0,ROUND('Quant. mod. (oc)'!Q634,0))</f>
        <v>2</v>
      </c>
      <c r="R634" s="125">
        <f>IF('Quant. mod. (oc)'!R634&lt;0,0,ROUND('Quant. mod. (oc)'!R634,0))</f>
        <v>2</v>
      </c>
      <c r="S634" s="125">
        <f>IF('Quant. mod. (oc)'!S634&lt;0,0,ROUND('Quant. mod. (oc)'!S634,0))</f>
        <v>2</v>
      </c>
      <c r="T634" s="125">
        <f>IF('Quant. mod. (oc)'!T634&lt;0,0,ROUND('Quant. mod. (oc)'!T634,0))</f>
        <v>2</v>
      </c>
      <c r="U634" s="125">
        <f>IF('Quant. mod. (oc)'!U634&lt;0,0,ROUND('Quant. mod. (oc)'!U634,0))</f>
        <v>2</v>
      </c>
      <c r="V634" s="125">
        <f>IF('Quant. mod. (oc)'!V634&lt;0,0,ROUND('Quant. mod. (oc)'!V634,0))</f>
        <v>2</v>
      </c>
      <c r="W634" s="125">
        <f>IF('Quant. mod. (oc)'!W634&lt;0,0,ROUND('Quant. mod. (oc)'!W634,0))</f>
        <v>2</v>
      </c>
      <c r="X634" s="125">
        <f>IF('Quant. mod. (oc)'!X634&lt;0,0,ROUND('Quant. mod. (oc)'!X634,0))</f>
        <v>2</v>
      </c>
      <c r="Y634" s="125">
        <f>IF('Quant. mod. (oc)'!Y634&lt;0,0,ROUND('Quant. mod. (oc)'!Y634,0))</f>
        <v>2</v>
      </c>
      <c r="Z634" s="125">
        <f>IF('Quant. mod. (oc)'!Z634&lt;0,0,ROUND('Quant. mod. (oc)'!Z634,0))</f>
        <v>2</v>
      </c>
      <c r="AA634" s="125">
        <f>IF('Quant. mod. (oc)'!AA634&lt;0,0,ROUND('Quant. mod. (oc)'!AA634,0))</f>
        <v>2</v>
      </c>
      <c r="AB634" s="125">
        <f>IF('Quant. mod. (oc)'!AB634&lt;0,0,ROUND('Quant. mod. (oc)'!AB634,0))</f>
        <v>2</v>
      </c>
      <c r="AC634" s="125">
        <f>IF('Quant. mod. (oc)'!AC634&lt;0,0,ROUND('Quant. mod. (oc)'!AC634,0))</f>
        <v>2</v>
      </c>
      <c r="AD634" s="125">
        <f>IF('Quant. mod. (oc)'!AD634&lt;0,0,ROUND('Quant. mod. (oc)'!AD634,0))</f>
        <v>2</v>
      </c>
      <c r="AE634" s="125">
        <f>IF('Quant. mod. (oc)'!AE634&lt;0,0,ROUND('Quant. mod. (oc)'!AE634,0))</f>
        <v>2</v>
      </c>
      <c r="AF634" s="125">
        <f>IF('Quant. mod. (oc)'!AF634&lt;0,0,ROUND('Quant. mod. (oc)'!AF634,0))</f>
        <v>2</v>
      </c>
      <c r="AG634" s="126">
        <f>IF('Quant. mod. (oc)'!AG634&lt;0,0,ROUND('Quant. mod. (oc)'!AG634,0))</f>
        <v>2</v>
      </c>
      <c r="AH634" s="22"/>
    </row>
    <row r="635" spans="1:34" x14ac:dyDescent="0.25">
      <c r="A635" s="21"/>
      <c r="B635" s="141" t="s">
        <v>654</v>
      </c>
      <c r="C635" s="125" t="s">
        <v>60</v>
      </c>
      <c r="D635" s="125">
        <f>IF('Quant. mod. (oc)'!D635&lt;0,0,ROUND('Quant. mod. (oc)'!D635,0))</f>
        <v>2</v>
      </c>
      <c r="E635" s="125">
        <f>IF('Quant. mod. (oc)'!E635&lt;0,0,ROUND('Quant. mod. (oc)'!E635,0))</f>
        <v>2</v>
      </c>
      <c r="F635" s="125">
        <f>IF('Quant. mod. (oc)'!F635&lt;0,0,ROUND('Quant. mod. (oc)'!F635,0))</f>
        <v>2</v>
      </c>
      <c r="G635" s="125">
        <f>IF('Quant. mod. (oc)'!G635&lt;0,0,ROUND('Quant. mod. (oc)'!G635,0))</f>
        <v>2</v>
      </c>
      <c r="H635" s="125">
        <f>IF('Quant. mod. (oc)'!H635&lt;0,0,ROUND('Quant. mod. (oc)'!H635,0))</f>
        <v>2</v>
      </c>
      <c r="I635" s="125">
        <f>IF('Quant. mod. (oc)'!I635&lt;0,0,ROUND('Quant. mod. (oc)'!I635,0))</f>
        <v>2</v>
      </c>
      <c r="J635" s="125">
        <f>IF('Quant. mod. (oc)'!J635&lt;0,0,ROUND('Quant. mod. (oc)'!J635,0))</f>
        <v>2</v>
      </c>
      <c r="K635" s="125">
        <f>IF('Quant. mod. (oc)'!K635&lt;0,0,ROUND('Quant. mod. (oc)'!K635,0))</f>
        <v>2</v>
      </c>
      <c r="L635" s="125">
        <f>IF('Quant. mod. (oc)'!L635&lt;0,0,ROUND('Quant. mod. (oc)'!L635,0))</f>
        <v>2</v>
      </c>
      <c r="M635" s="125">
        <f>IF('Quant. mod. (oc)'!M635&lt;0,0,ROUND('Quant. mod. (oc)'!M635,0))</f>
        <v>2</v>
      </c>
      <c r="N635" s="125">
        <f>IF('Quant. mod. (oc)'!N635&lt;0,0,ROUND('Quant. mod. (oc)'!N635,0))</f>
        <v>2</v>
      </c>
      <c r="O635" s="125">
        <f>IF('Quant. mod. (oc)'!O635&lt;0,0,ROUND('Quant. mod. (oc)'!O635,0))</f>
        <v>2</v>
      </c>
      <c r="P635" s="125">
        <f>IF('Quant. mod. (oc)'!P635&lt;0,0,ROUND('Quant. mod. (oc)'!P635,0))</f>
        <v>2</v>
      </c>
      <c r="Q635" s="125">
        <f>IF('Quant. mod. (oc)'!Q635&lt;0,0,ROUND('Quant. mod. (oc)'!Q635,0))</f>
        <v>2</v>
      </c>
      <c r="R635" s="125">
        <f>IF('Quant. mod. (oc)'!R635&lt;0,0,ROUND('Quant. mod. (oc)'!R635,0))</f>
        <v>2</v>
      </c>
      <c r="S635" s="125">
        <f>IF('Quant. mod. (oc)'!S635&lt;0,0,ROUND('Quant. mod. (oc)'!S635,0))</f>
        <v>2</v>
      </c>
      <c r="T635" s="125">
        <f>IF('Quant. mod. (oc)'!T635&lt;0,0,ROUND('Quant. mod. (oc)'!T635,0))</f>
        <v>2</v>
      </c>
      <c r="U635" s="125">
        <f>IF('Quant. mod. (oc)'!U635&lt;0,0,ROUND('Quant. mod. (oc)'!U635,0))</f>
        <v>2</v>
      </c>
      <c r="V635" s="125">
        <f>IF('Quant. mod. (oc)'!V635&lt;0,0,ROUND('Quant. mod. (oc)'!V635,0))</f>
        <v>2</v>
      </c>
      <c r="W635" s="125">
        <f>IF('Quant. mod. (oc)'!W635&lt;0,0,ROUND('Quant. mod. (oc)'!W635,0))</f>
        <v>2</v>
      </c>
      <c r="X635" s="125">
        <f>IF('Quant. mod. (oc)'!X635&lt;0,0,ROUND('Quant. mod. (oc)'!X635,0))</f>
        <v>2</v>
      </c>
      <c r="Y635" s="125">
        <f>IF('Quant. mod. (oc)'!Y635&lt;0,0,ROUND('Quant. mod. (oc)'!Y635,0))</f>
        <v>2</v>
      </c>
      <c r="Z635" s="125">
        <f>IF('Quant. mod. (oc)'!Z635&lt;0,0,ROUND('Quant. mod. (oc)'!Z635,0))</f>
        <v>2</v>
      </c>
      <c r="AA635" s="125">
        <f>IF('Quant. mod. (oc)'!AA635&lt;0,0,ROUND('Quant. mod. (oc)'!AA635,0))</f>
        <v>2</v>
      </c>
      <c r="AB635" s="125">
        <f>IF('Quant. mod. (oc)'!AB635&lt;0,0,ROUND('Quant. mod. (oc)'!AB635,0))</f>
        <v>2</v>
      </c>
      <c r="AC635" s="125">
        <f>IF('Quant. mod. (oc)'!AC635&lt;0,0,ROUND('Quant. mod. (oc)'!AC635,0))</f>
        <v>2</v>
      </c>
      <c r="AD635" s="125">
        <f>IF('Quant. mod. (oc)'!AD635&lt;0,0,ROUND('Quant. mod. (oc)'!AD635,0))</f>
        <v>2</v>
      </c>
      <c r="AE635" s="125">
        <f>IF('Quant. mod. (oc)'!AE635&lt;0,0,ROUND('Quant. mod. (oc)'!AE635,0))</f>
        <v>2</v>
      </c>
      <c r="AF635" s="125">
        <f>IF('Quant. mod. (oc)'!AF635&lt;0,0,ROUND('Quant. mod. (oc)'!AF635,0))</f>
        <v>2</v>
      </c>
      <c r="AG635" s="126">
        <f>IF('Quant. mod. (oc)'!AG635&lt;0,0,ROUND('Quant. mod. (oc)'!AG635,0))</f>
        <v>2</v>
      </c>
      <c r="AH635" s="22"/>
    </row>
    <row r="636" spans="1:34" x14ac:dyDescent="0.25">
      <c r="A636" s="21"/>
      <c r="B636" s="141" t="s">
        <v>655</v>
      </c>
      <c r="C636" s="125" t="s">
        <v>60</v>
      </c>
      <c r="D636" s="125">
        <f>IF('Quant. mod. (oc)'!D636&lt;0,0,ROUND('Quant. mod. (oc)'!D636,0))</f>
        <v>2</v>
      </c>
      <c r="E636" s="125">
        <f>IF('Quant. mod. (oc)'!E636&lt;0,0,ROUND('Quant. mod. (oc)'!E636,0))</f>
        <v>2</v>
      </c>
      <c r="F636" s="125">
        <f>IF('Quant. mod. (oc)'!F636&lt;0,0,ROUND('Quant. mod. (oc)'!F636,0))</f>
        <v>2</v>
      </c>
      <c r="G636" s="125">
        <f>IF('Quant. mod. (oc)'!G636&lt;0,0,ROUND('Quant. mod. (oc)'!G636,0))</f>
        <v>2</v>
      </c>
      <c r="H636" s="125">
        <f>IF('Quant. mod. (oc)'!H636&lt;0,0,ROUND('Quant. mod. (oc)'!H636,0))</f>
        <v>2</v>
      </c>
      <c r="I636" s="125">
        <f>IF('Quant. mod. (oc)'!I636&lt;0,0,ROUND('Quant. mod. (oc)'!I636,0))</f>
        <v>2</v>
      </c>
      <c r="J636" s="125">
        <f>IF('Quant. mod. (oc)'!J636&lt;0,0,ROUND('Quant. mod. (oc)'!J636,0))</f>
        <v>2</v>
      </c>
      <c r="K636" s="125">
        <f>IF('Quant. mod. (oc)'!K636&lt;0,0,ROUND('Quant. mod. (oc)'!K636,0))</f>
        <v>2</v>
      </c>
      <c r="L636" s="125">
        <f>IF('Quant. mod. (oc)'!L636&lt;0,0,ROUND('Quant. mod. (oc)'!L636,0))</f>
        <v>2</v>
      </c>
      <c r="M636" s="125">
        <f>IF('Quant. mod. (oc)'!M636&lt;0,0,ROUND('Quant. mod. (oc)'!M636,0))</f>
        <v>2</v>
      </c>
      <c r="N636" s="125">
        <f>IF('Quant. mod. (oc)'!N636&lt;0,0,ROUND('Quant. mod. (oc)'!N636,0))</f>
        <v>2</v>
      </c>
      <c r="O636" s="125">
        <f>IF('Quant. mod. (oc)'!O636&lt;0,0,ROUND('Quant. mod. (oc)'!O636,0))</f>
        <v>2</v>
      </c>
      <c r="P636" s="125">
        <f>IF('Quant. mod. (oc)'!P636&lt;0,0,ROUND('Quant. mod. (oc)'!P636,0))</f>
        <v>2</v>
      </c>
      <c r="Q636" s="125">
        <f>IF('Quant. mod. (oc)'!Q636&lt;0,0,ROUND('Quant. mod. (oc)'!Q636,0))</f>
        <v>2</v>
      </c>
      <c r="R636" s="125">
        <f>IF('Quant. mod. (oc)'!R636&lt;0,0,ROUND('Quant. mod. (oc)'!R636,0))</f>
        <v>2</v>
      </c>
      <c r="S636" s="125">
        <f>IF('Quant. mod. (oc)'!S636&lt;0,0,ROUND('Quant. mod. (oc)'!S636,0))</f>
        <v>2</v>
      </c>
      <c r="T636" s="125">
        <f>IF('Quant. mod. (oc)'!T636&lt;0,0,ROUND('Quant. mod. (oc)'!T636,0))</f>
        <v>2</v>
      </c>
      <c r="U636" s="125">
        <f>IF('Quant. mod. (oc)'!U636&lt;0,0,ROUND('Quant. mod. (oc)'!U636,0))</f>
        <v>2</v>
      </c>
      <c r="V636" s="125">
        <f>IF('Quant. mod. (oc)'!V636&lt;0,0,ROUND('Quant. mod. (oc)'!V636,0))</f>
        <v>2</v>
      </c>
      <c r="W636" s="125">
        <f>IF('Quant. mod. (oc)'!W636&lt;0,0,ROUND('Quant. mod. (oc)'!W636,0))</f>
        <v>2</v>
      </c>
      <c r="X636" s="125">
        <f>IF('Quant. mod. (oc)'!X636&lt;0,0,ROUND('Quant. mod. (oc)'!X636,0))</f>
        <v>2</v>
      </c>
      <c r="Y636" s="125">
        <f>IF('Quant. mod. (oc)'!Y636&lt;0,0,ROUND('Quant. mod. (oc)'!Y636,0))</f>
        <v>2</v>
      </c>
      <c r="Z636" s="125">
        <f>IF('Quant. mod. (oc)'!Z636&lt;0,0,ROUND('Quant. mod. (oc)'!Z636,0))</f>
        <v>2</v>
      </c>
      <c r="AA636" s="125">
        <f>IF('Quant. mod. (oc)'!AA636&lt;0,0,ROUND('Quant. mod. (oc)'!AA636,0))</f>
        <v>2</v>
      </c>
      <c r="AB636" s="125">
        <f>IF('Quant. mod. (oc)'!AB636&lt;0,0,ROUND('Quant. mod. (oc)'!AB636,0))</f>
        <v>2</v>
      </c>
      <c r="AC636" s="125">
        <f>IF('Quant. mod. (oc)'!AC636&lt;0,0,ROUND('Quant. mod. (oc)'!AC636,0))</f>
        <v>2</v>
      </c>
      <c r="AD636" s="125">
        <f>IF('Quant. mod. (oc)'!AD636&lt;0,0,ROUND('Quant. mod. (oc)'!AD636,0))</f>
        <v>2</v>
      </c>
      <c r="AE636" s="125">
        <f>IF('Quant. mod. (oc)'!AE636&lt;0,0,ROUND('Quant. mod. (oc)'!AE636,0))</f>
        <v>2</v>
      </c>
      <c r="AF636" s="125">
        <f>IF('Quant. mod. (oc)'!AF636&lt;0,0,ROUND('Quant. mod. (oc)'!AF636,0))</f>
        <v>2</v>
      </c>
      <c r="AG636" s="126">
        <f>IF('Quant. mod. (oc)'!AG636&lt;0,0,ROUND('Quant. mod. (oc)'!AG636,0))</f>
        <v>2</v>
      </c>
      <c r="AH636" s="22"/>
    </row>
    <row r="637" spans="1:34" x14ac:dyDescent="0.25">
      <c r="A637" s="21"/>
      <c r="B637" s="141" t="s">
        <v>656</v>
      </c>
      <c r="C637" s="125" t="s">
        <v>60</v>
      </c>
      <c r="D637" s="125">
        <f>IF('Quant. mod. (oc)'!D637&lt;0,0,ROUND('Quant. mod. (oc)'!D637,0))</f>
        <v>2</v>
      </c>
      <c r="E637" s="125">
        <f>IF('Quant. mod. (oc)'!E637&lt;0,0,ROUND('Quant. mod. (oc)'!E637,0))</f>
        <v>2</v>
      </c>
      <c r="F637" s="125">
        <f>IF('Quant. mod. (oc)'!F637&lt;0,0,ROUND('Quant. mod. (oc)'!F637,0))</f>
        <v>2</v>
      </c>
      <c r="G637" s="125">
        <f>IF('Quant. mod. (oc)'!G637&lt;0,0,ROUND('Quant. mod. (oc)'!G637,0))</f>
        <v>2</v>
      </c>
      <c r="H637" s="125">
        <f>IF('Quant. mod. (oc)'!H637&lt;0,0,ROUND('Quant. mod. (oc)'!H637,0))</f>
        <v>2</v>
      </c>
      <c r="I637" s="125">
        <f>IF('Quant. mod. (oc)'!I637&lt;0,0,ROUND('Quant. mod. (oc)'!I637,0))</f>
        <v>2</v>
      </c>
      <c r="J637" s="125">
        <f>IF('Quant. mod. (oc)'!J637&lt;0,0,ROUND('Quant. mod. (oc)'!J637,0))</f>
        <v>2</v>
      </c>
      <c r="K637" s="125">
        <f>IF('Quant. mod. (oc)'!K637&lt;0,0,ROUND('Quant. mod. (oc)'!K637,0))</f>
        <v>2</v>
      </c>
      <c r="L637" s="125">
        <f>IF('Quant. mod. (oc)'!L637&lt;0,0,ROUND('Quant. mod. (oc)'!L637,0))</f>
        <v>2</v>
      </c>
      <c r="M637" s="125">
        <f>IF('Quant. mod. (oc)'!M637&lt;0,0,ROUND('Quant. mod. (oc)'!M637,0))</f>
        <v>2</v>
      </c>
      <c r="N637" s="125">
        <f>IF('Quant. mod. (oc)'!N637&lt;0,0,ROUND('Quant. mod. (oc)'!N637,0))</f>
        <v>2</v>
      </c>
      <c r="O637" s="125">
        <f>IF('Quant. mod. (oc)'!O637&lt;0,0,ROUND('Quant. mod. (oc)'!O637,0))</f>
        <v>2</v>
      </c>
      <c r="P637" s="125">
        <f>IF('Quant. mod. (oc)'!P637&lt;0,0,ROUND('Quant. mod. (oc)'!P637,0))</f>
        <v>2</v>
      </c>
      <c r="Q637" s="125">
        <f>IF('Quant. mod. (oc)'!Q637&lt;0,0,ROUND('Quant. mod. (oc)'!Q637,0))</f>
        <v>2</v>
      </c>
      <c r="R637" s="125">
        <f>IF('Quant. mod. (oc)'!R637&lt;0,0,ROUND('Quant. mod. (oc)'!R637,0))</f>
        <v>2</v>
      </c>
      <c r="S637" s="125">
        <f>IF('Quant. mod. (oc)'!S637&lt;0,0,ROUND('Quant. mod. (oc)'!S637,0))</f>
        <v>2</v>
      </c>
      <c r="T637" s="125">
        <f>IF('Quant. mod. (oc)'!T637&lt;0,0,ROUND('Quant. mod. (oc)'!T637,0))</f>
        <v>2</v>
      </c>
      <c r="U637" s="125">
        <f>IF('Quant. mod. (oc)'!U637&lt;0,0,ROUND('Quant. mod. (oc)'!U637,0))</f>
        <v>2</v>
      </c>
      <c r="V637" s="125">
        <f>IF('Quant. mod. (oc)'!V637&lt;0,0,ROUND('Quant. mod. (oc)'!V637,0))</f>
        <v>2</v>
      </c>
      <c r="W637" s="125">
        <f>IF('Quant. mod. (oc)'!W637&lt;0,0,ROUND('Quant. mod. (oc)'!W637,0))</f>
        <v>2</v>
      </c>
      <c r="X637" s="125">
        <f>IF('Quant. mod. (oc)'!X637&lt;0,0,ROUND('Quant. mod. (oc)'!X637,0))</f>
        <v>2</v>
      </c>
      <c r="Y637" s="125">
        <f>IF('Quant. mod. (oc)'!Y637&lt;0,0,ROUND('Quant. mod. (oc)'!Y637,0))</f>
        <v>2</v>
      </c>
      <c r="Z637" s="125">
        <f>IF('Quant. mod. (oc)'!Z637&lt;0,0,ROUND('Quant. mod. (oc)'!Z637,0))</f>
        <v>2</v>
      </c>
      <c r="AA637" s="125">
        <f>IF('Quant. mod. (oc)'!AA637&lt;0,0,ROUND('Quant. mod. (oc)'!AA637,0))</f>
        <v>2</v>
      </c>
      <c r="AB637" s="125">
        <f>IF('Quant. mod. (oc)'!AB637&lt;0,0,ROUND('Quant. mod. (oc)'!AB637,0))</f>
        <v>2</v>
      </c>
      <c r="AC637" s="125">
        <f>IF('Quant. mod. (oc)'!AC637&lt;0,0,ROUND('Quant. mod. (oc)'!AC637,0))</f>
        <v>2</v>
      </c>
      <c r="AD637" s="125">
        <f>IF('Quant. mod. (oc)'!AD637&lt;0,0,ROUND('Quant. mod. (oc)'!AD637,0))</f>
        <v>2</v>
      </c>
      <c r="AE637" s="125">
        <f>IF('Quant. mod. (oc)'!AE637&lt;0,0,ROUND('Quant. mod. (oc)'!AE637,0))</f>
        <v>2</v>
      </c>
      <c r="AF637" s="125">
        <f>IF('Quant. mod. (oc)'!AF637&lt;0,0,ROUND('Quant. mod. (oc)'!AF637,0))</f>
        <v>2</v>
      </c>
      <c r="AG637" s="126">
        <f>IF('Quant. mod. (oc)'!AG637&lt;0,0,ROUND('Quant. mod. (oc)'!AG637,0))</f>
        <v>2</v>
      </c>
      <c r="AH637" s="22"/>
    </row>
    <row r="638" spans="1:34" x14ac:dyDescent="0.25">
      <c r="A638" s="21"/>
      <c r="B638" s="141" t="s">
        <v>657</v>
      </c>
      <c r="C638" s="125" t="s">
        <v>60</v>
      </c>
      <c r="D638" s="125">
        <f>IF('Quant. mod. (oc)'!D638&lt;0,0,ROUND('Quant. mod. (oc)'!D638,0))</f>
        <v>2</v>
      </c>
      <c r="E638" s="125">
        <f>IF('Quant. mod. (oc)'!E638&lt;0,0,ROUND('Quant. mod. (oc)'!E638,0))</f>
        <v>2</v>
      </c>
      <c r="F638" s="125">
        <f>IF('Quant. mod. (oc)'!F638&lt;0,0,ROUND('Quant. mod. (oc)'!F638,0))</f>
        <v>2</v>
      </c>
      <c r="G638" s="125">
        <f>IF('Quant. mod. (oc)'!G638&lt;0,0,ROUND('Quant. mod. (oc)'!G638,0))</f>
        <v>2</v>
      </c>
      <c r="H638" s="125">
        <f>IF('Quant. mod. (oc)'!H638&lt;0,0,ROUND('Quant. mod. (oc)'!H638,0))</f>
        <v>2</v>
      </c>
      <c r="I638" s="125">
        <f>IF('Quant. mod. (oc)'!I638&lt;0,0,ROUND('Quant. mod. (oc)'!I638,0))</f>
        <v>2</v>
      </c>
      <c r="J638" s="125">
        <f>IF('Quant. mod. (oc)'!J638&lt;0,0,ROUND('Quant. mod. (oc)'!J638,0))</f>
        <v>2</v>
      </c>
      <c r="K638" s="125">
        <f>IF('Quant. mod. (oc)'!K638&lt;0,0,ROUND('Quant. mod. (oc)'!K638,0))</f>
        <v>2</v>
      </c>
      <c r="L638" s="125">
        <f>IF('Quant. mod. (oc)'!L638&lt;0,0,ROUND('Quant. mod. (oc)'!L638,0))</f>
        <v>2</v>
      </c>
      <c r="M638" s="125">
        <f>IF('Quant. mod. (oc)'!M638&lt;0,0,ROUND('Quant. mod. (oc)'!M638,0))</f>
        <v>2</v>
      </c>
      <c r="N638" s="125">
        <f>IF('Quant. mod. (oc)'!N638&lt;0,0,ROUND('Quant. mod. (oc)'!N638,0))</f>
        <v>2</v>
      </c>
      <c r="O638" s="125">
        <f>IF('Quant. mod. (oc)'!O638&lt;0,0,ROUND('Quant. mod. (oc)'!O638,0))</f>
        <v>2</v>
      </c>
      <c r="P638" s="125">
        <f>IF('Quant. mod. (oc)'!P638&lt;0,0,ROUND('Quant. mod. (oc)'!P638,0))</f>
        <v>2</v>
      </c>
      <c r="Q638" s="125">
        <f>IF('Quant. mod. (oc)'!Q638&lt;0,0,ROUND('Quant. mod. (oc)'!Q638,0))</f>
        <v>2</v>
      </c>
      <c r="R638" s="125">
        <f>IF('Quant. mod. (oc)'!R638&lt;0,0,ROUND('Quant. mod. (oc)'!R638,0))</f>
        <v>2</v>
      </c>
      <c r="S638" s="125">
        <f>IF('Quant. mod. (oc)'!S638&lt;0,0,ROUND('Quant. mod. (oc)'!S638,0))</f>
        <v>2</v>
      </c>
      <c r="T638" s="125">
        <f>IF('Quant. mod. (oc)'!T638&lt;0,0,ROUND('Quant. mod. (oc)'!T638,0))</f>
        <v>2</v>
      </c>
      <c r="U638" s="125">
        <f>IF('Quant. mod. (oc)'!U638&lt;0,0,ROUND('Quant. mod. (oc)'!U638,0))</f>
        <v>2</v>
      </c>
      <c r="V638" s="125">
        <f>IF('Quant. mod. (oc)'!V638&lt;0,0,ROUND('Quant. mod. (oc)'!V638,0))</f>
        <v>2</v>
      </c>
      <c r="W638" s="125">
        <f>IF('Quant. mod. (oc)'!W638&lt;0,0,ROUND('Quant. mod. (oc)'!W638,0))</f>
        <v>2</v>
      </c>
      <c r="X638" s="125">
        <f>IF('Quant. mod. (oc)'!X638&lt;0,0,ROUND('Quant. mod. (oc)'!X638,0))</f>
        <v>2</v>
      </c>
      <c r="Y638" s="125">
        <f>IF('Quant. mod. (oc)'!Y638&lt;0,0,ROUND('Quant. mod. (oc)'!Y638,0))</f>
        <v>2</v>
      </c>
      <c r="Z638" s="125">
        <f>IF('Quant. mod. (oc)'!Z638&lt;0,0,ROUND('Quant. mod. (oc)'!Z638,0))</f>
        <v>2</v>
      </c>
      <c r="AA638" s="125">
        <f>IF('Quant. mod. (oc)'!AA638&lt;0,0,ROUND('Quant. mod. (oc)'!AA638,0))</f>
        <v>2</v>
      </c>
      <c r="AB638" s="125">
        <f>IF('Quant. mod. (oc)'!AB638&lt;0,0,ROUND('Quant. mod. (oc)'!AB638,0))</f>
        <v>2</v>
      </c>
      <c r="AC638" s="125">
        <f>IF('Quant. mod. (oc)'!AC638&lt;0,0,ROUND('Quant. mod. (oc)'!AC638,0))</f>
        <v>2</v>
      </c>
      <c r="AD638" s="125">
        <f>IF('Quant. mod. (oc)'!AD638&lt;0,0,ROUND('Quant. mod. (oc)'!AD638,0))</f>
        <v>2</v>
      </c>
      <c r="AE638" s="125">
        <f>IF('Quant. mod. (oc)'!AE638&lt;0,0,ROUND('Quant. mod. (oc)'!AE638,0))</f>
        <v>2</v>
      </c>
      <c r="AF638" s="125">
        <f>IF('Quant. mod. (oc)'!AF638&lt;0,0,ROUND('Quant. mod. (oc)'!AF638,0))</f>
        <v>2</v>
      </c>
      <c r="AG638" s="126">
        <f>IF('Quant. mod. (oc)'!AG638&lt;0,0,ROUND('Quant. mod. (oc)'!AG638,0))</f>
        <v>2</v>
      </c>
      <c r="AH638" s="22"/>
    </row>
    <row r="639" spans="1:34" x14ac:dyDescent="0.25">
      <c r="A639" s="21"/>
      <c r="B639" s="141" t="s">
        <v>658</v>
      </c>
      <c r="C639" s="125" t="s">
        <v>60</v>
      </c>
      <c r="D639" s="125">
        <f>IF('Quant. mod. (oc)'!D639&lt;0,0,ROUND('Quant. mod. (oc)'!D639,0))</f>
        <v>2</v>
      </c>
      <c r="E639" s="125">
        <f>IF('Quant. mod. (oc)'!E639&lt;0,0,ROUND('Quant. mod. (oc)'!E639,0))</f>
        <v>2</v>
      </c>
      <c r="F639" s="125">
        <f>IF('Quant. mod. (oc)'!F639&lt;0,0,ROUND('Quant. mod. (oc)'!F639,0))</f>
        <v>2</v>
      </c>
      <c r="G639" s="125">
        <f>IF('Quant. mod. (oc)'!G639&lt;0,0,ROUND('Quant. mod. (oc)'!G639,0))</f>
        <v>2</v>
      </c>
      <c r="H639" s="125">
        <f>IF('Quant. mod. (oc)'!H639&lt;0,0,ROUND('Quant. mod. (oc)'!H639,0))</f>
        <v>2</v>
      </c>
      <c r="I639" s="125">
        <f>IF('Quant. mod. (oc)'!I639&lt;0,0,ROUND('Quant. mod. (oc)'!I639,0))</f>
        <v>2</v>
      </c>
      <c r="J639" s="125">
        <f>IF('Quant. mod. (oc)'!J639&lt;0,0,ROUND('Quant. mod. (oc)'!J639,0))</f>
        <v>2</v>
      </c>
      <c r="K639" s="125">
        <f>IF('Quant. mod. (oc)'!K639&lt;0,0,ROUND('Quant. mod. (oc)'!K639,0))</f>
        <v>2</v>
      </c>
      <c r="L639" s="125">
        <f>IF('Quant. mod. (oc)'!L639&lt;0,0,ROUND('Quant. mod. (oc)'!L639,0))</f>
        <v>2</v>
      </c>
      <c r="M639" s="125">
        <f>IF('Quant. mod. (oc)'!M639&lt;0,0,ROUND('Quant. mod. (oc)'!M639,0))</f>
        <v>2</v>
      </c>
      <c r="N639" s="125">
        <f>IF('Quant. mod. (oc)'!N639&lt;0,0,ROUND('Quant. mod. (oc)'!N639,0))</f>
        <v>2</v>
      </c>
      <c r="O639" s="125">
        <f>IF('Quant. mod. (oc)'!O639&lt;0,0,ROUND('Quant. mod. (oc)'!O639,0))</f>
        <v>2</v>
      </c>
      <c r="P639" s="125">
        <f>IF('Quant. mod. (oc)'!P639&lt;0,0,ROUND('Quant. mod. (oc)'!P639,0))</f>
        <v>2</v>
      </c>
      <c r="Q639" s="125">
        <f>IF('Quant. mod. (oc)'!Q639&lt;0,0,ROUND('Quant. mod. (oc)'!Q639,0))</f>
        <v>2</v>
      </c>
      <c r="R639" s="125">
        <f>IF('Quant. mod. (oc)'!R639&lt;0,0,ROUND('Quant. mod. (oc)'!R639,0))</f>
        <v>2</v>
      </c>
      <c r="S639" s="125">
        <f>IF('Quant. mod. (oc)'!S639&lt;0,0,ROUND('Quant. mod. (oc)'!S639,0))</f>
        <v>2</v>
      </c>
      <c r="T639" s="125">
        <f>IF('Quant. mod. (oc)'!T639&lt;0,0,ROUND('Quant. mod. (oc)'!T639,0))</f>
        <v>2</v>
      </c>
      <c r="U639" s="125">
        <f>IF('Quant. mod. (oc)'!U639&lt;0,0,ROUND('Quant. mod. (oc)'!U639,0))</f>
        <v>2</v>
      </c>
      <c r="V639" s="125">
        <f>IF('Quant. mod. (oc)'!V639&lt;0,0,ROUND('Quant. mod. (oc)'!V639,0))</f>
        <v>2</v>
      </c>
      <c r="W639" s="125">
        <f>IF('Quant. mod. (oc)'!W639&lt;0,0,ROUND('Quant. mod. (oc)'!W639,0))</f>
        <v>2</v>
      </c>
      <c r="X639" s="125">
        <f>IF('Quant. mod. (oc)'!X639&lt;0,0,ROUND('Quant. mod. (oc)'!X639,0))</f>
        <v>2</v>
      </c>
      <c r="Y639" s="125">
        <f>IF('Quant. mod. (oc)'!Y639&lt;0,0,ROUND('Quant. mod. (oc)'!Y639,0))</f>
        <v>2</v>
      </c>
      <c r="Z639" s="125">
        <f>IF('Quant. mod. (oc)'!Z639&lt;0,0,ROUND('Quant. mod. (oc)'!Z639,0))</f>
        <v>2</v>
      </c>
      <c r="AA639" s="125">
        <f>IF('Quant. mod. (oc)'!AA639&lt;0,0,ROUND('Quant. mod. (oc)'!AA639,0))</f>
        <v>2</v>
      </c>
      <c r="AB639" s="125">
        <f>IF('Quant. mod. (oc)'!AB639&lt;0,0,ROUND('Quant. mod. (oc)'!AB639,0))</f>
        <v>2</v>
      </c>
      <c r="AC639" s="125">
        <f>IF('Quant. mod. (oc)'!AC639&lt;0,0,ROUND('Quant. mod. (oc)'!AC639,0))</f>
        <v>2</v>
      </c>
      <c r="AD639" s="125">
        <f>IF('Quant. mod. (oc)'!AD639&lt;0,0,ROUND('Quant. mod. (oc)'!AD639,0))</f>
        <v>2</v>
      </c>
      <c r="AE639" s="125">
        <f>IF('Quant. mod. (oc)'!AE639&lt;0,0,ROUND('Quant. mod. (oc)'!AE639,0))</f>
        <v>2</v>
      </c>
      <c r="AF639" s="125">
        <f>IF('Quant. mod. (oc)'!AF639&lt;0,0,ROUND('Quant. mod. (oc)'!AF639,0))</f>
        <v>2</v>
      </c>
      <c r="AG639" s="126">
        <f>IF('Quant. mod. (oc)'!AG639&lt;0,0,ROUND('Quant. mod. (oc)'!AG639,0))</f>
        <v>2</v>
      </c>
      <c r="AH639" s="22"/>
    </row>
    <row r="640" spans="1:34" x14ac:dyDescent="0.25">
      <c r="A640" s="21"/>
      <c r="B640" s="141" t="s">
        <v>659</v>
      </c>
      <c r="C640" s="125" t="s">
        <v>60</v>
      </c>
      <c r="D640" s="125">
        <f>IF('Quant. mod. (oc)'!D640&lt;0,0,ROUND('Quant. mod. (oc)'!D640,0))</f>
        <v>2</v>
      </c>
      <c r="E640" s="125">
        <f>IF('Quant. mod. (oc)'!E640&lt;0,0,ROUND('Quant. mod. (oc)'!E640,0))</f>
        <v>2</v>
      </c>
      <c r="F640" s="125">
        <f>IF('Quant. mod. (oc)'!F640&lt;0,0,ROUND('Quant. mod. (oc)'!F640,0))</f>
        <v>2</v>
      </c>
      <c r="G640" s="125">
        <f>IF('Quant. mod. (oc)'!G640&lt;0,0,ROUND('Quant. mod. (oc)'!G640,0))</f>
        <v>2</v>
      </c>
      <c r="H640" s="125">
        <f>IF('Quant. mod. (oc)'!H640&lt;0,0,ROUND('Quant. mod. (oc)'!H640,0))</f>
        <v>2</v>
      </c>
      <c r="I640" s="125">
        <f>IF('Quant. mod. (oc)'!I640&lt;0,0,ROUND('Quant. mod. (oc)'!I640,0))</f>
        <v>2</v>
      </c>
      <c r="J640" s="125">
        <f>IF('Quant. mod. (oc)'!J640&lt;0,0,ROUND('Quant. mod. (oc)'!J640,0))</f>
        <v>2</v>
      </c>
      <c r="K640" s="125">
        <f>IF('Quant. mod. (oc)'!K640&lt;0,0,ROUND('Quant. mod. (oc)'!K640,0))</f>
        <v>2</v>
      </c>
      <c r="L640" s="125">
        <f>IF('Quant. mod. (oc)'!L640&lt;0,0,ROUND('Quant. mod. (oc)'!L640,0))</f>
        <v>2</v>
      </c>
      <c r="M640" s="125">
        <f>IF('Quant. mod. (oc)'!M640&lt;0,0,ROUND('Quant. mod. (oc)'!M640,0))</f>
        <v>2</v>
      </c>
      <c r="N640" s="125">
        <f>IF('Quant. mod. (oc)'!N640&lt;0,0,ROUND('Quant. mod. (oc)'!N640,0))</f>
        <v>2</v>
      </c>
      <c r="O640" s="125">
        <f>IF('Quant. mod. (oc)'!O640&lt;0,0,ROUND('Quant. mod. (oc)'!O640,0))</f>
        <v>2</v>
      </c>
      <c r="P640" s="125">
        <f>IF('Quant. mod. (oc)'!P640&lt;0,0,ROUND('Quant. mod. (oc)'!P640,0))</f>
        <v>2</v>
      </c>
      <c r="Q640" s="125">
        <f>IF('Quant. mod. (oc)'!Q640&lt;0,0,ROUND('Quant. mod. (oc)'!Q640,0))</f>
        <v>2</v>
      </c>
      <c r="R640" s="125">
        <f>IF('Quant. mod. (oc)'!R640&lt;0,0,ROUND('Quant. mod. (oc)'!R640,0))</f>
        <v>2</v>
      </c>
      <c r="S640" s="125">
        <f>IF('Quant. mod. (oc)'!S640&lt;0,0,ROUND('Quant. mod. (oc)'!S640,0))</f>
        <v>2</v>
      </c>
      <c r="T640" s="125">
        <f>IF('Quant. mod. (oc)'!T640&lt;0,0,ROUND('Quant. mod. (oc)'!T640,0))</f>
        <v>2</v>
      </c>
      <c r="U640" s="125">
        <f>IF('Quant. mod. (oc)'!U640&lt;0,0,ROUND('Quant. mod. (oc)'!U640,0))</f>
        <v>2</v>
      </c>
      <c r="V640" s="125">
        <f>IF('Quant. mod. (oc)'!V640&lt;0,0,ROUND('Quant. mod. (oc)'!V640,0))</f>
        <v>2</v>
      </c>
      <c r="W640" s="125">
        <f>IF('Quant. mod. (oc)'!W640&lt;0,0,ROUND('Quant. mod. (oc)'!W640,0))</f>
        <v>2</v>
      </c>
      <c r="X640" s="125">
        <f>IF('Quant. mod. (oc)'!X640&lt;0,0,ROUND('Quant. mod. (oc)'!X640,0))</f>
        <v>2</v>
      </c>
      <c r="Y640" s="125">
        <f>IF('Quant. mod. (oc)'!Y640&lt;0,0,ROUND('Quant. mod. (oc)'!Y640,0))</f>
        <v>2</v>
      </c>
      <c r="Z640" s="125">
        <f>IF('Quant. mod. (oc)'!Z640&lt;0,0,ROUND('Quant. mod. (oc)'!Z640,0))</f>
        <v>2</v>
      </c>
      <c r="AA640" s="125">
        <f>IF('Quant. mod. (oc)'!AA640&lt;0,0,ROUND('Quant. mod. (oc)'!AA640,0))</f>
        <v>2</v>
      </c>
      <c r="AB640" s="125">
        <f>IF('Quant. mod. (oc)'!AB640&lt;0,0,ROUND('Quant. mod. (oc)'!AB640,0))</f>
        <v>2</v>
      </c>
      <c r="AC640" s="125">
        <f>IF('Quant. mod. (oc)'!AC640&lt;0,0,ROUND('Quant. mod. (oc)'!AC640,0))</f>
        <v>2</v>
      </c>
      <c r="AD640" s="125">
        <f>IF('Quant. mod. (oc)'!AD640&lt;0,0,ROUND('Quant. mod. (oc)'!AD640,0))</f>
        <v>2</v>
      </c>
      <c r="AE640" s="125">
        <f>IF('Quant. mod. (oc)'!AE640&lt;0,0,ROUND('Quant. mod. (oc)'!AE640,0))</f>
        <v>2</v>
      </c>
      <c r="AF640" s="125">
        <f>IF('Quant. mod. (oc)'!AF640&lt;0,0,ROUND('Quant. mod. (oc)'!AF640,0))</f>
        <v>2</v>
      </c>
      <c r="AG640" s="126">
        <f>IF('Quant. mod. (oc)'!AG640&lt;0,0,ROUND('Quant. mod. (oc)'!AG640,0))</f>
        <v>2</v>
      </c>
      <c r="AH640" s="22"/>
    </row>
    <row r="641" spans="1:34" x14ac:dyDescent="0.25">
      <c r="A641" s="21"/>
      <c r="B641" s="141" t="s">
        <v>660</v>
      </c>
      <c r="C641" s="125" t="s">
        <v>60</v>
      </c>
      <c r="D641" s="125">
        <f>IF('Quant. mod. (oc)'!D641&lt;0,0,ROUND('Quant. mod. (oc)'!D641,0))</f>
        <v>2</v>
      </c>
      <c r="E641" s="125">
        <f>IF('Quant. mod. (oc)'!E641&lt;0,0,ROUND('Quant. mod. (oc)'!E641,0))</f>
        <v>2</v>
      </c>
      <c r="F641" s="125">
        <f>IF('Quant. mod. (oc)'!F641&lt;0,0,ROUND('Quant. mod. (oc)'!F641,0))</f>
        <v>2</v>
      </c>
      <c r="G641" s="125">
        <f>IF('Quant. mod. (oc)'!G641&lt;0,0,ROUND('Quant. mod. (oc)'!G641,0))</f>
        <v>2</v>
      </c>
      <c r="H641" s="125">
        <f>IF('Quant. mod. (oc)'!H641&lt;0,0,ROUND('Quant. mod. (oc)'!H641,0))</f>
        <v>2</v>
      </c>
      <c r="I641" s="125">
        <f>IF('Quant. mod. (oc)'!I641&lt;0,0,ROUND('Quant. mod. (oc)'!I641,0))</f>
        <v>2</v>
      </c>
      <c r="J641" s="125">
        <f>IF('Quant. mod. (oc)'!J641&lt;0,0,ROUND('Quant. mod. (oc)'!J641,0))</f>
        <v>2</v>
      </c>
      <c r="K641" s="125">
        <f>IF('Quant. mod. (oc)'!K641&lt;0,0,ROUND('Quant. mod. (oc)'!K641,0))</f>
        <v>2</v>
      </c>
      <c r="L641" s="125">
        <f>IF('Quant. mod. (oc)'!L641&lt;0,0,ROUND('Quant. mod. (oc)'!L641,0))</f>
        <v>2</v>
      </c>
      <c r="M641" s="125">
        <f>IF('Quant. mod. (oc)'!M641&lt;0,0,ROUND('Quant. mod. (oc)'!M641,0))</f>
        <v>2</v>
      </c>
      <c r="N641" s="125">
        <f>IF('Quant. mod. (oc)'!N641&lt;0,0,ROUND('Quant. mod. (oc)'!N641,0))</f>
        <v>2</v>
      </c>
      <c r="O641" s="125">
        <f>IF('Quant. mod. (oc)'!O641&lt;0,0,ROUND('Quant. mod. (oc)'!O641,0))</f>
        <v>2</v>
      </c>
      <c r="P641" s="125">
        <f>IF('Quant. mod. (oc)'!P641&lt;0,0,ROUND('Quant. mod. (oc)'!P641,0))</f>
        <v>2</v>
      </c>
      <c r="Q641" s="125">
        <f>IF('Quant. mod. (oc)'!Q641&lt;0,0,ROUND('Quant. mod. (oc)'!Q641,0))</f>
        <v>2</v>
      </c>
      <c r="R641" s="125">
        <f>IF('Quant. mod. (oc)'!R641&lt;0,0,ROUND('Quant. mod. (oc)'!R641,0))</f>
        <v>2</v>
      </c>
      <c r="S641" s="125">
        <f>IF('Quant. mod. (oc)'!S641&lt;0,0,ROUND('Quant. mod. (oc)'!S641,0))</f>
        <v>2</v>
      </c>
      <c r="T641" s="125">
        <f>IF('Quant. mod. (oc)'!T641&lt;0,0,ROUND('Quant. mod. (oc)'!T641,0))</f>
        <v>2</v>
      </c>
      <c r="U641" s="125">
        <f>IF('Quant. mod. (oc)'!U641&lt;0,0,ROUND('Quant. mod. (oc)'!U641,0))</f>
        <v>2</v>
      </c>
      <c r="V641" s="125">
        <f>IF('Quant. mod. (oc)'!V641&lt;0,0,ROUND('Quant. mod. (oc)'!V641,0))</f>
        <v>2</v>
      </c>
      <c r="W641" s="125">
        <f>IF('Quant. mod. (oc)'!W641&lt;0,0,ROUND('Quant. mod. (oc)'!W641,0))</f>
        <v>2</v>
      </c>
      <c r="X641" s="125">
        <f>IF('Quant. mod. (oc)'!X641&lt;0,0,ROUND('Quant. mod. (oc)'!X641,0))</f>
        <v>2</v>
      </c>
      <c r="Y641" s="125">
        <f>IF('Quant. mod. (oc)'!Y641&lt;0,0,ROUND('Quant. mod. (oc)'!Y641,0))</f>
        <v>2</v>
      </c>
      <c r="Z641" s="125">
        <f>IF('Quant. mod. (oc)'!Z641&lt;0,0,ROUND('Quant. mod. (oc)'!Z641,0))</f>
        <v>2</v>
      </c>
      <c r="AA641" s="125">
        <f>IF('Quant. mod. (oc)'!AA641&lt;0,0,ROUND('Quant. mod. (oc)'!AA641,0))</f>
        <v>2</v>
      </c>
      <c r="AB641" s="125">
        <f>IF('Quant. mod. (oc)'!AB641&lt;0,0,ROUND('Quant. mod. (oc)'!AB641,0))</f>
        <v>2</v>
      </c>
      <c r="AC641" s="125">
        <f>IF('Quant. mod. (oc)'!AC641&lt;0,0,ROUND('Quant. mod. (oc)'!AC641,0))</f>
        <v>2</v>
      </c>
      <c r="AD641" s="125">
        <f>IF('Quant. mod. (oc)'!AD641&lt;0,0,ROUND('Quant. mod. (oc)'!AD641,0))</f>
        <v>2</v>
      </c>
      <c r="AE641" s="125">
        <f>IF('Quant. mod. (oc)'!AE641&lt;0,0,ROUND('Quant. mod. (oc)'!AE641,0))</f>
        <v>2</v>
      </c>
      <c r="AF641" s="125">
        <f>IF('Quant. mod. (oc)'!AF641&lt;0,0,ROUND('Quant. mod. (oc)'!AF641,0))</f>
        <v>2</v>
      </c>
      <c r="AG641" s="126">
        <f>IF('Quant. mod. (oc)'!AG641&lt;0,0,ROUND('Quant. mod. (oc)'!AG641,0))</f>
        <v>2</v>
      </c>
      <c r="AH641" s="22"/>
    </row>
    <row r="642" spans="1:34" x14ac:dyDescent="0.25">
      <c r="A642" s="21"/>
      <c r="B642" s="141" t="s">
        <v>661</v>
      </c>
      <c r="C642" s="125" t="s">
        <v>60</v>
      </c>
      <c r="D642" s="125">
        <f>IF('Quant. mod. (oc)'!D642&lt;0,0,ROUND('Quant. mod. (oc)'!D642,0))</f>
        <v>2</v>
      </c>
      <c r="E642" s="125">
        <f>IF('Quant. mod. (oc)'!E642&lt;0,0,ROUND('Quant. mod. (oc)'!E642,0))</f>
        <v>2</v>
      </c>
      <c r="F642" s="125">
        <f>IF('Quant. mod. (oc)'!F642&lt;0,0,ROUND('Quant. mod. (oc)'!F642,0))</f>
        <v>2</v>
      </c>
      <c r="G642" s="125">
        <f>IF('Quant. mod. (oc)'!G642&lt;0,0,ROUND('Quant. mod. (oc)'!G642,0))</f>
        <v>2</v>
      </c>
      <c r="H642" s="125">
        <f>IF('Quant. mod. (oc)'!H642&lt;0,0,ROUND('Quant. mod. (oc)'!H642,0))</f>
        <v>2</v>
      </c>
      <c r="I642" s="125">
        <f>IF('Quant. mod. (oc)'!I642&lt;0,0,ROUND('Quant. mod. (oc)'!I642,0))</f>
        <v>2</v>
      </c>
      <c r="J642" s="125">
        <f>IF('Quant. mod. (oc)'!J642&lt;0,0,ROUND('Quant. mod. (oc)'!J642,0))</f>
        <v>2</v>
      </c>
      <c r="K642" s="125">
        <f>IF('Quant. mod. (oc)'!K642&lt;0,0,ROUND('Quant. mod. (oc)'!K642,0))</f>
        <v>2</v>
      </c>
      <c r="L642" s="125">
        <f>IF('Quant. mod. (oc)'!L642&lt;0,0,ROUND('Quant. mod. (oc)'!L642,0))</f>
        <v>2</v>
      </c>
      <c r="M642" s="125">
        <f>IF('Quant. mod. (oc)'!M642&lt;0,0,ROUND('Quant. mod. (oc)'!M642,0))</f>
        <v>2</v>
      </c>
      <c r="N642" s="125">
        <f>IF('Quant. mod. (oc)'!N642&lt;0,0,ROUND('Quant. mod. (oc)'!N642,0))</f>
        <v>2</v>
      </c>
      <c r="O642" s="125">
        <f>IF('Quant. mod. (oc)'!O642&lt;0,0,ROUND('Quant. mod. (oc)'!O642,0))</f>
        <v>2</v>
      </c>
      <c r="P642" s="125">
        <f>IF('Quant. mod. (oc)'!P642&lt;0,0,ROUND('Quant. mod. (oc)'!P642,0))</f>
        <v>2</v>
      </c>
      <c r="Q642" s="125">
        <f>IF('Quant. mod. (oc)'!Q642&lt;0,0,ROUND('Quant. mod. (oc)'!Q642,0))</f>
        <v>2</v>
      </c>
      <c r="R642" s="125">
        <f>IF('Quant. mod. (oc)'!R642&lt;0,0,ROUND('Quant. mod. (oc)'!R642,0))</f>
        <v>2</v>
      </c>
      <c r="S642" s="125">
        <f>IF('Quant. mod. (oc)'!S642&lt;0,0,ROUND('Quant. mod. (oc)'!S642,0))</f>
        <v>2</v>
      </c>
      <c r="T642" s="125">
        <f>IF('Quant. mod. (oc)'!T642&lt;0,0,ROUND('Quant. mod. (oc)'!T642,0))</f>
        <v>2</v>
      </c>
      <c r="U642" s="125">
        <f>IF('Quant. mod. (oc)'!U642&lt;0,0,ROUND('Quant. mod. (oc)'!U642,0))</f>
        <v>2</v>
      </c>
      <c r="V642" s="125">
        <f>IF('Quant. mod. (oc)'!V642&lt;0,0,ROUND('Quant. mod. (oc)'!V642,0))</f>
        <v>2</v>
      </c>
      <c r="W642" s="125">
        <f>IF('Quant. mod. (oc)'!W642&lt;0,0,ROUND('Quant. mod. (oc)'!W642,0))</f>
        <v>2</v>
      </c>
      <c r="X642" s="125">
        <f>IF('Quant. mod. (oc)'!X642&lt;0,0,ROUND('Quant. mod. (oc)'!X642,0))</f>
        <v>2</v>
      </c>
      <c r="Y642" s="125">
        <f>IF('Quant. mod. (oc)'!Y642&lt;0,0,ROUND('Quant. mod. (oc)'!Y642,0))</f>
        <v>2</v>
      </c>
      <c r="Z642" s="125">
        <f>IF('Quant. mod. (oc)'!Z642&lt;0,0,ROUND('Quant. mod. (oc)'!Z642,0))</f>
        <v>2</v>
      </c>
      <c r="AA642" s="125">
        <f>IF('Quant. mod. (oc)'!AA642&lt;0,0,ROUND('Quant. mod. (oc)'!AA642,0))</f>
        <v>2</v>
      </c>
      <c r="AB642" s="125">
        <f>IF('Quant. mod. (oc)'!AB642&lt;0,0,ROUND('Quant. mod. (oc)'!AB642,0))</f>
        <v>2</v>
      </c>
      <c r="AC642" s="125">
        <f>IF('Quant. mod. (oc)'!AC642&lt;0,0,ROUND('Quant. mod. (oc)'!AC642,0))</f>
        <v>2</v>
      </c>
      <c r="AD642" s="125">
        <f>IF('Quant. mod. (oc)'!AD642&lt;0,0,ROUND('Quant. mod. (oc)'!AD642,0))</f>
        <v>2</v>
      </c>
      <c r="AE642" s="125">
        <f>IF('Quant. mod. (oc)'!AE642&lt;0,0,ROUND('Quant. mod. (oc)'!AE642,0))</f>
        <v>2</v>
      </c>
      <c r="AF642" s="125">
        <f>IF('Quant. mod. (oc)'!AF642&lt;0,0,ROUND('Quant. mod. (oc)'!AF642,0))</f>
        <v>2</v>
      </c>
      <c r="AG642" s="126">
        <f>IF('Quant. mod. (oc)'!AG642&lt;0,0,ROUND('Quant. mod. (oc)'!AG642,0))</f>
        <v>2</v>
      </c>
      <c r="AH642" s="22"/>
    </row>
    <row r="643" spans="1:34" x14ac:dyDescent="0.25">
      <c r="A643" s="21"/>
      <c r="B643" s="141" t="s">
        <v>662</v>
      </c>
      <c r="C643" s="125" t="s">
        <v>60</v>
      </c>
      <c r="D643" s="125">
        <f>IF('Quant. mod. (oc)'!D643&lt;0,0,ROUND('Quant. mod. (oc)'!D643,0))</f>
        <v>2</v>
      </c>
      <c r="E643" s="125">
        <f>IF('Quant. mod. (oc)'!E643&lt;0,0,ROUND('Quant. mod. (oc)'!E643,0))</f>
        <v>2</v>
      </c>
      <c r="F643" s="125">
        <f>IF('Quant. mod. (oc)'!F643&lt;0,0,ROUND('Quant. mod. (oc)'!F643,0))</f>
        <v>2</v>
      </c>
      <c r="G643" s="125">
        <f>IF('Quant. mod. (oc)'!G643&lt;0,0,ROUND('Quant. mod. (oc)'!G643,0))</f>
        <v>2</v>
      </c>
      <c r="H643" s="125">
        <f>IF('Quant. mod. (oc)'!H643&lt;0,0,ROUND('Quant. mod. (oc)'!H643,0))</f>
        <v>2</v>
      </c>
      <c r="I643" s="125">
        <f>IF('Quant. mod. (oc)'!I643&lt;0,0,ROUND('Quant. mod. (oc)'!I643,0))</f>
        <v>2</v>
      </c>
      <c r="J643" s="125">
        <f>IF('Quant. mod. (oc)'!J643&lt;0,0,ROUND('Quant. mod. (oc)'!J643,0))</f>
        <v>2</v>
      </c>
      <c r="K643" s="125">
        <f>IF('Quant. mod. (oc)'!K643&lt;0,0,ROUND('Quant. mod. (oc)'!K643,0))</f>
        <v>2</v>
      </c>
      <c r="L643" s="125">
        <f>IF('Quant. mod. (oc)'!L643&lt;0,0,ROUND('Quant. mod. (oc)'!L643,0))</f>
        <v>2</v>
      </c>
      <c r="M643" s="125">
        <f>IF('Quant. mod. (oc)'!M643&lt;0,0,ROUND('Quant. mod. (oc)'!M643,0))</f>
        <v>2</v>
      </c>
      <c r="N643" s="125">
        <f>IF('Quant. mod. (oc)'!N643&lt;0,0,ROUND('Quant. mod. (oc)'!N643,0))</f>
        <v>2</v>
      </c>
      <c r="O643" s="125">
        <f>IF('Quant. mod. (oc)'!O643&lt;0,0,ROUND('Quant. mod. (oc)'!O643,0))</f>
        <v>2</v>
      </c>
      <c r="P643" s="125">
        <f>IF('Quant. mod. (oc)'!P643&lt;0,0,ROUND('Quant. mod. (oc)'!P643,0))</f>
        <v>2</v>
      </c>
      <c r="Q643" s="125">
        <f>IF('Quant. mod. (oc)'!Q643&lt;0,0,ROUND('Quant. mod. (oc)'!Q643,0))</f>
        <v>2</v>
      </c>
      <c r="R643" s="125">
        <f>IF('Quant. mod. (oc)'!R643&lt;0,0,ROUND('Quant. mod. (oc)'!R643,0))</f>
        <v>2</v>
      </c>
      <c r="S643" s="125">
        <f>IF('Quant. mod. (oc)'!S643&lt;0,0,ROUND('Quant. mod. (oc)'!S643,0))</f>
        <v>2</v>
      </c>
      <c r="T643" s="125">
        <f>IF('Quant. mod. (oc)'!T643&lt;0,0,ROUND('Quant. mod. (oc)'!T643,0))</f>
        <v>2</v>
      </c>
      <c r="U643" s="125">
        <f>IF('Quant. mod. (oc)'!U643&lt;0,0,ROUND('Quant. mod. (oc)'!U643,0))</f>
        <v>2</v>
      </c>
      <c r="V643" s="125">
        <f>IF('Quant. mod. (oc)'!V643&lt;0,0,ROUND('Quant. mod. (oc)'!V643,0))</f>
        <v>2</v>
      </c>
      <c r="W643" s="125">
        <f>IF('Quant. mod. (oc)'!W643&lt;0,0,ROUND('Quant. mod. (oc)'!W643,0))</f>
        <v>2</v>
      </c>
      <c r="X643" s="125">
        <f>IF('Quant. mod. (oc)'!X643&lt;0,0,ROUND('Quant. mod. (oc)'!X643,0))</f>
        <v>2</v>
      </c>
      <c r="Y643" s="125">
        <f>IF('Quant. mod. (oc)'!Y643&lt;0,0,ROUND('Quant. mod. (oc)'!Y643,0))</f>
        <v>2</v>
      </c>
      <c r="Z643" s="125">
        <f>IF('Quant. mod. (oc)'!Z643&lt;0,0,ROUND('Quant. mod. (oc)'!Z643,0))</f>
        <v>2</v>
      </c>
      <c r="AA643" s="125">
        <f>IF('Quant. mod. (oc)'!AA643&lt;0,0,ROUND('Quant. mod. (oc)'!AA643,0))</f>
        <v>2</v>
      </c>
      <c r="AB643" s="125">
        <f>IF('Quant. mod. (oc)'!AB643&lt;0,0,ROUND('Quant. mod. (oc)'!AB643,0))</f>
        <v>2</v>
      </c>
      <c r="AC643" s="125">
        <f>IF('Quant. mod. (oc)'!AC643&lt;0,0,ROUND('Quant. mod. (oc)'!AC643,0))</f>
        <v>2</v>
      </c>
      <c r="AD643" s="125">
        <f>IF('Quant. mod. (oc)'!AD643&lt;0,0,ROUND('Quant. mod. (oc)'!AD643,0))</f>
        <v>2</v>
      </c>
      <c r="AE643" s="125">
        <f>IF('Quant. mod. (oc)'!AE643&lt;0,0,ROUND('Quant. mod. (oc)'!AE643,0))</f>
        <v>2</v>
      </c>
      <c r="AF643" s="125">
        <f>IF('Quant. mod. (oc)'!AF643&lt;0,0,ROUND('Quant. mod. (oc)'!AF643,0))</f>
        <v>2</v>
      </c>
      <c r="AG643" s="126">
        <f>IF('Quant. mod. (oc)'!AG643&lt;0,0,ROUND('Quant. mod. (oc)'!AG643,0))</f>
        <v>2</v>
      </c>
      <c r="AH643" s="22"/>
    </row>
    <row r="644" spans="1:34" x14ac:dyDescent="0.25">
      <c r="A644" s="21"/>
      <c r="B644" s="141" t="s">
        <v>663</v>
      </c>
      <c r="C644" s="125" t="s">
        <v>60</v>
      </c>
      <c r="D644" s="125">
        <f>IF('Quant. mod. (oc)'!D644&lt;0,0,ROUND('Quant. mod. (oc)'!D644,0))</f>
        <v>2</v>
      </c>
      <c r="E644" s="125">
        <f>IF('Quant. mod. (oc)'!E644&lt;0,0,ROUND('Quant. mod. (oc)'!E644,0))</f>
        <v>2</v>
      </c>
      <c r="F644" s="125">
        <f>IF('Quant. mod. (oc)'!F644&lt;0,0,ROUND('Quant. mod. (oc)'!F644,0))</f>
        <v>2</v>
      </c>
      <c r="G644" s="125">
        <f>IF('Quant. mod. (oc)'!G644&lt;0,0,ROUND('Quant. mod. (oc)'!G644,0))</f>
        <v>2</v>
      </c>
      <c r="H644" s="125">
        <f>IF('Quant. mod. (oc)'!H644&lt;0,0,ROUND('Quant. mod. (oc)'!H644,0))</f>
        <v>2</v>
      </c>
      <c r="I644" s="125">
        <f>IF('Quant. mod. (oc)'!I644&lt;0,0,ROUND('Quant. mod. (oc)'!I644,0))</f>
        <v>2</v>
      </c>
      <c r="J644" s="125">
        <f>IF('Quant. mod. (oc)'!J644&lt;0,0,ROUND('Quant. mod. (oc)'!J644,0))</f>
        <v>2</v>
      </c>
      <c r="K644" s="125">
        <f>IF('Quant. mod. (oc)'!K644&lt;0,0,ROUND('Quant. mod. (oc)'!K644,0))</f>
        <v>2</v>
      </c>
      <c r="L644" s="125">
        <f>IF('Quant. mod. (oc)'!L644&lt;0,0,ROUND('Quant. mod. (oc)'!L644,0))</f>
        <v>2</v>
      </c>
      <c r="M644" s="125">
        <f>IF('Quant. mod. (oc)'!M644&lt;0,0,ROUND('Quant. mod. (oc)'!M644,0))</f>
        <v>2</v>
      </c>
      <c r="N644" s="125">
        <f>IF('Quant. mod. (oc)'!N644&lt;0,0,ROUND('Quant. mod. (oc)'!N644,0))</f>
        <v>2</v>
      </c>
      <c r="O644" s="125">
        <f>IF('Quant. mod. (oc)'!O644&lt;0,0,ROUND('Quant. mod. (oc)'!O644,0))</f>
        <v>2</v>
      </c>
      <c r="P644" s="125">
        <f>IF('Quant. mod. (oc)'!P644&lt;0,0,ROUND('Quant. mod. (oc)'!P644,0))</f>
        <v>2</v>
      </c>
      <c r="Q644" s="125">
        <f>IF('Quant. mod. (oc)'!Q644&lt;0,0,ROUND('Quant. mod. (oc)'!Q644,0))</f>
        <v>2</v>
      </c>
      <c r="R644" s="125">
        <f>IF('Quant. mod. (oc)'!R644&lt;0,0,ROUND('Quant. mod. (oc)'!R644,0))</f>
        <v>2</v>
      </c>
      <c r="S644" s="125">
        <f>IF('Quant. mod. (oc)'!S644&lt;0,0,ROUND('Quant. mod. (oc)'!S644,0))</f>
        <v>2</v>
      </c>
      <c r="T644" s="125">
        <f>IF('Quant. mod. (oc)'!T644&lt;0,0,ROUND('Quant. mod. (oc)'!T644,0))</f>
        <v>2</v>
      </c>
      <c r="U644" s="125">
        <f>IF('Quant. mod. (oc)'!U644&lt;0,0,ROUND('Quant. mod. (oc)'!U644,0))</f>
        <v>2</v>
      </c>
      <c r="V644" s="125">
        <f>IF('Quant. mod. (oc)'!V644&lt;0,0,ROUND('Quant. mod. (oc)'!V644,0))</f>
        <v>2</v>
      </c>
      <c r="W644" s="125">
        <f>IF('Quant. mod. (oc)'!W644&lt;0,0,ROUND('Quant. mod. (oc)'!W644,0))</f>
        <v>2</v>
      </c>
      <c r="X644" s="125">
        <f>IF('Quant. mod. (oc)'!X644&lt;0,0,ROUND('Quant. mod. (oc)'!X644,0))</f>
        <v>2</v>
      </c>
      <c r="Y644" s="125">
        <f>IF('Quant. mod. (oc)'!Y644&lt;0,0,ROUND('Quant. mod. (oc)'!Y644,0))</f>
        <v>2</v>
      </c>
      <c r="Z644" s="125">
        <f>IF('Quant. mod. (oc)'!Z644&lt;0,0,ROUND('Quant. mod. (oc)'!Z644,0))</f>
        <v>2</v>
      </c>
      <c r="AA644" s="125">
        <f>IF('Quant. mod. (oc)'!AA644&lt;0,0,ROUND('Quant. mod. (oc)'!AA644,0))</f>
        <v>2</v>
      </c>
      <c r="AB644" s="125">
        <f>IF('Quant. mod. (oc)'!AB644&lt;0,0,ROUND('Quant. mod. (oc)'!AB644,0))</f>
        <v>2</v>
      </c>
      <c r="AC644" s="125">
        <f>IF('Quant. mod. (oc)'!AC644&lt;0,0,ROUND('Quant. mod. (oc)'!AC644,0))</f>
        <v>2</v>
      </c>
      <c r="AD644" s="125">
        <f>IF('Quant. mod. (oc)'!AD644&lt;0,0,ROUND('Quant. mod. (oc)'!AD644,0))</f>
        <v>2</v>
      </c>
      <c r="AE644" s="125">
        <f>IF('Quant. mod. (oc)'!AE644&lt;0,0,ROUND('Quant. mod. (oc)'!AE644,0))</f>
        <v>2</v>
      </c>
      <c r="AF644" s="125">
        <f>IF('Quant. mod. (oc)'!AF644&lt;0,0,ROUND('Quant. mod. (oc)'!AF644,0))</f>
        <v>2</v>
      </c>
      <c r="AG644" s="126">
        <f>IF('Quant. mod. (oc)'!AG644&lt;0,0,ROUND('Quant. mod. (oc)'!AG644,0))</f>
        <v>2</v>
      </c>
      <c r="AH644" s="22"/>
    </row>
    <row r="645" spans="1:34" x14ac:dyDescent="0.25">
      <c r="A645" s="21"/>
      <c r="B645" s="141" t="s">
        <v>664</v>
      </c>
      <c r="C645" s="125" t="s">
        <v>60</v>
      </c>
      <c r="D645" s="125">
        <f>IF('Quant. mod. (oc)'!D645&lt;0,0,ROUND('Quant. mod. (oc)'!D645,0))</f>
        <v>2</v>
      </c>
      <c r="E645" s="125">
        <f>IF('Quant. mod. (oc)'!E645&lt;0,0,ROUND('Quant. mod. (oc)'!E645,0))</f>
        <v>2</v>
      </c>
      <c r="F645" s="125">
        <f>IF('Quant. mod. (oc)'!F645&lt;0,0,ROUND('Quant. mod. (oc)'!F645,0))</f>
        <v>2</v>
      </c>
      <c r="G645" s="125">
        <f>IF('Quant. mod. (oc)'!G645&lt;0,0,ROUND('Quant. mod. (oc)'!G645,0))</f>
        <v>2</v>
      </c>
      <c r="H645" s="125">
        <f>IF('Quant. mod. (oc)'!H645&lt;0,0,ROUND('Quant. mod. (oc)'!H645,0))</f>
        <v>2</v>
      </c>
      <c r="I645" s="125">
        <f>IF('Quant. mod. (oc)'!I645&lt;0,0,ROUND('Quant. mod. (oc)'!I645,0))</f>
        <v>2</v>
      </c>
      <c r="J645" s="125">
        <f>IF('Quant. mod. (oc)'!J645&lt;0,0,ROUND('Quant. mod. (oc)'!J645,0))</f>
        <v>2</v>
      </c>
      <c r="K645" s="125">
        <f>IF('Quant. mod. (oc)'!K645&lt;0,0,ROUND('Quant. mod. (oc)'!K645,0))</f>
        <v>2</v>
      </c>
      <c r="L645" s="125">
        <f>IF('Quant. mod. (oc)'!L645&lt;0,0,ROUND('Quant. mod. (oc)'!L645,0))</f>
        <v>2</v>
      </c>
      <c r="M645" s="125">
        <f>IF('Quant. mod. (oc)'!M645&lt;0,0,ROUND('Quant. mod. (oc)'!M645,0))</f>
        <v>2</v>
      </c>
      <c r="N645" s="125">
        <f>IF('Quant. mod. (oc)'!N645&lt;0,0,ROUND('Quant. mod. (oc)'!N645,0))</f>
        <v>2</v>
      </c>
      <c r="O645" s="125">
        <f>IF('Quant. mod. (oc)'!O645&lt;0,0,ROUND('Quant. mod. (oc)'!O645,0))</f>
        <v>2</v>
      </c>
      <c r="P645" s="125">
        <f>IF('Quant. mod. (oc)'!P645&lt;0,0,ROUND('Quant. mod. (oc)'!P645,0))</f>
        <v>2</v>
      </c>
      <c r="Q645" s="125">
        <f>IF('Quant. mod. (oc)'!Q645&lt;0,0,ROUND('Quant. mod. (oc)'!Q645,0))</f>
        <v>2</v>
      </c>
      <c r="R645" s="125">
        <f>IF('Quant. mod. (oc)'!R645&lt;0,0,ROUND('Quant. mod. (oc)'!R645,0))</f>
        <v>2</v>
      </c>
      <c r="S645" s="125">
        <f>IF('Quant. mod. (oc)'!S645&lt;0,0,ROUND('Quant. mod. (oc)'!S645,0))</f>
        <v>2</v>
      </c>
      <c r="T645" s="125">
        <f>IF('Quant. mod. (oc)'!T645&lt;0,0,ROUND('Quant. mod. (oc)'!T645,0))</f>
        <v>2</v>
      </c>
      <c r="U645" s="125">
        <f>IF('Quant. mod. (oc)'!U645&lt;0,0,ROUND('Quant. mod. (oc)'!U645,0))</f>
        <v>2</v>
      </c>
      <c r="V645" s="125">
        <f>IF('Quant. mod. (oc)'!V645&lt;0,0,ROUND('Quant. mod. (oc)'!V645,0))</f>
        <v>2</v>
      </c>
      <c r="W645" s="125">
        <f>IF('Quant. mod. (oc)'!W645&lt;0,0,ROUND('Quant. mod. (oc)'!W645,0))</f>
        <v>2</v>
      </c>
      <c r="X645" s="125">
        <f>IF('Quant. mod. (oc)'!X645&lt;0,0,ROUND('Quant. mod. (oc)'!X645,0))</f>
        <v>2</v>
      </c>
      <c r="Y645" s="125">
        <f>IF('Quant. mod. (oc)'!Y645&lt;0,0,ROUND('Quant. mod. (oc)'!Y645,0))</f>
        <v>2</v>
      </c>
      <c r="Z645" s="125">
        <f>IF('Quant. mod. (oc)'!Z645&lt;0,0,ROUND('Quant. mod. (oc)'!Z645,0))</f>
        <v>2</v>
      </c>
      <c r="AA645" s="125">
        <f>IF('Quant. mod. (oc)'!AA645&lt;0,0,ROUND('Quant. mod. (oc)'!AA645,0))</f>
        <v>2</v>
      </c>
      <c r="AB645" s="125">
        <f>IF('Quant. mod. (oc)'!AB645&lt;0,0,ROUND('Quant. mod. (oc)'!AB645,0))</f>
        <v>2</v>
      </c>
      <c r="AC645" s="125">
        <f>IF('Quant. mod. (oc)'!AC645&lt;0,0,ROUND('Quant. mod. (oc)'!AC645,0))</f>
        <v>2</v>
      </c>
      <c r="AD645" s="125">
        <f>IF('Quant. mod. (oc)'!AD645&lt;0,0,ROUND('Quant. mod. (oc)'!AD645,0))</f>
        <v>2</v>
      </c>
      <c r="AE645" s="125">
        <f>IF('Quant. mod. (oc)'!AE645&lt;0,0,ROUND('Quant. mod. (oc)'!AE645,0))</f>
        <v>2</v>
      </c>
      <c r="AF645" s="125">
        <f>IF('Quant. mod. (oc)'!AF645&lt;0,0,ROUND('Quant. mod. (oc)'!AF645,0))</f>
        <v>2</v>
      </c>
      <c r="AG645" s="126">
        <f>IF('Quant. mod. (oc)'!AG645&lt;0,0,ROUND('Quant. mod. (oc)'!AG645,0))</f>
        <v>2</v>
      </c>
      <c r="AH645" s="22"/>
    </row>
    <row r="646" spans="1:34" x14ac:dyDescent="0.25">
      <c r="A646" s="21"/>
      <c r="B646" s="141" t="s">
        <v>665</v>
      </c>
      <c r="C646" s="125" t="s">
        <v>60</v>
      </c>
      <c r="D646" s="125">
        <f>IF('Quant. mod. (oc)'!D646&lt;0,0,ROUND('Quant. mod. (oc)'!D646,0))</f>
        <v>2</v>
      </c>
      <c r="E646" s="125">
        <f>IF('Quant. mod. (oc)'!E646&lt;0,0,ROUND('Quant. mod. (oc)'!E646,0))</f>
        <v>2</v>
      </c>
      <c r="F646" s="125">
        <f>IF('Quant. mod. (oc)'!F646&lt;0,0,ROUND('Quant. mod. (oc)'!F646,0))</f>
        <v>2</v>
      </c>
      <c r="G646" s="125">
        <f>IF('Quant. mod. (oc)'!G646&lt;0,0,ROUND('Quant. mod. (oc)'!G646,0))</f>
        <v>2</v>
      </c>
      <c r="H646" s="125">
        <f>IF('Quant. mod. (oc)'!H646&lt;0,0,ROUND('Quant. mod. (oc)'!H646,0))</f>
        <v>2</v>
      </c>
      <c r="I646" s="125">
        <f>IF('Quant. mod. (oc)'!I646&lt;0,0,ROUND('Quant. mod. (oc)'!I646,0))</f>
        <v>2</v>
      </c>
      <c r="J646" s="125">
        <f>IF('Quant. mod. (oc)'!J646&lt;0,0,ROUND('Quant. mod. (oc)'!J646,0))</f>
        <v>2</v>
      </c>
      <c r="K646" s="125">
        <f>IF('Quant. mod. (oc)'!K646&lt;0,0,ROUND('Quant. mod. (oc)'!K646,0))</f>
        <v>2</v>
      </c>
      <c r="L646" s="125">
        <f>IF('Quant. mod. (oc)'!L646&lt;0,0,ROUND('Quant. mod. (oc)'!L646,0))</f>
        <v>2</v>
      </c>
      <c r="M646" s="125">
        <f>IF('Quant. mod. (oc)'!M646&lt;0,0,ROUND('Quant. mod. (oc)'!M646,0))</f>
        <v>2</v>
      </c>
      <c r="N646" s="125">
        <f>IF('Quant. mod. (oc)'!N646&lt;0,0,ROUND('Quant. mod. (oc)'!N646,0))</f>
        <v>2</v>
      </c>
      <c r="O646" s="125">
        <f>IF('Quant. mod. (oc)'!O646&lt;0,0,ROUND('Quant. mod. (oc)'!O646,0))</f>
        <v>2</v>
      </c>
      <c r="P646" s="125">
        <f>IF('Quant. mod. (oc)'!P646&lt;0,0,ROUND('Quant. mod. (oc)'!P646,0))</f>
        <v>2</v>
      </c>
      <c r="Q646" s="125">
        <f>IF('Quant. mod. (oc)'!Q646&lt;0,0,ROUND('Quant. mod. (oc)'!Q646,0))</f>
        <v>2</v>
      </c>
      <c r="R646" s="125">
        <f>IF('Quant. mod. (oc)'!R646&lt;0,0,ROUND('Quant. mod. (oc)'!R646,0))</f>
        <v>2</v>
      </c>
      <c r="S646" s="125">
        <f>IF('Quant. mod. (oc)'!S646&lt;0,0,ROUND('Quant. mod. (oc)'!S646,0))</f>
        <v>2</v>
      </c>
      <c r="T646" s="125">
        <f>IF('Quant. mod. (oc)'!T646&lt;0,0,ROUND('Quant. mod. (oc)'!T646,0))</f>
        <v>2</v>
      </c>
      <c r="U646" s="125">
        <f>IF('Quant. mod. (oc)'!U646&lt;0,0,ROUND('Quant. mod. (oc)'!U646,0))</f>
        <v>2</v>
      </c>
      <c r="V646" s="125">
        <f>IF('Quant. mod. (oc)'!V646&lt;0,0,ROUND('Quant. mod. (oc)'!V646,0))</f>
        <v>2</v>
      </c>
      <c r="W646" s="125">
        <f>IF('Quant. mod. (oc)'!W646&lt;0,0,ROUND('Quant. mod. (oc)'!W646,0))</f>
        <v>2</v>
      </c>
      <c r="X646" s="125">
        <f>IF('Quant. mod. (oc)'!X646&lt;0,0,ROUND('Quant. mod. (oc)'!X646,0))</f>
        <v>2</v>
      </c>
      <c r="Y646" s="125">
        <f>IF('Quant. mod. (oc)'!Y646&lt;0,0,ROUND('Quant. mod. (oc)'!Y646,0))</f>
        <v>2</v>
      </c>
      <c r="Z646" s="125">
        <f>IF('Quant. mod. (oc)'!Z646&lt;0,0,ROUND('Quant. mod. (oc)'!Z646,0))</f>
        <v>2</v>
      </c>
      <c r="AA646" s="125">
        <f>IF('Quant. mod. (oc)'!AA646&lt;0,0,ROUND('Quant. mod. (oc)'!AA646,0))</f>
        <v>2</v>
      </c>
      <c r="AB646" s="125">
        <f>IF('Quant. mod. (oc)'!AB646&lt;0,0,ROUND('Quant. mod. (oc)'!AB646,0))</f>
        <v>2</v>
      </c>
      <c r="AC646" s="125">
        <f>IF('Quant. mod. (oc)'!AC646&lt;0,0,ROUND('Quant. mod. (oc)'!AC646,0))</f>
        <v>2</v>
      </c>
      <c r="AD646" s="125">
        <f>IF('Quant. mod. (oc)'!AD646&lt;0,0,ROUND('Quant. mod. (oc)'!AD646,0))</f>
        <v>2</v>
      </c>
      <c r="AE646" s="125">
        <f>IF('Quant. mod. (oc)'!AE646&lt;0,0,ROUND('Quant. mod. (oc)'!AE646,0))</f>
        <v>2</v>
      </c>
      <c r="AF646" s="125">
        <f>IF('Quant. mod. (oc)'!AF646&lt;0,0,ROUND('Quant. mod. (oc)'!AF646,0))</f>
        <v>2</v>
      </c>
      <c r="AG646" s="126">
        <f>IF('Quant. mod. (oc)'!AG646&lt;0,0,ROUND('Quant. mod. (oc)'!AG646,0))</f>
        <v>2</v>
      </c>
      <c r="AH646" s="22"/>
    </row>
    <row r="647" spans="1:34" x14ac:dyDescent="0.25">
      <c r="A647" s="21"/>
      <c r="B647" s="141" t="s">
        <v>666</v>
      </c>
      <c r="C647" s="125" t="s">
        <v>60</v>
      </c>
      <c r="D647" s="125">
        <f>IF('Quant. mod. (oc)'!D647&lt;0,0,ROUND('Quant. mod. (oc)'!D647,0))</f>
        <v>2</v>
      </c>
      <c r="E647" s="125">
        <f>IF('Quant. mod. (oc)'!E647&lt;0,0,ROUND('Quant. mod. (oc)'!E647,0))</f>
        <v>2</v>
      </c>
      <c r="F647" s="125">
        <f>IF('Quant. mod. (oc)'!F647&lt;0,0,ROUND('Quant. mod. (oc)'!F647,0))</f>
        <v>2</v>
      </c>
      <c r="G647" s="125">
        <f>IF('Quant. mod. (oc)'!G647&lt;0,0,ROUND('Quant. mod. (oc)'!G647,0))</f>
        <v>2</v>
      </c>
      <c r="H647" s="125">
        <f>IF('Quant. mod. (oc)'!H647&lt;0,0,ROUND('Quant. mod. (oc)'!H647,0))</f>
        <v>2</v>
      </c>
      <c r="I647" s="125">
        <f>IF('Quant. mod. (oc)'!I647&lt;0,0,ROUND('Quant. mod. (oc)'!I647,0))</f>
        <v>2</v>
      </c>
      <c r="J647" s="125">
        <f>IF('Quant. mod. (oc)'!J647&lt;0,0,ROUND('Quant. mod. (oc)'!J647,0))</f>
        <v>2</v>
      </c>
      <c r="K647" s="125">
        <f>IF('Quant. mod. (oc)'!K647&lt;0,0,ROUND('Quant. mod. (oc)'!K647,0))</f>
        <v>2</v>
      </c>
      <c r="L647" s="125">
        <f>IF('Quant. mod. (oc)'!L647&lt;0,0,ROUND('Quant. mod. (oc)'!L647,0))</f>
        <v>2</v>
      </c>
      <c r="M647" s="125">
        <f>IF('Quant. mod. (oc)'!M647&lt;0,0,ROUND('Quant. mod. (oc)'!M647,0))</f>
        <v>2</v>
      </c>
      <c r="N647" s="125">
        <f>IF('Quant. mod. (oc)'!N647&lt;0,0,ROUND('Quant. mod. (oc)'!N647,0))</f>
        <v>2</v>
      </c>
      <c r="O647" s="125">
        <f>IF('Quant. mod. (oc)'!O647&lt;0,0,ROUND('Quant. mod. (oc)'!O647,0))</f>
        <v>2</v>
      </c>
      <c r="P647" s="125">
        <f>IF('Quant. mod. (oc)'!P647&lt;0,0,ROUND('Quant. mod. (oc)'!P647,0))</f>
        <v>2</v>
      </c>
      <c r="Q647" s="125">
        <f>IF('Quant. mod. (oc)'!Q647&lt;0,0,ROUND('Quant. mod. (oc)'!Q647,0))</f>
        <v>2</v>
      </c>
      <c r="R647" s="125">
        <f>IF('Quant. mod. (oc)'!R647&lt;0,0,ROUND('Quant. mod. (oc)'!R647,0))</f>
        <v>2</v>
      </c>
      <c r="S647" s="125">
        <f>IF('Quant. mod. (oc)'!S647&lt;0,0,ROUND('Quant. mod. (oc)'!S647,0))</f>
        <v>2</v>
      </c>
      <c r="T647" s="125">
        <f>IF('Quant. mod. (oc)'!T647&lt;0,0,ROUND('Quant. mod. (oc)'!T647,0))</f>
        <v>2</v>
      </c>
      <c r="U647" s="125">
        <f>IF('Quant. mod. (oc)'!U647&lt;0,0,ROUND('Quant. mod. (oc)'!U647,0))</f>
        <v>2</v>
      </c>
      <c r="V647" s="125">
        <f>IF('Quant. mod. (oc)'!V647&lt;0,0,ROUND('Quant. mod. (oc)'!V647,0))</f>
        <v>2</v>
      </c>
      <c r="W647" s="125">
        <f>IF('Quant. mod. (oc)'!W647&lt;0,0,ROUND('Quant. mod. (oc)'!W647,0))</f>
        <v>2</v>
      </c>
      <c r="X647" s="125">
        <f>IF('Quant. mod. (oc)'!X647&lt;0,0,ROUND('Quant. mod. (oc)'!X647,0))</f>
        <v>2</v>
      </c>
      <c r="Y647" s="125">
        <f>IF('Quant. mod. (oc)'!Y647&lt;0,0,ROUND('Quant. mod. (oc)'!Y647,0))</f>
        <v>2</v>
      </c>
      <c r="Z647" s="125">
        <f>IF('Quant. mod. (oc)'!Z647&lt;0,0,ROUND('Quant. mod. (oc)'!Z647,0))</f>
        <v>2</v>
      </c>
      <c r="AA647" s="125">
        <f>IF('Quant. mod. (oc)'!AA647&lt;0,0,ROUND('Quant. mod. (oc)'!AA647,0))</f>
        <v>2</v>
      </c>
      <c r="AB647" s="125">
        <f>IF('Quant. mod. (oc)'!AB647&lt;0,0,ROUND('Quant. mod. (oc)'!AB647,0))</f>
        <v>2</v>
      </c>
      <c r="AC647" s="125">
        <f>IF('Quant. mod. (oc)'!AC647&lt;0,0,ROUND('Quant. mod. (oc)'!AC647,0))</f>
        <v>2</v>
      </c>
      <c r="AD647" s="125">
        <f>IF('Quant. mod. (oc)'!AD647&lt;0,0,ROUND('Quant. mod. (oc)'!AD647,0))</f>
        <v>2</v>
      </c>
      <c r="AE647" s="125">
        <f>IF('Quant. mod. (oc)'!AE647&lt;0,0,ROUND('Quant. mod. (oc)'!AE647,0))</f>
        <v>2</v>
      </c>
      <c r="AF647" s="125">
        <f>IF('Quant. mod. (oc)'!AF647&lt;0,0,ROUND('Quant. mod. (oc)'!AF647,0))</f>
        <v>2</v>
      </c>
      <c r="AG647" s="126">
        <f>IF('Quant. mod. (oc)'!AG647&lt;0,0,ROUND('Quant. mod. (oc)'!AG647,0))</f>
        <v>2</v>
      </c>
      <c r="AH647" s="22"/>
    </row>
    <row r="648" spans="1:34" x14ac:dyDescent="0.25">
      <c r="A648" s="21"/>
      <c r="B648" s="141" t="s">
        <v>667</v>
      </c>
      <c r="C648" s="125" t="s">
        <v>60</v>
      </c>
      <c r="D648" s="125">
        <f>IF('Quant. mod. (oc)'!D648&lt;0,0,ROUND('Quant. mod. (oc)'!D648,0))</f>
        <v>2</v>
      </c>
      <c r="E648" s="125">
        <f>IF('Quant. mod. (oc)'!E648&lt;0,0,ROUND('Quant. mod. (oc)'!E648,0))</f>
        <v>2</v>
      </c>
      <c r="F648" s="125">
        <f>IF('Quant. mod. (oc)'!F648&lt;0,0,ROUND('Quant. mod. (oc)'!F648,0))</f>
        <v>2</v>
      </c>
      <c r="G648" s="125">
        <f>IF('Quant. mod. (oc)'!G648&lt;0,0,ROUND('Quant. mod. (oc)'!G648,0))</f>
        <v>2</v>
      </c>
      <c r="H648" s="125">
        <f>IF('Quant. mod. (oc)'!H648&lt;0,0,ROUND('Quant. mod. (oc)'!H648,0))</f>
        <v>2</v>
      </c>
      <c r="I648" s="125">
        <f>IF('Quant. mod. (oc)'!I648&lt;0,0,ROUND('Quant. mod. (oc)'!I648,0))</f>
        <v>2</v>
      </c>
      <c r="J648" s="125">
        <f>IF('Quant. mod. (oc)'!J648&lt;0,0,ROUND('Quant. mod. (oc)'!J648,0))</f>
        <v>2</v>
      </c>
      <c r="K648" s="125">
        <f>IF('Quant. mod. (oc)'!K648&lt;0,0,ROUND('Quant. mod. (oc)'!K648,0))</f>
        <v>2</v>
      </c>
      <c r="L648" s="125">
        <f>IF('Quant. mod. (oc)'!L648&lt;0,0,ROUND('Quant. mod. (oc)'!L648,0))</f>
        <v>2</v>
      </c>
      <c r="M648" s="125">
        <f>IF('Quant. mod. (oc)'!M648&lt;0,0,ROUND('Quant. mod. (oc)'!M648,0))</f>
        <v>2</v>
      </c>
      <c r="N648" s="125">
        <f>IF('Quant. mod. (oc)'!N648&lt;0,0,ROUND('Quant. mod. (oc)'!N648,0))</f>
        <v>2</v>
      </c>
      <c r="O648" s="125">
        <f>IF('Quant. mod. (oc)'!O648&lt;0,0,ROUND('Quant. mod. (oc)'!O648,0))</f>
        <v>2</v>
      </c>
      <c r="P648" s="125">
        <f>IF('Quant. mod. (oc)'!P648&lt;0,0,ROUND('Quant. mod. (oc)'!P648,0))</f>
        <v>2</v>
      </c>
      <c r="Q648" s="125">
        <f>IF('Quant. mod. (oc)'!Q648&lt;0,0,ROUND('Quant. mod. (oc)'!Q648,0))</f>
        <v>2</v>
      </c>
      <c r="R648" s="125">
        <f>IF('Quant. mod. (oc)'!R648&lt;0,0,ROUND('Quant. mod. (oc)'!R648,0))</f>
        <v>2</v>
      </c>
      <c r="S648" s="125">
        <f>IF('Quant. mod. (oc)'!S648&lt;0,0,ROUND('Quant. mod. (oc)'!S648,0))</f>
        <v>2</v>
      </c>
      <c r="T648" s="125">
        <f>IF('Quant. mod. (oc)'!T648&lt;0,0,ROUND('Quant. mod. (oc)'!T648,0))</f>
        <v>2</v>
      </c>
      <c r="U648" s="125">
        <f>IF('Quant. mod. (oc)'!U648&lt;0,0,ROUND('Quant. mod. (oc)'!U648,0))</f>
        <v>2</v>
      </c>
      <c r="V648" s="125">
        <f>IF('Quant. mod. (oc)'!V648&lt;0,0,ROUND('Quant. mod. (oc)'!V648,0))</f>
        <v>2</v>
      </c>
      <c r="W648" s="125">
        <f>IF('Quant. mod. (oc)'!W648&lt;0,0,ROUND('Quant. mod. (oc)'!W648,0))</f>
        <v>2</v>
      </c>
      <c r="X648" s="125">
        <f>IF('Quant. mod. (oc)'!X648&lt;0,0,ROUND('Quant. mod. (oc)'!X648,0))</f>
        <v>2</v>
      </c>
      <c r="Y648" s="125">
        <f>IF('Quant. mod. (oc)'!Y648&lt;0,0,ROUND('Quant. mod. (oc)'!Y648,0))</f>
        <v>2</v>
      </c>
      <c r="Z648" s="125">
        <f>IF('Quant. mod. (oc)'!Z648&lt;0,0,ROUND('Quant. mod. (oc)'!Z648,0))</f>
        <v>2</v>
      </c>
      <c r="AA648" s="125">
        <f>IF('Quant. mod. (oc)'!AA648&lt;0,0,ROUND('Quant. mod. (oc)'!AA648,0))</f>
        <v>2</v>
      </c>
      <c r="AB648" s="125">
        <f>IF('Quant. mod. (oc)'!AB648&lt;0,0,ROUND('Quant. mod. (oc)'!AB648,0))</f>
        <v>2</v>
      </c>
      <c r="AC648" s="125">
        <f>IF('Quant. mod. (oc)'!AC648&lt;0,0,ROUND('Quant. mod. (oc)'!AC648,0))</f>
        <v>2</v>
      </c>
      <c r="AD648" s="125">
        <f>IF('Quant. mod. (oc)'!AD648&lt;0,0,ROUND('Quant. mod. (oc)'!AD648,0))</f>
        <v>2</v>
      </c>
      <c r="AE648" s="125">
        <f>IF('Quant. mod. (oc)'!AE648&lt;0,0,ROUND('Quant. mod. (oc)'!AE648,0))</f>
        <v>2</v>
      </c>
      <c r="AF648" s="125">
        <f>IF('Quant. mod. (oc)'!AF648&lt;0,0,ROUND('Quant. mod. (oc)'!AF648,0))</f>
        <v>2</v>
      </c>
      <c r="AG648" s="126">
        <f>IF('Quant. mod. (oc)'!AG648&lt;0,0,ROUND('Quant. mod. (oc)'!AG648,0))</f>
        <v>2</v>
      </c>
      <c r="AH648" s="22"/>
    </row>
    <row r="649" spans="1:34" x14ac:dyDescent="0.25">
      <c r="A649" s="21"/>
      <c r="B649" s="141" t="s">
        <v>668</v>
      </c>
      <c r="C649" s="125" t="s">
        <v>60</v>
      </c>
      <c r="D649" s="125">
        <f>IF('Quant. mod. (oc)'!D649&lt;0,0,ROUND('Quant. mod. (oc)'!D649,0))</f>
        <v>2</v>
      </c>
      <c r="E649" s="125">
        <f>IF('Quant. mod. (oc)'!E649&lt;0,0,ROUND('Quant. mod. (oc)'!E649,0))</f>
        <v>2</v>
      </c>
      <c r="F649" s="125">
        <f>IF('Quant. mod. (oc)'!F649&lt;0,0,ROUND('Quant. mod. (oc)'!F649,0))</f>
        <v>2</v>
      </c>
      <c r="G649" s="125">
        <f>IF('Quant. mod. (oc)'!G649&lt;0,0,ROUND('Quant. mod. (oc)'!G649,0))</f>
        <v>2</v>
      </c>
      <c r="H649" s="125">
        <f>IF('Quant. mod. (oc)'!H649&lt;0,0,ROUND('Quant. mod. (oc)'!H649,0))</f>
        <v>2</v>
      </c>
      <c r="I649" s="125">
        <f>IF('Quant. mod. (oc)'!I649&lt;0,0,ROUND('Quant. mod. (oc)'!I649,0))</f>
        <v>2</v>
      </c>
      <c r="J649" s="125">
        <f>IF('Quant. mod. (oc)'!J649&lt;0,0,ROUND('Quant. mod. (oc)'!J649,0))</f>
        <v>2</v>
      </c>
      <c r="K649" s="125">
        <f>IF('Quant. mod. (oc)'!K649&lt;0,0,ROUND('Quant. mod. (oc)'!K649,0))</f>
        <v>2</v>
      </c>
      <c r="L649" s="125">
        <f>IF('Quant. mod. (oc)'!L649&lt;0,0,ROUND('Quant. mod. (oc)'!L649,0))</f>
        <v>2</v>
      </c>
      <c r="M649" s="125">
        <f>IF('Quant. mod. (oc)'!M649&lt;0,0,ROUND('Quant. mod. (oc)'!M649,0))</f>
        <v>2</v>
      </c>
      <c r="N649" s="125">
        <f>IF('Quant. mod. (oc)'!N649&lt;0,0,ROUND('Quant. mod. (oc)'!N649,0))</f>
        <v>2</v>
      </c>
      <c r="O649" s="125">
        <f>IF('Quant. mod. (oc)'!O649&lt;0,0,ROUND('Quant. mod. (oc)'!O649,0))</f>
        <v>2</v>
      </c>
      <c r="P649" s="125">
        <f>IF('Quant. mod. (oc)'!P649&lt;0,0,ROUND('Quant. mod. (oc)'!P649,0))</f>
        <v>2</v>
      </c>
      <c r="Q649" s="125">
        <f>IF('Quant. mod. (oc)'!Q649&lt;0,0,ROUND('Quant. mod. (oc)'!Q649,0))</f>
        <v>2</v>
      </c>
      <c r="R649" s="125">
        <f>IF('Quant. mod. (oc)'!R649&lt;0,0,ROUND('Quant. mod. (oc)'!R649,0))</f>
        <v>2</v>
      </c>
      <c r="S649" s="125">
        <f>IF('Quant. mod. (oc)'!S649&lt;0,0,ROUND('Quant. mod. (oc)'!S649,0))</f>
        <v>2</v>
      </c>
      <c r="T649" s="125">
        <f>IF('Quant. mod. (oc)'!T649&lt;0,0,ROUND('Quant. mod. (oc)'!T649,0))</f>
        <v>2</v>
      </c>
      <c r="U649" s="125">
        <f>IF('Quant. mod. (oc)'!U649&lt;0,0,ROUND('Quant. mod. (oc)'!U649,0))</f>
        <v>2</v>
      </c>
      <c r="V649" s="125">
        <f>IF('Quant. mod. (oc)'!V649&lt;0,0,ROUND('Quant. mod. (oc)'!V649,0))</f>
        <v>2</v>
      </c>
      <c r="W649" s="125">
        <f>IF('Quant. mod. (oc)'!W649&lt;0,0,ROUND('Quant. mod. (oc)'!W649,0))</f>
        <v>2</v>
      </c>
      <c r="X649" s="125">
        <f>IF('Quant. mod. (oc)'!X649&lt;0,0,ROUND('Quant. mod. (oc)'!X649,0))</f>
        <v>2</v>
      </c>
      <c r="Y649" s="125">
        <f>IF('Quant. mod. (oc)'!Y649&lt;0,0,ROUND('Quant. mod. (oc)'!Y649,0))</f>
        <v>2</v>
      </c>
      <c r="Z649" s="125">
        <f>IF('Quant. mod. (oc)'!Z649&lt;0,0,ROUND('Quant. mod. (oc)'!Z649,0))</f>
        <v>2</v>
      </c>
      <c r="AA649" s="125">
        <f>IF('Quant. mod. (oc)'!AA649&lt;0,0,ROUND('Quant. mod. (oc)'!AA649,0))</f>
        <v>2</v>
      </c>
      <c r="AB649" s="125">
        <f>IF('Quant. mod. (oc)'!AB649&lt;0,0,ROUND('Quant. mod. (oc)'!AB649,0))</f>
        <v>2</v>
      </c>
      <c r="AC649" s="125">
        <f>IF('Quant. mod. (oc)'!AC649&lt;0,0,ROUND('Quant. mod. (oc)'!AC649,0))</f>
        <v>2</v>
      </c>
      <c r="AD649" s="125">
        <f>IF('Quant. mod. (oc)'!AD649&lt;0,0,ROUND('Quant. mod. (oc)'!AD649,0))</f>
        <v>2</v>
      </c>
      <c r="AE649" s="125">
        <f>IF('Quant. mod. (oc)'!AE649&lt;0,0,ROUND('Quant. mod. (oc)'!AE649,0))</f>
        <v>2</v>
      </c>
      <c r="AF649" s="125">
        <f>IF('Quant. mod. (oc)'!AF649&lt;0,0,ROUND('Quant. mod. (oc)'!AF649,0))</f>
        <v>2</v>
      </c>
      <c r="AG649" s="126">
        <f>IF('Quant. mod. (oc)'!AG649&lt;0,0,ROUND('Quant. mod. (oc)'!AG649,0))</f>
        <v>2</v>
      </c>
      <c r="AH649" s="22"/>
    </row>
    <row r="650" spans="1:34" x14ac:dyDescent="0.25">
      <c r="A650" s="21"/>
      <c r="B650" s="141" t="s">
        <v>669</v>
      </c>
      <c r="C650" s="125" t="s">
        <v>60</v>
      </c>
      <c r="D650" s="125">
        <f>IF('Quant. mod. (oc)'!D650&lt;0,0,ROUND('Quant. mod. (oc)'!D650,0))</f>
        <v>2</v>
      </c>
      <c r="E650" s="125">
        <f>IF('Quant. mod. (oc)'!E650&lt;0,0,ROUND('Quant. mod. (oc)'!E650,0))</f>
        <v>2</v>
      </c>
      <c r="F650" s="125">
        <f>IF('Quant. mod. (oc)'!F650&lt;0,0,ROUND('Quant. mod. (oc)'!F650,0))</f>
        <v>2</v>
      </c>
      <c r="G650" s="125">
        <f>IF('Quant. mod. (oc)'!G650&lt;0,0,ROUND('Quant. mod. (oc)'!G650,0))</f>
        <v>2</v>
      </c>
      <c r="H650" s="125">
        <f>IF('Quant. mod. (oc)'!H650&lt;0,0,ROUND('Quant. mod. (oc)'!H650,0))</f>
        <v>2</v>
      </c>
      <c r="I650" s="125">
        <f>IF('Quant. mod. (oc)'!I650&lt;0,0,ROUND('Quant. mod. (oc)'!I650,0))</f>
        <v>2</v>
      </c>
      <c r="J650" s="125">
        <f>IF('Quant. mod. (oc)'!J650&lt;0,0,ROUND('Quant. mod. (oc)'!J650,0))</f>
        <v>2</v>
      </c>
      <c r="K650" s="125">
        <f>IF('Quant. mod. (oc)'!K650&lt;0,0,ROUND('Quant. mod. (oc)'!K650,0))</f>
        <v>2</v>
      </c>
      <c r="L650" s="125">
        <f>IF('Quant. mod. (oc)'!L650&lt;0,0,ROUND('Quant. mod. (oc)'!L650,0))</f>
        <v>2</v>
      </c>
      <c r="M650" s="125">
        <f>IF('Quant. mod. (oc)'!M650&lt;0,0,ROUND('Quant. mod. (oc)'!M650,0))</f>
        <v>2</v>
      </c>
      <c r="N650" s="125">
        <f>IF('Quant. mod. (oc)'!N650&lt;0,0,ROUND('Quant. mod. (oc)'!N650,0))</f>
        <v>2</v>
      </c>
      <c r="O650" s="125">
        <f>IF('Quant. mod. (oc)'!O650&lt;0,0,ROUND('Quant. mod. (oc)'!O650,0))</f>
        <v>2</v>
      </c>
      <c r="P650" s="125">
        <f>IF('Quant. mod. (oc)'!P650&lt;0,0,ROUND('Quant. mod. (oc)'!P650,0))</f>
        <v>2</v>
      </c>
      <c r="Q650" s="125">
        <f>IF('Quant. mod. (oc)'!Q650&lt;0,0,ROUND('Quant. mod. (oc)'!Q650,0))</f>
        <v>2</v>
      </c>
      <c r="R650" s="125">
        <f>IF('Quant. mod. (oc)'!R650&lt;0,0,ROUND('Quant. mod. (oc)'!R650,0))</f>
        <v>2</v>
      </c>
      <c r="S650" s="125">
        <f>IF('Quant. mod. (oc)'!S650&lt;0,0,ROUND('Quant. mod. (oc)'!S650,0))</f>
        <v>2</v>
      </c>
      <c r="T650" s="125">
        <f>IF('Quant. mod. (oc)'!T650&lt;0,0,ROUND('Quant. mod. (oc)'!T650,0))</f>
        <v>2</v>
      </c>
      <c r="U650" s="125">
        <f>IF('Quant. mod. (oc)'!U650&lt;0,0,ROUND('Quant. mod. (oc)'!U650,0))</f>
        <v>2</v>
      </c>
      <c r="V650" s="125">
        <f>IF('Quant. mod. (oc)'!V650&lt;0,0,ROUND('Quant. mod. (oc)'!V650,0))</f>
        <v>2</v>
      </c>
      <c r="W650" s="125">
        <f>IF('Quant. mod. (oc)'!W650&lt;0,0,ROUND('Quant. mod. (oc)'!W650,0))</f>
        <v>2</v>
      </c>
      <c r="X650" s="125">
        <f>IF('Quant. mod. (oc)'!X650&lt;0,0,ROUND('Quant. mod. (oc)'!X650,0))</f>
        <v>2</v>
      </c>
      <c r="Y650" s="125">
        <f>IF('Quant. mod. (oc)'!Y650&lt;0,0,ROUND('Quant. mod. (oc)'!Y650,0))</f>
        <v>2</v>
      </c>
      <c r="Z650" s="125">
        <f>IF('Quant. mod. (oc)'!Z650&lt;0,0,ROUND('Quant. mod. (oc)'!Z650,0))</f>
        <v>2</v>
      </c>
      <c r="AA650" s="125">
        <f>IF('Quant. mod. (oc)'!AA650&lt;0,0,ROUND('Quant. mod. (oc)'!AA650,0))</f>
        <v>2</v>
      </c>
      <c r="AB650" s="125">
        <f>IF('Quant. mod. (oc)'!AB650&lt;0,0,ROUND('Quant. mod. (oc)'!AB650,0))</f>
        <v>2</v>
      </c>
      <c r="AC650" s="125">
        <f>IF('Quant. mod. (oc)'!AC650&lt;0,0,ROUND('Quant. mod. (oc)'!AC650,0))</f>
        <v>2</v>
      </c>
      <c r="AD650" s="125">
        <f>IF('Quant. mod. (oc)'!AD650&lt;0,0,ROUND('Quant. mod. (oc)'!AD650,0))</f>
        <v>2</v>
      </c>
      <c r="AE650" s="125">
        <f>IF('Quant. mod. (oc)'!AE650&lt;0,0,ROUND('Quant. mod. (oc)'!AE650,0))</f>
        <v>2</v>
      </c>
      <c r="AF650" s="125">
        <f>IF('Quant. mod. (oc)'!AF650&lt;0,0,ROUND('Quant. mod. (oc)'!AF650,0))</f>
        <v>2</v>
      </c>
      <c r="AG650" s="126">
        <f>IF('Quant. mod. (oc)'!AG650&lt;0,0,ROUND('Quant. mod. (oc)'!AG650,0))</f>
        <v>2</v>
      </c>
      <c r="AH650" s="22"/>
    </row>
    <row r="651" spans="1:34" x14ac:dyDescent="0.25">
      <c r="A651" s="21"/>
      <c r="B651" s="141" t="s">
        <v>670</v>
      </c>
      <c r="C651" s="125" t="s">
        <v>60</v>
      </c>
      <c r="D651" s="125">
        <f>IF('Quant. mod. (oc)'!D651&lt;0,0,ROUND('Quant. mod. (oc)'!D651,0))</f>
        <v>2</v>
      </c>
      <c r="E651" s="125">
        <f>IF('Quant. mod. (oc)'!E651&lt;0,0,ROUND('Quant. mod. (oc)'!E651,0))</f>
        <v>2</v>
      </c>
      <c r="F651" s="125">
        <f>IF('Quant. mod. (oc)'!F651&lt;0,0,ROUND('Quant. mod. (oc)'!F651,0))</f>
        <v>2</v>
      </c>
      <c r="G651" s="125">
        <f>IF('Quant. mod. (oc)'!G651&lt;0,0,ROUND('Quant. mod. (oc)'!G651,0))</f>
        <v>2</v>
      </c>
      <c r="H651" s="125">
        <f>IF('Quant. mod. (oc)'!H651&lt;0,0,ROUND('Quant. mod. (oc)'!H651,0))</f>
        <v>2</v>
      </c>
      <c r="I651" s="125">
        <f>IF('Quant. mod. (oc)'!I651&lt;0,0,ROUND('Quant. mod. (oc)'!I651,0))</f>
        <v>2</v>
      </c>
      <c r="J651" s="125">
        <f>IF('Quant. mod. (oc)'!J651&lt;0,0,ROUND('Quant. mod. (oc)'!J651,0))</f>
        <v>2</v>
      </c>
      <c r="K651" s="125">
        <f>IF('Quant. mod. (oc)'!K651&lt;0,0,ROUND('Quant. mod. (oc)'!K651,0))</f>
        <v>2</v>
      </c>
      <c r="L651" s="125">
        <f>IF('Quant. mod. (oc)'!L651&lt;0,0,ROUND('Quant. mod. (oc)'!L651,0))</f>
        <v>2</v>
      </c>
      <c r="M651" s="125">
        <f>IF('Quant. mod. (oc)'!M651&lt;0,0,ROUND('Quant. mod. (oc)'!M651,0))</f>
        <v>2</v>
      </c>
      <c r="N651" s="125">
        <f>IF('Quant. mod. (oc)'!N651&lt;0,0,ROUND('Quant. mod. (oc)'!N651,0))</f>
        <v>2</v>
      </c>
      <c r="O651" s="125">
        <f>IF('Quant. mod. (oc)'!O651&lt;0,0,ROUND('Quant. mod. (oc)'!O651,0))</f>
        <v>2</v>
      </c>
      <c r="P651" s="125">
        <f>IF('Quant. mod. (oc)'!P651&lt;0,0,ROUND('Quant. mod. (oc)'!P651,0))</f>
        <v>2</v>
      </c>
      <c r="Q651" s="125">
        <f>IF('Quant. mod. (oc)'!Q651&lt;0,0,ROUND('Quant. mod. (oc)'!Q651,0))</f>
        <v>2</v>
      </c>
      <c r="R651" s="125">
        <f>IF('Quant. mod. (oc)'!R651&lt;0,0,ROUND('Quant. mod. (oc)'!R651,0))</f>
        <v>2</v>
      </c>
      <c r="S651" s="125">
        <f>IF('Quant. mod. (oc)'!S651&lt;0,0,ROUND('Quant. mod. (oc)'!S651,0))</f>
        <v>2</v>
      </c>
      <c r="T651" s="125">
        <f>IF('Quant. mod. (oc)'!T651&lt;0,0,ROUND('Quant. mod. (oc)'!T651,0))</f>
        <v>2</v>
      </c>
      <c r="U651" s="125">
        <f>IF('Quant. mod. (oc)'!U651&lt;0,0,ROUND('Quant. mod. (oc)'!U651,0))</f>
        <v>2</v>
      </c>
      <c r="V651" s="125">
        <f>IF('Quant. mod. (oc)'!V651&lt;0,0,ROUND('Quant. mod. (oc)'!V651,0))</f>
        <v>2</v>
      </c>
      <c r="W651" s="125">
        <f>IF('Quant. mod. (oc)'!W651&lt;0,0,ROUND('Quant. mod. (oc)'!W651,0))</f>
        <v>2</v>
      </c>
      <c r="X651" s="125">
        <f>IF('Quant. mod. (oc)'!X651&lt;0,0,ROUND('Quant. mod. (oc)'!X651,0))</f>
        <v>2</v>
      </c>
      <c r="Y651" s="125">
        <f>IF('Quant. mod. (oc)'!Y651&lt;0,0,ROUND('Quant. mod. (oc)'!Y651,0))</f>
        <v>2</v>
      </c>
      <c r="Z651" s="125">
        <f>IF('Quant. mod. (oc)'!Z651&lt;0,0,ROUND('Quant. mod. (oc)'!Z651,0))</f>
        <v>2</v>
      </c>
      <c r="AA651" s="125">
        <f>IF('Quant. mod. (oc)'!AA651&lt;0,0,ROUND('Quant. mod. (oc)'!AA651,0))</f>
        <v>2</v>
      </c>
      <c r="AB651" s="125">
        <f>IF('Quant. mod. (oc)'!AB651&lt;0,0,ROUND('Quant. mod. (oc)'!AB651,0))</f>
        <v>2</v>
      </c>
      <c r="AC651" s="125">
        <f>IF('Quant. mod. (oc)'!AC651&lt;0,0,ROUND('Quant. mod. (oc)'!AC651,0))</f>
        <v>2</v>
      </c>
      <c r="AD651" s="125">
        <f>IF('Quant. mod. (oc)'!AD651&lt;0,0,ROUND('Quant. mod. (oc)'!AD651,0))</f>
        <v>2</v>
      </c>
      <c r="AE651" s="125">
        <f>IF('Quant. mod. (oc)'!AE651&lt;0,0,ROUND('Quant. mod. (oc)'!AE651,0))</f>
        <v>2</v>
      </c>
      <c r="AF651" s="125">
        <f>IF('Quant. mod. (oc)'!AF651&lt;0,0,ROUND('Quant. mod. (oc)'!AF651,0))</f>
        <v>2</v>
      </c>
      <c r="AG651" s="126">
        <f>IF('Quant. mod. (oc)'!AG651&lt;0,0,ROUND('Quant. mod. (oc)'!AG651,0))</f>
        <v>2</v>
      </c>
      <c r="AH651" s="22"/>
    </row>
    <row r="652" spans="1:34" x14ac:dyDescent="0.25">
      <c r="A652" s="21"/>
      <c r="B652" s="141" t="s">
        <v>671</v>
      </c>
      <c r="C652" s="125" t="s">
        <v>60</v>
      </c>
      <c r="D652" s="125">
        <f>IF('Quant. mod. (oc)'!D652&lt;0,0,ROUND('Quant. mod. (oc)'!D652,0))</f>
        <v>2</v>
      </c>
      <c r="E652" s="125">
        <f>IF('Quant. mod. (oc)'!E652&lt;0,0,ROUND('Quant. mod. (oc)'!E652,0))</f>
        <v>2</v>
      </c>
      <c r="F652" s="125">
        <f>IF('Quant. mod. (oc)'!F652&lt;0,0,ROUND('Quant. mod. (oc)'!F652,0))</f>
        <v>2</v>
      </c>
      <c r="G652" s="125">
        <f>IF('Quant. mod. (oc)'!G652&lt;0,0,ROUND('Quant. mod. (oc)'!G652,0))</f>
        <v>2</v>
      </c>
      <c r="H652" s="125">
        <f>IF('Quant. mod. (oc)'!H652&lt;0,0,ROUND('Quant. mod. (oc)'!H652,0))</f>
        <v>2</v>
      </c>
      <c r="I652" s="125">
        <f>IF('Quant. mod. (oc)'!I652&lt;0,0,ROUND('Quant. mod. (oc)'!I652,0))</f>
        <v>2</v>
      </c>
      <c r="J652" s="125">
        <f>IF('Quant. mod. (oc)'!J652&lt;0,0,ROUND('Quant. mod. (oc)'!J652,0))</f>
        <v>2</v>
      </c>
      <c r="K652" s="125">
        <f>IF('Quant. mod. (oc)'!K652&lt;0,0,ROUND('Quant. mod. (oc)'!K652,0))</f>
        <v>2</v>
      </c>
      <c r="L652" s="125">
        <f>IF('Quant. mod. (oc)'!L652&lt;0,0,ROUND('Quant. mod. (oc)'!L652,0))</f>
        <v>2</v>
      </c>
      <c r="M652" s="125">
        <f>IF('Quant. mod. (oc)'!M652&lt;0,0,ROUND('Quant. mod. (oc)'!M652,0))</f>
        <v>2</v>
      </c>
      <c r="N652" s="125">
        <f>IF('Quant. mod. (oc)'!N652&lt;0,0,ROUND('Quant. mod. (oc)'!N652,0))</f>
        <v>2</v>
      </c>
      <c r="O652" s="125">
        <f>IF('Quant. mod. (oc)'!O652&lt;0,0,ROUND('Quant. mod. (oc)'!O652,0))</f>
        <v>2</v>
      </c>
      <c r="P652" s="125">
        <f>IF('Quant. mod. (oc)'!P652&lt;0,0,ROUND('Quant. mod. (oc)'!P652,0))</f>
        <v>2</v>
      </c>
      <c r="Q652" s="125">
        <f>IF('Quant. mod. (oc)'!Q652&lt;0,0,ROUND('Quant. mod. (oc)'!Q652,0))</f>
        <v>2</v>
      </c>
      <c r="R652" s="125">
        <f>IF('Quant. mod. (oc)'!R652&lt;0,0,ROUND('Quant. mod. (oc)'!R652,0))</f>
        <v>2</v>
      </c>
      <c r="S652" s="125">
        <f>IF('Quant. mod. (oc)'!S652&lt;0,0,ROUND('Quant. mod. (oc)'!S652,0))</f>
        <v>2</v>
      </c>
      <c r="T652" s="125">
        <f>IF('Quant. mod. (oc)'!T652&lt;0,0,ROUND('Quant. mod. (oc)'!T652,0))</f>
        <v>2</v>
      </c>
      <c r="U652" s="125">
        <f>IF('Quant. mod. (oc)'!U652&lt;0,0,ROUND('Quant. mod. (oc)'!U652,0))</f>
        <v>2</v>
      </c>
      <c r="V652" s="125">
        <f>IF('Quant. mod. (oc)'!V652&lt;0,0,ROUND('Quant. mod. (oc)'!V652,0))</f>
        <v>2</v>
      </c>
      <c r="W652" s="125">
        <f>IF('Quant. mod. (oc)'!W652&lt;0,0,ROUND('Quant. mod. (oc)'!W652,0))</f>
        <v>2</v>
      </c>
      <c r="X652" s="125">
        <f>IF('Quant. mod. (oc)'!X652&lt;0,0,ROUND('Quant. mod. (oc)'!X652,0))</f>
        <v>2</v>
      </c>
      <c r="Y652" s="125">
        <f>IF('Quant. mod. (oc)'!Y652&lt;0,0,ROUND('Quant. mod. (oc)'!Y652,0))</f>
        <v>2</v>
      </c>
      <c r="Z652" s="125">
        <f>IF('Quant. mod. (oc)'!Z652&lt;0,0,ROUND('Quant. mod. (oc)'!Z652,0))</f>
        <v>2</v>
      </c>
      <c r="AA652" s="125">
        <f>IF('Quant. mod. (oc)'!AA652&lt;0,0,ROUND('Quant. mod. (oc)'!AA652,0))</f>
        <v>2</v>
      </c>
      <c r="AB652" s="125">
        <f>IF('Quant. mod. (oc)'!AB652&lt;0,0,ROUND('Quant. mod. (oc)'!AB652,0))</f>
        <v>2</v>
      </c>
      <c r="AC652" s="125">
        <f>IF('Quant. mod. (oc)'!AC652&lt;0,0,ROUND('Quant. mod. (oc)'!AC652,0))</f>
        <v>2</v>
      </c>
      <c r="AD652" s="125">
        <f>IF('Quant. mod. (oc)'!AD652&lt;0,0,ROUND('Quant. mod. (oc)'!AD652,0))</f>
        <v>2</v>
      </c>
      <c r="AE652" s="125">
        <f>IF('Quant. mod. (oc)'!AE652&lt;0,0,ROUND('Quant. mod. (oc)'!AE652,0))</f>
        <v>2</v>
      </c>
      <c r="AF652" s="125">
        <f>IF('Quant. mod. (oc)'!AF652&lt;0,0,ROUND('Quant. mod. (oc)'!AF652,0))</f>
        <v>2</v>
      </c>
      <c r="AG652" s="126">
        <f>IF('Quant. mod. (oc)'!AG652&lt;0,0,ROUND('Quant. mod. (oc)'!AG652,0))</f>
        <v>2</v>
      </c>
      <c r="AH652" s="22"/>
    </row>
    <row r="653" spans="1:34" x14ac:dyDescent="0.25">
      <c r="A653" s="21"/>
      <c r="B653" s="141" t="s">
        <v>672</v>
      </c>
      <c r="C653" s="125" t="s">
        <v>60</v>
      </c>
      <c r="D653" s="125">
        <f>IF('Quant. mod. (oc)'!D653&lt;0,0,ROUND('Quant. mod. (oc)'!D653,0))</f>
        <v>2</v>
      </c>
      <c r="E653" s="125">
        <f>IF('Quant. mod. (oc)'!E653&lt;0,0,ROUND('Quant. mod. (oc)'!E653,0))</f>
        <v>2</v>
      </c>
      <c r="F653" s="125">
        <f>IF('Quant. mod. (oc)'!F653&lt;0,0,ROUND('Quant. mod. (oc)'!F653,0))</f>
        <v>2</v>
      </c>
      <c r="G653" s="125">
        <f>IF('Quant. mod. (oc)'!G653&lt;0,0,ROUND('Quant. mod. (oc)'!G653,0))</f>
        <v>2</v>
      </c>
      <c r="H653" s="125">
        <f>IF('Quant. mod. (oc)'!H653&lt;0,0,ROUND('Quant. mod. (oc)'!H653,0))</f>
        <v>2</v>
      </c>
      <c r="I653" s="125">
        <f>IF('Quant. mod. (oc)'!I653&lt;0,0,ROUND('Quant. mod. (oc)'!I653,0))</f>
        <v>2</v>
      </c>
      <c r="J653" s="125">
        <f>IF('Quant. mod. (oc)'!J653&lt;0,0,ROUND('Quant. mod. (oc)'!J653,0))</f>
        <v>2</v>
      </c>
      <c r="K653" s="125">
        <f>IF('Quant. mod. (oc)'!K653&lt;0,0,ROUND('Quant. mod. (oc)'!K653,0))</f>
        <v>2</v>
      </c>
      <c r="L653" s="125">
        <f>IF('Quant. mod. (oc)'!L653&lt;0,0,ROUND('Quant. mod. (oc)'!L653,0))</f>
        <v>2</v>
      </c>
      <c r="M653" s="125">
        <f>IF('Quant. mod. (oc)'!M653&lt;0,0,ROUND('Quant. mod. (oc)'!M653,0))</f>
        <v>2</v>
      </c>
      <c r="N653" s="125">
        <f>IF('Quant. mod. (oc)'!N653&lt;0,0,ROUND('Quant. mod. (oc)'!N653,0))</f>
        <v>2</v>
      </c>
      <c r="O653" s="125">
        <f>IF('Quant. mod. (oc)'!O653&lt;0,0,ROUND('Quant. mod. (oc)'!O653,0))</f>
        <v>2</v>
      </c>
      <c r="P653" s="125">
        <f>IF('Quant. mod. (oc)'!P653&lt;0,0,ROUND('Quant. mod. (oc)'!P653,0))</f>
        <v>2</v>
      </c>
      <c r="Q653" s="125">
        <f>IF('Quant. mod. (oc)'!Q653&lt;0,0,ROUND('Quant. mod. (oc)'!Q653,0))</f>
        <v>2</v>
      </c>
      <c r="R653" s="125">
        <f>IF('Quant. mod. (oc)'!R653&lt;0,0,ROUND('Quant. mod. (oc)'!R653,0))</f>
        <v>2</v>
      </c>
      <c r="S653" s="125">
        <f>IF('Quant. mod. (oc)'!S653&lt;0,0,ROUND('Quant. mod. (oc)'!S653,0))</f>
        <v>2</v>
      </c>
      <c r="T653" s="125">
        <f>IF('Quant. mod. (oc)'!T653&lt;0,0,ROUND('Quant. mod. (oc)'!T653,0))</f>
        <v>2</v>
      </c>
      <c r="U653" s="125">
        <f>IF('Quant. mod. (oc)'!U653&lt;0,0,ROUND('Quant. mod. (oc)'!U653,0))</f>
        <v>2</v>
      </c>
      <c r="V653" s="125">
        <f>IF('Quant. mod. (oc)'!V653&lt;0,0,ROUND('Quant. mod. (oc)'!V653,0))</f>
        <v>2</v>
      </c>
      <c r="W653" s="125">
        <f>IF('Quant. mod. (oc)'!W653&lt;0,0,ROUND('Quant. mod. (oc)'!W653,0))</f>
        <v>2</v>
      </c>
      <c r="X653" s="125">
        <f>IF('Quant. mod. (oc)'!X653&lt;0,0,ROUND('Quant. mod. (oc)'!X653,0))</f>
        <v>2</v>
      </c>
      <c r="Y653" s="125">
        <f>IF('Quant. mod. (oc)'!Y653&lt;0,0,ROUND('Quant. mod. (oc)'!Y653,0))</f>
        <v>2</v>
      </c>
      <c r="Z653" s="125">
        <f>IF('Quant. mod. (oc)'!Z653&lt;0,0,ROUND('Quant. mod. (oc)'!Z653,0))</f>
        <v>2</v>
      </c>
      <c r="AA653" s="125">
        <f>IF('Quant. mod. (oc)'!AA653&lt;0,0,ROUND('Quant. mod. (oc)'!AA653,0))</f>
        <v>2</v>
      </c>
      <c r="AB653" s="125">
        <f>IF('Quant. mod. (oc)'!AB653&lt;0,0,ROUND('Quant. mod. (oc)'!AB653,0))</f>
        <v>2</v>
      </c>
      <c r="AC653" s="125">
        <f>IF('Quant. mod. (oc)'!AC653&lt;0,0,ROUND('Quant. mod. (oc)'!AC653,0))</f>
        <v>2</v>
      </c>
      <c r="AD653" s="125">
        <f>IF('Quant. mod. (oc)'!AD653&lt;0,0,ROUND('Quant. mod. (oc)'!AD653,0))</f>
        <v>2</v>
      </c>
      <c r="AE653" s="125">
        <f>IF('Quant. mod. (oc)'!AE653&lt;0,0,ROUND('Quant. mod. (oc)'!AE653,0))</f>
        <v>2</v>
      </c>
      <c r="AF653" s="125">
        <f>IF('Quant. mod. (oc)'!AF653&lt;0,0,ROUND('Quant. mod. (oc)'!AF653,0))</f>
        <v>2</v>
      </c>
      <c r="AG653" s="126">
        <f>IF('Quant. mod. (oc)'!AG653&lt;0,0,ROUND('Quant. mod. (oc)'!AG653,0))</f>
        <v>2</v>
      </c>
      <c r="AH653" s="22"/>
    </row>
    <row r="654" spans="1:34" x14ac:dyDescent="0.25">
      <c r="A654" s="21"/>
      <c r="B654" s="141" t="s">
        <v>673</v>
      </c>
      <c r="C654" s="125" t="s">
        <v>60</v>
      </c>
      <c r="D654" s="125">
        <f>IF('Quant. mod. (oc)'!D654&lt;0,0,ROUND('Quant. mod. (oc)'!D654,0))</f>
        <v>2</v>
      </c>
      <c r="E654" s="125">
        <f>IF('Quant. mod. (oc)'!E654&lt;0,0,ROUND('Quant. mod. (oc)'!E654,0))</f>
        <v>2</v>
      </c>
      <c r="F654" s="125">
        <f>IF('Quant. mod. (oc)'!F654&lt;0,0,ROUND('Quant. mod. (oc)'!F654,0))</f>
        <v>2</v>
      </c>
      <c r="G654" s="125">
        <f>IF('Quant. mod. (oc)'!G654&lt;0,0,ROUND('Quant. mod. (oc)'!G654,0))</f>
        <v>2</v>
      </c>
      <c r="H654" s="125">
        <f>IF('Quant. mod. (oc)'!H654&lt;0,0,ROUND('Quant. mod. (oc)'!H654,0))</f>
        <v>2</v>
      </c>
      <c r="I654" s="125">
        <f>IF('Quant. mod. (oc)'!I654&lt;0,0,ROUND('Quant. mod. (oc)'!I654,0))</f>
        <v>2</v>
      </c>
      <c r="J654" s="125">
        <f>IF('Quant. mod. (oc)'!J654&lt;0,0,ROUND('Quant. mod. (oc)'!J654,0))</f>
        <v>2</v>
      </c>
      <c r="K654" s="125">
        <f>IF('Quant. mod. (oc)'!K654&lt;0,0,ROUND('Quant. mod. (oc)'!K654,0))</f>
        <v>2</v>
      </c>
      <c r="L654" s="125">
        <f>IF('Quant. mod. (oc)'!L654&lt;0,0,ROUND('Quant. mod. (oc)'!L654,0))</f>
        <v>2</v>
      </c>
      <c r="M654" s="125">
        <f>IF('Quant. mod. (oc)'!M654&lt;0,0,ROUND('Quant. mod. (oc)'!M654,0))</f>
        <v>2</v>
      </c>
      <c r="N654" s="125">
        <f>IF('Quant. mod. (oc)'!N654&lt;0,0,ROUND('Quant. mod. (oc)'!N654,0))</f>
        <v>2</v>
      </c>
      <c r="O654" s="125">
        <f>IF('Quant. mod. (oc)'!O654&lt;0,0,ROUND('Quant. mod. (oc)'!O654,0))</f>
        <v>2</v>
      </c>
      <c r="P654" s="125">
        <f>IF('Quant. mod. (oc)'!P654&lt;0,0,ROUND('Quant. mod. (oc)'!P654,0))</f>
        <v>2</v>
      </c>
      <c r="Q654" s="125">
        <f>IF('Quant. mod. (oc)'!Q654&lt;0,0,ROUND('Quant. mod. (oc)'!Q654,0))</f>
        <v>2</v>
      </c>
      <c r="R654" s="125">
        <f>IF('Quant. mod. (oc)'!R654&lt;0,0,ROUND('Quant. mod. (oc)'!R654,0))</f>
        <v>2</v>
      </c>
      <c r="S654" s="125">
        <f>IF('Quant. mod. (oc)'!S654&lt;0,0,ROUND('Quant. mod. (oc)'!S654,0))</f>
        <v>2</v>
      </c>
      <c r="T654" s="125">
        <f>IF('Quant. mod. (oc)'!T654&lt;0,0,ROUND('Quant. mod. (oc)'!T654,0))</f>
        <v>2</v>
      </c>
      <c r="U654" s="125">
        <f>IF('Quant. mod. (oc)'!U654&lt;0,0,ROUND('Quant. mod. (oc)'!U654,0))</f>
        <v>2</v>
      </c>
      <c r="V654" s="125">
        <f>IF('Quant. mod. (oc)'!V654&lt;0,0,ROUND('Quant. mod. (oc)'!V654,0))</f>
        <v>2</v>
      </c>
      <c r="W654" s="125">
        <f>IF('Quant. mod. (oc)'!W654&lt;0,0,ROUND('Quant. mod. (oc)'!W654,0))</f>
        <v>2</v>
      </c>
      <c r="X654" s="125">
        <f>IF('Quant. mod. (oc)'!X654&lt;0,0,ROUND('Quant. mod. (oc)'!X654,0))</f>
        <v>2</v>
      </c>
      <c r="Y654" s="125">
        <f>IF('Quant. mod. (oc)'!Y654&lt;0,0,ROUND('Quant. mod. (oc)'!Y654,0))</f>
        <v>2</v>
      </c>
      <c r="Z654" s="125">
        <f>IF('Quant. mod. (oc)'!Z654&lt;0,0,ROUND('Quant. mod. (oc)'!Z654,0))</f>
        <v>2</v>
      </c>
      <c r="AA654" s="125">
        <f>IF('Quant. mod. (oc)'!AA654&lt;0,0,ROUND('Quant. mod. (oc)'!AA654,0))</f>
        <v>2</v>
      </c>
      <c r="AB654" s="125">
        <f>IF('Quant. mod. (oc)'!AB654&lt;0,0,ROUND('Quant. mod. (oc)'!AB654,0))</f>
        <v>2</v>
      </c>
      <c r="AC654" s="125">
        <f>IF('Quant. mod. (oc)'!AC654&lt;0,0,ROUND('Quant. mod. (oc)'!AC654,0))</f>
        <v>2</v>
      </c>
      <c r="AD654" s="125">
        <f>IF('Quant. mod. (oc)'!AD654&lt;0,0,ROUND('Quant. mod. (oc)'!AD654,0))</f>
        <v>2</v>
      </c>
      <c r="AE654" s="125">
        <f>IF('Quant. mod. (oc)'!AE654&lt;0,0,ROUND('Quant. mod. (oc)'!AE654,0))</f>
        <v>2</v>
      </c>
      <c r="AF654" s="125">
        <f>IF('Quant. mod. (oc)'!AF654&lt;0,0,ROUND('Quant. mod. (oc)'!AF654,0))</f>
        <v>2</v>
      </c>
      <c r="AG654" s="126">
        <f>IF('Quant. mod. (oc)'!AG654&lt;0,0,ROUND('Quant. mod. (oc)'!AG654,0))</f>
        <v>2</v>
      </c>
      <c r="AH654" s="22"/>
    </row>
    <row r="655" spans="1:34" x14ac:dyDescent="0.25">
      <c r="A655" s="21"/>
      <c r="B655" s="141" t="s">
        <v>674</v>
      </c>
      <c r="C655" s="125" t="s">
        <v>60</v>
      </c>
      <c r="D655" s="125">
        <f>IF('Quant. mod. (oc)'!D655&lt;0,0,ROUND('Quant. mod. (oc)'!D655,0))</f>
        <v>2</v>
      </c>
      <c r="E655" s="125">
        <f>IF('Quant. mod. (oc)'!E655&lt;0,0,ROUND('Quant. mod. (oc)'!E655,0))</f>
        <v>2</v>
      </c>
      <c r="F655" s="125">
        <f>IF('Quant. mod. (oc)'!F655&lt;0,0,ROUND('Quant. mod. (oc)'!F655,0))</f>
        <v>2</v>
      </c>
      <c r="G655" s="125">
        <f>IF('Quant. mod. (oc)'!G655&lt;0,0,ROUND('Quant. mod. (oc)'!G655,0))</f>
        <v>2</v>
      </c>
      <c r="H655" s="125">
        <f>IF('Quant. mod. (oc)'!H655&lt;0,0,ROUND('Quant. mod. (oc)'!H655,0))</f>
        <v>2</v>
      </c>
      <c r="I655" s="125">
        <f>IF('Quant. mod. (oc)'!I655&lt;0,0,ROUND('Quant. mod. (oc)'!I655,0))</f>
        <v>2</v>
      </c>
      <c r="J655" s="125">
        <f>IF('Quant. mod. (oc)'!J655&lt;0,0,ROUND('Quant. mod. (oc)'!J655,0))</f>
        <v>2</v>
      </c>
      <c r="K655" s="125">
        <f>IF('Quant. mod. (oc)'!K655&lt;0,0,ROUND('Quant. mod. (oc)'!K655,0))</f>
        <v>2</v>
      </c>
      <c r="L655" s="125">
        <f>IF('Quant. mod. (oc)'!L655&lt;0,0,ROUND('Quant. mod. (oc)'!L655,0))</f>
        <v>2</v>
      </c>
      <c r="M655" s="125">
        <f>IF('Quant. mod. (oc)'!M655&lt;0,0,ROUND('Quant. mod. (oc)'!M655,0))</f>
        <v>2</v>
      </c>
      <c r="N655" s="125">
        <f>IF('Quant. mod. (oc)'!N655&lt;0,0,ROUND('Quant. mod. (oc)'!N655,0))</f>
        <v>2</v>
      </c>
      <c r="O655" s="125">
        <f>IF('Quant. mod. (oc)'!O655&lt;0,0,ROUND('Quant. mod. (oc)'!O655,0))</f>
        <v>2</v>
      </c>
      <c r="P655" s="125">
        <f>IF('Quant. mod. (oc)'!P655&lt;0,0,ROUND('Quant. mod. (oc)'!P655,0))</f>
        <v>2</v>
      </c>
      <c r="Q655" s="125">
        <f>IF('Quant. mod. (oc)'!Q655&lt;0,0,ROUND('Quant. mod. (oc)'!Q655,0))</f>
        <v>2</v>
      </c>
      <c r="R655" s="125">
        <f>IF('Quant. mod. (oc)'!R655&lt;0,0,ROUND('Quant. mod. (oc)'!R655,0))</f>
        <v>2</v>
      </c>
      <c r="S655" s="125">
        <f>IF('Quant. mod. (oc)'!S655&lt;0,0,ROUND('Quant. mod. (oc)'!S655,0))</f>
        <v>2</v>
      </c>
      <c r="T655" s="125">
        <f>IF('Quant. mod. (oc)'!T655&lt;0,0,ROUND('Quant. mod. (oc)'!T655,0))</f>
        <v>2</v>
      </c>
      <c r="U655" s="125">
        <f>IF('Quant. mod. (oc)'!U655&lt;0,0,ROUND('Quant. mod. (oc)'!U655,0))</f>
        <v>2</v>
      </c>
      <c r="V655" s="125">
        <f>IF('Quant. mod. (oc)'!V655&lt;0,0,ROUND('Quant. mod. (oc)'!V655,0))</f>
        <v>2</v>
      </c>
      <c r="W655" s="125">
        <f>IF('Quant. mod. (oc)'!W655&lt;0,0,ROUND('Quant. mod. (oc)'!W655,0))</f>
        <v>2</v>
      </c>
      <c r="X655" s="125">
        <f>IF('Quant. mod. (oc)'!X655&lt;0,0,ROUND('Quant. mod. (oc)'!X655,0))</f>
        <v>2</v>
      </c>
      <c r="Y655" s="125">
        <f>IF('Quant. mod. (oc)'!Y655&lt;0,0,ROUND('Quant. mod. (oc)'!Y655,0))</f>
        <v>2</v>
      </c>
      <c r="Z655" s="125">
        <f>IF('Quant. mod. (oc)'!Z655&lt;0,0,ROUND('Quant. mod. (oc)'!Z655,0))</f>
        <v>2</v>
      </c>
      <c r="AA655" s="125">
        <f>IF('Quant. mod. (oc)'!AA655&lt;0,0,ROUND('Quant. mod. (oc)'!AA655,0))</f>
        <v>2</v>
      </c>
      <c r="AB655" s="125">
        <f>IF('Quant. mod. (oc)'!AB655&lt;0,0,ROUND('Quant. mod. (oc)'!AB655,0))</f>
        <v>2</v>
      </c>
      <c r="AC655" s="125">
        <f>IF('Quant. mod. (oc)'!AC655&lt;0,0,ROUND('Quant. mod. (oc)'!AC655,0))</f>
        <v>2</v>
      </c>
      <c r="AD655" s="125">
        <f>IF('Quant. mod. (oc)'!AD655&lt;0,0,ROUND('Quant. mod. (oc)'!AD655,0))</f>
        <v>2</v>
      </c>
      <c r="AE655" s="125">
        <f>IF('Quant. mod. (oc)'!AE655&lt;0,0,ROUND('Quant. mod. (oc)'!AE655,0))</f>
        <v>2</v>
      </c>
      <c r="AF655" s="125">
        <f>IF('Quant. mod. (oc)'!AF655&lt;0,0,ROUND('Quant. mod. (oc)'!AF655,0))</f>
        <v>2</v>
      </c>
      <c r="AG655" s="126">
        <f>IF('Quant. mod. (oc)'!AG655&lt;0,0,ROUND('Quant. mod. (oc)'!AG655,0))</f>
        <v>2</v>
      </c>
      <c r="AH655" s="22"/>
    </row>
    <row r="656" spans="1:34" x14ac:dyDescent="0.25">
      <c r="A656" s="21"/>
      <c r="B656" s="141" t="s">
        <v>675</v>
      </c>
      <c r="C656" s="125" t="s">
        <v>60</v>
      </c>
      <c r="D656" s="125">
        <f>IF('Quant. mod. (oc)'!D656&lt;0,0,ROUND('Quant. mod. (oc)'!D656,0))</f>
        <v>2</v>
      </c>
      <c r="E656" s="125">
        <f>IF('Quant. mod. (oc)'!E656&lt;0,0,ROUND('Quant. mod. (oc)'!E656,0))</f>
        <v>2</v>
      </c>
      <c r="F656" s="125">
        <f>IF('Quant. mod. (oc)'!F656&lt;0,0,ROUND('Quant. mod. (oc)'!F656,0))</f>
        <v>2</v>
      </c>
      <c r="G656" s="125">
        <f>IF('Quant. mod. (oc)'!G656&lt;0,0,ROUND('Quant. mod. (oc)'!G656,0))</f>
        <v>2</v>
      </c>
      <c r="H656" s="125">
        <f>IF('Quant. mod. (oc)'!H656&lt;0,0,ROUND('Quant. mod. (oc)'!H656,0))</f>
        <v>2</v>
      </c>
      <c r="I656" s="125">
        <f>IF('Quant. mod. (oc)'!I656&lt;0,0,ROUND('Quant. mod. (oc)'!I656,0))</f>
        <v>2</v>
      </c>
      <c r="J656" s="125">
        <f>IF('Quant. mod. (oc)'!J656&lt;0,0,ROUND('Quant. mod. (oc)'!J656,0))</f>
        <v>2</v>
      </c>
      <c r="K656" s="125">
        <f>IF('Quant. mod. (oc)'!K656&lt;0,0,ROUND('Quant. mod. (oc)'!K656,0))</f>
        <v>2</v>
      </c>
      <c r="L656" s="125">
        <f>IF('Quant. mod. (oc)'!L656&lt;0,0,ROUND('Quant. mod. (oc)'!L656,0))</f>
        <v>2</v>
      </c>
      <c r="M656" s="125">
        <f>IF('Quant. mod. (oc)'!M656&lt;0,0,ROUND('Quant. mod. (oc)'!M656,0))</f>
        <v>2</v>
      </c>
      <c r="N656" s="125">
        <f>IF('Quant. mod. (oc)'!N656&lt;0,0,ROUND('Quant. mod. (oc)'!N656,0))</f>
        <v>2</v>
      </c>
      <c r="O656" s="125">
        <f>IF('Quant. mod. (oc)'!O656&lt;0,0,ROUND('Quant. mod. (oc)'!O656,0))</f>
        <v>2</v>
      </c>
      <c r="P656" s="125">
        <f>IF('Quant. mod. (oc)'!P656&lt;0,0,ROUND('Quant. mod. (oc)'!P656,0))</f>
        <v>2</v>
      </c>
      <c r="Q656" s="125">
        <f>IF('Quant. mod. (oc)'!Q656&lt;0,0,ROUND('Quant. mod. (oc)'!Q656,0))</f>
        <v>2</v>
      </c>
      <c r="R656" s="125">
        <f>IF('Quant. mod. (oc)'!R656&lt;0,0,ROUND('Quant. mod. (oc)'!R656,0))</f>
        <v>2</v>
      </c>
      <c r="S656" s="125">
        <f>IF('Quant. mod. (oc)'!S656&lt;0,0,ROUND('Quant. mod. (oc)'!S656,0))</f>
        <v>2</v>
      </c>
      <c r="T656" s="125">
        <f>IF('Quant. mod. (oc)'!T656&lt;0,0,ROUND('Quant. mod. (oc)'!T656,0))</f>
        <v>2</v>
      </c>
      <c r="U656" s="125">
        <f>IF('Quant. mod. (oc)'!U656&lt;0,0,ROUND('Quant. mod. (oc)'!U656,0))</f>
        <v>2</v>
      </c>
      <c r="V656" s="125">
        <f>IF('Quant. mod. (oc)'!V656&lt;0,0,ROUND('Quant. mod. (oc)'!V656,0))</f>
        <v>2</v>
      </c>
      <c r="W656" s="125">
        <f>IF('Quant. mod. (oc)'!W656&lt;0,0,ROUND('Quant. mod. (oc)'!W656,0))</f>
        <v>2</v>
      </c>
      <c r="X656" s="125">
        <f>IF('Quant. mod. (oc)'!X656&lt;0,0,ROUND('Quant. mod. (oc)'!X656,0))</f>
        <v>2</v>
      </c>
      <c r="Y656" s="125">
        <f>IF('Quant. mod. (oc)'!Y656&lt;0,0,ROUND('Quant. mod. (oc)'!Y656,0))</f>
        <v>2</v>
      </c>
      <c r="Z656" s="125">
        <f>IF('Quant. mod. (oc)'!Z656&lt;0,0,ROUND('Quant. mod. (oc)'!Z656,0))</f>
        <v>2</v>
      </c>
      <c r="AA656" s="125">
        <f>IF('Quant. mod. (oc)'!AA656&lt;0,0,ROUND('Quant. mod. (oc)'!AA656,0))</f>
        <v>2</v>
      </c>
      <c r="AB656" s="125">
        <f>IF('Quant. mod. (oc)'!AB656&lt;0,0,ROUND('Quant. mod. (oc)'!AB656,0))</f>
        <v>2</v>
      </c>
      <c r="AC656" s="125">
        <f>IF('Quant. mod. (oc)'!AC656&lt;0,0,ROUND('Quant. mod. (oc)'!AC656,0))</f>
        <v>2</v>
      </c>
      <c r="AD656" s="125">
        <f>IF('Quant. mod. (oc)'!AD656&lt;0,0,ROUND('Quant. mod. (oc)'!AD656,0))</f>
        <v>2</v>
      </c>
      <c r="AE656" s="125">
        <f>IF('Quant. mod. (oc)'!AE656&lt;0,0,ROUND('Quant. mod. (oc)'!AE656,0))</f>
        <v>2</v>
      </c>
      <c r="AF656" s="125">
        <f>IF('Quant. mod. (oc)'!AF656&lt;0,0,ROUND('Quant. mod. (oc)'!AF656,0))</f>
        <v>2</v>
      </c>
      <c r="AG656" s="126">
        <f>IF('Quant. mod. (oc)'!AG656&lt;0,0,ROUND('Quant. mod. (oc)'!AG656,0))</f>
        <v>2</v>
      </c>
      <c r="AH656" s="22"/>
    </row>
    <row r="657" spans="1:34" x14ac:dyDescent="0.25">
      <c r="A657" s="21"/>
      <c r="B657" s="141" t="s">
        <v>676</v>
      </c>
      <c r="C657" s="125" t="s">
        <v>60</v>
      </c>
      <c r="D657" s="125">
        <f>IF('Quant. mod. (oc)'!D657&lt;0,0,ROUND('Quant. mod. (oc)'!D657,0))</f>
        <v>2</v>
      </c>
      <c r="E657" s="125">
        <f>IF('Quant. mod. (oc)'!E657&lt;0,0,ROUND('Quant. mod. (oc)'!E657,0))</f>
        <v>2</v>
      </c>
      <c r="F657" s="125">
        <f>IF('Quant. mod. (oc)'!F657&lt;0,0,ROUND('Quant. mod. (oc)'!F657,0))</f>
        <v>2</v>
      </c>
      <c r="G657" s="125">
        <f>IF('Quant. mod. (oc)'!G657&lt;0,0,ROUND('Quant. mod. (oc)'!G657,0))</f>
        <v>2</v>
      </c>
      <c r="H657" s="125">
        <f>IF('Quant. mod. (oc)'!H657&lt;0,0,ROUND('Quant. mod. (oc)'!H657,0))</f>
        <v>2</v>
      </c>
      <c r="I657" s="125">
        <f>IF('Quant. mod. (oc)'!I657&lt;0,0,ROUND('Quant. mod. (oc)'!I657,0))</f>
        <v>2</v>
      </c>
      <c r="J657" s="125">
        <f>IF('Quant. mod. (oc)'!J657&lt;0,0,ROUND('Quant. mod. (oc)'!J657,0))</f>
        <v>2</v>
      </c>
      <c r="K657" s="125">
        <f>IF('Quant. mod. (oc)'!K657&lt;0,0,ROUND('Quant. mod. (oc)'!K657,0))</f>
        <v>2</v>
      </c>
      <c r="L657" s="125">
        <f>IF('Quant. mod. (oc)'!L657&lt;0,0,ROUND('Quant. mod. (oc)'!L657,0))</f>
        <v>2</v>
      </c>
      <c r="M657" s="125">
        <f>IF('Quant. mod. (oc)'!M657&lt;0,0,ROUND('Quant. mod. (oc)'!M657,0))</f>
        <v>2</v>
      </c>
      <c r="N657" s="125">
        <f>IF('Quant. mod. (oc)'!N657&lt;0,0,ROUND('Quant. mod. (oc)'!N657,0))</f>
        <v>2</v>
      </c>
      <c r="O657" s="125">
        <f>IF('Quant. mod. (oc)'!O657&lt;0,0,ROUND('Quant. mod. (oc)'!O657,0))</f>
        <v>2</v>
      </c>
      <c r="P657" s="125">
        <f>IF('Quant. mod. (oc)'!P657&lt;0,0,ROUND('Quant. mod. (oc)'!P657,0))</f>
        <v>2</v>
      </c>
      <c r="Q657" s="125">
        <f>IF('Quant. mod. (oc)'!Q657&lt;0,0,ROUND('Quant. mod. (oc)'!Q657,0))</f>
        <v>2</v>
      </c>
      <c r="R657" s="125">
        <f>IF('Quant. mod. (oc)'!R657&lt;0,0,ROUND('Quant. mod. (oc)'!R657,0))</f>
        <v>2</v>
      </c>
      <c r="S657" s="125">
        <f>IF('Quant. mod. (oc)'!S657&lt;0,0,ROUND('Quant. mod. (oc)'!S657,0))</f>
        <v>2</v>
      </c>
      <c r="T657" s="125">
        <f>IF('Quant. mod. (oc)'!T657&lt;0,0,ROUND('Quant. mod. (oc)'!T657,0))</f>
        <v>2</v>
      </c>
      <c r="U657" s="125">
        <f>IF('Quant. mod. (oc)'!U657&lt;0,0,ROUND('Quant. mod. (oc)'!U657,0))</f>
        <v>2</v>
      </c>
      <c r="V657" s="125">
        <f>IF('Quant. mod. (oc)'!V657&lt;0,0,ROUND('Quant. mod. (oc)'!V657,0))</f>
        <v>2</v>
      </c>
      <c r="W657" s="125">
        <f>IF('Quant. mod. (oc)'!W657&lt;0,0,ROUND('Quant. mod. (oc)'!W657,0))</f>
        <v>2</v>
      </c>
      <c r="X657" s="125">
        <f>IF('Quant. mod. (oc)'!X657&lt;0,0,ROUND('Quant. mod. (oc)'!X657,0))</f>
        <v>2</v>
      </c>
      <c r="Y657" s="125">
        <f>IF('Quant. mod. (oc)'!Y657&lt;0,0,ROUND('Quant. mod. (oc)'!Y657,0))</f>
        <v>2</v>
      </c>
      <c r="Z657" s="125">
        <f>IF('Quant. mod. (oc)'!Z657&lt;0,0,ROUND('Quant. mod. (oc)'!Z657,0))</f>
        <v>2</v>
      </c>
      <c r="AA657" s="125">
        <f>IF('Quant. mod. (oc)'!AA657&lt;0,0,ROUND('Quant. mod. (oc)'!AA657,0))</f>
        <v>2</v>
      </c>
      <c r="AB657" s="125">
        <f>IF('Quant. mod. (oc)'!AB657&lt;0,0,ROUND('Quant. mod. (oc)'!AB657,0))</f>
        <v>2</v>
      </c>
      <c r="AC657" s="125">
        <f>IF('Quant. mod. (oc)'!AC657&lt;0,0,ROUND('Quant. mod. (oc)'!AC657,0))</f>
        <v>2</v>
      </c>
      <c r="AD657" s="125">
        <f>IF('Quant. mod. (oc)'!AD657&lt;0,0,ROUND('Quant. mod. (oc)'!AD657,0))</f>
        <v>2</v>
      </c>
      <c r="AE657" s="125">
        <f>IF('Quant. mod. (oc)'!AE657&lt;0,0,ROUND('Quant. mod. (oc)'!AE657,0))</f>
        <v>2</v>
      </c>
      <c r="AF657" s="125">
        <f>IF('Quant. mod. (oc)'!AF657&lt;0,0,ROUND('Quant. mod. (oc)'!AF657,0))</f>
        <v>2</v>
      </c>
      <c r="AG657" s="126">
        <f>IF('Quant. mod. (oc)'!AG657&lt;0,0,ROUND('Quant. mod. (oc)'!AG657,0))</f>
        <v>2</v>
      </c>
      <c r="AH657" s="22"/>
    </row>
    <row r="658" spans="1:34" x14ac:dyDescent="0.25">
      <c r="A658" s="21"/>
      <c r="B658" s="141" t="s">
        <v>677</v>
      </c>
      <c r="C658" s="125" t="s">
        <v>60</v>
      </c>
      <c r="D658" s="125">
        <f>IF('Quant. mod. (oc)'!D658&lt;0,0,ROUND('Quant. mod. (oc)'!D658,0))</f>
        <v>2</v>
      </c>
      <c r="E658" s="125">
        <f>IF('Quant. mod. (oc)'!E658&lt;0,0,ROUND('Quant. mod. (oc)'!E658,0))</f>
        <v>2</v>
      </c>
      <c r="F658" s="125">
        <f>IF('Quant. mod. (oc)'!F658&lt;0,0,ROUND('Quant. mod. (oc)'!F658,0))</f>
        <v>2</v>
      </c>
      <c r="G658" s="125">
        <f>IF('Quant. mod. (oc)'!G658&lt;0,0,ROUND('Quant. mod. (oc)'!G658,0))</f>
        <v>2</v>
      </c>
      <c r="H658" s="125">
        <f>IF('Quant. mod. (oc)'!H658&lt;0,0,ROUND('Quant. mod. (oc)'!H658,0))</f>
        <v>2</v>
      </c>
      <c r="I658" s="125">
        <f>IF('Quant. mod. (oc)'!I658&lt;0,0,ROUND('Quant. mod. (oc)'!I658,0))</f>
        <v>2</v>
      </c>
      <c r="J658" s="125">
        <f>IF('Quant. mod. (oc)'!J658&lt;0,0,ROUND('Quant. mod. (oc)'!J658,0))</f>
        <v>2</v>
      </c>
      <c r="K658" s="125">
        <f>IF('Quant. mod. (oc)'!K658&lt;0,0,ROUND('Quant. mod. (oc)'!K658,0))</f>
        <v>2</v>
      </c>
      <c r="L658" s="125">
        <f>IF('Quant. mod. (oc)'!L658&lt;0,0,ROUND('Quant. mod. (oc)'!L658,0))</f>
        <v>2</v>
      </c>
      <c r="M658" s="125">
        <f>IF('Quant. mod. (oc)'!M658&lt;0,0,ROUND('Quant. mod. (oc)'!M658,0))</f>
        <v>2</v>
      </c>
      <c r="N658" s="125">
        <f>IF('Quant. mod. (oc)'!N658&lt;0,0,ROUND('Quant. mod. (oc)'!N658,0))</f>
        <v>2</v>
      </c>
      <c r="O658" s="125">
        <f>IF('Quant. mod. (oc)'!O658&lt;0,0,ROUND('Quant. mod. (oc)'!O658,0))</f>
        <v>2</v>
      </c>
      <c r="P658" s="125">
        <f>IF('Quant. mod. (oc)'!P658&lt;0,0,ROUND('Quant. mod. (oc)'!P658,0))</f>
        <v>2</v>
      </c>
      <c r="Q658" s="125">
        <f>IF('Quant. mod. (oc)'!Q658&lt;0,0,ROUND('Quant. mod. (oc)'!Q658,0))</f>
        <v>2</v>
      </c>
      <c r="R658" s="125">
        <f>IF('Quant. mod. (oc)'!R658&lt;0,0,ROUND('Quant. mod. (oc)'!R658,0))</f>
        <v>2</v>
      </c>
      <c r="S658" s="125">
        <f>IF('Quant. mod. (oc)'!S658&lt;0,0,ROUND('Quant. mod. (oc)'!S658,0))</f>
        <v>2</v>
      </c>
      <c r="T658" s="125">
        <f>IF('Quant. mod. (oc)'!T658&lt;0,0,ROUND('Quant. mod. (oc)'!T658,0))</f>
        <v>2</v>
      </c>
      <c r="U658" s="125">
        <f>IF('Quant. mod. (oc)'!U658&lt;0,0,ROUND('Quant. mod. (oc)'!U658,0))</f>
        <v>2</v>
      </c>
      <c r="V658" s="125">
        <f>IF('Quant. mod. (oc)'!V658&lt;0,0,ROUND('Quant. mod. (oc)'!V658,0))</f>
        <v>2</v>
      </c>
      <c r="W658" s="125">
        <f>IF('Quant. mod. (oc)'!W658&lt;0,0,ROUND('Quant. mod. (oc)'!W658,0))</f>
        <v>2</v>
      </c>
      <c r="X658" s="125">
        <f>IF('Quant. mod. (oc)'!X658&lt;0,0,ROUND('Quant. mod. (oc)'!X658,0))</f>
        <v>2</v>
      </c>
      <c r="Y658" s="125">
        <f>IF('Quant. mod. (oc)'!Y658&lt;0,0,ROUND('Quant. mod. (oc)'!Y658,0))</f>
        <v>2</v>
      </c>
      <c r="Z658" s="125">
        <f>IF('Quant. mod. (oc)'!Z658&lt;0,0,ROUND('Quant. mod. (oc)'!Z658,0))</f>
        <v>2</v>
      </c>
      <c r="AA658" s="125">
        <f>IF('Quant. mod. (oc)'!AA658&lt;0,0,ROUND('Quant. mod. (oc)'!AA658,0))</f>
        <v>2</v>
      </c>
      <c r="AB658" s="125">
        <f>IF('Quant. mod. (oc)'!AB658&lt;0,0,ROUND('Quant. mod. (oc)'!AB658,0))</f>
        <v>2</v>
      </c>
      <c r="AC658" s="125">
        <f>IF('Quant. mod. (oc)'!AC658&lt;0,0,ROUND('Quant. mod. (oc)'!AC658,0))</f>
        <v>2</v>
      </c>
      <c r="AD658" s="125">
        <f>IF('Quant. mod. (oc)'!AD658&lt;0,0,ROUND('Quant. mod. (oc)'!AD658,0))</f>
        <v>2</v>
      </c>
      <c r="AE658" s="125">
        <f>IF('Quant. mod. (oc)'!AE658&lt;0,0,ROUND('Quant. mod. (oc)'!AE658,0))</f>
        <v>2</v>
      </c>
      <c r="AF658" s="125">
        <f>IF('Quant. mod. (oc)'!AF658&lt;0,0,ROUND('Quant. mod. (oc)'!AF658,0))</f>
        <v>2</v>
      </c>
      <c r="AG658" s="126">
        <f>IF('Quant. mod. (oc)'!AG658&lt;0,0,ROUND('Quant. mod. (oc)'!AG658,0))</f>
        <v>2</v>
      </c>
      <c r="AH658" s="22"/>
    </row>
    <row r="659" spans="1:34" x14ac:dyDescent="0.25">
      <c r="A659" s="21"/>
      <c r="B659" s="141" t="s">
        <v>678</v>
      </c>
      <c r="C659" s="125" t="s">
        <v>60</v>
      </c>
      <c r="D659" s="125">
        <f>IF('Quant. mod. (oc)'!D659&lt;0,0,ROUND('Quant. mod. (oc)'!D659,0))</f>
        <v>2</v>
      </c>
      <c r="E659" s="125">
        <f>IF('Quant. mod. (oc)'!E659&lt;0,0,ROUND('Quant. mod. (oc)'!E659,0))</f>
        <v>2</v>
      </c>
      <c r="F659" s="125">
        <f>IF('Quant. mod. (oc)'!F659&lt;0,0,ROUND('Quant. mod. (oc)'!F659,0))</f>
        <v>2</v>
      </c>
      <c r="G659" s="125">
        <f>IF('Quant. mod. (oc)'!G659&lt;0,0,ROUND('Quant. mod. (oc)'!G659,0))</f>
        <v>2</v>
      </c>
      <c r="H659" s="125">
        <f>IF('Quant. mod. (oc)'!H659&lt;0,0,ROUND('Quant. mod. (oc)'!H659,0))</f>
        <v>2</v>
      </c>
      <c r="I659" s="125">
        <f>IF('Quant. mod. (oc)'!I659&lt;0,0,ROUND('Quant. mod. (oc)'!I659,0))</f>
        <v>2</v>
      </c>
      <c r="J659" s="125">
        <f>IF('Quant. mod. (oc)'!J659&lt;0,0,ROUND('Quant. mod. (oc)'!J659,0))</f>
        <v>2</v>
      </c>
      <c r="K659" s="125">
        <f>IF('Quant. mod. (oc)'!K659&lt;0,0,ROUND('Quant. mod. (oc)'!K659,0))</f>
        <v>2</v>
      </c>
      <c r="L659" s="125">
        <f>IF('Quant. mod. (oc)'!L659&lt;0,0,ROUND('Quant. mod. (oc)'!L659,0))</f>
        <v>2</v>
      </c>
      <c r="M659" s="125">
        <f>IF('Quant. mod. (oc)'!M659&lt;0,0,ROUND('Quant. mod. (oc)'!M659,0))</f>
        <v>2</v>
      </c>
      <c r="N659" s="125">
        <f>IF('Quant. mod. (oc)'!N659&lt;0,0,ROUND('Quant. mod. (oc)'!N659,0))</f>
        <v>2</v>
      </c>
      <c r="O659" s="125">
        <f>IF('Quant. mod. (oc)'!O659&lt;0,0,ROUND('Quant. mod. (oc)'!O659,0))</f>
        <v>2</v>
      </c>
      <c r="P659" s="125">
        <f>IF('Quant. mod. (oc)'!P659&lt;0,0,ROUND('Quant. mod. (oc)'!P659,0))</f>
        <v>2</v>
      </c>
      <c r="Q659" s="125">
        <f>IF('Quant. mod. (oc)'!Q659&lt;0,0,ROUND('Quant. mod. (oc)'!Q659,0))</f>
        <v>2</v>
      </c>
      <c r="R659" s="125">
        <f>IF('Quant. mod. (oc)'!R659&lt;0,0,ROUND('Quant. mod. (oc)'!R659,0))</f>
        <v>2</v>
      </c>
      <c r="S659" s="125">
        <f>IF('Quant. mod. (oc)'!S659&lt;0,0,ROUND('Quant. mod. (oc)'!S659,0))</f>
        <v>2</v>
      </c>
      <c r="T659" s="125">
        <f>IF('Quant. mod. (oc)'!T659&lt;0,0,ROUND('Quant. mod. (oc)'!T659,0))</f>
        <v>2</v>
      </c>
      <c r="U659" s="125">
        <f>IF('Quant. mod. (oc)'!U659&lt;0,0,ROUND('Quant. mod. (oc)'!U659,0))</f>
        <v>2</v>
      </c>
      <c r="V659" s="125">
        <f>IF('Quant. mod. (oc)'!V659&lt;0,0,ROUND('Quant. mod. (oc)'!V659,0))</f>
        <v>2</v>
      </c>
      <c r="W659" s="125">
        <f>IF('Quant. mod. (oc)'!W659&lt;0,0,ROUND('Quant. mod. (oc)'!W659,0))</f>
        <v>2</v>
      </c>
      <c r="X659" s="125">
        <f>IF('Quant. mod. (oc)'!X659&lt;0,0,ROUND('Quant. mod. (oc)'!X659,0))</f>
        <v>2</v>
      </c>
      <c r="Y659" s="125">
        <f>IF('Quant. mod. (oc)'!Y659&lt;0,0,ROUND('Quant. mod. (oc)'!Y659,0))</f>
        <v>2</v>
      </c>
      <c r="Z659" s="125">
        <f>IF('Quant. mod. (oc)'!Z659&lt;0,0,ROUND('Quant. mod. (oc)'!Z659,0))</f>
        <v>2</v>
      </c>
      <c r="AA659" s="125">
        <f>IF('Quant. mod. (oc)'!AA659&lt;0,0,ROUND('Quant. mod. (oc)'!AA659,0))</f>
        <v>2</v>
      </c>
      <c r="AB659" s="125">
        <f>IF('Quant. mod. (oc)'!AB659&lt;0,0,ROUND('Quant. mod. (oc)'!AB659,0))</f>
        <v>2</v>
      </c>
      <c r="AC659" s="125">
        <f>IF('Quant. mod. (oc)'!AC659&lt;0,0,ROUND('Quant. mod. (oc)'!AC659,0))</f>
        <v>2</v>
      </c>
      <c r="AD659" s="125">
        <f>IF('Quant. mod. (oc)'!AD659&lt;0,0,ROUND('Quant. mod. (oc)'!AD659,0))</f>
        <v>2</v>
      </c>
      <c r="AE659" s="125">
        <f>IF('Quant. mod. (oc)'!AE659&lt;0,0,ROUND('Quant. mod. (oc)'!AE659,0))</f>
        <v>2</v>
      </c>
      <c r="AF659" s="125">
        <f>IF('Quant. mod. (oc)'!AF659&lt;0,0,ROUND('Quant. mod. (oc)'!AF659,0))</f>
        <v>2</v>
      </c>
      <c r="AG659" s="126">
        <f>IF('Quant. mod. (oc)'!AG659&lt;0,0,ROUND('Quant. mod. (oc)'!AG659,0))</f>
        <v>2</v>
      </c>
      <c r="AH659" s="22"/>
    </row>
    <row r="660" spans="1:34" x14ac:dyDescent="0.25">
      <c r="A660" s="21"/>
      <c r="B660" s="141" t="s">
        <v>679</v>
      </c>
      <c r="C660" s="125" t="s">
        <v>60</v>
      </c>
      <c r="D660" s="125">
        <f>IF('Quant. mod. (oc)'!D660&lt;0,0,ROUND('Quant. mod. (oc)'!D660,0))</f>
        <v>2</v>
      </c>
      <c r="E660" s="125">
        <f>IF('Quant. mod. (oc)'!E660&lt;0,0,ROUND('Quant. mod. (oc)'!E660,0))</f>
        <v>2</v>
      </c>
      <c r="F660" s="125">
        <f>IF('Quant. mod. (oc)'!F660&lt;0,0,ROUND('Quant. mod. (oc)'!F660,0))</f>
        <v>2</v>
      </c>
      <c r="G660" s="125">
        <f>IF('Quant. mod. (oc)'!G660&lt;0,0,ROUND('Quant. mod. (oc)'!G660,0))</f>
        <v>2</v>
      </c>
      <c r="H660" s="125">
        <f>IF('Quant. mod. (oc)'!H660&lt;0,0,ROUND('Quant. mod. (oc)'!H660,0))</f>
        <v>2</v>
      </c>
      <c r="I660" s="125">
        <f>IF('Quant. mod. (oc)'!I660&lt;0,0,ROUND('Quant. mod. (oc)'!I660,0))</f>
        <v>2</v>
      </c>
      <c r="J660" s="125">
        <f>IF('Quant. mod. (oc)'!J660&lt;0,0,ROUND('Quant. mod. (oc)'!J660,0))</f>
        <v>2</v>
      </c>
      <c r="K660" s="125">
        <f>IF('Quant. mod. (oc)'!K660&lt;0,0,ROUND('Quant. mod. (oc)'!K660,0))</f>
        <v>2</v>
      </c>
      <c r="L660" s="125">
        <f>IF('Quant. mod. (oc)'!L660&lt;0,0,ROUND('Quant. mod. (oc)'!L660,0))</f>
        <v>2</v>
      </c>
      <c r="M660" s="125">
        <f>IF('Quant. mod. (oc)'!M660&lt;0,0,ROUND('Quant. mod. (oc)'!M660,0))</f>
        <v>2</v>
      </c>
      <c r="N660" s="125">
        <f>IF('Quant. mod. (oc)'!N660&lt;0,0,ROUND('Quant. mod. (oc)'!N660,0))</f>
        <v>2</v>
      </c>
      <c r="O660" s="125">
        <f>IF('Quant. mod. (oc)'!O660&lt;0,0,ROUND('Quant. mod. (oc)'!O660,0))</f>
        <v>2</v>
      </c>
      <c r="P660" s="125">
        <f>IF('Quant. mod. (oc)'!P660&lt;0,0,ROUND('Quant. mod. (oc)'!P660,0))</f>
        <v>2</v>
      </c>
      <c r="Q660" s="125">
        <f>IF('Quant. mod. (oc)'!Q660&lt;0,0,ROUND('Quant. mod. (oc)'!Q660,0))</f>
        <v>2</v>
      </c>
      <c r="R660" s="125">
        <f>IF('Quant. mod. (oc)'!R660&lt;0,0,ROUND('Quant. mod. (oc)'!R660,0))</f>
        <v>2</v>
      </c>
      <c r="S660" s="125">
        <f>IF('Quant. mod. (oc)'!S660&lt;0,0,ROUND('Quant. mod. (oc)'!S660,0))</f>
        <v>2</v>
      </c>
      <c r="T660" s="125">
        <f>IF('Quant. mod. (oc)'!T660&lt;0,0,ROUND('Quant. mod. (oc)'!T660,0))</f>
        <v>2</v>
      </c>
      <c r="U660" s="125">
        <f>IF('Quant. mod. (oc)'!U660&lt;0,0,ROUND('Quant. mod. (oc)'!U660,0))</f>
        <v>2</v>
      </c>
      <c r="V660" s="125">
        <f>IF('Quant. mod. (oc)'!V660&lt;0,0,ROUND('Quant. mod. (oc)'!V660,0))</f>
        <v>2</v>
      </c>
      <c r="W660" s="125">
        <f>IF('Quant. mod. (oc)'!W660&lt;0,0,ROUND('Quant. mod. (oc)'!W660,0))</f>
        <v>2</v>
      </c>
      <c r="X660" s="125">
        <f>IF('Quant. mod. (oc)'!X660&lt;0,0,ROUND('Quant. mod. (oc)'!X660,0))</f>
        <v>2</v>
      </c>
      <c r="Y660" s="125">
        <f>IF('Quant. mod. (oc)'!Y660&lt;0,0,ROUND('Quant. mod. (oc)'!Y660,0))</f>
        <v>2</v>
      </c>
      <c r="Z660" s="125">
        <f>IF('Quant. mod. (oc)'!Z660&lt;0,0,ROUND('Quant. mod. (oc)'!Z660,0))</f>
        <v>2</v>
      </c>
      <c r="AA660" s="125">
        <f>IF('Quant. mod. (oc)'!AA660&lt;0,0,ROUND('Quant. mod. (oc)'!AA660,0))</f>
        <v>2</v>
      </c>
      <c r="AB660" s="125">
        <f>IF('Quant. mod. (oc)'!AB660&lt;0,0,ROUND('Quant. mod. (oc)'!AB660,0))</f>
        <v>2</v>
      </c>
      <c r="AC660" s="125">
        <f>IF('Quant. mod. (oc)'!AC660&lt;0,0,ROUND('Quant. mod. (oc)'!AC660,0))</f>
        <v>2</v>
      </c>
      <c r="AD660" s="125">
        <f>IF('Quant. mod. (oc)'!AD660&lt;0,0,ROUND('Quant. mod. (oc)'!AD660,0))</f>
        <v>2</v>
      </c>
      <c r="AE660" s="125">
        <f>IF('Quant. mod. (oc)'!AE660&lt;0,0,ROUND('Quant. mod. (oc)'!AE660,0))</f>
        <v>2</v>
      </c>
      <c r="AF660" s="125">
        <f>IF('Quant. mod. (oc)'!AF660&lt;0,0,ROUND('Quant. mod. (oc)'!AF660,0))</f>
        <v>2</v>
      </c>
      <c r="AG660" s="126">
        <f>IF('Quant. mod. (oc)'!AG660&lt;0,0,ROUND('Quant. mod. (oc)'!AG660,0))</f>
        <v>2</v>
      </c>
      <c r="AH660" s="22"/>
    </row>
    <row r="661" spans="1:34" x14ac:dyDescent="0.25">
      <c r="A661" s="21"/>
      <c r="B661" s="141" t="s">
        <v>680</v>
      </c>
      <c r="C661" s="125" t="s">
        <v>60</v>
      </c>
      <c r="D661" s="125">
        <f>IF('Quant. mod. (oc)'!D661&lt;0,0,ROUND('Quant. mod. (oc)'!D661,0))</f>
        <v>2</v>
      </c>
      <c r="E661" s="125">
        <f>IF('Quant. mod. (oc)'!E661&lt;0,0,ROUND('Quant. mod. (oc)'!E661,0))</f>
        <v>2</v>
      </c>
      <c r="F661" s="125">
        <f>IF('Quant. mod. (oc)'!F661&lt;0,0,ROUND('Quant. mod. (oc)'!F661,0))</f>
        <v>2</v>
      </c>
      <c r="G661" s="125">
        <f>IF('Quant. mod. (oc)'!G661&lt;0,0,ROUND('Quant. mod. (oc)'!G661,0))</f>
        <v>2</v>
      </c>
      <c r="H661" s="125">
        <f>IF('Quant. mod. (oc)'!H661&lt;0,0,ROUND('Quant. mod. (oc)'!H661,0))</f>
        <v>2</v>
      </c>
      <c r="I661" s="125">
        <f>IF('Quant. mod. (oc)'!I661&lt;0,0,ROUND('Quant. mod. (oc)'!I661,0))</f>
        <v>2</v>
      </c>
      <c r="J661" s="125">
        <f>IF('Quant. mod. (oc)'!J661&lt;0,0,ROUND('Quant. mod. (oc)'!J661,0))</f>
        <v>2</v>
      </c>
      <c r="K661" s="125">
        <f>IF('Quant. mod. (oc)'!K661&lt;0,0,ROUND('Quant. mod. (oc)'!K661,0))</f>
        <v>2</v>
      </c>
      <c r="L661" s="125">
        <f>IF('Quant. mod. (oc)'!L661&lt;0,0,ROUND('Quant. mod. (oc)'!L661,0))</f>
        <v>2</v>
      </c>
      <c r="M661" s="125">
        <f>IF('Quant. mod. (oc)'!M661&lt;0,0,ROUND('Quant. mod. (oc)'!M661,0))</f>
        <v>2</v>
      </c>
      <c r="N661" s="125">
        <f>IF('Quant. mod. (oc)'!N661&lt;0,0,ROUND('Quant. mod. (oc)'!N661,0))</f>
        <v>2</v>
      </c>
      <c r="O661" s="125">
        <f>IF('Quant. mod. (oc)'!O661&lt;0,0,ROUND('Quant. mod. (oc)'!O661,0))</f>
        <v>2</v>
      </c>
      <c r="P661" s="125">
        <f>IF('Quant. mod. (oc)'!P661&lt;0,0,ROUND('Quant. mod. (oc)'!P661,0))</f>
        <v>2</v>
      </c>
      <c r="Q661" s="125">
        <f>IF('Quant. mod. (oc)'!Q661&lt;0,0,ROUND('Quant. mod. (oc)'!Q661,0))</f>
        <v>2</v>
      </c>
      <c r="R661" s="125">
        <f>IF('Quant. mod. (oc)'!R661&lt;0,0,ROUND('Quant. mod. (oc)'!R661,0))</f>
        <v>2</v>
      </c>
      <c r="S661" s="125">
        <f>IF('Quant. mod. (oc)'!S661&lt;0,0,ROUND('Quant. mod. (oc)'!S661,0))</f>
        <v>2</v>
      </c>
      <c r="T661" s="125">
        <f>IF('Quant. mod. (oc)'!T661&lt;0,0,ROUND('Quant. mod. (oc)'!T661,0))</f>
        <v>2</v>
      </c>
      <c r="U661" s="125">
        <f>IF('Quant. mod. (oc)'!U661&lt;0,0,ROUND('Quant. mod. (oc)'!U661,0))</f>
        <v>2</v>
      </c>
      <c r="V661" s="125">
        <f>IF('Quant. mod. (oc)'!V661&lt;0,0,ROUND('Quant. mod. (oc)'!V661,0))</f>
        <v>2</v>
      </c>
      <c r="W661" s="125">
        <f>IF('Quant. mod. (oc)'!W661&lt;0,0,ROUND('Quant. mod. (oc)'!W661,0))</f>
        <v>2</v>
      </c>
      <c r="X661" s="125">
        <f>IF('Quant. mod. (oc)'!X661&lt;0,0,ROUND('Quant. mod. (oc)'!X661,0))</f>
        <v>2</v>
      </c>
      <c r="Y661" s="125">
        <f>IF('Quant. mod. (oc)'!Y661&lt;0,0,ROUND('Quant. mod. (oc)'!Y661,0))</f>
        <v>2</v>
      </c>
      <c r="Z661" s="125">
        <f>IF('Quant. mod. (oc)'!Z661&lt;0,0,ROUND('Quant. mod. (oc)'!Z661,0))</f>
        <v>2</v>
      </c>
      <c r="AA661" s="125">
        <f>IF('Quant. mod. (oc)'!AA661&lt;0,0,ROUND('Quant. mod. (oc)'!AA661,0))</f>
        <v>2</v>
      </c>
      <c r="AB661" s="125">
        <f>IF('Quant. mod. (oc)'!AB661&lt;0,0,ROUND('Quant. mod. (oc)'!AB661,0))</f>
        <v>2</v>
      </c>
      <c r="AC661" s="125">
        <f>IF('Quant. mod. (oc)'!AC661&lt;0,0,ROUND('Quant. mod. (oc)'!AC661,0))</f>
        <v>2</v>
      </c>
      <c r="AD661" s="125">
        <f>IF('Quant. mod. (oc)'!AD661&lt;0,0,ROUND('Quant. mod. (oc)'!AD661,0))</f>
        <v>2</v>
      </c>
      <c r="AE661" s="125">
        <f>IF('Quant. mod. (oc)'!AE661&lt;0,0,ROUND('Quant. mod. (oc)'!AE661,0))</f>
        <v>2</v>
      </c>
      <c r="AF661" s="125">
        <f>IF('Quant. mod. (oc)'!AF661&lt;0,0,ROUND('Quant. mod. (oc)'!AF661,0))</f>
        <v>2</v>
      </c>
      <c r="AG661" s="126">
        <f>IF('Quant. mod. (oc)'!AG661&lt;0,0,ROUND('Quant. mod. (oc)'!AG661,0))</f>
        <v>2</v>
      </c>
      <c r="AH661" s="22"/>
    </row>
    <row r="662" spans="1:34" x14ac:dyDescent="0.25">
      <c r="A662" s="21"/>
      <c r="B662" s="141" t="s">
        <v>681</v>
      </c>
      <c r="C662" s="125" t="s">
        <v>60</v>
      </c>
      <c r="D662" s="125">
        <f>IF('Quant. mod. (oc)'!D662&lt;0,0,ROUND('Quant. mod. (oc)'!D662,0))</f>
        <v>2</v>
      </c>
      <c r="E662" s="125">
        <f>IF('Quant. mod. (oc)'!E662&lt;0,0,ROUND('Quant. mod. (oc)'!E662,0))</f>
        <v>2</v>
      </c>
      <c r="F662" s="125">
        <f>IF('Quant. mod. (oc)'!F662&lt;0,0,ROUND('Quant. mod. (oc)'!F662,0))</f>
        <v>2</v>
      </c>
      <c r="G662" s="125">
        <f>IF('Quant. mod. (oc)'!G662&lt;0,0,ROUND('Quant. mod. (oc)'!G662,0))</f>
        <v>2</v>
      </c>
      <c r="H662" s="125">
        <f>IF('Quant. mod. (oc)'!H662&lt;0,0,ROUND('Quant. mod. (oc)'!H662,0))</f>
        <v>2</v>
      </c>
      <c r="I662" s="125">
        <f>IF('Quant. mod. (oc)'!I662&lt;0,0,ROUND('Quant. mod. (oc)'!I662,0))</f>
        <v>2</v>
      </c>
      <c r="J662" s="125">
        <f>IF('Quant. mod. (oc)'!J662&lt;0,0,ROUND('Quant. mod. (oc)'!J662,0))</f>
        <v>2</v>
      </c>
      <c r="K662" s="125">
        <f>IF('Quant. mod. (oc)'!K662&lt;0,0,ROUND('Quant. mod. (oc)'!K662,0))</f>
        <v>2</v>
      </c>
      <c r="L662" s="125">
        <f>IF('Quant. mod. (oc)'!L662&lt;0,0,ROUND('Quant. mod. (oc)'!L662,0))</f>
        <v>2</v>
      </c>
      <c r="M662" s="125">
        <f>IF('Quant. mod. (oc)'!M662&lt;0,0,ROUND('Quant. mod. (oc)'!M662,0))</f>
        <v>2</v>
      </c>
      <c r="N662" s="125">
        <f>IF('Quant. mod. (oc)'!N662&lt;0,0,ROUND('Quant. mod. (oc)'!N662,0))</f>
        <v>2</v>
      </c>
      <c r="O662" s="125">
        <f>IF('Quant. mod. (oc)'!O662&lt;0,0,ROUND('Quant. mod. (oc)'!O662,0))</f>
        <v>2</v>
      </c>
      <c r="P662" s="125">
        <f>IF('Quant. mod. (oc)'!P662&lt;0,0,ROUND('Quant. mod. (oc)'!P662,0))</f>
        <v>2</v>
      </c>
      <c r="Q662" s="125">
        <f>IF('Quant. mod. (oc)'!Q662&lt;0,0,ROUND('Quant. mod. (oc)'!Q662,0))</f>
        <v>2</v>
      </c>
      <c r="R662" s="125">
        <f>IF('Quant. mod. (oc)'!R662&lt;0,0,ROUND('Quant. mod. (oc)'!R662,0))</f>
        <v>2</v>
      </c>
      <c r="S662" s="125">
        <f>IF('Quant. mod. (oc)'!S662&lt;0,0,ROUND('Quant. mod. (oc)'!S662,0))</f>
        <v>2</v>
      </c>
      <c r="T662" s="125">
        <f>IF('Quant. mod. (oc)'!T662&lt;0,0,ROUND('Quant. mod. (oc)'!T662,0))</f>
        <v>2</v>
      </c>
      <c r="U662" s="125">
        <f>IF('Quant. mod. (oc)'!U662&lt;0,0,ROUND('Quant. mod. (oc)'!U662,0))</f>
        <v>2</v>
      </c>
      <c r="V662" s="125">
        <f>IF('Quant. mod. (oc)'!V662&lt;0,0,ROUND('Quant. mod. (oc)'!V662,0))</f>
        <v>2</v>
      </c>
      <c r="W662" s="125">
        <f>IF('Quant. mod. (oc)'!W662&lt;0,0,ROUND('Quant. mod. (oc)'!W662,0))</f>
        <v>2</v>
      </c>
      <c r="X662" s="125">
        <f>IF('Quant. mod. (oc)'!X662&lt;0,0,ROUND('Quant. mod. (oc)'!X662,0))</f>
        <v>2</v>
      </c>
      <c r="Y662" s="125">
        <f>IF('Quant. mod. (oc)'!Y662&lt;0,0,ROUND('Quant. mod. (oc)'!Y662,0))</f>
        <v>2</v>
      </c>
      <c r="Z662" s="125">
        <f>IF('Quant. mod. (oc)'!Z662&lt;0,0,ROUND('Quant. mod. (oc)'!Z662,0))</f>
        <v>2</v>
      </c>
      <c r="AA662" s="125">
        <f>IF('Quant. mod. (oc)'!AA662&lt;0,0,ROUND('Quant. mod. (oc)'!AA662,0))</f>
        <v>2</v>
      </c>
      <c r="AB662" s="125">
        <f>IF('Quant. mod. (oc)'!AB662&lt;0,0,ROUND('Quant. mod. (oc)'!AB662,0))</f>
        <v>2</v>
      </c>
      <c r="AC662" s="125">
        <f>IF('Quant. mod. (oc)'!AC662&lt;0,0,ROUND('Quant. mod. (oc)'!AC662,0))</f>
        <v>2</v>
      </c>
      <c r="AD662" s="125">
        <f>IF('Quant. mod. (oc)'!AD662&lt;0,0,ROUND('Quant. mod. (oc)'!AD662,0))</f>
        <v>2</v>
      </c>
      <c r="AE662" s="125">
        <f>IF('Quant. mod. (oc)'!AE662&lt;0,0,ROUND('Quant. mod. (oc)'!AE662,0))</f>
        <v>2</v>
      </c>
      <c r="AF662" s="125">
        <f>IF('Quant. mod. (oc)'!AF662&lt;0,0,ROUND('Quant. mod. (oc)'!AF662,0))</f>
        <v>2</v>
      </c>
      <c r="AG662" s="126">
        <f>IF('Quant. mod. (oc)'!AG662&lt;0,0,ROUND('Quant. mod. (oc)'!AG662,0))</f>
        <v>2</v>
      </c>
      <c r="AH662" s="22"/>
    </row>
    <row r="663" spans="1:34" x14ac:dyDescent="0.25">
      <c r="A663" s="21"/>
      <c r="B663" s="141" t="s">
        <v>682</v>
      </c>
      <c r="C663" s="125" t="s">
        <v>60</v>
      </c>
      <c r="D663" s="125">
        <f>IF('Quant. mod. (oc)'!D663&lt;0,0,ROUND('Quant. mod. (oc)'!D663,0))</f>
        <v>2</v>
      </c>
      <c r="E663" s="125">
        <f>IF('Quant. mod. (oc)'!E663&lt;0,0,ROUND('Quant. mod. (oc)'!E663,0))</f>
        <v>2</v>
      </c>
      <c r="F663" s="125">
        <f>IF('Quant. mod. (oc)'!F663&lt;0,0,ROUND('Quant. mod. (oc)'!F663,0))</f>
        <v>2</v>
      </c>
      <c r="G663" s="125">
        <f>IF('Quant. mod. (oc)'!G663&lt;0,0,ROUND('Quant. mod. (oc)'!G663,0))</f>
        <v>2</v>
      </c>
      <c r="H663" s="125">
        <f>IF('Quant. mod. (oc)'!H663&lt;0,0,ROUND('Quant. mod. (oc)'!H663,0))</f>
        <v>2</v>
      </c>
      <c r="I663" s="125">
        <f>IF('Quant. mod. (oc)'!I663&lt;0,0,ROUND('Quant. mod. (oc)'!I663,0))</f>
        <v>2</v>
      </c>
      <c r="J663" s="125">
        <f>IF('Quant. mod. (oc)'!J663&lt;0,0,ROUND('Quant. mod. (oc)'!J663,0))</f>
        <v>2</v>
      </c>
      <c r="K663" s="125">
        <f>IF('Quant. mod. (oc)'!K663&lt;0,0,ROUND('Quant. mod. (oc)'!K663,0))</f>
        <v>2</v>
      </c>
      <c r="L663" s="125">
        <f>IF('Quant. mod. (oc)'!L663&lt;0,0,ROUND('Quant. mod. (oc)'!L663,0))</f>
        <v>2</v>
      </c>
      <c r="M663" s="125">
        <f>IF('Quant. mod. (oc)'!M663&lt;0,0,ROUND('Quant. mod. (oc)'!M663,0))</f>
        <v>2</v>
      </c>
      <c r="N663" s="125">
        <f>IF('Quant. mod. (oc)'!N663&lt;0,0,ROUND('Quant. mod. (oc)'!N663,0))</f>
        <v>2</v>
      </c>
      <c r="O663" s="125">
        <f>IF('Quant. mod. (oc)'!O663&lt;0,0,ROUND('Quant. mod. (oc)'!O663,0))</f>
        <v>2</v>
      </c>
      <c r="P663" s="125">
        <f>IF('Quant. mod. (oc)'!P663&lt;0,0,ROUND('Quant. mod. (oc)'!P663,0))</f>
        <v>2</v>
      </c>
      <c r="Q663" s="125">
        <f>IF('Quant. mod. (oc)'!Q663&lt;0,0,ROUND('Quant. mod. (oc)'!Q663,0))</f>
        <v>2</v>
      </c>
      <c r="R663" s="125">
        <f>IF('Quant. mod. (oc)'!R663&lt;0,0,ROUND('Quant. mod. (oc)'!R663,0))</f>
        <v>2</v>
      </c>
      <c r="S663" s="125">
        <f>IF('Quant. mod. (oc)'!S663&lt;0,0,ROUND('Quant. mod. (oc)'!S663,0))</f>
        <v>2</v>
      </c>
      <c r="T663" s="125">
        <f>IF('Quant. mod. (oc)'!T663&lt;0,0,ROUND('Quant. mod. (oc)'!T663,0))</f>
        <v>2</v>
      </c>
      <c r="U663" s="125">
        <f>IF('Quant. mod. (oc)'!U663&lt;0,0,ROUND('Quant. mod. (oc)'!U663,0))</f>
        <v>2</v>
      </c>
      <c r="V663" s="125">
        <f>IF('Quant. mod. (oc)'!V663&lt;0,0,ROUND('Quant. mod. (oc)'!V663,0))</f>
        <v>2</v>
      </c>
      <c r="W663" s="125">
        <f>IF('Quant. mod. (oc)'!W663&lt;0,0,ROUND('Quant. mod. (oc)'!W663,0))</f>
        <v>2</v>
      </c>
      <c r="X663" s="125">
        <f>IF('Quant. mod. (oc)'!X663&lt;0,0,ROUND('Quant. mod. (oc)'!X663,0))</f>
        <v>2</v>
      </c>
      <c r="Y663" s="125">
        <f>IF('Quant. mod. (oc)'!Y663&lt;0,0,ROUND('Quant. mod. (oc)'!Y663,0))</f>
        <v>2</v>
      </c>
      <c r="Z663" s="125">
        <f>IF('Quant. mod. (oc)'!Z663&lt;0,0,ROUND('Quant. mod. (oc)'!Z663,0))</f>
        <v>2</v>
      </c>
      <c r="AA663" s="125">
        <f>IF('Quant. mod. (oc)'!AA663&lt;0,0,ROUND('Quant. mod. (oc)'!AA663,0))</f>
        <v>2</v>
      </c>
      <c r="AB663" s="125">
        <f>IF('Quant. mod. (oc)'!AB663&lt;0,0,ROUND('Quant. mod. (oc)'!AB663,0))</f>
        <v>2</v>
      </c>
      <c r="AC663" s="125">
        <f>IF('Quant. mod. (oc)'!AC663&lt;0,0,ROUND('Quant. mod. (oc)'!AC663,0))</f>
        <v>2</v>
      </c>
      <c r="AD663" s="125">
        <f>IF('Quant. mod. (oc)'!AD663&lt;0,0,ROUND('Quant. mod. (oc)'!AD663,0))</f>
        <v>2</v>
      </c>
      <c r="AE663" s="125">
        <f>IF('Quant. mod. (oc)'!AE663&lt;0,0,ROUND('Quant. mod. (oc)'!AE663,0))</f>
        <v>2</v>
      </c>
      <c r="AF663" s="125">
        <f>IF('Quant. mod. (oc)'!AF663&lt;0,0,ROUND('Quant. mod. (oc)'!AF663,0))</f>
        <v>2</v>
      </c>
      <c r="AG663" s="126">
        <f>IF('Quant. mod. (oc)'!AG663&lt;0,0,ROUND('Quant. mod. (oc)'!AG663,0))</f>
        <v>2</v>
      </c>
      <c r="AH663" s="22"/>
    </row>
    <row r="664" spans="1:34" x14ac:dyDescent="0.25">
      <c r="A664" s="21"/>
      <c r="B664" s="141" t="s">
        <v>683</v>
      </c>
      <c r="C664" s="125" t="s">
        <v>60</v>
      </c>
      <c r="D664" s="125">
        <f>IF('Quant. mod. (oc)'!D664&lt;0,0,ROUND('Quant. mod. (oc)'!D664,0))</f>
        <v>2</v>
      </c>
      <c r="E664" s="125">
        <f>IF('Quant. mod. (oc)'!E664&lt;0,0,ROUND('Quant. mod. (oc)'!E664,0))</f>
        <v>2</v>
      </c>
      <c r="F664" s="125">
        <f>IF('Quant. mod. (oc)'!F664&lt;0,0,ROUND('Quant. mod. (oc)'!F664,0))</f>
        <v>2</v>
      </c>
      <c r="G664" s="125">
        <f>IF('Quant. mod. (oc)'!G664&lt;0,0,ROUND('Quant. mod. (oc)'!G664,0))</f>
        <v>2</v>
      </c>
      <c r="H664" s="125">
        <f>IF('Quant. mod. (oc)'!H664&lt;0,0,ROUND('Quant. mod. (oc)'!H664,0))</f>
        <v>2</v>
      </c>
      <c r="I664" s="125">
        <f>IF('Quant. mod. (oc)'!I664&lt;0,0,ROUND('Quant. mod. (oc)'!I664,0))</f>
        <v>2</v>
      </c>
      <c r="J664" s="125">
        <f>IF('Quant. mod. (oc)'!J664&lt;0,0,ROUND('Quant. mod. (oc)'!J664,0))</f>
        <v>2</v>
      </c>
      <c r="K664" s="125">
        <f>IF('Quant. mod. (oc)'!K664&lt;0,0,ROUND('Quant. mod. (oc)'!K664,0))</f>
        <v>2</v>
      </c>
      <c r="L664" s="125">
        <f>IF('Quant. mod. (oc)'!L664&lt;0,0,ROUND('Quant. mod. (oc)'!L664,0))</f>
        <v>2</v>
      </c>
      <c r="M664" s="125">
        <f>IF('Quant. mod. (oc)'!M664&lt;0,0,ROUND('Quant. mod. (oc)'!M664,0))</f>
        <v>2</v>
      </c>
      <c r="N664" s="125">
        <f>IF('Quant. mod. (oc)'!N664&lt;0,0,ROUND('Quant. mod. (oc)'!N664,0))</f>
        <v>2</v>
      </c>
      <c r="O664" s="125">
        <f>IF('Quant. mod. (oc)'!O664&lt;0,0,ROUND('Quant. mod. (oc)'!O664,0))</f>
        <v>2</v>
      </c>
      <c r="P664" s="125">
        <f>IF('Quant. mod. (oc)'!P664&lt;0,0,ROUND('Quant. mod. (oc)'!P664,0))</f>
        <v>2</v>
      </c>
      <c r="Q664" s="125">
        <f>IF('Quant. mod. (oc)'!Q664&lt;0,0,ROUND('Quant. mod. (oc)'!Q664,0))</f>
        <v>2</v>
      </c>
      <c r="R664" s="125">
        <f>IF('Quant. mod. (oc)'!R664&lt;0,0,ROUND('Quant. mod. (oc)'!R664,0))</f>
        <v>2</v>
      </c>
      <c r="S664" s="125">
        <f>IF('Quant. mod. (oc)'!S664&lt;0,0,ROUND('Quant. mod. (oc)'!S664,0))</f>
        <v>2</v>
      </c>
      <c r="T664" s="125">
        <f>IF('Quant. mod. (oc)'!T664&lt;0,0,ROUND('Quant. mod. (oc)'!T664,0))</f>
        <v>2</v>
      </c>
      <c r="U664" s="125">
        <f>IF('Quant. mod. (oc)'!U664&lt;0,0,ROUND('Quant. mod. (oc)'!U664,0))</f>
        <v>2</v>
      </c>
      <c r="V664" s="125">
        <f>IF('Quant. mod. (oc)'!V664&lt;0,0,ROUND('Quant. mod. (oc)'!V664,0))</f>
        <v>2</v>
      </c>
      <c r="W664" s="125">
        <f>IF('Quant. mod. (oc)'!W664&lt;0,0,ROUND('Quant. mod. (oc)'!W664,0))</f>
        <v>2</v>
      </c>
      <c r="X664" s="125">
        <f>IF('Quant. mod. (oc)'!X664&lt;0,0,ROUND('Quant. mod. (oc)'!X664,0))</f>
        <v>2</v>
      </c>
      <c r="Y664" s="125">
        <f>IF('Quant. mod. (oc)'!Y664&lt;0,0,ROUND('Quant. mod. (oc)'!Y664,0))</f>
        <v>2</v>
      </c>
      <c r="Z664" s="125">
        <f>IF('Quant. mod. (oc)'!Z664&lt;0,0,ROUND('Quant. mod. (oc)'!Z664,0))</f>
        <v>2</v>
      </c>
      <c r="AA664" s="125">
        <f>IF('Quant. mod. (oc)'!AA664&lt;0,0,ROUND('Quant. mod. (oc)'!AA664,0))</f>
        <v>2</v>
      </c>
      <c r="AB664" s="125">
        <f>IF('Quant. mod. (oc)'!AB664&lt;0,0,ROUND('Quant. mod. (oc)'!AB664,0))</f>
        <v>2</v>
      </c>
      <c r="AC664" s="125">
        <f>IF('Quant. mod. (oc)'!AC664&lt;0,0,ROUND('Quant. mod. (oc)'!AC664,0))</f>
        <v>2</v>
      </c>
      <c r="AD664" s="125">
        <f>IF('Quant. mod. (oc)'!AD664&lt;0,0,ROUND('Quant. mod. (oc)'!AD664,0))</f>
        <v>2</v>
      </c>
      <c r="AE664" s="125">
        <f>IF('Quant. mod. (oc)'!AE664&lt;0,0,ROUND('Quant. mod. (oc)'!AE664,0))</f>
        <v>2</v>
      </c>
      <c r="AF664" s="125">
        <f>IF('Quant. mod. (oc)'!AF664&lt;0,0,ROUND('Quant. mod. (oc)'!AF664,0))</f>
        <v>2</v>
      </c>
      <c r="AG664" s="126">
        <f>IF('Quant. mod. (oc)'!AG664&lt;0,0,ROUND('Quant. mod. (oc)'!AG664,0))</f>
        <v>2</v>
      </c>
      <c r="AH664" s="22"/>
    </row>
    <row r="665" spans="1:34" x14ac:dyDescent="0.25">
      <c r="A665" s="21"/>
      <c r="B665" s="141" t="s">
        <v>684</v>
      </c>
      <c r="C665" s="125" t="s">
        <v>60</v>
      </c>
      <c r="D665" s="125">
        <f>IF('Quant. mod. (oc)'!D665&lt;0,0,ROUND('Quant. mod. (oc)'!D665,0))</f>
        <v>2</v>
      </c>
      <c r="E665" s="125">
        <f>IF('Quant. mod. (oc)'!E665&lt;0,0,ROUND('Quant. mod. (oc)'!E665,0))</f>
        <v>2</v>
      </c>
      <c r="F665" s="125">
        <f>IF('Quant. mod. (oc)'!F665&lt;0,0,ROUND('Quant. mod. (oc)'!F665,0))</f>
        <v>2</v>
      </c>
      <c r="G665" s="125">
        <f>IF('Quant. mod. (oc)'!G665&lt;0,0,ROUND('Quant. mod. (oc)'!G665,0))</f>
        <v>2</v>
      </c>
      <c r="H665" s="125">
        <f>IF('Quant. mod. (oc)'!H665&lt;0,0,ROUND('Quant. mod. (oc)'!H665,0))</f>
        <v>2</v>
      </c>
      <c r="I665" s="125">
        <f>IF('Quant. mod. (oc)'!I665&lt;0,0,ROUND('Quant. mod. (oc)'!I665,0))</f>
        <v>2</v>
      </c>
      <c r="J665" s="125">
        <f>IF('Quant. mod. (oc)'!J665&lt;0,0,ROUND('Quant. mod. (oc)'!J665,0))</f>
        <v>2</v>
      </c>
      <c r="K665" s="125">
        <f>IF('Quant. mod. (oc)'!K665&lt;0,0,ROUND('Quant. mod. (oc)'!K665,0))</f>
        <v>2</v>
      </c>
      <c r="L665" s="125">
        <f>IF('Quant. mod. (oc)'!L665&lt;0,0,ROUND('Quant. mod. (oc)'!L665,0))</f>
        <v>2</v>
      </c>
      <c r="M665" s="125">
        <f>IF('Quant. mod. (oc)'!M665&lt;0,0,ROUND('Quant. mod. (oc)'!M665,0))</f>
        <v>2</v>
      </c>
      <c r="N665" s="125">
        <f>IF('Quant. mod. (oc)'!N665&lt;0,0,ROUND('Quant. mod. (oc)'!N665,0))</f>
        <v>2</v>
      </c>
      <c r="O665" s="125">
        <f>IF('Quant. mod. (oc)'!O665&lt;0,0,ROUND('Quant. mod. (oc)'!O665,0))</f>
        <v>2</v>
      </c>
      <c r="P665" s="125">
        <f>IF('Quant. mod. (oc)'!P665&lt;0,0,ROUND('Quant. mod. (oc)'!P665,0))</f>
        <v>2</v>
      </c>
      <c r="Q665" s="125">
        <f>IF('Quant. mod. (oc)'!Q665&lt;0,0,ROUND('Quant. mod. (oc)'!Q665,0))</f>
        <v>2</v>
      </c>
      <c r="R665" s="125">
        <f>IF('Quant. mod. (oc)'!R665&lt;0,0,ROUND('Quant. mod. (oc)'!R665,0))</f>
        <v>2</v>
      </c>
      <c r="S665" s="125">
        <f>IF('Quant. mod. (oc)'!S665&lt;0,0,ROUND('Quant. mod. (oc)'!S665,0))</f>
        <v>2</v>
      </c>
      <c r="T665" s="125">
        <f>IF('Quant. mod. (oc)'!T665&lt;0,0,ROUND('Quant. mod. (oc)'!T665,0))</f>
        <v>2</v>
      </c>
      <c r="U665" s="125">
        <f>IF('Quant. mod. (oc)'!U665&lt;0,0,ROUND('Quant. mod. (oc)'!U665,0))</f>
        <v>2</v>
      </c>
      <c r="V665" s="125">
        <f>IF('Quant. mod. (oc)'!V665&lt;0,0,ROUND('Quant. mod. (oc)'!V665,0))</f>
        <v>2</v>
      </c>
      <c r="W665" s="125">
        <f>IF('Quant. mod. (oc)'!W665&lt;0,0,ROUND('Quant. mod. (oc)'!W665,0))</f>
        <v>2</v>
      </c>
      <c r="X665" s="125">
        <f>IF('Quant. mod. (oc)'!X665&lt;0,0,ROUND('Quant. mod. (oc)'!X665,0))</f>
        <v>2</v>
      </c>
      <c r="Y665" s="125">
        <f>IF('Quant. mod. (oc)'!Y665&lt;0,0,ROUND('Quant. mod. (oc)'!Y665,0))</f>
        <v>2</v>
      </c>
      <c r="Z665" s="125">
        <f>IF('Quant. mod. (oc)'!Z665&lt;0,0,ROUND('Quant. mod. (oc)'!Z665,0))</f>
        <v>2</v>
      </c>
      <c r="AA665" s="125">
        <f>IF('Quant. mod. (oc)'!AA665&lt;0,0,ROUND('Quant. mod. (oc)'!AA665,0))</f>
        <v>2</v>
      </c>
      <c r="AB665" s="125">
        <f>IF('Quant. mod. (oc)'!AB665&lt;0,0,ROUND('Quant. mod. (oc)'!AB665,0))</f>
        <v>2</v>
      </c>
      <c r="AC665" s="125">
        <f>IF('Quant. mod. (oc)'!AC665&lt;0,0,ROUND('Quant. mod. (oc)'!AC665,0))</f>
        <v>2</v>
      </c>
      <c r="AD665" s="125">
        <f>IF('Quant. mod. (oc)'!AD665&lt;0,0,ROUND('Quant. mod. (oc)'!AD665,0))</f>
        <v>2</v>
      </c>
      <c r="AE665" s="125">
        <f>IF('Quant. mod. (oc)'!AE665&lt;0,0,ROUND('Quant. mod. (oc)'!AE665,0))</f>
        <v>2</v>
      </c>
      <c r="AF665" s="125">
        <f>IF('Quant. mod. (oc)'!AF665&lt;0,0,ROUND('Quant. mod. (oc)'!AF665,0))</f>
        <v>2</v>
      </c>
      <c r="AG665" s="126">
        <f>IF('Quant. mod. (oc)'!AG665&lt;0,0,ROUND('Quant. mod. (oc)'!AG665,0))</f>
        <v>2</v>
      </c>
      <c r="AH665" s="22"/>
    </row>
    <row r="666" spans="1:34" x14ac:dyDescent="0.25">
      <c r="A666" s="21"/>
      <c r="B666" s="141" t="s">
        <v>685</v>
      </c>
      <c r="C666" s="125" t="s">
        <v>60</v>
      </c>
      <c r="D666" s="125">
        <f>IF('Quant. mod. (oc)'!D666&lt;0,0,ROUND('Quant. mod. (oc)'!D666,0))</f>
        <v>2</v>
      </c>
      <c r="E666" s="125">
        <f>IF('Quant. mod. (oc)'!E666&lt;0,0,ROUND('Quant. mod. (oc)'!E666,0))</f>
        <v>2</v>
      </c>
      <c r="F666" s="125">
        <f>IF('Quant. mod. (oc)'!F666&lt;0,0,ROUND('Quant. mod. (oc)'!F666,0))</f>
        <v>2</v>
      </c>
      <c r="G666" s="125">
        <f>IF('Quant. mod. (oc)'!G666&lt;0,0,ROUND('Quant. mod. (oc)'!G666,0))</f>
        <v>2</v>
      </c>
      <c r="H666" s="125">
        <f>IF('Quant. mod. (oc)'!H666&lt;0,0,ROUND('Quant. mod. (oc)'!H666,0))</f>
        <v>2</v>
      </c>
      <c r="I666" s="125">
        <f>IF('Quant. mod. (oc)'!I666&lt;0,0,ROUND('Quant. mod. (oc)'!I666,0))</f>
        <v>2</v>
      </c>
      <c r="J666" s="125">
        <f>IF('Quant. mod. (oc)'!J666&lt;0,0,ROUND('Quant. mod. (oc)'!J666,0))</f>
        <v>2</v>
      </c>
      <c r="K666" s="125">
        <f>IF('Quant. mod. (oc)'!K666&lt;0,0,ROUND('Quant. mod. (oc)'!K666,0))</f>
        <v>2</v>
      </c>
      <c r="L666" s="125">
        <f>IF('Quant. mod. (oc)'!L666&lt;0,0,ROUND('Quant. mod. (oc)'!L666,0))</f>
        <v>2</v>
      </c>
      <c r="M666" s="125">
        <f>IF('Quant. mod. (oc)'!M666&lt;0,0,ROUND('Quant. mod. (oc)'!M666,0))</f>
        <v>2</v>
      </c>
      <c r="N666" s="125">
        <f>IF('Quant. mod. (oc)'!N666&lt;0,0,ROUND('Quant. mod. (oc)'!N666,0))</f>
        <v>2</v>
      </c>
      <c r="O666" s="125">
        <f>IF('Quant. mod. (oc)'!O666&lt;0,0,ROUND('Quant. mod. (oc)'!O666,0))</f>
        <v>2</v>
      </c>
      <c r="P666" s="125">
        <f>IF('Quant. mod. (oc)'!P666&lt;0,0,ROUND('Quant. mod. (oc)'!P666,0))</f>
        <v>2</v>
      </c>
      <c r="Q666" s="125">
        <f>IF('Quant. mod. (oc)'!Q666&lt;0,0,ROUND('Quant. mod. (oc)'!Q666,0))</f>
        <v>2</v>
      </c>
      <c r="R666" s="125">
        <f>IF('Quant. mod. (oc)'!R666&lt;0,0,ROUND('Quant. mod. (oc)'!R666,0))</f>
        <v>2</v>
      </c>
      <c r="S666" s="125">
        <f>IF('Quant. mod. (oc)'!S666&lt;0,0,ROUND('Quant. mod. (oc)'!S666,0))</f>
        <v>2</v>
      </c>
      <c r="T666" s="125">
        <f>IF('Quant. mod. (oc)'!T666&lt;0,0,ROUND('Quant. mod. (oc)'!T666,0))</f>
        <v>2</v>
      </c>
      <c r="U666" s="125">
        <f>IF('Quant. mod. (oc)'!U666&lt;0,0,ROUND('Quant. mod. (oc)'!U666,0))</f>
        <v>2</v>
      </c>
      <c r="V666" s="125">
        <f>IF('Quant. mod. (oc)'!V666&lt;0,0,ROUND('Quant. mod. (oc)'!V666,0))</f>
        <v>2</v>
      </c>
      <c r="W666" s="125">
        <f>IF('Quant. mod. (oc)'!W666&lt;0,0,ROUND('Quant. mod. (oc)'!W666,0))</f>
        <v>2</v>
      </c>
      <c r="X666" s="125">
        <f>IF('Quant. mod. (oc)'!X666&lt;0,0,ROUND('Quant. mod. (oc)'!X666,0))</f>
        <v>2</v>
      </c>
      <c r="Y666" s="125">
        <f>IF('Quant. mod. (oc)'!Y666&lt;0,0,ROUND('Quant. mod. (oc)'!Y666,0))</f>
        <v>2</v>
      </c>
      <c r="Z666" s="125">
        <f>IF('Quant. mod. (oc)'!Z666&lt;0,0,ROUND('Quant. mod. (oc)'!Z666,0))</f>
        <v>2</v>
      </c>
      <c r="AA666" s="125">
        <f>IF('Quant. mod. (oc)'!AA666&lt;0,0,ROUND('Quant. mod. (oc)'!AA666,0))</f>
        <v>2</v>
      </c>
      <c r="AB666" s="125">
        <f>IF('Quant. mod. (oc)'!AB666&lt;0,0,ROUND('Quant. mod. (oc)'!AB666,0))</f>
        <v>2</v>
      </c>
      <c r="AC666" s="125">
        <f>IF('Quant. mod. (oc)'!AC666&lt;0,0,ROUND('Quant. mod. (oc)'!AC666,0))</f>
        <v>2</v>
      </c>
      <c r="AD666" s="125">
        <f>IF('Quant. mod. (oc)'!AD666&lt;0,0,ROUND('Quant. mod. (oc)'!AD666,0))</f>
        <v>2</v>
      </c>
      <c r="AE666" s="125">
        <f>IF('Quant. mod. (oc)'!AE666&lt;0,0,ROUND('Quant. mod. (oc)'!AE666,0))</f>
        <v>2</v>
      </c>
      <c r="AF666" s="125">
        <f>IF('Quant. mod. (oc)'!AF666&lt;0,0,ROUND('Quant. mod. (oc)'!AF666,0))</f>
        <v>2</v>
      </c>
      <c r="AG666" s="126">
        <f>IF('Quant. mod. (oc)'!AG666&lt;0,0,ROUND('Quant. mod. (oc)'!AG666,0))</f>
        <v>2</v>
      </c>
      <c r="AH666" s="22"/>
    </row>
    <row r="667" spans="1:34" x14ac:dyDescent="0.25">
      <c r="A667" s="21"/>
      <c r="B667" s="141" t="s">
        <v>686</v>
      </c>
      <c r="C667" s="125" t="s">
        <v>60</v>
      </c>
      <c r="D667" s="125">
        <f>IF('Quant. mod. (oc)'!D667&lt;0,0,ROUND('Quant. mod. (oc)'!D667,0))</f>
        <v>2</v>
      </c>
      <c r="E667" s="125">
        <f>IF('Quant. mod. (oc)'!E667&lt;0,0,ROUND('Quant. mod. (oc)'!E667,0))</f>
        <v>2</v>
      </c>
      <c r="F667" s="125">
        <f>IF('Quant. mod. (oc)'!F667&lt;0,0,ROUND('Quant. mod. (oc)'!F667,0))</f>
        <v>2</v>
      </c>
      <c r="G667" s="125">
        <f>IF('Quant. mod. (oc)'!G667&lt;0,0,ROUND('Quant. mod. (oc)'!G667,0))</f>
        <v>2</v>
      </c>
      <c r="H667" s="125">
        <f>IF('Quant. mod. (oc)'!H667&lt;0,0,ROUND('Quant. mod. (oc)'!H667,0))</f>
        <v>2</v>
      </c>
      <c r="I667" s="125">
        <f>IF('Quant. mod. (oc)'!I667&lt;0,0,ROUND('Quant. mod. (oc)'!I667,0))</f>
        <v>2</v>
      </c>
      <c r="J667" s="125">
        <f>IF('Quant. mod. (oc)'!J667&lt;0,0,ROUND('Quant. mod. (oc)'!J667,0))</f>
        <v>2</v>
      </c>
      <c r="K667" s="125">
        <f>IF('Quant. mod. (oc)'!K667&lt;0,0,ROUND('Quant. mod. (oc)'!K667,0))</f>
        <v>2</v>
      </c>
      <c r="L667" s="125">
        <f>IF('Quant. mod. (oc)'!L667&lt;0,0,ROUND('Quant. mod. (oc)'!L667,0))</f>
        <v>2</v>
      </c>
      <c r="M667" s="125">
        <f>IF('Quant. mod. (oc)'!M667&lt;0,0,ROUND('Quant. mod. (oc)'!M667,0))</f>
        <v>2</v>
      </c>
      <c r="N667" s="125">
        <f>IF('Quant. mod. (oc)'!N667&lt;0,0,ROUND('Quant. mod. (oc)'!N667,0))</f>
        <v>2</v>
      </c>
      <c r="O667" s="125">
        <f>IF('Quant. mod. (oc)'!O667&lt;0,0,ROUND('Quant. mod. (oc)'!O667,0))</f>
        <v>2</v>
      </c>
      <c r="P667" s="125">
        <f>IF('Quant. mod. (oc)'!P667&lt;0,0,ROUND('Quant. mod. (oc)'!P667,0))</f>
        <v>2</v>
      </c>
      <c r="Q667" s="125">
        <f>IF('Quant. mod. (oc)'!Q667&lt;0,0,ROUND('Quant. mod. (oc)'!Q667,0))</f>
        <v>2</v>
      </c>
      <c r="R667" s="125">
        <f>IF('Quant. mod. (oc)'!R667&lt;0,0,ROUND('Quant. mod. (oc)'!R667,0))</f>
        <v>2</v>
      </c>
      <c r="S667" s="125">
        <f>IF('Quant. mod. (oc)'!S667&lt;0,0,ROUND('Quant. mod. (oc)'!S667,0))</f>
        <v>2</v>
      </c>
      <c r="T667" s="125">
        <f>IF('Quant. mod. (oc)'!T667&lt;0,0,ROUND('Quant. mod. (oc)'!T667,0))</f>
        <v>2</v>
      </c>
      <c r="U667" s="125">
        <f>IF('Quant. mod. (oc)'!U667&lt;0,0,ROUND('Quant. mod. (oc)'!U667,0))</f>
        <v>2</v>
      </c>
      <c r="V667" s="125">
        <f>IF('Quant. mod. (oc)'!V667&lt;0,0,ROUND('Quant. mod. (oc)'!V667,0))</f>
        <v>2</v>
      </c>
      <c r="W667" s="125">
        <f>IF('Quant. mod. (oc)'!W667&lt;0,0,ROUND('Quant. mod. (oc)'!W667,0))</f>
        <v>2</v>
      </c>
      <c r="X667" s="125">
        <f>IF('Quant. mod. (oc)'!X667&lt;0,0,ROUND('Quant. mod. (oc)'!X667,0))</f>
        <v>2</v>
      </c>
      <c r="Y667" s="125">
        <f>IF('Quant. mod. (oc)'!Y667&lt;0,0,ROUND('Quant. mod. (oc)'!Y667,0))</f>
        <v>2</v>
      </c>
      <c r="Z667" s="125">
        <f>IF('Quant. mod. (oc)'!Z667&lt;0,0,ROUND('Quant. mod. (oc)'!Z667,0))</f>
        <v>2</v>
      </c>
      <c r="AA667" s="125">
        <f>IF('Quant. mod. (oc)'!AA667&lt;0,0,ROUND('Quant. mod. (oc)'!AA667,0))</f>
        <v>2</v>
      </c>
      <c r="AB667" s="125">
        <f>IF('Quant. mod. (oc)'!AB667&lt;0,0,ROUND('Quant. mod. (oc)'!AB667,0))</f>
        <v>2</v>
      </c>
      <c r="AC667" s="125">
        <f>IF('Quant. mod. (oc)'!AC667&lt;0,0,ROUND('Quant. mod. (oc)'!AC667,0))</f>
        <v>2</v>
      </c>
      <c r="AD667" s="125">
        <f>IF('Quant. mod. (oc)'!AD667&lt;0,0,ROUND('Quant. mod. (oc)'!AD667,0))</f>
        <v>2</v>
      </c>
      <c r="AE667" s="125">
        <f>IF('Quant. mod. (oc)'!AE667&lt;0,0,ROUND('Quant. mod. (oc)'!AE667,0))</f>
        <v>2</v>
      </c>
      <c r="AF667" s="125">
        <f>IF('Quant. mod. (oc)'!AF667&lt;0,0,ROUND('Quant. mod. (oc)'!AF667,0))</f>
        <v>2</v>
      </c>
      <c r="AG667" s="126">
        <f>IF('Quant. mod. (oc)'!AG667&lt;0,0,ROUND('Quant. mod. (oc)'!AG667,0))</f>
        <v>2</v>
      </c>
      <c r="AH667" s="22"/>
    </row>
    <row r="668" spans="1:34" x14ac:dyDescent="0.25">
      <c r="A668" s="21"/>
      <c r="B668" s="141" t="s">
        <v>687</v>
      </c>
      <c r="C668" s="125" t="s">
        <v>60</v>
      </c>
      <c r="D668" s="125">
        <f>IF('Quant. mod. (oc)'!D668&lt;0,0,ROUND('Quant. mod. (oc)'!D668,0))</f>
        <v>2</v>
      </c>
      <c r="E668" s="125">
        <f>IF('Quant. mod. (oc)'!E668&lt;0,0,ROUND('Quant. mod. (oc)'!E668,0))</f>
        <v>2</v>
      </c>
      <c r="F668" s="125">
        <f>IF('Quant. mod. (oc)'!F668&lt;0,0,ROUND('Quant. mod. (oc)'!F668,0))</f>
        <v>2</v>
      </c>
      <c r="G668" s="125">
        <f>IF('Quant. mod. (oc)'!G668&lt;0,0,ROUND('Quant. mod. (oc)'!G668,0))</f>
        <v>2</v>
      </c>
      <c r="H668" s="125">
        <f>IF('Quant. mod. (oc)'!H668&lt;0,0,ROUND('Quant. mod. (oc)'!H668,0))</f>
        <v>2</v>
      </c>
      <c r="I668" s="125">
        <f>IF('Quant. mod. (oc)'!I668&lt;0,0,ROUND('Quant. mod. (oc)'!I668,0))</f>
        <v>2</v>
      </c>
      <c r="J668" s="125">
        <f>IF('Quant. mod. (oc)'!J668&lt;0,0,ROUND('Quant. mod. (oc)'!J668,0))</f>
        <v>2</v>
      </c>
      <c r="K668" s="125">
        <f>IF('Quant. mod. (oc)'!K668&lt;0,0,ROUND('Quant. mod. (oc)'!K668,0))</f>
        <v>2</v>
      </c>
      <c r="L668" s="125">
        <f>IF('Quant. mod. (oc)'!L668&lt;0,0,ROUND('Quant. mod. (oc)'!L668,0))</f>
        <v>2</v>
      </c>
      <c r="M668" s="125">
        <f>IF('Quant. mod. (oc)'!M668&lt;0,0,ROUND('Quant. mod. (oc)'!M668,0))</f>
        <v>2</v>
      </c>
      <c r="N668" s="125">
        <f>IF('Quant. mod. (oc)'!N668&lt;0,0,ROUND('Quant. mod. (oc)'!N668,0))</f>
        <v>2</v>
      </c>
      <c r="O668" s="125">
        <f>IF('Quant. mod. (oc)'!O668&lt;0,0,ROUND('Quant. mod. (oc)'!O668,0))</f>
        <v>2</v>
      </c>
      <c r="P668" s="125">
        <f>IF('Quant. mod. (oc)'!P668&lt;0,0,ROUND('Quant. mod. (oc)'!P668,0))</f>
        <v>2</v>
      </c>
      <c r="Q668" s="125">
        <f>IF('Quant. mod. (oc)'!Q668&lt;0,0,ROUND('Quant. mod. (oc)'!Q668,0))</f>
        <v>2</v>
      </c>
      <c r="R668" s="125">
        <f>IF('Quant. mod. (oc)'!R668&lt;0,0,ROUND('Quant. mod. (oc)'!R668,0))</f>
        <v>2</v>
      </c>
      <c r="S668" s="125">
        <f>IF('Quant. mod. (oc)'!S668&lt;0,0,ROUND('Quant. mod. (oc)'!S668,0))</f>
        <v>2</v>
      </c>
      <c r="T668" s="125">
        <f>IF('Quant. mod. (oc)'!T668&lt;0,0,ROUND('Quant. mod. (oc)'!T668,0))</f>
        <v>2</v>
      </c>
      <c r="U668" s="125">
        <f>IF('Quant. mod. (oc)'!U668&lt;0,0,ROUND('Quant. mod. (oc)'!U668,0))</f>
        <v>2</v>
      </c>
      <c r="V668" s="125">
        <f>IF('Quant. mod. (oc)'!V668&lt;0,0,ROUND('Quant. mod. (oc)'!V668,0))</f>
        <v>2</v>
      </c>
      <c r="W668" s="125">
        <f>IF('Quant. mod. (oc)'!W668&lt;0,0,ROUND('Quant. mod. (oc)'!W668,0))</f>
        <v>2</v>
      </c>
      <c r="X668" s="125">
        <f>IF('Quant. mod. (oc)'!X668&lt;0,0,ROUND('Quant. mod. (oc)'!X668,0))</f>
        <v>2</v>
      </c>
      <c r="Y668" s="125">
        <f>IF('Quant. mod. (oc)'!Y668&lt;0,0,ROUND('Quant. mod. (oc)'!Y668,0))</f>
        <v>2</v>
      </c>
      <c r="Z668" s="125">
        <f>IF('Quant. mod. (oc)'!Z668&lt;0,0,ROUND('Quant. mod. (oc)'!Z668,0))</f>
        <v>2</v>
      </c>
      <c r="AA668" s="125">
        <f>IF('Quant. mod. (oc)'!AA668&lt;0,0,ROUND('Quant. mod. (oc)'!AA668,0))</f>
        <v>2</v>
      </c>
      <c r="AB668" s="125">
        <f>IF('Quant. mod. (oc)'!AB668&lt;0,0,ROUND('Quant. mod. (oc)'!AB668,0))</f>
        <v>2</v>
      </c>
      <c r="AC668" s="125">
        <f>IF('Quant. mod. (oc)'!AC668&lt;0,0,ROUND('Quant. mod. (oc)'!AC668,0))</f>
        <v>2</v>
      </c>
      <c r="AD668" s="125">
        <f>IF('Quant. mod. (oc)'!AD668&lt;0,0,ROUND('Quant. mod. (oc)'!AD668,0))</f>
        <v>2</v>
      </c>
      <c r="AE668" s="125">
        <f>IF('Quant. mod. (oc)'!AE668&lt;0,0,ROUND('Quant. mod. (oc)'!AE668,0))</f>
        <v>2</v>
      </c>
      <c r="AF668" s="125">
        <f>IF('Quant. mod. (oc)'!AF668&lt;0,0,ROUND('Quant. mod. (oc)'!AF668,0))</f>
        <v>2</v>
      </c>
      <c r="AG668" s="126">
        <f>IF('Quant. mod. (oc)'!AG668&lt;0,0,ROUND('Quant. mod. (oc)'!AG668,0))</f>
        <v>2</v>
      </c>
      <c r="AH668" s="22"/>
    </row>
    <row r="669" spans="1:34" x14ac:dyDescent="0.25">
      <c r="A669" s="21"/>
      <c r="B669" s="141" t="s">
        <v>688</v>
      </c>
      <c r="C669" s="125" t="s">
        <v>60</v>
      </c>
      <c r="D669" s="125">
        <f>IF('Quant. mod. (oc)'!D669&lt;0,0,ROUND('Quant. mod. (oc)'!D669,0))</f>
        <v>2</v>
      </c>
      <c r="E669" s="125">
        <f>IF('Quant. mod. (oc)'!E669&lt;0,0,ROUND('Quant. mod. (oc)'!E669,0))</f>
        <v>2</v>
      </c>
      <c r="F669" s="125">
        <f>IF('Quant. mod. (oc)'!F669&lt;0,0,ROUND('Quant. mod. (oc)'!F669,0))</f>
        <v>2</v>
      </c>
      <c r="G669" s="125">
        <f>IF('Quant. mod. (oc)'!G669&lt;0,0,ROUND('Quant. mod. (oc)'!G669,0))</f>
        <v>2</v>
      </c>
      <c r="H669" s="125">
        <f>IF('Quant. mod. (oc)'!H669&lt;0,0,ROUND('Quant. mod. (oc)'!H669,0))</f>
        <v>2</v>
      </c>
      <c r="I669" s="125">
        <f>IF('Quant. mod. (oc)'!I669&lt;0,0,ROUND('Quant. mod. (oc)'!I669,0))</f>
        <v>2</v>
      </c>
      <c r="J669" s="125">
        <f>IF('Quant. mod. (oc)'!J669&lt;0,0,ROUND('Quant. mod. (oc)'!J669,0))</f>
        <v>2</v>
      </c>
      <c r="K669" s="125">
        <f>IF('Quant. mod. (oc)'!K669&lt;0,0,ROUND('Quant. mod. (oc)'!K669,0))</f>
        <v>2</v>
      </c>
      <c r="L669" s="125">
        <f>IF('Quant. mod. (oc)'!L669&lt;0,0,ROUND('Quant. mod. (oc)'!L669,0))</f>
        <v>2</v>
      </c>
      <c r="M669" s="125">
        <f>IF('Quant. mod. (oc)'!M669&lt;0,0,ROUND('Quant. mod. (oc)'!M669,0))</f>
        <v>2</v>
      </c>
      <c r="N669" s="125">
        <f>IF('Quant. mod. (oc)'!N669&lt;0,0,ROUND('Quant. mod. (oc)'!N669,0))</f>
        <v>2</v>
      </c>
      <c r="O669" s="125">
        <f>IF('Quant. mod. (oc)'!O669&lt;0,0,ROUND('Quant. mod. (oc)'!O669,0))</f>
        <v>2</v>
      </c>
      <c r="P669" s="125">
        <f>IF('Quant. mod. (oc)'!P669&lt;0,0,ROUND('Quant. mod. (oc)'!P669,0))</f>
        <v>2</v>
      </c>
      <c r="Q669" s="125">
        <f>IF('Quant. mod. (oc)'!Q669&lt;0,0,ROUND('Quant. mod. (oc)'!Q669,0))</f>
        <v>2</v>
      </c>
      <c r="R669" s="125">
        <f>IF('Quant. mod. (oc)'!R669&lt;0,0,ROUND('Quant. mod. (oc)'!R669,0))</f>
        <v>2</v>
      </c>
      <c r="S669" s="125">
        <f>IF('Quant. mod. (oc)'!S669&lt;0,0,ROUND('Quant. mod. (oc)'!S669,0))</f>
        <v>2</v>
      </c>
      <c r="T669" s="125">
        <f>IF('Quant. mod. (oc)'!T669&lt;0,0,ROUND('Quant. mod. (oc)'!T669,0))</f>
        <v>2</v>
      </c>
      <c r="U669" s="125">
        <f>IF('Quant. mod. (oc)'!U669&lt;0,0,ROUND('Quant. mod. (oc)'!U669,0))</f>
        <v>2</v>
      </c>
      <c r="V669" s="125">
        <f>IF('Quant. mod. (oc)'!V669&lt;0,0,ROUND('Quant. mod. (oc)'!V669,0))</f>
        <v>2</v>
      </c>
      <c r="W669" s="125">
        <f>IF('Quant. mod. (oc)'!W669&lt;0,0,ROUND('Quant. mod. (oc)'!W669,0))</f>
        <v>2</v>
      </c>
      <c r="X669" s="125">
        <f>IF('Quant. mod. (oc)'!X669&lt;0,0,ROUND('Quant. mod. (oc)'!X669,0))</f>
        <v>2</v>
      </c>
      <c r="Y669" s="125">
        <f>IF('Quant. mod. (oc)'!Y669&lt;0,0,ROUND('Quant. mod. (oc)'!Y669,0))</f>
        <v>2</v>
      </c>
      <c r="Z669" s="125">
        <f>IF('Quant. mod. (oc)'!Z669&lt;0,0,ROUND('Quant. mod. (oc)'!Z669,0))</f>
        <v>2</v>
      </c>
      <c r="AA669" s="125">
        <f>IF('Quant. mod. (oc)'!AA669&lt;0,0,ROUND('Quant. mod. (oc)'!AA669,0))</f>
        <v>2</v>
      </c>
      <c r="AB669" s="125">
        <f>IF('Quant. mod. (oc)'!AB669&lt;0,0,ROUND('Quant. mod. (oc)'!AB669,0))</f>
        <v>2</v>
      </c>
      <c r="AC669" s="125">
        <f>IF('Quant. mod. (oc)'!AC669&lt;0,0,ROUND('Quant. mod. (oc)'!AC669,0))</f>
        <v>2</v>
      </c>
      <c r="AD669" s="125">
        <f>IF('Quant. mod. (oc)'!AD669&lt;0,0,ROUND('Quant. mod. (oc)'!AD669,0))</f>
        <v>2</v>
      </c>
      <c r="AE669" s="125">
        <f>IF('Quant. mod. (oc)'!AE669&lt;0,0,ROUND('Quant. mod. (oc)'!AE669,0))</f>
        <v>2</v>
      </c>
      <c r="AF669" s="125">
        <f>IF('Quant. mod. (oc)'!AF669&lt;0,0,ROUND('Quant. mod. (oc)'!AF669,0))</f>
        <v>2</v>
      </c>
      <c r="AG669" s="126">
        <f>IF('Quant. mod. (oc)'!AG669&lt;0,0,ROUND('Quant. mod. (oc)'!AG669,0))</f>
        <v>2</v>
      </c>
      <c r="AH669" s="22"/>
    </row>
    <row r="670" spans="1:34" x14ac:dyDescent="0.25">
      <c r="A670" s="21"/>
      <c r="B670" s="141" t="s">
        <v>689</v>
      </c>
      <c r="C670" s="125" t="s">
        <v>60</v>
      </c>
      <c r="D670" s="125">
        <f>IF('Quant. mod. (oc)'!D670&lt;0,0,ROUND('Quant. mod. (oc)'!D670,0))</f>
        <v>2</v>
      </c>
      <c r="E670" s="125">
        <f>IF('Quant. mod. (oc)'!E670&lt;0,0,ROUND('Quant. mod. (oc)'!E670,0))</f>
        <v>2</v>
      </c>
      <c r="F670" s="125">
        <f>IF('Quant. mod. (oc)'!F670&lt;0,0,ROUND('Quant. mod. (oc)'!F670,0))</f>
        <v>2</v>
      </c>
      <c r="G670" s="125">
        <f>IF('Quant. mod. (oc)'!G670&lt;0,0,ROUND('Quant. mod. (oc)'!G670,0))</f>
        <v>2</v>
      </c>
      <c r="H670" s="125">
        <f>IF('Quant. mod. (oc)'!H670&lt;0,0,ROUND('Quant. mod. (oc)'!H670,0))</f>
        <v>2</v>
      </c>
      <c r="I670" s="125">
        <f>IF('Quant. mod. (oc)'!I670&lt;0,0,ROUND('Quant. mod. (oc)'!I670,0))</f>
        <v>2</v>
      </c>
      <c r="J670" s="125">
        <f>IF('Quant. mod. (oc)'!J670&lt;0,0,ROUND('Quant. mod. (oc)'!J670,0))</f>
        <v>2</v>
      </c>
      <c r="K670" s="125">
        <f>IF('Quant. mod. (oc)'!K670&lt;0,0,ROUND('Quant. mod. (oc)'!K670,0))</f>
        <v>2</v>
      </c>
      <c r="L670" s="125">
        <f>IF('Quant. mod. (oc)'!L670&lt;0,0,ROUND('Quant. mod. (oc)'!L670,0))</f>
        <v>2</v>
      </c>
      <c r="M670" s="125">
        <f>IF('Quant. mod. (oc)'!M670&lt;0,0,ROUND('Quant. mod. (oc)'!M670,0))</f>
        <v>2</v>
      </c>
      <c r="N670" s="125">
        <f>IF('Quant. mod. (oc)'!N670&lt;0,0,ROUND('Quant. mod. (oc)'!N670,0))</f>
        <v>2</v>
      </c>
      <c r="O670" s="125">
        <f>IF('Quant. mod. (oc)'!O670&lt;0,0,ROUND('Quant. mod. (oc)'!O670,0))</f>
        <v>2</v>
      </c>
      <c r="P670" s="125">
        <f>IF('Quant. mod. (oc)'!P670&lt;0,0,ROUND('Quant. mod. (oc)'!P670,0))</f>
        <v>2</v>
      </c>
      <c r="Q670" s="125">
        <f>IF('Quant. mod. (oc)'!Q670&lt;0,0,ROUND('Quant. mod. (oc)'!Q670,0))</f>
        <v>2</v>
      </c>
      <c r="R670" s="125">
        <f>IF('Quant. mod. (oc)'!R670&lt;0,0,ROUND('Quant. mod. (oc)'!R670,0))</f>
        <v>2</v>
      </c>
      <c r="S670" s="125">
        <f>IF('Quant. mod. (oc)'!S670&lt;0,0,ROUND('Quant. mod. (oc)'!S670,0))</f>
        <v>2</v>
      </c>
      <c r="T670" s="125">
        <f>IF('Quant. mod. (oc)'!T670&lt;0,0,ROUND('Quant. mod. (oc)'!T670,0))</f>
        <v>2</v>
      </c>
      <c r="U670" s="125">
        <f>IF('Quant. mod. (oc)'!U670&lt;0,0,ROUND('Quant. mod. (oc)'!U670,0))</f>
        <v>2</v>
      </c>
      <c r="V670" s="125">
        <f>IF('Quant. mod. (oc)'!V670&lt;0,0,ROUND('Quant. mod. (oc)'!V670,0))</f>
        <v>2</v>
      </c>
      <c r="W670" s="125">
        <f>IF('Quant. mod. (oc)'!W670&lt;0,0,ROUND('Quant. mod. (oc)'!W670,0))</f>
        <v>2</v>
      </c>
      <c r="X670" s="125">
        <f>IF('Quant. mod. (oc)'!X670&lt;0,0,ROUND('Quant. mod. (oc)'!X670,0))</f>
        <v>2</v>
      </c>
      <c r="Y670" s="125">
        <f>IF('Quant. mod. (oc)'!Y670&lt;0,0,ROUND('Quant. mod. (oc)'!Y670,0))</f>
        <v>2</v>
      </c>
      <c r="Z670" s="125">
        <f>IF('Quant. mod. (oc)'!Z670&lt;0,0,ROUND('Quant. mod. (oc)'!Z670,0))</f>
        <v>2</v>
      </c>
      <c r="AA670" s="125">
        <f>IF('Quant. mod. (oc)'!AA670&lt;0,0,ROUND('Quant. mod. (oc)'!AA670,0))</f>
        <v>2</v>
      </c>
      <c r="AB670" s="125">
        <f>IF('Quant. mod. (oc)'!AB670&lt;0,0,ROUND('Quant. mod. (oc)'!AB670,0))</f>
        <v>2</v>
      </c>
      <c r="AC670" s="125">
        <f>IF('Quant. mod. (oc)'!AC670&lt;0,0,ROUND('Quant. mod. (oc)'!AC670,0))</f>
        <v>2</v>
      </c>
      <c r="AD670" s="125">
        <f>IF('Quant. mod. (oc)'!AD670&lt;0,0,ROUND('Quant. mod. (oc)'!AD670,0))</f>
        <v>2</v>
      </c>
      <c r="AE670" s="125">
        <f>IF('Quant. mod. (oc)'!AE670&lt;0,0,ROUND('Quant. mod. (oc)'!AE670,0))</f>
        <v>2</v>
      </c>
      <c r="AF670" s="125">
        <f>IF('Quant. mod. (oc)'!AF670&lt;0,0,ROUND('Quant. mod. (oc)'!AF670,0))</f>
        <v>2</v>
      </c>
      <c r="AG670" s="126">
        <f>IF('Quant. mod. (oc)'!AG670&lt;0,0,ROUND('Quant. mod. (oc)'!AG670,0))</f>
        <v>2</v>
      </c>
      <c r="AH670" s="22"/>
    </row>
    <row r="671" spans="1:34" x14ac:dyDescent="0.25">
      <c r="A671" s="21"/>
      <c r="B671" s="141" t="s">
        <v>690</v>
      </c>
      <c r="C671" s="125" t="s">
        <v>60</v>
      </c>
      <c r="D671" s="125">
        <f>IF('Quant. mod. (oc)'!D671&lt;0,0,ROUND('Quant. mod. (oc)'!D671,0))</f>
        <v>2</v>
      </c>
      <c r="E671" s="125">
        <f>IF('Quant. mod. (oc)'!E671&lt;0,0,ROUND('Quant. mod. (oc)'!E671,0))</f>
        <v>2</v>
      </c>
      <c r="F671" s="125">
        <f>IF('Quant. mod. (oc)'!F671&lt;0,0,ROUND('Quant. mod. (oc)'!F671,0))</f>
        <v>2</v>
      </c>
      <c r="G671" s="125">
        <f>IF('Quant. mod. (oc)'!G671&lt;0,0,ROUND('Quant. mod. (oc)'!G671,0))</f>
        <v>2</v>
      </c>
      <c r="H671" s="125">
        <f>IF('Quant. mod. (oc)'!H671&lt;0,0,ROUND('Quant. mod. (oc)'!H671,0))</f>
        <v>2</v>
      </c>
      <c r="I671" s="125">
        <f>IF('Quant. mod. (oc)'!I671&lt;0,0,ROUND('Quant. mod. (oc)'!I671,0))</f>
        <v>2</v>
      </c>
      <c r="J671" s="125">
        <f>IF('Quant. mod. (oc)'!J671&lt;0,0,ROUND('Quant. mod. (oc)'!J671,0))</f>
        <v>2</v>
      </c>
      <c r="K671" s="125">
        <f>IF('Quant. mod. (oc)'!K671&lt;0,0,ROUND('Quant. mod. (oc)'!K671,0))</f>
        <v>2</v>
      </c>
      <c r="L671" s="125">
        <f>IF('Quant. mod. (oc)'!L671&lt;0,0,ROUND('Quant. mod. (oc)'!L671,0))</f>
        <v>2</v>
      </c>
      <c r="M671" s="125">
        <f>IF('Quant. mod. (oc)'!M671&lt;0,0,ROUND('Quant. mod. (oc)'!M671,0))</f>
        <v>2</v>
      </c>
      <c r="N671" s="125">
        <f>IF('Quant. mod. (oc)'!N671&lt;0,0,ROUND('Quant. mod. (oc)'!N671,0))</f>
        <v>2</v>
      </c>
      <c r="O671" s="125">
        <f>IF('Quant. mod. (oc)'!O671&lt;0,0,ROUND('Quant. mod. (oc)'!O671,0))</f>
        <v>2</v>
      </c>
      <c r="P671" s="125">
        <f>IF('Quant. mod. (oc)'!P671&lt;0,0,ROUND('Quant. mod. (oc)'!P671,0))</f>
        <v>2</v>
      </c>
      <c r="Q671" s="125">
        <f>IF('Quant. mod. (oc)'!Q671&lt;0,0,ROUND('Quant. mod. (oc)'!Q671,0))</f>
        <v>2</v>
      </c>
      <c r="R671" s="125">
        <f>IF('Quant. mod. (oc)'!R671&lt;0,0,ROUND('Quant. mod. (oc)'!R671,0))</f>
        <v>2</v>
      </c>
      <c r="S671" s="125">
        <f>IF('Quant. mod. (oc)'!S671&lt;0,0,ROUND('Quant. mod. (oc)'!S671,0))</f>
        <v>2</v>
      </c>
      <c r="T671" s="125">
        <f>IF('Quant. mod. (oc)'!T671&lt;0,0,ROUND('Quant. mod. (oc)'!T671,0))</f>
        <v>2</v>
      </c>
      <c r="U671" s="125">
        <f>IF('Quant. mod. (oc)'!U671&lt;0,0,ROUND('Quant. mod. (oc)'!U671,0))</f>
        <v>2</v>
      </c>
      <c r="V671" s="125">
        <f>IF('Quant. mod. (oc)'!V671&lt;0,0,ROUND('Quant. mod. (oc)'!V671,0))</f>
        <v>2</v>
      </c>
      <c r="W671" s="125">
        <f>IF('Quant. mod. (oc)'!W671&lt;0,0,ROUND('Quant. mod. (oc)'!W671,0))</f>
        <v>2</v>
      </c>
      <c r="X671" s="125">
        <f>IF('Quant. mod. (oc)'!X671&lt;0,0,ROUND('Quant. mod. (oc)'!X671,0))</f>
        <v>2</v>
      </c>
      <c r="Y671" s="125">
        <f>IF('Quant. mod. (oc)'!Y671&lt;0,0,ROUND('Quant. mod. (oc)'!Y671,0))</f>
        <v>2</v>
      </c>
      <c r="Z671" s="125">
        <f>IF('Quant. mod. (oc)'!Z671&lt;0,0,ROUND('Quant. mod. (oc)'!Z671,0))</f>
        <v>2</v>
      </c>
      <c r="AA671" s="125">
        <f>IF('Quant. mod. (oc)'!AA671&lt;0,0,ROUND('Quant. mod. (oc)'!AA671,0))</f>
        <v>2</v>
      </c>
      <c r="AB671" s="125">
        <f>IF('Quant. mod. (oc)'!AB671&lt;0,0,ROUND('Quant. mod. (oc)'!AB671,0))</f>
        <v>2</v>
      </c>
      <c r="AC671" s="125">
        <f>IF('Quant. mod. (oc)'!AC671&lt;0,0,ROUND('Quant. mod. (oc)'!AC671,0))</f>
        <v>2</v>
      </c>
      <c r="AD671" s="125">
        <f>IF('Quant. mod. (oc)'!AD671&lt;0,0,ROUND('Quant. mod. (oc)'!AD671,0))</f>
        <v>2</v>
      </c>
      <c r="AE671" s="125">
        <f>IF('Quant. mod. (oc)'!AE671&lt;0,0,ROUND('Quant. mod. (oc)'!AE671,0))</f>
        <v>2</v>
      </c>
      <c r="AF671" s="125">
        <f>IF('Quant. mod. (oc)'!AF671&lt;0,0,ROUND('Quant. mod. (oc)'!AF671,0))</f>
        <v>2</v>
      </c>
      <c r="AG671" s="126">
        <f>IF('Quant. mod. (oc)'!AG671&lt;0,0,ROUND('Quant. mod. (oc)'!AG671,0))</f>
        <v>2</v>
      </c>
      <c r="AH671" s="22"/>
    </row>
    <row r="672" spans="1:34" x14ac:dyDescent="0.25">
      <c r="A672" s="21"/>
      <c r="B672" s="141" t="s">
        <v>691</v>
      </c>
      <c r="C672" s="125" t="s">
        <v>60</v>
      </c>
      <c r="D672" s="125">
        <f>IF('Quant. mod. (oc)'!D672&lt;0,0,ROUND('Quant. mod. (oc)'!D672,0))</f>
        <v>2</v>
      </c>
      <c r="E672" s="125">
        <f>IF('Quant. mod. (oc)'!E672&lt;0,0,ROUND('Quant. mod. (oc)'!E672,0))</f>
        <v>2</v>
      </c>
      <c r="F672" s="125">
        <f>IF('Quant. mod. (oc)'!F672&lt;0,0,ROUND('Quant. mod. (oc)'!F672,0))</f>
        <v>2</v>
      </c>
      <c r="G672" s="125">
        <f>IF('Quant. mod. (oc)'!G672&lt;0,0,ROUND('Quant. mod. (oc)'!G672,0))</f>
        <v>2</v>
      </c>
      <c r="H672" s="125">
        <f>IF('Quant. mod. (oc)'!H672&lt;0,0,ROUND('Quant. mod. (oc)'!H672,0))</f>
        <v>2</v>
      </c>
      <c r="I672" s="125">
        <f>IF('Quant. mod. (oc)'!I672&lt;0,0,ROUND('Quant. mod. (oc)'!I672,0))</f>
        <v>2</v>
      </c>
      <c r="J672" s="125">
        <f>IF('Quant. mod. (oc)'!J672&lt;0,0,ROUND('Quant. mod. (oc)'!J672,0))</f>
        <v>2</v>
      </c>
      <c r="K672" s="125">
        <f>IF('Quant. mod. (oc)'!K672&lt;0,0,ROUND('Quant. mod. (oc)'!K672,0))</f>
        <v>2</v>
      </c>
      <c r="L672" s="125">
        <f>IF('Quant. mod. (oc)'!L672&lt;0,0,ROUND('Quant. mod. (oc)'!L672,0))</f>
        <v>2</v>
      </c>
      <c r="M672" s="125">
        <f>IF('Quant. mod. (oc)'!M672&lt;0,0,ROUND('Quant. mod. (oc)'!M672,0))</f>
        <v>2</v>
      </c>
      <c r="N672" s="125">
        <f>IF('Quant. mod. (oc)'!N672&lt;0,0,ROUND('Quant. mod. (oc)'!N672,0))</f>
        <v>2</v>
      </c>
      <c r="O672" s="125">
        <f>IF('Quant. mod. (oc)'!O672&lt;0,0,ROUND('Quant. mod. (oc)'!O672,0))</f>
        <v>2</v>
      </c>
      <c r="P672" s="125">
        <f>IF('Quant. mod. (oc)'!P672&lt;0,0,ROUND('Quant. mod. (oc)'!P672,0))</f>
        <v>2</v>
      </c>
      <c r="Q672" s="125">
        <f>IF('Quant. mod. (oc)'!Q672&lt;0,0,ROUND('Quant. mod. (oc)'!Q672,0))</f>
        <v>2</v>
      </c>
      <c r="R672" s="125">
        <f>IF('Quant. mod. (oc)'!R672&lt;0,0,ROUND('Quant. mod. (oc)'!R672,0))</f>
        <v>2</v>
      </c>
      <c r="S672" s="125">
        <f>IF('Quant. mod. (oc)'!S672&lt;0,0,ROUND('Quant. mod. (oc)'!S672,0))</f>
        <v>2</v>
      </c>
      <c r="T672" s="125">
        <f>IF('Quant. mod. (oc)'!T672&lt;0,0,ROUND('Quant. mod. (oc)'!T672,0))</f>
        <v>2</v>
      </c>
      <c r="U672" s="125">
        <f>IF('Quant. mod. (oc)'!U672&lt;0,0,ROUND('Quant. mod. (oc)'!U672,0))</f>
        <v>2</v>
      </c>
      <c r="V672" s="125">
        <f>IF('Quant. mod. (oc)'!V672&lt;0,0,ROUND('Quant. mod. (oc)'!V672,0))</f>
        <v>2</v>
      </c>
      <c r="W672" s="125">
        <f>IF('Quant. mod. (oc)'!W672&lt;0,0,ROUND('Quant. mod. (oc)'!W672,0))</f>
        <v>2</v>
      </c>
      <c r="X672" s="125">
        <f>IF('Quant. mod. (oc)'!X672&lt;0,0,ROUND('Quant. mod. (oc)'!X672,0))</f>
        <v>2</v>
      </c>
      <c r="Y672" s="125">
        <f>IF('Quant. mod. (oc)'!Y672&lt;0,0,ROUND('Quant. mod. (oc)'!Y672,0))</f>
        <v>2</v>
      </c>
      <c r="Z672" s="125">
        <f>IF('Quant. mod. (oc)'!Z672&lt;0,0,ROUND('Quant. mod. (oc)'!Z672,0))</f>
        <v>2</v>
      </c>
      <c r="AA672" s="125">
        <f>IF('Quant. mod. (oc)'!AA672&lt;0,0,ROUND('Quant. mod. (oc)'!AA672,0))</f>
        <v>2</v>
      </c>
      <c r="AB672" s="125">
        <f>IF('Quant. mod. (oc)'!AB672&lt;0,0,ROUND('Quant. mod. (oc)'!AB672,0))</f>
        <v>2</v>
      </c>
      <c r="AC672" s="125">
        <f>IF('Quant. mod. (oc)'!AC672&lt;0,0,ROUND('Quant. mod. (oc)'!AC672,0))</f>
        <v>2</v>
      </c>
      <c r="AD672" s="125">
        <f>IF('Quant. mod. (oc)'!AD672&lt;0,0,ROUND('Quant. mod. (oc)'!AD672,0))</f>
        <v>2</v>
      </c>
      <c r="AE672" s="125">
        <f>IF('Quant. mod. (oc)'!AE672&lt;0,0,ROUND('Quant. mod. (oc)'!AE672,0))</f>
        <v>2</v>
      </c>
      <c r="AF672" s="125">
        <f>IF('Quant. mod. (oc)'!AF672&lt;0,0,ROUND('Quant. mod. (oc)'!AF672,0))</f>
        <v>2</v>
      </c>
      <c r="AG672" s="126">
        <f>IF('Quant. mod. (oc)'!AG672&lt;0,0,ROUND('Quant. mod. (oc)'!AG672,0))</f>
        <v>2</v>
      </c>
      <c r="AH672" s="22"/>
    </row>
    <row r="673" spans="1:34" x14ac:dyDescent="0.25">
      <c r="A673" s="21"/>
      <c r="B673" s="141" t="s">
        <v>692</v>
      </c>
      <c r="C673" s="125" t="s">
        <v>60</v>
      </c>
      <c r="D673" s="125">
        <f>IF('Quant. mod. (oc)'!D673&lt;0,0,ROUND('Quant. mod. (oc)'!D673,0))</f>
        <v>2</v>
      </c>
      <c r="E673" s="125">
        <f>IF('Quant. mod. (oc)'!E673&lt;0,0,ROUND('Quant. mod. (oc)'!E673,0))</f>
        <v>2</v>
      </c>
      <c r="F673" s="125">
        <f>IF('Quant. mod. (oc)'!F673&lt;0,0,ROUND('Quant. mod. (oc)'!F673,0))</f>
        <v>2</v>
      </c>
      <c r="G673" s="125">
        <f>IF('Quant. mod. (oc)'!G673&lt;0,0,ROUND('Quant. mod. (oc)'!G673,0))</f>
        <v>2</v>
      </c>
      <c r="H673" s="125">
        <f>IF('Quant. mod. (oc)'!H673&lt;0,0,ROUND('Quant. mod. (oc)'!H673,0))</f>
        <v>2</v>
      </c>
      <c r="I673" s="125">
        <f>IF('Quant. mod. (oc)'!I673&lt;0,0,ROUND('Quant. mod. (oc)'!I673,0))</f>
        <v>2</v>
      </c>
      <c r="J673" s="125">
        <f>IF('Quant. mod. (oc)'!J673&lt;0,0,ROUND('Quant. mod. (oc)'!J673,0))</f>
        <v>2</v>
      </c>
      <c r="K673" s="125">
        <f>IF('Quant. mod. (oc)'!K673&lt;0,0,ROUND('Quant. mod. (oc)'!K673,0))</f>
        <v>2</v>
      </c>
      <c r="L673" s="125">
        <f>IF('Quant. mod. (oc)'!L673&lt;0,0,ROUND('Quant. mod. (oc)'!L673,0))</f>
        <v>2</v>
      </c>
      <c r="M673" s="125">
        <f>IF('Quant. mod. (oc)'!M673&lt;0,0,ROUND('Quant. mod. (oc)'!M673,0))</f>
        <v>2</v>
      </c>
      <c r="N673" s="125">
        <f>IF('Quant. mod. (oc)'!N673&lt;0,0,ROUND('Quant. mod. (oc)'!N673,0))</f>
        <v>2</v>
      </c>
      <c r="O673" s="125">
        <f>IF('Quant. mod. (oc)'!O673&lt;0,0,ROUND('Quant. mod. (oc)'!O673,0))</f>
        <v>2</v>
      </c>
      <c r="P673" s="125">
        <f>IF('Quant. mod. (oc)'!P673&lt;0,0,ROUND('Quant. mod. (oc)'!P673,0))</f>
        <v>2</v>
      </c>
      <c r="Q673" s="125">
        <f>IF('Quant. mod. (oc)'!Q673&lt;0,0,ROUND('Quant. mod. (oc)'!Q673,0))</f>
        <v>2</v>
      </c>
      <c r="R673" s="125">
        <f>IF('Quant. mod. (oc)'!R673&lt;0,0,ROUND('Quant. mod. (oc)'!R673,0))</f>
        <v>2</v>
      </c>
      <c r="S673" s="125">
        <f>IF('Quant. mod. (oc)'!S673&lt;0,0,ROUND('Quant. mod. (oc)'!S673,0))</f>
        <v>2</v>
      </c>
      <c r="T673" s="125">
        <f>IF('Quant. mod. (oc)'!T673&lt;0,0,ROUND('Quant. mod. (oc)'!T673,0))</f>
        <v>2</v>
      </c>
      <c r="U673" s="125">
        <f>IF('Quant. mod. (oc)'!U673&lt;0,0,ROUND('Quant. mod. (oc)'!U673,0))</f>
        <v>2</v>
      </c>
      <c r="V673" s="125">
        <f>IF('Quant. mod. (oc)'!V673&lt;0,0,ROUND('Quant. mod. (oc)'!V673,0))</f>
        <v>2</v>
      </c>
      <c r="W673" s="125">
        <f>IF('Quant. mod. (oc)'!W673&lt;0,0,ROUND('Quant. mod. (oc)'!W673,0))</f>
        <v>2</v>
      </c>
      <c r="X673" s="125">
        <f>IF('Quant. mod. (oc)'!X673&lt;0,0,ROUND('Quant. mod. (oc)'!X673,0))</f>
        <v>2</v>
      </c>
      <c r="Y673" s="125">
        <f>IF('Quant. mod. (oc)'!Y673&lt;0,0,ROUND('Quant. mod. (oc)'!Y673,0))</f>
        <v>2</v>
      </c>
      <c r="Z673" s="125">
        <f>IF('Quant. mod. (oc)'!Z673&lt;0,0,ROUND('Quant. mod. (oc)'!Z673,0))</f>
        <v>2</v>
      </c>
      <c r="AA673" s="125">
        <f>IF('Quant. mod. (oc)'!AA673&lt;0,0,ROUND('Quant. mod. (oc)'!AA673,0))</f>
        <v>2</v>
      </c>
      <c r="AB673" s="125">
        <f>IF('Quant. mod. (oc)'!AB673&lt;0,0,ROUND('Quant. mod. (oc)'!AB673,0))</f>
        <v>2</v>
      </c>
      <c r="AC673" s="125">
        <f>IF('Quant. mod. (oc)'!AC673&lt;0,0,ROUND('Quant. mod. (oc)'!AC673,0))</f>
        <v>2</v>
      </c>
      <c r="AD673" s="125">
        <f>IF('Quant. mod. (oc)'!AD673&lt;0,0,ROUND('Quant. mod. (oc)'!AD673,0))</f>
        <v>2</v>
      </c>
      <c r="AE673" s="125">
        <f>IF('Quant. mod. (oc)'!AE673&lt;0,0,ROUND('Quant. mod. (oc)'!AE673,0))</f>
        <v>2</v>
      </c>
      <c r="AF673" s="125">
        <f>IF('Quant. mod. (oc)'!AF673&lt;0,0,ROUND('Quant. mod. (oc)'!AF673,0))</f>
        <v>2</v>
      </c>
      <c r="AG673" s="126">
        <f>IF('Quant. mod. (oc)'!AG673&lt;0,0,ROUND('Quant. mod. (oc)'!AG673,0))</f>
        <v>2</v>
      </c>
      <c r="AH673" s="22"/>
    </row>
    <row r="674" spans="1:34" x14ac:dyDescent="0.25">
      <c r="A674" s="21"/>
      <c r="B674" s="141" t="s">
        <v>693</v>
      </c>
      <c r="C674" s="125" t="s">
        <v>60</v>
      </c>
      <c r="D674" s="125">
        <f>IF('Quant. mod. (oc)'!D674&lt;0,0,ROUND('Quant. mod. (oc)'!D674,0))</f>
        <v>2</v>
      </c>
      <c r="E674" s="125">
        <f>IF('Quant. mod. (oc)'!E674&lt;0,0,ROUND('Quant. mod. (oc)'!E674,0))</f>
        <v>2</v>
      </c>
      <c r="F674" s="125">
        <f>IF('Quant. mod. (oc)'!F674&lt;0,0,ROUND('Quant. mod. (oc)'!F674,0))</f>
        <v>2</v>
      </c>
      <c r="G674" s="125">
        <f>IF('Quant. mod. (oc)'!G674&lt;0,0,ROUND('Quant. mod. (oc)'!G674,0))</f>
        <v>2</v>
      </c>
      <c r="H674" s="125">
        <f>IF('Quant. mod. (oc)'!H674&lt;0,0,ROUND('Quant. mod. (oc)'!H674,0))</f>
        <v>2</v>
      </c>
      <c r="I674" s="125">
        <f>IF('Quant. mod. (oc)'!I674&lt;0,0,ROUND('Quant. mod. (oc)'!I674,0))</f>
        <v>2</v>
      </c>
      <c r="J674" s="125">
        <f>IF('Quant. mod. (oc)'!J674&lt;0,0,ROUND('Quant. mod. (oc)'!J674,0))</f>
        <v>2</v>
      </c>
      <c r="K674" s="125">
        <f>IF('Quant. mod. (oc)'!K674&lt;0,0,ROUND('Quant. mod. (oc)'!K674,0))</f>
        <v>2</v>
      </c>
      <c r="L674" s="125">
        <f>IF('Quant. mod. (oc)'!L674&lt;0,0,ROUND('Quant. mod. (oc)'!L674,0))</f>
        <v>2</v>
      </c>
      <c r="M674" s="125">
        <f>IF('Quant. mod. (oc)'!M674&lt;0,0,ROUND('Quant. mod. (oc)'!M674,0))</f>
        <v>2</v>
      </c>
      <c r="N674" s="125">
        <f>IF('Quant. mod. (oc)'!N674&lt;0,0,ROUND('Quant. mod. (oc)'!N674,0))</f>
        <v>2</v>
      </c>
      <c r="O674" s="125">
        <f>IF('Quant. mod. (oc)'!O674&lt;0,0,ROUND('Quant. mod. (oc)'!O674,0))</f>
        <v>2</v>
      </c>
      <c r="P674" s="125">
        <f>IF('Quant. mod. (oc)'!P674&lt;0,0,ROUND('Quant. mod. (oc)'!P674,0))</f>
        <v>2</v>
      </c>
      <c r="Q674" s="125">
        <f>IF('Quant. mod. (oc)'!Q674&lt;0,0,ROUND('Quant. mod. (oc)'!Q674,0))</f>
        <v>2</v>
      </c>
      <c r="R674" s="125">
        <f>IF('Quant. mod. (oc)'!R674&lt;0,0,ROUND('Quant. mod. (oc)'!R674,0))</f>
        <v>2</v>
      </c>
      <c r="S674" s="125">
        <f>IF('Quant. mod. (oc)'!S674&lt;0,0,ROUND('Quant. mod. (oc)'!S674,0))</f>
        <v>2</v>
      </c>
      <c r="T674" s="125">
        <f>IF('Quant. mod. (oc)'!T674&lt;0,0,ROUND('Quant. mod. (oc)'!T674,0))</f>
        <v>2</v>
      </c>
      <c r="U674" s="125">
        <f>IF('Quant. mod. (oc)'!U674&lt;0,0,ROUND('Quant. mod. (oc)'!U674,0))</f>
        <v>2</v>
      </c>
      <c r="V674" s="125">
        <f>IF('Quant. mod. (oc)'!V674&lt;0,0,ROUND('Quant. mod. (oc)'!V674,0))</f>
        <v>2</v>
      </c>
      <c r="W674" s="125">
        <f>IF('Quant. mod. (oc)'!W674&lt;0,0,ROUND('Quant. mod. (oc)'!W674,0))</f>
        <v>2</v>
      </c>
      <c r="X674" s="125">
        <f>IF('Quant. mod. (oc)'!X674&lt;0,0,ROUND('Quant. mod. (oc)'!X674,0))</f>
        <v>2</v>
      </c>
      <c r="Y674" s="125">
        <f>IF('Quant. mod. (oc)'!Y674&lt;0,0,ROUND('Quant. mod. (oc)'!Y674,0))</f>
        <v>2</v>
      </c>
      <c r="Z674" s="125">
        <f>IF('Quant. mod. (oc)'!Z674&lt;0,0,ROUND('Quant. mod. (oc)'!Z674,0))</f>
        <v>2</v>
      </c>
      <c r="AA674" s="125">
        <f>IF('Quant. mod. (oc)'!AA674&lt;0,0,ROUND('Quant. mod. (oc)'!AA674,0))</f>
        <v>2</v>
      </c>
      <c r="AB674" s="125">
        <f>IF('Quant. mod. (oc)'!AB674&lt;0,0,ROUND('Quant. mod. (oc)'!AB674,0))</f>
        <v>2</v>
      </c>
      <c r="AC674" s="125">
        <f>IF('Quant. mod. (oc)'!AC674&lt;0,0,ROUND('Quant. mod. (oc)'!AC674,0))</f>
        <v>2</v>
      </c>
      <c r="AD674" s="125">
        <f>IF('Quant. mod. (oc)'!AD674&lt;0,0,ROUND('Quant. mod. (oc)'!AD674,0))</f>
        <v>2</v>
      </c>
      <c r="AE674" s="125">
        <f>IF('Quant. mod. (oc)'!AE674&lt;0,0,ROUND('Quant. mod. (oc)'!AE674,0))</f>
        <v>2</v>
      </c>
      <c r="AF674" s="125">
        <f>IF('Quant. mod. (oc)'!AF674&lt;0,0,ROUND('Quant. mod. (oc)'!AF674,0))</f>
        <v>2</v>
      </c>
      <c r="AG674" s="126">
        <f>IF('Quant. mod. (oc)'!AG674&lt;0,0,ROUND('Quant. mod. (oc)'!AG674,0))</f>
        <v>2</v>
      </c>
      <c r="AH674" s="22"/>
    </row>
    <row r="675" spans="1:34" x14ac:dyDescent="0.25">
      <c r="A675" s="21"/>
      <c r="B675" s="141" t="s">
        <v>694</v>
      </c>
      <c r="C675" s="125" t="s">
        <v>60</v>
      </c>
      <c r="D675" s="125">
        <f>IF('Quant. mod. (oc)'!D675&lt;0,0,ROUND('Quant. mod. (oc)'!D675,0))</f>
        <v>2</v>
      </c>
      <c r="E675" s="125">
        <f>IF('Quant. mod. (oc)'!E675&lt;0,0,ROUND('Quant. mod. (oc)'!E675,0))</f>
        <v>2</v>
      </c>
      <c r="F675" s="125">
        <f>IF('Quant. mod. (oc)'!F675&lt;0,0,ROUND('Quant. mod. (oc)'!F675,0))</f>
        <v>2</v>
      </c>
      <c r="G675" s="125">
        <f>IF('Quant. mod. (oc)'!G675&lt;0,0,ROUND('Quant. mod. (oc)'!G675,0))</f>
        <v>2</v>
      </c>
      <c r="H675" s="125">
        <f>IF('Quant. mod. (oc)'!H675&lt;0,0,ROUND('Quant. mod. (oc)'!H675,0))</f>
        <v>2</v>
      </c>
      <c r="I675" s="125">
        <f>IF('Quant. mod. (oc)'!I675&lt;0,0,ROUND('Quant. mod. (oc)'!I675,0))</f>
        <v>2</v>
      </c>
      <c r="J675" s="125">
        <f>IF('Quant. mod. (oc)'!J675&lt;0,0,ROUND('Quant. mod. (oc)'!J675,0))</f>
        <v>2</v>
      </c>
      <c r="K675" s="125">
        <f>IF('Quant. mod. (oc)'!K675&lt;0,0,ROUND('Quant. mod. (oc)'!K675,0))</f>
        <v>2</v>
      </c>
      <c r="L675" s="125">
        <f>IF('Quant. mod. (oc)'!L675&lt;0,0,ROUND('Quant. mod. (oc)'!L675,0))</f>
        <v>2</v>
      </c>
      <c r="M675" s="125">
        <f>IF('Quant. mod. (oc)'!M675&lt;0,0,ROUND('Quant. mod. (oc)'!M675,0))</f>
        <v>2</v>
      </c>
      <c r="N675" s="125">
        <f>IF('Quant. mod. (oc)'!N675&lt;0,0,ROUND('Quant. mod. (oc)'!N675,0))</f>
        <v>2</v>
      </c>
      <c r="O675" s="125">
        <f>IF('Quant. mod. (oc)'!O675&lt;0,0,ROUND('Quant. mod. (oc)'!O675,0))</f>
        <v>2</v>
      </c>
      <c r="P675" s="125">
        <f>IF('Quant. mod. (oc)'!P675&lt;0,0,ROUND('Quant. mod. (oc)'!P675,0))</f>
        <v>2</v>
      </c>
      <c r="Q675" s="125">
        <f>IF('Quant. mod. (oc)'!Q675&lt;0,0,ROUND('Quant. mod. (oc)'!Q675,0))</f>
        <v>2</v>
      </c>
      <c r="R675" s="125">
        <f>IF('Quant. mod. (oc)'!R675&lt;0,0,ROUND('Quant. mod. (oc)'!R675,0))</f>
        <v>2</v>
      </c>
      <c r="S675" s="125">
        <f>IF('Quant. mod. (oc)'!S675&lt;0,0,ROUND('Quant. mod. (oc)'!S675,0))</f>
        <v>2</v>
      </c>
      <c r="T675" s="125">
        <f>IF('Quant. mod. (oc)'!T675&lt;0,0,ROUND('Quant. mod. (oc)'!T675,0))</f>
        <v>2</v>
      </c>
      <c r="U675" s="125">
        <f>IF('Quant. mod. (oc)'!U675&lt;0,0,ROUND('Quant. mod. (oc)'!U675,0))</f>
        <v>2</v>
      </c>
      <c r="V675" s="125">
        <f>IF('Quant. mod. (oc)'!V675&lt;0,0,ROUND('Quant. mod. (oc)'!V675,0))</f>
        <v>2</v>
      </c>
      <c r="W675" s="125">
        <f>IF('Quant. mod. (oc)'!W675&lt;0,0,ROUND('Quant. mod. (oc)'!W675,0))</f>
        <v>2</v>
      </c>
      <c r="X675" s="125">
        <f>IF('Quant. mod. (oc)'!X675&lt;0,0,ROUND('Quant. mod. (oc)'!X675,0))</f>
        <v>2</v>
      </c>
      <c r="Y675" s="125">
        <f>IF('Quant. mod. (oc)'!Y675&lt;0,0,ROUND('Quant. mod. (oc)'!Y675,0))</f>
        <v>2</v>
      </c>
      <c r="Z675" s="125">
        <f>IF('Quant. mod. (oc)'!Z675&lt;0,0,ROUND('Quant. mod. (oc)'!Z675,0))</f>
        <v>2</v>
      </c>
      <c r="AA675" s="125">
        <f>IF('Quant. mod. (oc)'!AA675&lt;0,0,ROUND('Quant. mod. (oc)'!AA675,0))</f>
        <v>2</v>
      </c>
      <c r="AB675" s="125">
        <f>IF('Quant. mod. (oc)'!AB675&lt;0,0,ROUND('Quant. mod. (oc)'!AB675,0))</f>
        <v>2</v>
      </c>
      <c r="AC675" s="125">
        <f>IF('Quant. mod. (oc)'!AC675&lt;0,0,ROUND('Quant. mod. (oc)'!AC675,0))</f>
        <v>2</v>
      </c>
      <c r="AD675" s="125">
        <f>IF('Quant. mod. (oc)'!AD675&lt;0,0,ROUND('Quant. mod. (oc)'!AD675,0))</f>
        <v>2</v>
      </c>
      <c r="AE675" s="125">
        <f>IF('Quant. mod. (oc)'!AE675&lt;0,0,ROUND('Quant. mod. (oc)'!AE675,0))</f>
        <v>2</v>
      </c>
      <c r="AF675" s="125">
        <f>IF('Quant. mod. (oc)'!AF675&lt;0,0,ROUND('Quant. mod. (oc)'!AF675,0))</f>
        <v>2</v>
      </c>
      <c r="AG675" s="126">
        <f>IF('Quant. mod. (oc)'!AG675&lt;0,0,ROUND('Quant. mod. (oc)'!AG675,0))</f>
        <v>2</v>
      </c>
      <c r="AH675" s="22"/>
    </row>
    <row r="676" spans="1:34" x14ac:dyDescent="0.25">
      <c r="A676" s="21"/>
      <c r="B676" s="141" t="s">
        <v>695</v>
      </c>
      <c r="C676" s="125" t="s">
        <v>60</v>
      </c>
      <c r="D676" s="125">
        <f>IF('Quant. mod. (oc)'!D676&lt;0,0,ROUND('Quant. mod. (oc)'!D676,0))</f>
        <v>2</v>
      </c>
      <c r="E676" s="125">
        <f>IF('Quant. mod. (oc)'!E676&lt;0,0,ROUND('Quant. mod. (oc)'!E676,0))</f>
        <v>2</v>
      </c>
      <c r="F676" s="125">
        <f>IF('Quant. mod. (oc)'!F676&lt;0,0,ROUND('Quant. mod. (oc)'!F676,0))</f>
        <v>2</v>
      </c>
      <c r="G676" s="125">
        <f>IF('Quant. mod. (oc)'!G676&lt;0,0,ROUND('Quant. mod. (oc)'!G676,0))</f>
        <v>2</v>
      </c>
      <c r="H676" s="125">
        <f>IF('Quant. mod. (oc)'!H676&lt;0,0,ROUND('Quant. mod. (oc)'!H676,0))</f>
        <v>2</v>
      </c>
      <c r="I676" s="125">
        <f>IF('Quant. mod. (oc)'!I676&lt;0,0,ROUND('Quant. mod. (oc)'!I676,0))</f>
        <v>2</v>
      </c>
      <c r="J676" s="125">
        <f>IF('Quant. mod. (oc)'!J676&lt;0,0,ROUND('Quant. mod. (oc)'!J676,0))</f>
        <v>2</v>
      </c>
      <c r="K676" s="125">
        <f>IF('Quant. mod. (oc)'!K676&lt;0,0,ROUND('Quant. mod. (oc)'!K676,0))</f>
        <v>2</v>
      </c>
      <c r="L676" s="125">
        <f>IF('Quant. mod. (oc)'!L676&lt;0,0,ROUND('Quant. mod. (oc)'!L676,0))</f>
        <v>2</v>
      </c>
      <c r="M676" s="125">
        <f>IF('Quant. mod. (oc)'!M676&lt;0,0,ROUND('Quant. mod. (oc)'!M676,0))</f>
        <v>2</v>
      </c>
      <c r="N676" s="125">
        <f>IF('Quant. mod. (oc)'!N676&lt;0,0,ROUND('Quant. mod. (oc)'!N676,0))</f>
        <v>2</v>
      </c>
      <c r="O676" s="125">
        <f>IF('Quant. mod. (oc)'!O676&lt;0,0,ROUND('Quant. mod. (oc)'!O676,0))</f>
        <v>2</v>
      </c>
      <c r="P676" s="125">
        <f>IF('Quant. mod. (oc)'!P676&lt;0,0,ROUND('Quant. mod. (oc)'!P676,0))</f>
        <v>2</v>
      </c>
      <c r="Q676" s="125">
        <f>IF('Quant. mod. (oc)'!Q676&lt;0,0,ROUND('Quant. mod. (oc)'!Q676,0))</f>
        <v>2</v>
      </c>
      <c r="R676" s="125">
        <f>IF('Quant. mod. (oc)'!R676&lt;0,0,ROUND('Quant. mod. (oc)'!R676,0))</f>
        <v>2</v>
      </c>
      <c r="S676" s="125">
        <f>IF('Quant. mod. (oc)'!S676&lt;0,0,ROUND('Quant. mod. (oc)'!S676,0))</f>
        <v>2</v>
      </c>
      <c r="T676" s="125">
        <f>IF('Quant. mod. (oc)'!T676&lt;0,0,ROUND('Quant. mod. (oc)'!T676,0))</f>
        <v>2</v>
      </c>
      <c r="U676" s="125">
        <f>IF('Quant. mod. (oc)'!U676&lt;0,0,ROUND('Quant. mod. (oc)'!U676,0))</f>
        <v>2</v>
      </c>
      <c r="V676" s="125">
        <f>IF('Quant. mod. (oc)'!V676&lt;0,0,ROUND('Quant. mod. (oc)'!V676,0))</f>
        <v>2</v>
      </c>
      <c r="W676" s="125">
        <f>IF('Quant. mod. (oc)'!W676&lt;0,0,ROUND('Quant. mod. (oc)'!W676,0))</f>
        <v>2</v>
      </c>
      <c r="X676" s="125">
        <f>IF('Quant. mod. (oc)'!X676&lt;0,0,ROUND('Quant. mod. (oc)'!X676,0))</f>
        <v>2</v>
      </c>
      <c r="Y676" s="125">
        <f>IF('Quant. mod. (oc)'!Y676&lt;0,0,ROUND('Quant. mod. (oc)'!Y676,0))</f>
        <v>2</v>
      </c>
      <c r="Z676" s="125">
        <f>IF('Quant. mod. (oc)'!Z676&lt;0,0,ROUND('Quant. mod. (oc)'!Z676,0))</f>
        <v>2</v>
      </c>
      <c r="AA676" s="125">
        <f>IF('Quant. mod. (oc)'!AA676&lt;0,0,ROUND('Quant. mod. (oc)'!AA676,0))</f>
        <v>2</v>
      </c>
      <c r="AB676" s="125">
        <f>IF('Quant. mod. (oc)'!AB676&lt;0,0,ROUND('Quant. mod. (oc)'!AB676,0))</f>
        <v>2</v>
      </c>
      <c r="AC676" s="125">
        <f>IF('Quant. mod. (oc)'!AC676&lt;0,0,ROUND('Quant. mod. (oc)'!AC676,0))</f>
        <v>2</v>
      </c>
      <c r="AD676" s="125">
        <f>IF('Quant. mod. (oc)'!AD676&lt;0,0,ROUND('Quant. mod. (oc)'!AD676,0))</f>
        <v>2</v>
      </c>
      <c r="AE676" s="125">
        <f>IF('Quant. mod. (oc)'!AE676&lt;0,0,ROUND('Quant. mod. (oc)'!AE676,0))</f>
        <v>2</v>
      </c>
      <c r="AF676" s="125">
        <f>IF('Quant. mod. (oc)'!AF676&lt;0,0,ROUND('Quant. mod. (oc)'!AF676,0))</f>
        <v>2</v>
      </c>
      <c r="AG676" s="126">
        <f>IF('Quant. mod. (oc)'!AG676&lt;0,0,ROUND('Quant. mod. (oc)'!AG676,0))</f>
        <v>2</v>
      </c>
      <c r="AH676" s="22"/>
    </row>
    <row r="677" spans="1:34" x14ac:dyDescent="0.25">
      <c r="A677" s="21"/>
      <c r="B677" s="141" t="s">
        <v>696</v>
      </c>
      <c r="C677" s="125" t="s">
        <v>60</v>
      </c>
      <c r="D677" s="125">
        <f>IF('Quant. mod. (oc)'!D677&lt;0,0,ROUND('Quant. mod. (oc)'!D677,0))</f>
        <v>2</v>
      </c>
      <c r="E677" s="125">
        <f>IF('Quant. mod. (oc)'!E677&lt;0,0,ROUND('Quant. mod. (oc)'!E677,0))</f>
        <v>2</v>
      </c>
      <c r="F677" s="125">
        <f>IF('Quant. mod. (oc)'!F677&lt;0,0,ROUND('Quant. mod. (oc)'!F677,0))</f>
        <v>2</v>
      </c>
      <c r="G677" s="125">
        <f>IF('Quant. mod. (oc)'!G677&lt;0,0,ROUND('Quant. mod. (oc)'!G677,0))</f>
        <v>2</v>
      </c>
      <c r="H677" s="125">
        <f>IF('Quant. mod. (oc)'!H677&lt;0,0,ROUND('Quant. mod. (oc)'!H677,0))</f>
        <v>2</v>
      </c>
      <c r="I677" s="125">
        <f>IF('Quant. mod. (oc)'!I677&lt;0,0,ROUND('Quant. mod. (oc)'!I677,0))</f>
        <v>2</v>
      </c>
      <c r="J677" s="125">
        <f>IF('Quant. mod. (oc)'!J677&lt;0,0,ROUND('Quant. mod. (oc)'!J677,0))</f>
        <v>2</v>
      </c>
      <c r="K677" s="125">
        <f>IF('Quant. mod. (oc)'!K677&lt;0,0,ROUND('Quant. mod. (oc)'!K677,0))</f>
        <v>2</v>
      </c>
      <c r="L677" s="125">
        <f>IF('Quant. mod. (oc)'!L677&lt;0,0,ROUND('Quant. mod. (oc)'!L677,0))</f>
        <v>2</v>
      </c>
      <c r="M677" s="125">
        <f>IF('Quant. mod. (oc)'!M677&lt;0,0,ROUND('Quant. mod. (oc)'!M677,0))</f>
        <v>2</v>
      </c>
      <c r="N677" s="125">
        <f>IF('Quant. mod. (oc)'!N677&lt;0,0,ROUND('Quant. mod. (oc)'!N677,0))</f>
        <v>2</v>
      </c>
      <c r="O677" s="125">
        <f>IF('Quant. mod. (oc)'!O677&lt;0,0,ROUND('Quant. mod. (oc)'!O677,0))</f>
        <v>2</v>
      </c>
      <c r="P677" s="125">
        <f>IF('Quant. mod. (oc)'!P677&lt;0,0,ROUND('Quant. mod. (oc)'!P677,0))</f>
        <v>2</v>
      </c>
      <c r="Q677" s="125">
        <f>IF('Quant. mod. (oc)'!Q677&lt;0,0,ROUND('Quant. mod. (oc)'!Q677,0))</f>
        <v>2</v>
      </c>
      <c r="R677" s="125">
        <f>IF('Quant. mod. (oc)'!R677&lt;0,0,ROUND('Quant. mod. (oc)'!R677,0))</f>
        <v>2</v>
      </c>
      <c r="S677" s="125">
        <f>IF('Quant. mod. (oc)'!S677&lt;0,0,ROUND('Quant. mod. (oc)'!S677,0))</f>
        <v>2</v>
      </c>
      <c r="T677" s="125">
        <f>IF('Quant. mod. (oc)'!T677&lt;0,0,ROUND('Quant. mod. (oc)'!T677,0))</f>
        <v>2</v>
      </c>
      <c r="U677" s="125">
        <f>IF('Quant. mod. (oc)'!U677&lt;0,0,ROUND('Quant. mod. (oc)'!U677,0))</f>
        <v>2</v>
      </c>
      <c r="V677" s="125">
        <f>IF('Quant. mod. (oc)'!V677&lt;0,0,ROUND('Quant. mod. (oc)'!V677,0))</f>
        <v>2</v>
      </c>
      <c r="W677" s="125">
        <f>IF('Quant. mod. (oc)'!W677&lt;0,0,ROUND('Quant. mod. (oc)'!W677,0))</f>
        <v>2</v>
      </c>
      <c r="X677" s="125">
        <f>IF('Quant. mod. (oc)'!X677&lt;0,0,ROUND('Quant. mod. (oc)'!X677,0))</f>
        <v>2</v>
      </c>
      <c r="Y677" s="125">
        <f>IF('Quant. mod. (oc)'!Y677&lt;0,0,ROUND('Quant. mod. (oc)'!Y677,0))</f>
        <v>2</v>
      </c>
      <c r="Z677" s="125">
        <f>IF('Quant. mod. (oc)'!Z677&lt;0,0,ROUND('Quant. mod. (oc)'!Z677,0))</f>
        <v>2</v>
      </c>
      <c r="AA677" s="125">
        <f>IF('Quant. mod. (oc)'!AA677&lt;0,0,ROUND('Quant. mod. (oc)'!AA677,0))</f>
        <v>2</v>
      </c>
      <c r="AB677" s="125">
        <f>IF('Quant. mod. (oc)'!AB677&lt;0,0,ROUND('Quant. mod. (oc)'!AB677,0))</f>
        <v>2</v>
      </c>
      <c r="AC677" s="125">
        <f>IF('Quant. mod. (oc)'!AC677&lt;0,0,ROUND('Quant. mod. (oc)'!AC677,0))</f>
        <v>2</v>
      </c>
      <c r="AD677" s="125">
        <f>IF('Quant. mod. (oc)'!AD677&lt;0,0,ROUND('Quant. mod. (oc)'!AD677,0))</f>
        <v>2</v>
      </c>
      <c r="AE677" s="125">
        <f>IF('Quant. mod. (oc)'!AE677&lt;0,0,ROUND('Quant. mod. (oc)'!AE677,0))</f>
        <v>2</v>
      </c>
      <c r="AF677" s="125">
        <f>IF('Quant. mod. (oc)'!AF677&lt;0,0,ROUND('Quant. mod. (oc)'!AF677,0))</f>
        <v>2</v>
      </c>
      <c r="AG677" s="126">
        <f>IF('Quant. mod. (oc)'!AG677&lt;0,0,ROUND('Quant. mod. (oc)'!AG677,0))</f>
        <v>2</v>
      </c>
      <c r="AH677" s="22"/>
    </row>
    <row r="678" spans="1:34" x14ac:dyDescent="0.25">
      <c r="A678" s="21"/>
      <c r="B678" s="141" t="s">
        <v>697</v>
      </c>
      <c r="C678" s="125" t="s">
        <v>60</v>
      </c>
      <c r="D678" s="125">
        <f>IF('Quant. mod. (oc)'!D678&lt;0,0,ROUND('Quant. mod. (oc)'!D678,0))</f>
        <v>2</v>
      </c>
      <c r="E678" s="125">
        <f>IF('Quant. mod. (oc)'!E678&lt;0,0,ROUND('Quant. mod. (oc)'!E678,0))</f>
        <v>2</v>
      </c>
      <c r="F678" s="125">
        <f>IF('Quant. mod. (oc)'!F678&lt;0,0,ROUND('Quant. mod. (oc)'!F678,0))</f>
        <v>2</v>
      </c>
      <c r="G678" s="125">
        <f>IF('Quant. mod. (oc)'!G678&lt;0,0,ROUND('Quant. mod. (oc)'!G678,0))</f>
        <v>2</v>
      </c>
      <c r="H678" s="125">
        <f>IF('Quant. mod. (oc)'!H678&lt;0,0,ROUND('Quant. mod. (oc)'!H678,0))</f>
        <v>2</v>
      </c>
      <c r="I678" s="125">
        <f>IF('Quant. mod. (oc)'!I678&lt;0,0,ROUND('Quant. mod. (oc)'!I678,0))</f>
        <v>2</v>
      </c>
      <c r="J678" s="125">
        <f>IF('Quant. mod. (oc)'!J678&lt;0,0,ROUND('Quant. mod. (oc)'!J678,0))</f>
        <v>2</v>
      </c>
      <c r="K678" s="125">
        <f>IF('Quant. mod. (oc)'!K678&lt;0,0,ROUND('Quant. mod. (oc)'!K678,0))</f>
        <v>2</v>
      </c>
      <c r="L678" s="125">
        <f>IF('Quant. mod. (oc)'!L678&lt;0,0,ROUND('Quant. mod. (oc)'!L678,0))</f>
        <v>2</v>
      </c>
      <c r="M678" s="125">
        <f>IF('Quant. mod. (oc)'!M678&lt;0,0,ROUND('Quant. mod. (oc)'!M678,0))</f>
        <v>2</v>
      </c>
      <c r="N678" s="125">
        <f>IF('Quant. mod. (oc)'!N678&lt;0,0,ROUND('Quant. mod. (oc)'!N678,0))</f>
        <v>2</v>
      </c>
      <c r="O678" s="125">
        <f>IF('Quant. mod. (oc)'!O678&lt;0,0,ROUND('Quant. mod. (oc)'!O678,0))</f>
        <v>2</v>
      </c>
      <c r="P678" s="125">
        <f>IF('Quant. mod. (oc)'!P678&lt;0,0,ROUND('Quant. mod. (oc)'!P678,0))</f>
        <v>2</v>
      </c>
      <c r="Q678" s="125">
        <f>IF('Quant. mod. (oc)'!Q678&lt;0,0,ROUND('Quant. mod. (oc)'!Q678,0))</f>
        <v>2</v>
      </c>
      <c r="R678" s="125">
        <f>IF('Quant. mod. (oc)'!R678&lt;0,0,ROUND('Quant. mod. (oc)'!R678,0))</f>
        <v>2</v>
      </c>
      <c r="S678" s="125">
        <f>IF('Quant. mod. (oc)'!S678&lt;0,0,ROUND('Quant. mod. (oc)'!S678,0))</f>
        <v>2</v>
      </c>
      <c r="T678" s="125">
        <f>IF('Quant. mod. (oc)'!T678&lt;0,0,ROUND('Quant. mod. (oc)'!T678,0))</f>
        <v>2</v>
      </c>
      <c r="U678" s="125">
        <f>IF('Quant. mod. (oc)'!U678&lt;0,0,ROUND('Quant. mod. (oc)'!U678,0))</f>
        <v>2</v>
      </c>
      <c r="V678" s="125">
        <f>IF('Quant. mod. (oc)'!V678&lt;0,0,ROUND('Quant. mod. (oc)'!V678,0))</f>
        <v>2</v>
      </c>
      <c r="W678" s="125">
        <f>IF('Quant. mod. (oc)'!W678&lt;0,0,ROUND('Quant. mod. (oc)'!W678,0))</f>
        <v>2</v>
      </c>
      <c r="X678" s="125">
        <f>IF('Quant. mod. (oc)'!X678&lt;0,0,ROUND('Quant. mod. (oc)'!X678,0))</f>
        <v>2</v>
      </c>
      <c r="Y678" s="125">
        <f>IF('Quant. mod. (oc)'!Y678&lt;0,0,ROUND('Quant. mod. (oc)'!Y678,0))</f>
        <v>2</v>
      </c>
      <c r="Z678" s="125">
        <f>IF('Quant. mod. (oc)'!Z678&lt;0,0,ROUND('Quant. mod. (oc)'!Z678,0))</f>
        <v>2</v>
      </c>
      <c r="AA678" s="125">
        <f>IF('Quant. mod. (oc)'!AA678&lt;0,0,ROUND('Quant. mod. (oc)'!AA678,0))</f>
        <v>2</v>
      </c>
      <c r="AB678" s="125">
        <f>IF('Quant. mod. (oc)'!AB678&lt;0,0,ROUND('Quant. mod. (oc)'!AB678,0))</f>
        <v>2</v>
      </c>
      <c r="AC678" s="125">
        <f>IF('Quant. mod. (oc)'!AC678&lt;0,0,ROUND('Quant. mod. (oc)'!AC678,0))</f>
        <v>2</v>
      </c>
      <c r="AD678" s="125">
        <f>IF('Quant. mod. (oc)'!AD678&lt;0,0,ROUND('Quant. mod. (oc)'!AD678,0))</f>
        <v>2</v>
      </c>
      <c r="AE678" s="125">
        <f>IF('Quant. mod. (oc)'!AE678&lt;0,0,ROUND('Quant. mod. (oc)'!AE678,0))</f>
        <v>2</v>
      </c>
      <c r="AF678" s="125">
        <f>IF('Quant. mod. (oc)'!AF678&lt;0,0,ROUND('Quant. mod. (oc)'!AF678,0))</f>
        <v>2</v>
      </c>
      <c r="AG678" s="126">
        <f>IF('Quant. mod. (oc)'!AG678&lt;0,0,ROUND('Quant. mod. (oc)'!AG678,0))</f>
        <v>2</v>
      </c>
      <c r="AH678" s="22"/>
    </row>
    <row r="679" spans="1:34" x14ac:dyDescent="0.25">
      <c r="A679" s="21"/>
      <c r="B679" s="141" t="s">
        <v>698</v>
      </c>
      <c r="C679" s="125" t="s">
        <v>60</v>
      </c>
      <c r="D679" s="125">
        <f>IF('Quant. mod. (oc)'!D679&lt;0,0,ROUND('Quant. mod. (oc)'!D679,0))</f>
        <v>2</v>
      </c>
      <c r="E679" s="125">
        <f>IF('Quant. mod. (oc)'!E679&lt;0,0,ROUND('Quant. mod. (oc)'!E679,0))</f>
        <v>2</v>
      </c>
      <c r="F679" s="125">
        <f>IF('Quant. mod. (oc)'!F679&lt;0,0,ROUND('Quant. mod. (oc)'!F679,0))</f>
        <v>2</v>
      </c>
      <c r="G679" s="125">
        <f>IF('Quant. mod. (oc)'!G679&lt;0,0,ROUND('Quant. mod. (oc)'!G679,0))</f>
        <v>2</v>
      </c>
      <c r="H679" s="125">
        <f>IF('Quant. mod. (oc)'!H679&lt;0,0,ROUND('Quant. mod. (oc)'!H679,0))</f>
        <v>2</v>
      </c>
      <c r="I679" s="125">
        <f>IF('Quant. mod. (oc)'!I679&lt;0,0,ROUND('Quant. mod. (oc)'!I679,0))</f>
        <v>2</v>
      </c>
      <c r="J679" s="125">
        <f>IF('Quant. mod. (oc)'!J679&lt;0,0,ROUND('Quant. mod. (oc)'!J679,0))</f>
        <v>2</v>
      </c>
      <c r="K679" s="125">
        <f>IF('Quant. mod. (oc)'!K679&lt;0,0,ROUND('Quant. mod. (oc)'!K679,0))</f>
        <v>2</v>
      </c>
      <c r="L679" s="125">
        <f>IF('Quant. mod. (oc)'!L679&lt;0,0,ROUND('Quant. mod. (oc)'!L679,0))</f>
        <v>2</v>
      </c>
      <c r="M679" s="125">
        <f>IF('Quant. mod. (oc)'!M679&lt;0,0,ROUND('Quant. mod. (oc)'!M679,0))</f>
        <v>2</v>
      </c>
      <c r="N679" s="125">
        <f>IF('Quant. mod. (oc)'!N679&lt;0,0,ROUND('Quant. mod. (oc)'!N679,0))</f>
        <v>2</v>
      </c>
      <c r="O679" s="125">
        <f>IF('Quant. mod. (oc)'!O679&lt;0,0,ROUND('Quant. mod. (oc)'!O679,0))</f>
        <v>2</v>
      </c>
      <c r="P679" s="125">
        <f>IF('Quant. mod. (oc)'!P679&lt;0,0,ROUND('Quant. mod. (oc)'!P679,0))</f>
        <v>2</v>
      </c>
      <c r="Q679" s="125">
        <f>IF('Quant. mod. (oc)'!Q679&lt;0,0,ROUND('Quant. mod. (oc)'!Q679,0))</f>
        <v>2</v>
      </c>
      <c r="R679" s="125">
        <f>IF('Quant. mod. (oc)'!R679&lt;0,0,ROUND('Quant. mod. (oc)'!R679,0))</f>
        <v>2</v>
      </c>
      <c r="S679" s="125">
        <f>IF('Quant. mod. (oc)'!S679&lt;0,0,ROUND('Quant. mod. (oc)'!S679,0))</f>
        <v>2</v>
      </c>
      <c r="T679" s="125">
        <f>IF('Quant. mod. (oc)'!T679&lt;0,0,ROUND('Quant. mod. (oc)'!T679,0))</f>
        <v>2</v>
      </c>
      <c r="U679" s="125">
        <f>IF('Quant. mod. (oc)'!U679&lt;0,0,ROUND('Quant. mod. (oc)'!U679,0))</f>
        <v>2</v>
      </c>
      <c r="V679" s="125">
        <f>IF('Quant. mod. (oc)'!V679&lt;0,0,ROUND('Quant. mod. (oc)'!V679,0))</f>
        <v>2</v>
      </c>
      <c r="W679" s="125">
        <f>IF('Quant. mod. (oc)'!W679&lt;0,0,ROUND('Quant. mod. (oc)'!W679,0))</f>
        <v>2</v>
      </c>
      <c r="X679" s="125">
        <f>IF('Quant. mod. (oc)'!X679&lt;0,0,ROUND('Quant. mod. (oc)'!X679,0))</f>
        <v>2</v>
      </c>
      <c r="Y679" s="125">
        <f>IF('Quant. mod. (oc)'!Y679&lt;0,0,ROUND('Quant. mod. (oc)'!Y679,0))</f>
        <v>2</v>
      </c>
      <c r="Z679" s="125">
        <f>IF('Quant. mod. (oc)'!Z679&lt;0,0,ROUND('Quant. mod. (oc)'!Z679,0))</f>
        <v>2</v>
      </c>
      <c r="AA679" s="125">
        <f>IF('Quant. mod. (oc)'!AA679&lt;0,0,ROUND('Quant. mod. (oc)'!AA679,0))</f>
        <v>2</v>
      </c>
      <c r="AB679" s="125">
        <f>IF('Quant. mod. (oc)'!AB679&lt;0,0,ROUND('Quant. mod. (oc)'!AB679,0))</f>
        <v>2</v>
      </c>
      <c r="AC679" s="125">
        <f>IF('Quant. mod. (oc)'!AC679&lt;0,0,ROUND('Quant. mod. (oc)'!AC679,0))</f>
        <v>2</v>
      </c>
      <c r="AD679" s="125">
        <f>IF('Quant. mod. (oc)'!AD679&lt;0,0,ROUND('Quant. mod. (oc)'!AD679,0))</f>
        <v>2</v>
      </c>
      <c r="AE679" s="125">
        <f>IF('Quant. mod. (oc)'!AE679&lt;0,0,ROUND('Quant. mod. (oc)'!AE679,0))</f>
        <v>2</v>
      </c>
      <c r="AF679" s="125">
        <f>IF('Quant. mod. (oc)'!AF679&lt;0,0,ROUND('Quant. mod. (oc)'!AF679,0))</f>
        <v>2</v>
      </c>
      <c r="AG679" s="126">
        <f>IF('Quant. mod. (oc)'!AG679&lt;0,0,ROUND('Quant. mod. (oc)'!AG679,0))</f>
        <v>2</v>
      </c>
      <c r="AH679" s="22"/>
    </row>
    <row r="680" spans="1:34" x14ac:dyDescent="0.25">
      <c r="A680" s="21"/>
      <c r="B680" s="141" t="s">
        <v>699</v>
      </c>
      <c r="C680" s="125" t="s">
        <v>60</v>
      </c>
      <c r="D680" s="125">
        <f>IF('Quant. mod. (oc)'!D680&lt;0,0,ROUND('Quant. mod. (oc)'!D680,0))</f>
        <v>2</v>
      </c>
      <c r="E680" s="125">
        <f>IF('Quant. mod. (oc)'!E680&lt;0,0,ROUND('Quant. mod. (oc)'!E680,0))</f>
        <v>2</v>
      </c>
      <c r="F680" s="125">
        <f>IF('Quant. mod. (oc)'!F680&lt;0,0,ROUND('Quant. mod. (oc)'!F680,0))</f>
        <v>2</v>
      </c>
      <c r="G680" s="125">
        <f>IF('Quant. mod. (oc)'!G680&lt;0,0,ROUND('Quant. mod. (oc)'!G680,0))</f>
        <v>2</v>
      </c>
      <c r="H680" s="125">
        <f>IF('Quant. mod. (oc)'!H680&lt;0,0,ROUND('Quant. mod. (oc)'!H680,0))</f>
        <v>2</v>
      </c>
      <c r="I680" s="125">
        <f>IF('Quant. mod. (oc)'!I680&lt;0,0,ROUND('Quant. mod. (oc)'!I680,0))</f>
        <v>2</v>
      </c>
      <c r="J680" s="125">
        <f>IF('Quant. mod. (oc)'!J680&lt;0,0,ROUND('Quant. mod. (oc)'!J680,0))</f>
        <v>2</v>
      </c>
      <c r="K680" s="125">
        <f>IF('Quant. mod. (oc)'!K680&lt;0,0,ROUND('Quant. mod. (oc)'!K680,0))</f>
        <v>2</v>
      </c>
      <c r="L680" s="125">
        <f>IF('Quant. mod. (oc)'!L680&lt;0,0,ROUND('Quant. mod. (oc)'!L680,0))</f>
        <v>2</v>
      </c>
      <c r="M680" s="125">
        <f>IF('Quant. mod. (oc)'!M680&lt;0,0,ROUND('Quant. mod. (oc)'!M680,0))</f>
        <v>2</v>
      </c>
      <c r="N680" s="125">
        <f>IF('Quant. mod. (oc)'!N680&lt;0,0,ROUND('Quant. mod. (oc)'!N680,0))</f>
        <v>2</v>
      </c>
      <c r="O680" s="125">
        <f>IF('Quant. mod. (oc)'!O680&lt;0,0,ROUND('Quant. mod. (oc)'!O680,0))</f>
        <v>2</v>
      </c>
      <c r="P680" s="125">
        <f>IF('Quant. mod. (oc)'!P680&lt;0,0,ROUND('Quant. mod. (oc)'!P680,0))</f>
        <v>2</v>
      </c>
      <c r="Q680" s="125">
        <f>IF('Quant. mod. (oc)'!Q680&lt;0,0,ROUND('Quant. mod. (oc)'!Q680,0))</f>
        <v>2</v>
      </c>
      <c r="R680" s="125">
        <f>IF('Quant. mod. (oc)'!R680&lt;0,0,ROUND('Quant. mod. (oc)'!R680,0))</f>
        <v>2</v>
      </c>
      <c r="S680" s="125">
        <f>IF('Quant. mod. (oc)'!S680&lt;0,0,ROUND('Quant. mod. (oc)'!S680,0))</f>
        <v>2</v>
      </c>
      <c r="T680" s="125">
        <f>IF('Quant. mod. (oc)'!T680&lt;0,0,ROUND('Quant. mod. (oc)'!T680,0))</f>
        <v>2</v>
      </c>
      <c r="U680" s="125">
        <f>IF('Quant. mod. (oc)'!U680&lt;0,0,ROUND('Quant. mod. (oc)'!U680,0))</f>
        <v>2</v>
      </c>
      <c r="V680" s="125">
        <f>IF('Quant. mod. (oc)'!V680&lt;0,0,ROUND('Quant. mod. (oc)'!V680,0))</f>
        <v>2</v>
      </c>
      <c r="W680" s="125">
        <f>IF('Quant. mod. (oc)'!W680&lt;0,0,ROUND('Quant. mod. (oc)'!W680,0))</f>
        <v>2</v>
      </c>
      <c r="X680" s="125">
        <f>IF('Quant. mod. (oc)'!X680&lt;0,0,ROUND('Quant. mod. (oc)'!X680,0))</f>
        <v>2</v>
      </c>
      <c r="Y680" s="125">
        <f>IF('Quant. mod. (oc)'!Y680&lt;0,0,ROUND('Quant. mod. (oc)'!Y680,0))</f>
        <v>2</v>
      </c>
      <c r="Z680" s="125">
        <f>IF('Quant. mod. (oc)'!Z680&lt;0,0,ROUND('Quant. mod. (oc)'!Z680,0))</f>
        <v>2</v>
      </c>
      <c r="AA680" s="125">
        <f>IF('Quant. mod. (oc)'!AA680&lt;0,0,ROUND('Quant. mod. (oc)'!AA680,0))</f>
        <v>2</v>
      </c>
      <c r="AB680" s="125">
        <f>IF('Quant. mod. (oc)'!AB680&lt;0,0,ROUND('Quant. mod. (oc)'!AB680,0))</f>
        <v>2</v>
      </c>
      <c r="AC680" s="125">
        <f>IF('Quant. mod. (oc)'!AC680&lt;0,0,ROUND('Quant. mod. (oc)'!AC680,0))</f>
        <v>2</v>
      </c>
      <c r="AD680" s="125">
        <f>IF('Quant. mod. (oc)'!AD680&lt;0,0,ROUND('Quant. mod. (oc)'!AD680,0))</f>
        <v>2</v>
      </c>
      <c r="AE680" s="125">
        <f>IF('Quant. mod. (oc)'!AE680&lt;0,0,ROUND('Quant. mod. (oc)'!AE680,0))</f>
        <v>2</v>
      </c>
      <c r="AF680" s="125">
        <f>IF('Quant. mod. (oc)'!AF680&lt;0,0,ROUND('Quant. mod. (oc)'!AF680,0))</f>
        <v>2</v>
      </c>
      <c r="AG680" s="126">
        <f>IF('Quant. mod. (oc)'!AG680&lt;0,0,ROUND('Quant. mod. (oc)'!AG680,0))</f>
        <v>2</v>
      </c>
      <c r="AH680" s="22"/>
    </row>
    <row r="681" spans="1:34" x14ac:dyDescent="0.25">
      <c r="A681" s="21"/>
      <c r="B681" s="141" t="s">
        <v>700</v>
      </c>
      <c r="C681" s="125" t="s">
        <v>60</v>
      </c>
      <c r="D681" s="125">
        <f>IF('Quant. mod. (oc)'!D681&lt;0,0,ROUND('Quant. mod. (oc)'!D681,0))</f>
        <v>2</v>
      </c>
      <c r="E681" s="125">
        <f>IF('Quant. mod. (oc)'!E681&lt;0,0,ROUND('Quant. mod. (oc)'!E681,0))</f>
        <v>2</v>
      </c>
      <c r="F681" s="125">
        <f>IF('Quant. mod. (oc)'!F681&lt;0,0,ROUND('Quant. mod. (oc)'!F681,0))</f>
        <v>2</v>
      </c>
      <c r="G681" s="125">
        <f>IF('Quant. mod. (oc)'!G681&lt;0,0,ROUND('Quant. mod. (oc)'!G681,0))</f>
        <v>2</v>
      </c>
      <c r="H681" s="125">
        <f>IF('Quant. mod. (oc)'!H681&lt;0,0,ROUND('Quant. mod. (oc)'!H681,0))</f>
        <v>2</v>
      </c>
      <c r="I681" s="125">
        <f>IF('Quant. mod. (oc)'!I681&lt;0,0,ROUND('Quant. mod. (oc)'!I681,0))</f>
        <v>2</v>
      </c>
      <c r="J681" s="125">
        <f>IF('Quant. mod. (oc)'!J681&lt;0,0,ROUND('Quant. mod. (oc)'!J681,0))</f>
        <v>2</v>
      </c>
      <c r="K681" s="125">
        <f>IF('Quant. mod. (oc)'!K681&lt;0,0,ROUND('Quant. mod. (oc)'!K681,0))</f>
        <v>2</v>
      </c>
      <c r="L681" s="125">
        <f>IF('Quant. mod. (oc)'!L681&lt;0,0,ROUND('Quant. mod. (oc)'!L681,0))</f>
        <v>2</v>
      </c>
      <c r="M681" s="125">
        <f>IF('Quant. mod. (oc)'!M681&lt;0,0,ROUND('Quant. mod. (oc)'!M681,0))</f>
        <v>2</v>
      </c>
      <c r="N681" s="125">
        <f>IF('Quant. mod. (oc)'!N681&lt;0,0,ROUND('Quant. mod. (oc)'!N681,0))</f>
        <v>2</v>
      </c>
      <c r="O681" s="125">
        <f>IF('Quant. mod. (oc)'!O681&lt;0,0,ROUND('Quant. mod. (oc)'!O681,0))</f>
        <v>2</v>
      </c>
      <c r="P681" s="125">
        <f>IF('Quant. mod. (oc)'!P681&lt;0,0,ROUND('Quant. mod. (oc)'!P681,0))</f>
        <v>2</v>
      </c>
      <c r="Q681" s="125">
        <f>IF('Quant. mod. (oc)'!Q681&lt;0,0,ROUND('Quant. mod. (oc)'!Q681,0))</f>
        <v>2</v>
      </c>
      <c r="R681" s="125">
        <f>IF('Quant. mod. (oc)'!R681&lt;0,0,ROUND('Quant. mod. (oc)'!R681,0))</f>
        <v>2</v>
      </c>
      <c r="S681" s="125">
        <f>IF('Quant. mod. (oc)'!S681&lt;0,0,ROUND('Quant. mod. (oc)'!S681,0))</f>
        <v>2</v>
      </c>
      <c r="T681" s="125">
        <f>IF('Quant. mod. (oc)'!T681&lt;0,0,ROUND('Quant. mod. (oc)'!T681,0))</f>
        <v>2</v>
      </c>
      <c r="U681" s="125">
        <f>IF('Quant. mod. (oc)'!U681&lt;0,0,ROUND('Quant. mod. (oc)'!U681,0))</f>
        <v>2</v>
      </c>
      <c r="V681" s="125">
        <f>IF('Quant. mod. (oc)'!V681&lt;0,0,ROUND('Quant. mod. (oc)'!V681,0))</f>
        <v>2</v>
      </c>
      <c r="W681" s="125">
        <f>IF('Quant. mod. (oc)'!W681&lt;0,0,ROUND('Quant. mod. (oc)'!W681,0))</f>
        <v>2</v>
      </c>
      <c r="X681" s="125">
        <f>IF('Quant. mod. (oc)'!X681&lt;0,0,ROUND('Quant. mod. (oc)'!X681,0))</f>
        <v>2</v>
      </c>
      <c r="Y681" s="125">
        <f>IF('Quant. mod. (oc)'!Y681&lt;0,0,ROUND('Quant. mod. (oc)'!Y681,0))</f>
        <v>2</v>
      </c>
      <c r="Z681" s="125">
        <f>IF('Quant. mod. (oc)'!Z681&lt;0,0,ROUND('Quant. mod. (oc)'!Z681,0))</f>
        <v>2</v>
      </c>
      <c r="AA681" s="125">
        <f>IF('Quant. mod. (oc)'!AA681&lt;0,0,ROUND('Quant. mod. (oc)'!AA681,0))</f>
        <v>2</v>
      </c>
      <c r="AB681" s="125">
        <f>IF('Quant. mod. (oc)'!AB681&lt;0,0,ROUND('Quant. mod. (oc)'!AB681,0))</f>
        <v>2</v>
      </c>
      <c r="AC681" s="125">
        <f>IF('Quant. mod. (oc)'!AC681&lt;0,0,ROUND('Quant. mod. (oc)'!AC681,0))</f>
        <v>2</v>
      </c>
      <c r="AD681" s="125">
        <f>IF('Quant. mod. (oc)'!AD681&lt;0,0,ROUND('Quant. mod. (oc)'!AD681,0))</f>
        <v>2</v>
      </c>
      <c r="AE681" s="125">
        <f>IF('Quant. mod. (oc)'!AE681&lt;0,0,ROUND('Quant. mod. (oc)'!AE681,0))</f>
        <v>2</v>
      </c>
      <c r="AF681" s="125">
        <f>IF('Quant. mod. (oc)'!AF681&lt;0,0,ROUND('Quant. mod. (oc)'!AF681,0))</f>
        <v>2</v>
      </c>
      <c r="AG681" s="126">
        <f>IF('Quant. mod. (oc)'!AG681&lt;0,0,ROUND('Quant. mod. (oc)'!AG681,0))</f>
        <v>2</v>
      </c>
      <c r="AH681" s="22"/>
    </row>
    <row r="682" spans="1:34" x14ac:dyDescent="0.25">
      <c r="A682" s="21"/>
      <c r="B682" s="141" t="s">
        <v>701</v>
      </c>
      <c r="C682" s="125" t="s">
        <v>60</v>
      </c>
      <c r="D682" s="125">
        <f>IF('Quant. mod. (oc)'!D682&lt;0,0,ROUND('Quant. mod. (oc)'!D682,0))</f>
        <v>2</v>
      </c>
      <c r="E682" s="125">
        <f>IF('Quant. mod. (oc)'!E682&lt;0,0,ROUND('Quant. mod. (oc)'!E682,0))</f>
        <v>2</v>
      </c>
      <c r="F682" s="125">
        <f>IF('Quant. mod. (oc)'!F682&lt;0,0,ROUND('Quant. mod. (oc)'!F682,0))</f>
        <v>2</v>
      </c>
      <c r="G682" s="125">
        <f>IF('Quant. mod. (oc)'!G682&lt;0,0,ROUND('Quant. mod. (oc)'!G682,0))</f>
        <v>2</v>
      </c>
      <c r="H682" s="125">
        <f>IF('Quant. mod. (oc)'!H682&lt;0,0,ROUND('Quant. mod. (oc)'!H682,0))</f>
        <v>2</v>
      </c>
      <c r="I682" s="125">
        <f>IF('Quant. mod. (oc)'!I682&lt;0,0,ROUND('Quant. mod. (oc)'!I682,0))</f>
        <v>2</v>
      </c>
      <c r="J682" s="125">
        <f>IF('Quant. mod. (oc)'!J682&lt;0,0,ROUND('Quant. mod. (oc)'!J682,0))</f>
        <v>2</v>
      </c>
      <c r="K682" s="125">
        <f>IF('Quant. mod. (oc)'!K682&lt;0,0,ROUND('Quant. mod. (oc)'!K682,0))</f>
        <v>2</v>
      </c>
      <c r="L682" s="125">
        <f>IF('Quant. mod. (oc)'!L682&lt;0,0,ROUND('Quant. mod. (oc)'!L682,0))</f>
        <v>2</v>
      </c>
      <c r="M682" s="125">
        <f>IF('Quant. mod. (oc)'!M682&lt;0,0,ROUND('Quant. mod. (oc)'!M682,0))</f>
        <v>2</v>
      </c>
      <c r="N682" s="125">
        <f>IF('Quant. mod. (oc)'!N682&lt;0,0,ROUND('Quant. mod. (oc)'!N682,0))</f>
        <v>2</v>
      </c>
      <c r="O682" s="125">
        <f>IF('Quant. mod. (oc)'!O682&lt;0,0,ROUND('Quant. mod. (oc)'!O682,0))</f>
        <v>2</v>
      </c>
      <c r="P682" s="125">
        <f>IF('Quant. mod. (oc)'!P682&lt;0,0,ROUND('Quant. mod. (oc)'!P682,0))</f>
        <v>2</v>
      </c>
      <c r="Q682" s="125">
        <f>IF('Quant. mod. (oc)'!Q682&lt;0,0,ROUND('Quant. mod. (oc)'!Q682,0))</f>
        <v>2</v>
      </c>
      <c r="R682" s="125">
        <f>IF('Quant. mod. (oc)'!R682&lt;0,0,ROUND('Quant. mod. (oc)'!R682,0))</f>
        <v>2</v>
      </c>
      <c r="S682" s="125">
        <f>IF('Quant. mod. (oc)'!S682&lt;0,0,ROUND('Quant. mod. (oc)'!S682,0))</f>
        <v>2</v>
      </c>
      <c r="T682" s="125">
        <f>IF('Quant. mod. (oc)'!T682&lt;0,0,ROUND('Quant. mod. (oc)'!T682,0))</f>
        <v>2</v>
      </c>
      <c r="U682" s="125">
        <f>IF('Quant. mod. (oc)'!U682&lt;0,0,ROUND('Quant. mod. (oc)'!U682,0))</f>
        <v>2</v>
      </c>
      <c r="V682" s="125">
        <f>IF('Quant. mod. (oc)'!V682&lt;0,0,ROUND('Quant. mod. (oc)'!V682,0))</f>
        <v>2</v>
      </c>
      <c r="W682" s="125">
        <f>IF('Quant. mod. (oc)'!W682&lt;0,0,ROUND('Quant. mod. (oc)'!W682,0))</f>
        <v>2</v>
      </c>
      <c r="X682" s="125">
        <f>IF('Quant. mod. (oc)'!X682&lt;0,0,ROUND('Quant. mod. (oc)'!X682,0))</f>
        <v>2</v>
      </c>
      <c r="Y682" s="125">
        <f>IF('Quant. mod. (oc)'!Y682&lt;0,0,ROUND('Quant. mod. (oc)'!Y682,0))</f>
        <v>2</v>
      </c>
      <c r="Z682" s="125">
        <f>IF('Quant. mod. (oc)'!Z682&lt;0,0,ROUND('Quant. mod. (oc)'!Z682,0))</f>
        <v>2</v>
      </c>
      <c r="AA682" s="125">
        <f>IF('Quant. mod. (oc)'!AA682&lt;0,0,ROUND('Quant. mod. (oc)'!AA682,0))</f>
        <v>2</v>
      </c>
      <c r="AB682" s="125">
        <f>IF('Quant. mod. (oc)'!AB682&lt;0,0,ROUND('Quant. mod. (oc)'!AB682,0))</f>
        <v>2</v>
      </c>
      <c r="AC682" s="125">
        <f>IF('Quant. mod. (oc)'!AC682&lt;0,0,ROUND('Quant. mod. (oc)'!AC682,0))</f>
        <v>2</v>
      </c>
      <c r="AD682" s="125">
        <f>IF('Quant. mod. (oc)'!AD682&lt;0,0,ROUND('Quant. mod. (oc)'!AD682,0))</f>
        <v>2</v>
      </c>
      <c r="AE682" s="125">
        <f>IF('Quant. mod. (oc)'!AE682&lt;0,0,ROUND('Quant. mod. (oc)'!AE682,0))</f>
        <v>2</v>
      </c>
      <c r="AF682" s="125">
        <f>IF('Quant. mod. (oc)'!AF682&lt;0,0,ROUND('Quant. mod. (oc)'!AF682,0))</f>
        <v>2</v>
      </c>
      <c r="AG682" s="126">
        <f>IF('Quant. mod. (oc)'!AG682&lt;0,0,ROUND('Quant. mod. (oc)'!AG682,0))</f>
        <v>2</v>
      </c>
      <c r="AH682" s="22"/>
    </row>
    <row r="683" spans="1:34" x14ac:dyDescent="0.25">
      <c r="A683" s="21"/>
      <c r="B683" s="141" t="s">
        <v>702</v>
      </c>
      <c r="C683" s="125" t="s">
        <v>60</v>
      </c>
      <c r="D683" s="125">
        <f>IF('Quant. mod. (oc)'!D683&lt;0,0,ROUND('Quant. mod. (oc)'!D683,0))</f>
        <v>2</v>
      </c>
      <c r="E683" s="125">
        <f>IF('Quant. mod. (oc)'!E683&lt;0,0,ROUND('Quant. mod. (oc)'!E683,0))</f>
        <v>2</v>
      </c>
      <c r="F683" s="125">
        <f>IF('Quant. mod. (oc)'!F683&lt;0,0,ROUND('Quant. mod. (oc)'!F683,0))</f>
        <v>2</v>
      </c>
      <c r="G683" s="125">
        <f>IF('Quant. mod. (oc)'!G683&lt;0,0,ROUND('Quant. mod. (oc)'!G683,0))</f>
        <v>2</v>
      </c>
      <c r="H683" s="125">
        <f>IF('Quant. mod. (oc)'!H683&lt;0,0,ROUND('Quant. mod. (oc)'!H683,0))</f>
        <v>2</v>
      </c>
      <c r="I683" s="125">
        <f>IF('Quant. mod. (oc)'!I683&lt;0,0,ROUND('Quant. mod. (oc)'!I683,0))</f>
        <v>2</v>
      </c>
      <c r="J683" s="125">
        <f>IF('Quant. mod. (oc)'!J683&lt;0,0,ROUND('Quant. mod. (oc)'!J683,0))</f>
        <v>2</v>
      </c>
      <c r="K683" s="125">
        <f>IF('Quant. mod. (oc)'!K683&lt;0,0,ROUND('Quant. mod. (oc)'!K683,0))</f>
        <v>2</v>
      </c>
      <c r="L683" s="125">
        <f>IF('Quant. mod. (oc)'!L683&lt;0,0,ROUND('Quant. mod. (oc)'!L683,0))</f>
        <v>2</v>
      </c>
      <c r="M683" s="125">
        <f>IF('Quant. mod. (oc)'!M683&lt;0,0,ROUND('Quant. mod. (oc)'!M683,0))</f>
        <v>2</v>
      </c>
      <c r="N683" s="125">
        <f>IF('Quant. mod. (oc)'!N683&lt;0,0,ROUND('Quant. mod. (oc)'!N683,0))</f>
        <v>2</v>
      </c>
      <c r="O683" s="125">
        <f>IF('Quant. mod. (oc)'!O683&lt;0,0,ROUND('Quant. mod. (oc)'!O683,0))</f>
        <v>2</v>
      </c>
      <c r="P683" s="125">
        <f>IF('Quant. mod. (oc)'!P683&lt;0,0,ROUND('Quant. mod. (oc)'!P683,0))</f>
        <v>2</v>
      </c>
      <c r="Q683" s="125">
        <f>IF('Quant. mod. (oc)'!Q683&lt;0,0,ROUND('Quant. mod. (oc)'!Q683,0))</f>
        <v>2</v>
      </c>
      <c r="R683" s="125">
        <f>IF('Quant. mod. (oc)'!R683&lt;0,0,ROUND('Quant. mod. (oc)'!R683,0))</f>
        <v>2</v>
      </c>
      <c r="S683" s="125">
        <f>IF('Quant. mod. (oc)'!S683&lt;0,0,ROUND('Quant. mod. (oc)'!S683,0))</f>
        <v>2</v>
      </c>
      <c r="T683" s="125">
        <f>IF('Quant. mod. (oc)'!T683&lt;0,0,ROUND('Quant. mod. (oc)'!T683,0))</f>
        <v>2</v>
      </c>
      <c r="U683" s="125">
        <f>IF('Quant. mod. (oc)'!U683&lt;0,0,ROUND('Quant. mod. (oc)'!U683,0))</f>
        <v>2</v>
      </c>
      <c r="V683" s="125">
        <f>IF('Quant. mod. (oc)'!V683&lt;0,0,ROUND('Quant. mod. (oc)'!V683,0))</f>
        <v>2</v>
      </c>
      <c r="W683" s="125">
        <f>IF('Quant. mod. (oc)'!W683&lt;0,0,ROUND('Quant. mod. (oc)'!W683,0))</f>
        <v>2</v>
      </c>
      <c r="X683" s="125">
        <f>IF('Quant. mod. (oc)'!X683&lt;0,0,ROUND('Quant. mod. (oc)'!X683,0))</f>
        <v>2</v>
      </c>
      <c r="Y683" s="125">
        <f>IF('Quant. mod. (oc)'!Y683&lt;0,0,ROUND('Quant. mod. (oc)'!Y683,0))</f>
        <v>2</v>
      </c>
      <c r="Z683" s="125">
        <f>IF('Quant. mod. (oc)'!Z683&lt;0,0,ROUND('Quant. mod. (oc)'!Z683,0))</f>
        <v>2</v>
      </c>
      <c r="AA683" s="125">
        <f>IF('Quant. mod. (oc)'!AA683&lt;0,0,ROUND('Quant. mod. (oc)'!AA683,0))</f>
        <v>2</v>
      </c>
      <c r="AB683" s="125">
        <f>IF('Quant. mod. (oc)'!AB683&lt;0,0,ROUND('Quant. mod. (oc)'!AB683,0))</f>
        <v>2</v>
      </c>
      <c r="AC683" s="125">
        <f>IF('Quant. mod. (oc)'!AC683&lt;0,0,ROUND('Quant. mod. (oc)'!AC683,0))</f>
        <v>2</v>
      </c>
      <c r="AD683" s="125">
        <f>IF('Quant. mod. (oc)'!AD683&lt;0,0,ROUND('Quant. mod. (oc)'!AD683,0))</f>
        <v>2</v>
      </c>
      <c r="AE683" s="125">
        <f>IF('Quant. mod. (oc)'!AE683&lt;0,0,ROUND('Quant. mod. (oc)'!AE683,0))</f>
        <v>2</v>
      </c>
      <c r="AF683" s="125">
        <f>IF('Quant. mod. (oc)'!AF683&lt;0,0,ROUND('Quant. mod. (oc)'!AF683,0))</f>
        <v>2</v>
      </c>
      <c r="AG683" s="126">
        <f>IF('Quant. mod. (oc)'!AG683&lt;0,0,ROUND('Quant. mod. (oc)'!AG683,0))</f>
        <v>2</v>
      </c>
      <c r="AH683" s="22"/>
    </row>
    <row r="684" spans="1:34" x14ac:dyDescent="0.25">
      <c r="A684" s="21"/>
      <c r="B684" s="141" t="s">
        <v>703</v>
      </c>
      <c r="C684" s="125" t="s">
        <v>60</v>
      </c>
      <c r="D684" s="125">
        <f>IF('Quant. mod. (oc)'!D684&lt;0,0,ROUND('Quant. mod. (oc)'!D684,0))</f>
        <v>2</v>
      </c>
      <c r="E684" s="125">
        <f>IF('Quant. mod. (oc)'!E684&lt;0,0,ROUND('Quant. mod. (oc)'!E684,0))</f>
        <v>2</v>
      </c>
      <c r="F684" s="125">
        <f>IF('Quant. mod. (oc)'!F684&lt;0,0,ROUND('Quant. mod. (oc)'!F684,0))</f>
        <v>2</v>
      </c>
      <c r="G684" s="125">
        <f>IF('Quant. mod. (oc)'!G684&lt;0,0,ROUND('Quant. mod. (oc)'!G684,0))</f>
        <v>2</v>
      </c>
      <c r="H684" s="125">
        <f>IF('Quant. mod. (oc)'!H684&lt;0,0,ROUND('Quant. mod. (oc)'!H684,0))</f>
        <v>2</v>
      </c>
      <c r="I684" s="125">
        <f>IF('Quant. mod. (oc)'!I684&lt;0,0,ROUND('Quant. mod. (oc)'!I684,0))</f>
        <v>2</v>
      </c>
      <c r="J684" s="125">
        <f>IF('Quant. mod. (oc)'!J684&lt;0,0,ROUND('Quant. mod. (oc)'!J684,0))</f>
        <v>2</v>
      </c>
      <c r="K684" s="125">
        <f>IF('Quant. mod. (oc)'!K684&lt;0,0,ROUND('Quant. mod. (oc)'!K684,0))</f>
        <v>2</v>
      </c>
      <c r="L684" s="125">
        <f>IF('Quant. mod. (oc)'!L684&lt;0,0,ROUND('Quant. mod. (oc)'!L684,0))</f>
        <v>2</v>
      </c>
      <c r="M684" s="125">
        <f>IF('Quant. mod. (oc)'!M684&lt;0,0,ROUND('Quant. mod. (oc)'!M684,0))</f>
        <v>2</v>
      </c>
      <c r="N684" s="125">
        <f>IF('Quant. mod. (oc)'!N684&lt;0,0,ROUND('Quant. mod. (oc)'!N684,0))</f>
        <v>2</v>
      </c>
      <c r="O684" s="125">
        <f>IF('Quant. mod. (oc)'!O684&lt;0,0,ROUND('Quant. mod. (oc)'!O684,0))</f>
        <v>2</v>
      </c>
      <c r="P684" s="125">
        <f>IF('Quant. mod. (oc)'!P684&lt;0,0,ROUND('Quant. mod. (oc)'!P684,0))</f>
        <v>2</v>
      </c>
      <c r="Q684" s="125">
        <f>IF('Quant. mod. (oc)'!Q684&lt;0,0,ROUND('Quant. mod. (oc)'!Q684,0))</f>
        <v>2</v>
      </c>
      <c r="R684" s="125">
        <f>IF('Quant. mod. (oc)'!R684&lt;0,0,ROUND('Quant. mod. (oc)'!R684,0))</f>
        <v>2</v>
      </c>
      <c r="S684" s="125">
        <f>IF('Quant. mod. (oc)'!S684&lt;0,0,ROUND('Quant. mod. (oc)'!S684,0))</f>
        <v>2</v>
      </c>
      <c r="T684" s="125">
        <f>IF('Quant. mod. (oc)'!T684&lt;0,0,ROUND('Quant. mod. (oc)'!T684,0))</f>
        <v>2</v>
      </c>
      <c r="U684" s="125">
        <f>IF('Quant. mod. (oc)'!U684&lt;0,0,ROUND('Quant. mod. (oc)'!U684,0))</f>
        <v>2</v>
      </c>
      <c r="V684" s="125">
        <f>IF('Quant. mod. (oc)'!V684&lt;0,0,ROUND('Quant. mod. (oc)'!V684,0))</f>
        <v>2</v>
      </c>
      <c r="W684" s="125">
        <f>IF('Quant. mod. (oc)'!W684&lt;0,0,ROUND('Quant. mod. (oc)'!W684,0))</f>
        <v>2</v>
      </c>
      <c r="X684" s="125">
        <f>IF('Quant. mod. (oc)'!X684&lt;0,0,ROUND('Quant. mod. (oc)'!X684,0))</f>
        <v>2</v>
      </c>
      <c r="Y684" s="125">
        <f>IF('Quant. mod. (oc)'!Y684&lt;0,0,ROUND('Quant. mod. (oc)'!Y684,0))</f>
        <v>2</v>
      </c>
      <c r="Z684" s="125">
        <f>IF('Quant. mod. (oc)'!Z684&lt;0,0,ROUND('Quant. mod. (oc)'!Z684,0))</f>
        <v>2</v>
      </c>
      <c r="AA684" s="125">
        <f>IF('Quant. mod. (oc)'!AA684&lt;0,0,ROUND('Quant. mod. (oc)'!AA684,0))</f>
        <v>2</v>
      </c>
      <c r="AB684" s="125">
        <f>IF('Quant. mod. (oc)'!AB684&lt;0,0,ROUND('Quant. mod. (oc)'!AB684,0))</f>
        <v>2</v>
      </c>
      <c r="AC684" s="125">
        <f>IF('Quant. mod. (oc)'!AC684&lt;0,0,ROUND('Quant. mod. (oc)'!AC684,0))</f>
        <v>2</v>
      </c>
      <c r="AD684" s="125">
        <f>IF('Quant. mod. (oc)'!AD684&lt;0,0,ROUND('Quant. mod. (oc)'!AD684,0))</f>
        <v>2</v>
      </c>
      <c r="AE684" s="125">
        <f>IF('Quant. mod. (oc)'!AE684&lt;0,0,ROUND('Quant. mod. (oc)'!AE684,0))</f>
        <v>2</v>
      </c>
      <c r="AF684" s="125">
        <f>IF('Quant. mod. (oc)'!AF684&lt;0,0,ROUND('Quant. mod. (oc)'!AF684,0))</f>
        <v>2</v>
      </c>
      <c r="AG684" s="126">
        <f>IF('Quant. mod. (oc)'!AG684&lt;0,0,ROUND('Quant. mod. (oc)'!AG684,0))</f>
        <v>2</v>
      </c>
      <c r="AH684" s="22"/>
    </row>
    <row r="685" spans="1:34" x14ac:dyDescent="0.25">
      <c r="A685" s="21"/>
      <c r="B685" s="141" t="s">
        <v>704</v>
      </c>
      <c r="C685" s="125" t="s">
        <v>60</v>
      </c>
      <c r="D685" s="125">
        <f>IF('Quant. mod. (oc)'!D685&lt;0,0,ROUND('Quant. mod. (oc)'!D685,0))</f>
        <v>2</v>
      </c>
      <c r="E685" s="125">
        <f>IF('Quant. mod. (oc)'!E685&lt;0,0,ROUND('Quant. mod. (oc)'!E685,0))</f>
        <v>2</v>
      </c>
      <c r="F685" s="125">
        <f>IF('Quant. mod. (oc)'!F685&lt;0,0,ROUND('Quant. mod. (oc)'!F685,0))</f>
        <v>2</v>
      </c>
      <c r="G685" s="125">
        <f>IF('Quant. mod. (oc)'!G685&lt;0,0,ROUND('Quant. mod. (oc)'!G685,0))</f>
        <v>2</v>
      </c>
      <c r="H685" s="125">
        <f>IF('Quant. mod. (oc)'!H685&lt;0,0,ROUND('Quant. mod. (oc)'!H685,0))</f>
        <v>2</v>
      </c>
      <c r="I685" s="125">
        <f>IF('Quant. mod. (oc)'!I685&lt;0,0,ROUND('Quant. mod. (oc)'!I685,0))</f>
        <v>2</v>
      </c>
      <c r="J685" s="125">
        <f>IF('Quant. mod. (oc)'!J685&lt;0,0,ROUND('Quant. mod. (oc)'!J685,0))</f>
        <v>2</v>
      </c>
      <c r="K685" s="125">
        <f>IF('Quant. mod. (oc)'!K685&lt;0,0,ROUND('Quant. mod. (oc)'!K685,0))</f>
        <v>2</v>
      </c>
      <c r="L685" s="125">
        <f>IF('Quant. mod. (oc)'!L685&lt;0,0,ROUND('Quant. mod. (oc)'!L685,0))</f>
        <v>2</v>
      </c>
      <c r="M685" s="125">
        <f>IF('Quant. mod. (oc)'!M685&lt;0,0,ROUND('Quant. mod. (oc)'!M685,0))</f>
        <v>2</v>
      </c>
      <c r="N685" s="125">
        <f>IF('Quant. mod. (oc)'!N685&lt;0,0,ROUND('Quant. mod. (oc)'!N685,0))</f>
        <v>2</v>
      </c>
      <c r="O685" s="125">
        <f>IF('Quant. mod. (oc)'!O685&lt;0,0,ROUND('Quant. mod. (oc)'!O685,0))</f>
        <v>2</v>
      </c>
      <c r="P685" s="125">
        <f>IF('Quant. mod. (oc)'!P685&lt;0,0,ROUND('Quant. mod. (oc)'!P685,0))</f>
        <v>2</v>
      </c>
      <c r="Q685" s="125">
        <f>IF('Quant. mod. (oc)'!Q685&lt;0,0,ROUND('Quant. mod. (oc)'!Q685,0))</f>
        <v>2</v>
      </c>
      <c r="R685" s="125">
        <f>IF('Quant. mod. (oc)'!R685&lt;0,0,ROUND('Quant. mod. (oc)'!R685,0))</f>
        <v>2</v>
      </c>
      <c r="S685" s="125">
        <f>IF('Quant. mod. (oc)'!S685&lt;0,0,ROUND('Quant. mod. (oc)'!S685,0))</f>
        <v>2</v>
      </c>
      <c r="T685" s="125">
        <f>IF('Quant. mod. (oc)'!T685&lt;0,0,ROUND('Quant. mod. (oc)'!T685,0))</f>
        <v>2</v>
      </c>
      <c r="U685" s="125">
        <f>IF('Quant. mod. (oc)'!U685&lt;0,0,ROUND('Quant. mod. (oc)'!U685,0))</f>
        <v>2</v>
      </c>
      <c r="V685" s="125">
        <f>IF('Quant. mod. (oc)'!V685&lt;0,0,ROUND('Quant. mod. (oc)'!V685,0))</f>
        <v>2</v>
      </c>
      <c r="W685" s="125">
        <f>IF('Quant. mod. (oc)'!W685&lt;0,0,ROUND('Quant. mod. (oc)'!W685,0))</f>
        <v>2</v>
      </c>
      <c r="X685" s="125">
        <f>IF('Quant. mod. (oc)'!X685&lt;0,0,ROUND('Quant. mod. (oc)'!X685,0))</f>
        <v>2</v>
      </c>
      <c r="Y685" s="125">
        <f>IF('Quant. mod. (oc)'!Y685&lt;0,0,ROUND('Quant. mod. (oc)'!Y685,0))</f>
        <v>2</v>
      </c>
      <c r="Z685" s="125">
        <f>IF('Quant. mod. (oc)'!Z685&lt;0,0,ROUND('Quant. mod. (oc)'!Z685,0))</f>
        <v>2</v>
      </c>
      <c r="AA685" s="125">
        <f>IF('Quant. mod. (oc)'!AA685&lt;0,0,ROUND('Quant. mod. (oc)'!AA685,0))</f>
        <v>2</v>
      </c>
      <c r="AB685" s="125">
        <f>IF('Quant. mod. (oc)'!AB685&lt;0,0,ROUND('Quant. mod. (oc)'!AB685,0))</f>
        <v>2</v>
      </c>
      <c r="AC685" s="125">
        <f>IF('Quant. mod. (oc)'!AC685&lt;0,0,ROUND('Quant. mod. (oc)'!AC685,0))</f>
        <v>2</v>
      </c>
      <c r="AD685" s="125">
        <f>IF('Quant. mod. (oc)'!AD685&lt;0,0,ROUND('Quant. mod. (oc)'!AD685,0))</f>
        <v>2</v>
      </c>
      <c r="AE685" s="125">
        <f>IF('Quant. mod. (oc)'!AE685&lt;0,0,ROUND('Quant. mod. (oc)'!AE685,0))</f>
        <v>2</v>
      </c>
      <c r="AF685" s="125">
        <f>IF('Quant. mod. (oc)'!AF685&lt;0,0,ROUND('Quant. mod. (oc)'!AF685,0))</f>
        <v>2</v>
      </c>
      <c r="AG685" s="126">
        <f>IF('Quant. mod. (oc)'!AG685&lt;0,0,ROUND('Quant. mod. (oc)'!AG685,0))</f>
        <v>2</v>
      </c>
      <c r="AH685" s="22"/>
    </row>
    <row r="686" spans="1:34" x14ac:dyDescent="0.25">
      <c r="A686" s="21"/>
      <c r="B686" s="141" t="s">
        <v>705</v>
      </c>
      <c r="C686" s="125" t="s">
        <v>60</v>
      </c>
      <c r="D686" s="125">
        <f>IF('Quant. mod. (oc)'!D686&lt;0,0,ROUND('Quant. mod. (oc)'!D686,0))</f>
        <v>1</v>
      </c>
      <c r="E686" s="125">
        <f>IF('Quant. mod. (oc)'!E686&lt;0,0,ROUND('Quant. mod. (oc)'!E686,0))</f>
        <v>1</v>
      </c>
      <c r="F686" s="125">
        <f>IF('Quant. mod. (oc)'!F686&lt;0,0,ROUND('Quant. mod. (oc)'!F686,0))</f>
        <v>1</v>
      </c>
      <c r="G686" s="125">
        <f>IF('Quant. mod. (oc)'!G686&lt;0,0,ROUND('Quant. mod. (oc)'!G686,0))</f>
        <v>1</v>
      </c>
      <c r="H686" s="125">
        <f>IF('Quant. mod. (oc)'!H686&lt;0,0,ROUND('Quant. mod. (oc)'!H686,0))</f>
        <v>1</v>
      </c>
      <c r="I686" s="125">
        <f>IF('Quant. mod. (oc)'!I686&lt;0,0,ROUND('Quant. mod. (oc)'!I686,0))</f>
        <v>1</v>
      </c>
      <c r="J686" s="125">
        <f>IF('Quant. mod. (oc)'!J686&lt;0,0,ROUND('Quant. mod. (oc)'!J686,0))</f>
        <v>1</v>
      </c>
      <c r="K686" s="125">
        <f>IF('Quant. mod. (oc)'!K686&lt;0,0,ROUND('Quant. mod. (oc)'!K686,0))</f>
        <v>1</v>
      </c>
      <c r="L686" s="125">
        <f>IF('Quant. mod. (oc)'!L686&lt;0,0,ROUND('Quant. mod. (oc)'!L686,0))</f>
        <v>1</v>
      </c>
      <c r="M686" s="125">
        <f>IF('Quant. mod. (oc)'!M686&lt;0,0,ROUND('Quant. mod. (oc)'!M686,0))</f>
        <v>1</v>
      </c>
      <c r="N686" s="125">
        <f>IF('Quant. mod. (oc)'!N686&lt;0,0,ROUND('Quant. mod. (oc)'!N686,0))</f>
        <v>1</v>
      </c>
      <c r="O686" s="125">
        <f>IF('Quant. mod. (oc)'!O686&lt;0,0,ROUND('Quant. mod. (oc)'!O686,0))</f>
        <v>1</v>
      </c>
      <c r="P686" s="125">
        <f>IF('Quant. mod. (oc)'!P686&lt;0,0,ROUND('Quant. mod. (oc)'!P686,0))</f>
        <v>1</v>
      </c>
      <c r="Q686" s="125">
        <f>IF('Quant. mod. (oc)'!Q686&lt;0,0,ROUND('Quant. mod. (oc)'!Q686,0))</f>
        <v>1</v>
      </c>
      <c r="R686" s="125">
        <f>IF('Quant. mod. (oc)'!R686&lt;0,0,ROUND('Quant. mod. (oc)'!R686,0))</f>
        <v>1</v>
      </c>
      <c r="S686" s="125">
        <f>IF('Quant. mod. (oc)'!S686&lt;0,0,ROUND('Quant. mod. (oc)'!S686,0))</f>
        <v>1</v>
      </c>
      <c r="T686" s="125">
        <f>IF('Quant. mod. (oc)'!T686&lt;0,0,ROUND('Quant. mod. (oc)'!T686,0))</f>
        <v>1</v>
      </c>
      <c r="U686" s="125">
        <f>IF('Quant. mod. (oc)'!U686&lt;0,0,ROUND('Quant. mod. (oc)'!U686,0))</f>
        <v>1</v>
      </c>
      <c r="V686" s="125">
        <f>IF('Quant. mod. (oc)'!V686&lt;0,0,ROUND('Quant. mod. (oc)'!V686,0))</f>
        <v>1</v>
      </c>
      <c r="W686" s="125">
        <f>IF('Quant. mod. (oc)'!W686&lt;0,0,ROUND('Quant. mod. (oc)'!W686,0))</f>
        <v>1</v>
      </c>
      <c r="X686" s="125">
        <f>IF('Quant. mod. (oc)'!X686&lt;0,0,ROUND('Quant. mod. (oc)'!X686,0))</f>
        <v>1</v>
      </c>
      <c r="Y686" s="125">
        <f>IF('Quant. mod. (oc)'!Y686&lt;0,0,ROUND('Quant. mod. (oc)'!Y686,0))</f>
        <v>1</v>
      </c>
      <c r="Z686" s="125">
        <f>IF('Quant. mod. (oc)'!Z686&lt;0,0,ROUND('Quant. mod. (oc)'!Z686,0))</f>
        <v>1</v>
      </c>
      <c r="AA686" s="125">
        <f>IF('Quant. mod. (oc)'!AA686&lt;0,0,ROUND('Quant. mod. (oc)'!AA686,0))</f>
        <v>1</v>
      </c>
      <c r="AB686" s="125">
        <f>IF('Quant. mod. (oc)'!AB686&lt;0,0,ROUND('Quant. mod. (oc)'!AB686,0))</f>
        <v>1</v>
      </c>
      <c r="AC686" s="125">
        <f>IF('Quant. mod. (oc)'!AC686&lt;0,0,ROUND('Quant. mod. (oc)'!AC686,0))</f>
        <v>1</v>
      </c>
      <c r="AD686" s="125">
        <f>IF('Quant. mod. (oc)'!AD686&lt;0,0,ROUND('Quant. mod. (oc)'!AD686,0))</f>
        <v>1</v>
      </c>
      <c r="AE686" s="125">
        <f>IF('Quant. mod. (oc)'!AE686&lt;0,0,ROUND('Quant. mod. (oc)'!AE686,0))</f>
        <v>1</v>
      </c>
      <c r="AF686" s="125">
        <f>IF('Quant. mod. (oc)'!AF686&lt;0,0,ROUND('Quant. mod. (oc)'!AF686,0))</f>
        <v>1</v>
      </c>
      <c r="AG686" s="126">
        <f>IF('Quant. mod. (oc)'!AG686&lt;0,0,ROUND('Quant. mod. (oc)'!AG686,0))</f>
        <v>1</v>
      </c>
      <c r="AH686" s="22"/>
    </row>
    <row r="687" spans="1:34" ht="13.5" thickBot="1" x14ac:dyDescent="0.3">
      <c r="A687" s="21"/>
      <c r="B687" s="142" t="s">
        <v>706</v>
      </c>
      <c r="C687" s="143" t="s">
        <v>60</v>
      </c>
      <c r="D687" s="143">
        <f>IF('Quant. mod. (oc)'!D687&lt;0,0,ROUND('Quant. mod. (oc)'!D687,0))</f>
        <v>2</v>
      </c>
      <c r="E687" s="143">
        <f>IF('Quant. mod. (oc)'!E687&lt;0,0,ROUND('Quant. mod. (oc)'!E687,0))</f>
        <v>2</v>
      </c>
      <c r="F687" s="143">
        <f>IF('Quant. mod. (oc)'!F687&lt;0,0,ROUND('Quant. mod. (oc)'!F687,0))</f>
        <v>2</v>
      </c>
      <c r="G687" s="143">
        <f>IF('Quant. mod. (oc)'!G687&lt;0,0,ROUND('Quant. mod. (oc)'!G687,0))</f>
        <v>2</v>
      </c>
      <c r="H687" s="143">
        <f>IF('Quant. mod. (oc)'!H687&lt;0,0,ROUND('Quant. mod. (oc)'!H687,0))</f>
        <v>2</v>
      </c>
      <c r="I687" s="143">
        <f>IF('Quant. mod. (oc)'!I687&lt;0,0,ROUND('Quant. mod. (oc)'!I687,0))</f>
        <v>2</v>
      </c>
      <c r="J687" s="143">
        <f>IF('Quant. mod. (oc)'!J687&lt;0,0,ROUND('Quant. mod. (oc)'!J687,0))</f>
        <v>2</v>
      </c>
      <c r="K687" s="143">
        <f>IF('Quant. mod. (oc)'!K687&lt;0,0,ROUND('Quant. mod. (oc)'!K687,0))</f>
        <v>2</v>
      </c>
      <c r="L687" s="143">
        <f>IF('Quant. mod. (oc)'!L687&lt;0,0,ROUND('Quant. mod. (oc)'!L687,0))</f>
        <v>2</v>
      </c>
      <c r="M687" s="143">
        <f>IF('Quant. mod. (oc)'!M687&lt;0,0,ROUND('Quant. mod. (oc)'!M687,0))</f>
        <v>2</v>
      </c>
      <c r="N687" s="143">
        <f>IF('Quant. mod. (oc)'!N687&lt;0,0,ROUND('Quant. mod. (oc)'!N687,0))</f>
        <v>2</v>
      </c>
      <c r="O687" s="143">
        <f>IF('Quant. mod. (oc)'!O687&lt;0,0,ROUND('Quant. mod. (oc)'!O687,0))</f>
        <v>2</v>
      </c>
      <c r="P687" s="143">
        <f>IF('Quant. mod. (oc)'!P687&lt;0,0,ROUND('Quant. mod. (oc)'!P687,0))</f>
        <v>2</v>
      </c>
      <c r="Q687" s="143">
        <f>IF('Quant. mod. (oc)'!Q687&lt;0,0,ROUND('Quant. mod. (oc)'!Q687,0))</f>
        <v>2</v>
      </c>
      <c r="R687" s="143">
        <f>IF('Quant. mod. (oc)'!R687&lt;0,0,ROUND('Quant. mod. (oc)'!R687,0))</f>
        <v>2</v>
      </c>
      <c r="S687" s="143">
        <f>IF('Quant. mod. (oc)'!S687&lt;0,0,ROUND('Quant. mod. (oc)'!S687,0))</f>
        <v>2</v>
      </c>
      <c r="T687" s="143">
        <f>IF('Quant. mod. (oc)'!T687&lt;0,0,ROUND('Quant. mod. (oc)'!T687,0))</f>
        <v>2</v>
      </c>
      <c r="U687" s="143">
        <f>IF('Quant. mod. (oc)'!U687&lt;0,0,ROUND('Quant. mod. (oc)'!U687,0))</f>
        <v>2</v>
      </c>
      <c r="V687" s="143">
        <f>IF('Quant. mod. (oc)'!V687&lt;0,0,ROUND('Quant. mod. (oc)'!V687,0))</f>
        <v>2</v>
      </c>
      <c r="W687" s="143">
        <f>IF('Quant. mod. (oc)'!W687&lt;0,0,ROUND('Quant. mod. (oc)'!W687,0))</f>
        <v>2</v>
      </c>
      <c r="X687" s="143">
        <f>IF('Quant. mod. (oc)'!X687&lt;0,0,ROUND('Quant. mod. (oc)'!X687,0))</f>
        <v>2</v>
      </c>
      <c r="Y687" s="143">
        <f>IF('Quant. mod. (oc)'!Y687&lt;0,0,ROUND('Quant. mod. (oc)'!Y687,0))</f>
        <v>2</v>
      </c>
      <c r="Z687" s="143">
        <f>IF('Quant. mod. (oc)'!Z687&lt;0,0,ROUND('Quant. mod. (oc)'!Z687,0))</f>
        <v>2</v>
      </c>
      <c r="AA687" s="143">
        <f>IF('Quant. mod. (oc)'!AA687&lt;0,0,ROUND('Quant. mod. (oc)'!AA687,0))</f>
        <v>2</v>
      </c>
      <c r="AB687" s="143">
        <f>IF('Quant. mod. (oc)'!AB687&lt;0,0,ROUND('Quant. mod. (oc)'!AB687,0))</f>
        <v>2</v>
      </c>
      <c r="AC687" s="143">
        <f>IF('Quant. mod. (oc)'!AC687&lt;0,0,ROUND('Quant. mod. (oc)'!AC687,0))</f>
        <v>2</v>
      </c>
      <c r="AD687" s="143">
        <f>IF('Quant. mod. (oc)'!AD687&lt;0,0,ROUND('Quant. mod. (oc)'!AD687,0))</f>
        <v>2</v>
      </c>
      <c r="AE687" s="143">
        <f>IF('Quant. mod. (oc)'!AE687&lt;0,0,ROUND('Quant. mod. (oc)'!AE687,0))</f>
        <v>2</v>
      </c>
      <c r="AF687" s="143">
        <f>IF('Quant. mod. (oc)'!AF687&lt;0,0,ROUND('Quant. mod. (oc)'!AF687,0))</f>
        <v>2</v>
      </c>
      <c r="AG687" s="144">
        <f>IF('Quant. mod. (oc)'!AG687&lt;0,0,ROUND('Quant. mod. (oc)'!AG687,0))</f>
        <v>2</v>
      </c>
      <c r="AH687" s="22"/>
    </row>
    <row r="688" spans="1:34" x14ac:dyDescent="0.25">
      <c r="A688" s="145"/>
      <c r="B688" s="145"/>
      <c r="C688" s="145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7"/>
    </row>
    <row r="689" spans="4:33" hidden="1" x14ac:dyDescent="0.25"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</row>
    <row r="690" spans="4:33" hidden="1" x14ac:dyDescent="0.25"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</row>
  </sheetData>
  <sheetProtection algorithmName="SHA-512" hashValue="awVX2eA+Hwgt4nWR9fyrSsTv2noLIKzdxXUbngvEWvDghzTfineWD9EmzldHN4f+4HT3Jh3f4/aK2AP3tXqXpQ==" saltValue="sgUGOK5n56J3a4AVsPTU2Q==" spinCount="100000" sheet="1" objects="1" scenarios="1"/>
  <mergeCells count="6">
    <mergeCell ref="X8:AG8"/>
    <mergeCell ref="A1:C2"/>
    <mergeCell ref="B8:B9"/>
    <mergeCell ref="C8:C9"/>
    <mergeCell ref="D8:M8"/>
    <mergeCell ref="N8:W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AJ701"/>
  <sheetViews>
    <sheetView zoomScaleNormal="100" workbookViewId="0">
      <pane xSplit="3" ySplit="9" topLeftCell="F10" activePane="bottomRight" state="frozen"/>
      <selection pane="topRight" activeCell="D1" sqref="D1"/>
      <selection pane="bottomLeft" activeCell="A8" sqref="A8"/>
      <selection pane="bottomRight" activeCell="F10" sqref="F10"/>
    </sheetView>
  </sheetViews>
  <sheetFormatPr defaultColWidth="0" defaultRowHeight="12.75" zeroHeight="1" x14ac:dyDescent="0.25"/>
  <cols>
    <col min="1" max="1" width="10.875" style="109" customWidth="1"/>
    <col min="2" max="2" width="50.875" style="109" customWidth="1"/>
    <col min="3" max="5" width="10.875" style="109" hidden="1" customWidth="1"/>
    <col min="6" max="35" width="11.875" style="109" customWidth="1"/>
    <col min="36" max="36" width="10.875" style="109" customWidth="1"/>
    <col min="37" max="16384" width="10.875" style="109" hidden="1"/>
  </cols>
  <sheetData>
    <row r="1" spans="1:36" ht="12.95" customHeight="1" x14ac:dyDescent="0.25">
      <c r="A1" s="384" t="s">
        <v>759</v>
      </c>
      <c r="B1" s="384"/>
      <c r="C1" s="384"/>
      <c r="D1" s="149"/>
      <c r="E1" s="149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8"/>
    </row>
    <row r="2" spans="1:36" ht="12.95" customHeight="1" x14ac:dyDescent="0.25">
      <c r="A2" s="386"/>
      <c r="B2" s="386"/>
      <c r="C2" s="386"/>
      <c r="D2" s="150"/>
      <c r="E2" s="15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14.1" customHeight="1" thickBot="1" x14ac:dyDescent="0.3">
      <c r="A3" s="151"/>
      <c r="B3" s="151"/>
      <c r="C3" s="151"/>
      <c r="D3" s="151"/>
      <c r="E3" s="15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152"/>
    </row>
    <row r="4" spans="1:36" x14ac:dyDescent="0.25">
      <c r="A4" s="112"/>
      <c r="B4" s="113" t="s">
        <v>496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22"/>
    </row>
    <row r="5" spans="1:36" ht="13.5" thickBot="1" x14ac:dyDescent="0.3">
      <c r="A5" s="112"/>
      <c r="B5" s="114">
        <f>'Dados (F)'!$C$14</f>
        <v>10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22"/>
    </row>
    <row r="6" spans="1:36" x14ac:dyDescent="0.25">
      <c r="A6" s="112"/>
      <c r="B6" s="112" t="s">
        <v>497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22"/>
    </row>
    <row r="7" spans="1:36" ht="13.5" thickBot="1" x14ac:dyDescent="0.3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22"/>
    </row>
    <row r="8" spans="1:36" x14ac:dyDescent="0.25">
      <c r="A8" s="112"/>
      <c r="B8" s="395" t="s">
        <v>52</v>
      </c>
      <c r="C8" s="393" t="s">
        <v>53</v>
      </c>
      <c r="D8" s="393" t="s">
        <v>719</v>
      </c>
      <c r="E8" s="393" t="s">
        <v>720</v>
      </c>
      <c r="F8" s="393" t="s">
        <v>707</v>
      </c>
      <c r="G8" s="393"/>
      <c r="H8" s="393"/>
      <c r="I8" s="393"/>
      <c r="J8" s="393"/>
      <c r="K8" s="393"/>
      <c r="L8" s="393"/>
      <c r="M8" s="393"/>
      <c r="N8" s="393"/>
      <c r="O8" s="393"/>
      <c r="P8" s="393" t="s">
        <v>708</v>
      </c>
      <c r="Q8" s="393"/>
      <c r="R8" s="393"/>
      <c r="S8" s="393"/>
      <c r="T8" s="393"/>
      <c r="U8" s="393"/>
      <c r="V8" s="393"/>
      <c r="W8" s="393"/>
      <c r="X8" s="393"/>
      <c r="Y8" s="393"/>
      <c r="Z8" s="393" t="s">
        <v>709</v>
      </c>
      <c r="AA8" s="393"/>
      <c r="AB8" s="393"/>
      <c r="AC8" s="393"/>
      <c r="AD8" s="393"/>
      <c r="AE8" s="393"/>
      <c r="AF8" s="393"/>
      <c r="AG8" s="393"/>
      <c r="AH8" s="393"/>
      <c r="AI8" s="394"/>
      <c r="AJ8" s="22"/>
    </row>
    <row r="9" spans="1:36" ht="13.5" thickBot="1" x14ac:dyDescent="0.3">
      <c r="A9" s="112"/>
      <c r="B9" s="396"/>
      <c r="C9" s="369"/>
      <c r="D9" s="369"/>
      <c r="E9" s="369"/>
      <c r="F9" s="115" t="s">
        <v>466</v>
      </c>
      <c r="G9" s="115" t="s">
        <v>467</v>
      </c>
      <c r="H9" s="115" t="s">
        <v>468</v>
      </c>
      <c r="I9" s="115" t="s">
        <v>469</v>
      </c>
      <c r="J9" s="115" t="s">
        <v>470</v>
      </c>
      <c r="K9" s="115" t="s">
        <v>471</v>
      </c>
      <c r="L9" s="115" t="s">
        <v>472</v>
      </c>
      <c r="M9" s="115" t="s">
        <v>473</v>
      </c>
      <c r="N9" s="115" t="s">
        <v>474</v>
      </c>
      <c r="O9" s="115" t="s">
        <v>475</v>
      </c>
      <c r="P9" s="115" t="s">
        <v>476</v>
      </c>
      <c r="Q9" s="115" t="s">
        <v>477</v>
      </c>
      <c r="R9" s="115" t="s">
        <v>478</v>
      </c>
      <c r="S9" s="115" t="s">
        <v>479</v>
      </c>
      <c r="T9" s="115" t="s">
        <v>480</v>
      </c>
      <c r="U9" s="115" t="s">
        <v>481</v>
      </c>
      <c r="V9" s="115" t="s">
        <v>482</v>
      </c>
      <c r="W9" s="115" t="s">
        <v>483</v>
      </c>
      <c r="X9" s="115" t="s">
        <v>484</v>
      </c>
      <c r="Y9" s="115" t="s">
        <v>485</v>
      </c>
      <c r="Z9" s="115" t="s">
        <v>486</v>
      </c>
      <c r="AA9" s="115" t="s">
        <v>487</v>
      </c>
      <c r="AB9" s="115" t="s">
        <v>488</v>
      </c>
      <c r="AC9" s="115" t="s">
        <v>489</v>
      </c>
      <c r="AD9" s="115" t="s">
        <v>490</v>
      </c>
      <c r="AE9" s="115" t="s">
        <v>491</v>
      </c>
      <c r="AF9" s="115" t="s">
        <v>492</v>
      </c>
      <c r="AG9" s="115" t="s">
        <v>493</v>
      </c>
      <c r="AH9" s="115" t="s">
        <v>494</v>
      </c>
      <c r="AI9" s="116" t="s">
        <v>495</v>
      </c>
      <c r="AJ9" s="22"/>
    </row>
    <row r="10" spans="1:36" x14ac:dyDescent="0.25">
      <c r="A10" s="112"/>
      <c r="B10" s="117" t="s">
        <v>521</v>
      </c>
      <c r="C10" s="118"/>
      <c r="D10" s="153"/>
      <c r="E10" s="154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J10" s="22"/>
    </row>
    <row r="11" spans="1:36" x14ac:dyDescent="0.25">
      <c r="A11" s="112"/>
      <c r="B11" s="120" t="s">
        <v>498</v>
      </c>
      <c r="C11" s="121"/>
      <c r="D11" s="155"/>
      <c r="E11" s="156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  <c r="AJ11" s="22"/>
    </row>
    <row r="12" spans="1:36" x14ac:dyDescent="0.25">
      <c r="A12" s="112"/>
      <c r="B12" s="124" t="s">
        <v>502</v>
      </c>
      <c r="C12" s="67" t="s">
        <v>57</v>
      </c>
      <c r="D12" s="157">
        <f>'Dados (F)'!$D$129</f>
        <v>37.18</v>
      </c>
      <c r="E12" s="125">
        <f>IF('Dados (F)'!$D$35=1,1,'Dados (F)'!$C$39)</f>
        <v>1</v>
      </c>
      <c r="F12" s="157">
        <f>'Quantitativos (A)'!D12*$D12*$E12</f>
        <v>37737.699999999997</v>
      </c>
      <c r="G12" s="157">
        <f>'Quantitativos (A)'!E12*$D12*$E12</f>
        <v>45285.24</v>
      </c>
      <c r="H12" s="157">
        <f>'Quantitativos (A)'!F12*$D12*$E12</f>
        <v>45507.204599999997</v>
      </c>
      <c r="I12" s="157">
        <f>'Quantitativos (A)'!G12*$D12*$E12</f>
        <v>37737.699999999997</v>
      </c>
      <c r="J12" s="157">
        <f>'Quantitativos (A)'!H12*$D12*$E12</f>
        <v>45285.24</v>
      </c>
      <c r="K12" s="157">
        <f>'Quantitativos (A)'!I12*$D12*$E12</f>
        <v>45508.32</v>
      </c>
      <c r="L12" s="157">
        <f>'Quantitativos (A)'!J12*$D12*$E12</f>
        <v>37737.699999999997</v>
      </c>
      <c r="M12" s="157">
        <f>'Quantitativos (A)'!K12*$D12*$E12</f>
        <v>45508.32</v>
      </c>
      <c r="N12" s="157">
        <f>'Quantitativos (A)'!L12*$D12*$E12</f>
        <v>37737.699999999997</v>
      </c>
      <c r="O12" s="157">
        <f>'Quantitativos (A)'!M12*$D12*$E12</f>
        <v>46475</v>
      </c>
      <c r="P12" s="157">
        <f>'Quantitativos (A)'!N12*$D12*$E12</f>
        <v>39039</v>
      </c>
      <c r="Q12" s="157">
        <f>'Quantitativos (A)'!O12*$D12*$E12</f>
        <v>39894.14</v>
      </c>
      <c r="R12" s="157">
        <f>'Quantitativos (A)'!P12*$D12*$E12</f>
        <v>43649.32</v>
      </c>
      <c r="S12" s="157">
        <f>'Quantitativos (A)'!Q12*$D12*$E12</f>
        <v>39039</v>
      </c>
      <c r="T12" s="157">
        <f>'Quantitativos (A)'!R12*$D12*$E12</f>
        <v>40972.36</v>
      </c>
      <c r="U12" s="157">
        <f>'Quantitativos (A)'!S12*$D12*$E12</f>
        <v>43649.32</v>
      </c>
      <c r="V12" s="157">
        <f>'Quantitativos (A)'!T12*$D12*$E12</f>
        <v>39039</v>
      </c>
      <c r="W12" s="157">
        <f>'Quantitativos (A)'!U12*$D12*$E12</f>
        <v>43650.435400000002</v>
      </c>
      <c r="X12" s="157">
        <f>'Quantitativos (A)'!V12*$D12*$E12</f>
        <v>39039</v>
      </c>
      <c r="Y12" s="157">
        <f>'Quantitativos (A)'!W12*$D12*$E12</f>
        <v>43650.435400000002</v>
      </c>
      <c r="Z12" s="157">
        <f>'Quantitativos (A)'!X12*$D12*$E12</f>
        <v>37737.699999999997</v>
      </c>
      <c r="AA12" s="157">
        <f>'Quantitativos (A)'!Y12*$D12*$E12</f>
        <v>38518.480000000003</v>
      </c>
      <c r="AB12" s="157">
        <f>'Quantitativos (A)'!Z12*$D12*$E12</f>
        <v>40600.559999999998</v>
      </c>
      <c r="AC12" s="157">
        <f>'Quantitativos (A)'!AA12*$D12*$E12</f>
        <v>36659.480000000003</v>
      </c>
      <c r="AD12" s="157">
        <f>'Quantitativos (A)'!AB12*$D12*$E12</f>
        <v>39559.519999999997</v>
      </c>
      <c r="AE12" s="157">
        <f>'Quantitativos (A)'!AC12*$D12*$E12</f>
        <v>40600.559999999998</v>
      </c>
      <c r="AF12" s="157">
        <f>'Quantitativos (A)'!AD12*$D12*$E12</f>
        <v>37737.699999999997</v>
      </c>
      <c r="AG12" s="157">
        <f>'Quantitativos (A)'!AE12*$D12*$E12</f>
        <v>40600.559999999998</v>
      </c>
      <c r="AH12" s="157">
        <f>'Quantitativos (A)'!AF12*$D12*$E12</f>
        <v>40600.559999999998</v>
      </c>
      <c r="AI12" s="158">
        <f>'Quantitativos (A)'!AG12*$D12*$E12</f>
        <v>41492.879999999997</v>
      </c>
      <c r="AJ12" s="22"/>
    </row>
    <row r="13" spans="1:36" x14ac:dyDescent="0.25">
      <c r="A13" s="112"/>
      <c r="B13" s="124" t="s">
        <v>503</v>
      </c>
      <c r="C13" s="67" t="s">
        <v>57</v>
      </c>
      <c r="D13" s="157">
        <f>'Dados (F)'!$D$129</f>
        <v>37.18</v>
      </c>
      <c r="E13" s="125">
        <f>IF('Dados (F)'!$D$35=1,1,'Dados (F)'!$C$39)</f>
        <v>1</v>
      </c>
      <c r="F13" s="157">
        <f>'Quantitativos (A)'!D13*$D13*$E13</f>
        <v>28628.6</v>
      </c>
      <c r="G13" s="157">
        <f>'Quantitativos (A)'!E13*$D13*$E13</f>
        <v>43723.68</v>
      </c>
      <c r="H13" s="157">
        <f>'Quantitativos (A)'!F13*$D13*$E13</f>
        <v>5353.92</v>
      </c>
      <c r="I13" s="157">
        <f>'Quantitativos (A)'!G13*$D13*$E13</f>
        <v>28628.6</v>
      </c>
      <c r="J13" s="157">
        <f>'Quantitativos (A)'!H13*$D13*$E13</f>
        <v>43723.68</v>
      </c>
      <c r="K13" s="157">
        <f>'Quantitativos (A)'!I13*$D13*$E13</f>
        <v>5353.92</v>
      </c>
      <c r="L13" s="157">
        <f>'Quantitativos (A)'!J13*$D13*$E13</f>
        <v>28628.6</v>
      </c>
      <c r="M13" s="157">
        <f>'Quantitativos (A)'!K13*$D13*$E13</f>
        <v>5353.92</v>
      </c>
      <c r="N13" s="157">
        <f>'Quantitativos (A)'!L13*$D13*$E13</f>
        <v>28628.6</v>
      </c>
      <c r="O13" s="157">
        <f>'Quantitativos (A)'!M13*$D13*$E13</f>
        <v>5800.08</v>
      </c>
      <c r="P13" s="157">
        <f>'Quantitativos (A)'!N13*$D13*$E13</f>
        <v>23423.4</v>
      </c>
      <c r="Q13" s="157">
        <f>'Quantitativos (A)'!O13*$D13*$E13</f>
        <v>31640.18</v>
      </c>
      <c r="R13" s="157">
        <f>'Quantitativos (A)'!P13*$D13*$E13</f>
        <v>5800.08</v>
      </c>
      <c r="S13" s="157">
        <f>'Quantitativos (A)'!Q13*$D13*$E13</f>
        <v>23423.4</v>
      </c>
      <c r="T13" s="157">
        <f>'Quantitativos (A)'!R13*$D13*$E13</f>
        <v>32495.32</v>
      </c>
      <c r="U13" s="157">
        <f>'Quantitativos (A)'!S13*$D13*$E13</f>
        <v>5800.08</v>
      </c>
      <c r="V13" s="157">
        <f>'Quantitativos (A)'!T13*$D13*$E13</f>
        <v>23423.4</v>
      </c>
      <c r="W13" s="157">
        <f>'Quantitativos (A)'!U13*$D13*$E13</f>
        <v>5800.08</v>
      </c>
      <c r="X13" s="157">
        <f>'Quantitativos (A)'!V13*$D13*$E13</f>
        <v>23423.4</v>
      </c>
      <c r="Y13" s="157">
        <f>'Quantitativos (A)'!W13*$D13*$E13</f>
        <v>5800.08</v>
      </c>
      <c r="Z13" s="157">
        <f>'Quantitativos (A)'!X13*$D13*$E13</f>
        <v>23423.4</v>
      </c>
      <c r="AA13" s="157">
        <f>'Quantitativos (A)'!Y13*$D13*$E13</f>
        <v>31640.18</v>
      </c>
      <c r="AB13" s="157">
        <f>'Quantitativos (A)'!Z13*$D13*$E13</f>
        <v>4907.76</v>
      </c>
      <c r="AC13" s="157">
        <f>'Quantitativos (A)'!AA13*$D13*$E13</f>
        <v>22754.16</v>
      </c>
      <c r="AD13" s="157">
        <f>'Quantitativos (A)'!AB13*$D13*$E13</f>
        <v>32495.32</v>
      </c>
      <c r="AE13" s="157">
        <f>'Quantitativos (A)'!AC13*$D13*$E13</f>
        <v>4907.76</v>
      </c>
      <c r="AF13" s="157">
        <f>'Quantitativos (A)'!AD13*$D13*$E13</f>
        <v>23423.4</v>
      </c>
      <c r="AG13" s="157">
        <f>'Quantitativos (A)'!AE13*$D13*$E13</f>
        <v>4907.76</v>
      </c>
      <c r="AH13" s="157">
        <f>'Quantitativos (A)'!AF13*$D13*$E13</f>
        <v>4907.76</v>
      </c>
      <c r="AI13" s="158">
        <f>'Quantitativos (A)'!AG13*$D13*$E13</f>
        <v>5353.92</v>
      </c>
      <c r="AJ13" s="22"/>
    </row>
    <row r="14" spans="1:36" x14ac:dyDescent="0.25">
      <c r="A14" s="112"/>
      <c r="B14" s="120" t="s">
        <v>499</v>
      </c>
      <c r="C14" s="121"/>
      <c r="D14" s="155"/>
      <c r="E14" s="156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0"/>
      <c r="AJ14" s="22"/>
    </row>
    <row r="15" spans="1:36" x14ac:dyDescent="0.25">
      <c r="A15" s="112"/>
      <c r="B15" s="120" t="s">
        <v>500</v>
      </c>
      <c r="C15" s="121"/>
      <c r="D15" s="155"/>
      <c r="E15" s="156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0"/>
      <c r="AJ15" s="22"/>
    </row>
    <row r="16" spans="1:36" ht="25.5" x14ac:dyDescent="0.25">
      <c r="A16" s="112"/>
      <c r="B16" s="129" t="s">
        <v>505</v>
      </c>
      <c r="C16" s="67" t="s">
        <v>57</v>
      </c>
      <c r="D16" s="157">
        <f>'Dados (F)'!$D$58</f>
        <v>0.35</v>
      </c>
      <c r="E16" s="125">
        <f>IF('Dados (F)'!$D$35=1,1,IF('Dados (F)'!$D$35=2,'Dados (F)'!$C$39,1))</f>
        <v>1</v>
      </c>
      <c r="F16" s="157">
        <f>'Quantitativos (A)'!D16*$D16*$E16</f>
        <v>355.25</v>
      </c>
      <c r="G16" s="157">
        <f>'Quantitativos (A)'!E16*$D16*$E16</f>
        <v>426.29999999999995</v>
      </c>
      <c r="H16" s="157">
        <f>'Quantitativos (A)'!F16*$D16*$E16</f>
        <v>428.3895</v>
      </c>
      <c r="I16" s="157">
        <f>'Quantitativos (A)'!G16*$D16*$E16</f>
        <v>355.25</v>
      </c>
      <c r="J16" s="157">
        <f>'Quantitativos (A)'!H16*$D16*$E16</f>
        <v>426.29999999999995</v>
      </c>
      <c r="K16" s="157">
        <f>'Quantitativos (A)'!I16*$D16*$E16</f>
        <v>428.4</v>
      </c>
      <c r="L16" s="157">
        <f>'Quantitativos (A)'!J16*$D16*$E16</f>
        <v>355.25</v>
      </c>
      <c r="M16" s="157">
        <f>'Quantitativos (A)'!K16*$D16*$E16</f>
        <v>428.4</v>
      </c>
      <c r="N16" s="157">
        <f>'Quantitativos (A)'!L16*$D16*$E16</f>
        <v>355.25</v>
      </c>
      <c r="O16" s="157">
        <f>'Quantitativos (A)'!M16*$D16*$E16</f>
        <v>437.5</v>
      </c>
      <c r="P16" s="157">
        <f>'Quantitativos (A)'!N16*$D16*$E16</f>
        <v>367.5</v>
      </c>
      <c r="Q16" s="157">
        <f>'Quantitativos (A)'!O16*$D16*$E16</f>
        <v>375.54999999999995</v>
      </c>
      <c r="R16" s="157">
        <f>'Quantitativos (A)'!P16*$D16*$E16</f>
        <v>410.9</v>
      </c>
      <c r="S16" s="157">
        <f>'Quantitativos (A)'!Q16*$D16*$E16</f>
        <v>367.5</v>
      </c>
      <c r="T16" s="157">
        <f>'Quantitativos (A)'!R16*$D16*$E16</f>
        <v>385.7</v>
      </c>
      <c r="U16" s="157">
        <f>'Quantitativos (A)'!S16*$D16*$E16</f>
        <v>410.9</v>
      </c>
      <c r="V16" s="157">
        <f>'Quantitativos (A)'!T16*$D16*$E16</f>
        <v>367.5</v>
      </c>
      <c r="W16" s="157">
        <f>'Quantitativos (A)'!U16*$D16*$E16</f>
        <v>410.91049999999996</v>
      </c>
      <c r="X16" s="157">
        <f>'Quantitativos (A)'!V16*$D16*$E16</f>
        <v>367.5</v>
      </c>
      <c r="Y16" s="157">
        <f>'Quantitativos (A)'!W16*$D16*$E16</f>
        <v>410.91049999999996</v>
      </c>
      <c r="Z16" s="157">
        <f>'Quantitativos (A)'!X16*$D16*$E16</f>
        <v>355.25</v>
      </c>
      <c r="AA16" s="157">
        <f>'Quantitativos (A)'!Y16*$D16*$E16</f>
        <v>362.59999999999997</v>
      </c>
      <c r="AB16" s="157">
        <f>'Quantitativos (A)'!Z16*$D16*$E16</f>
        <v>382.2</v>
      </c>
      <c r="AC16" s="157">
        <f>'Quantitativos (A)'!AA16*$D16*$E16</f>
        <v>345.09999999999997</v>
      </c>
      <c r="AD16" s="157">
        <f>'Quantitativos (A)'!AB16*$D16*$E16</f>
        <v>372.4</v>
      </c>
      <c r="AE16" s="157">
        <f>'Quantitativos (A)'!AC16*$D16*$E16</f>
        <v>382.2</v>
      </c>
      <c r="AF16" s="157">
        <f>'Quantitativos (A)'!AD16*$D16*$E16</f>
        <v>355.25</v>
      </c>
      <c r="AG16" s="157">
        <f>'Quantitativos (A)'!AE16*$D16*$E16</f>
        <v>382.2</v>
      </c>
      <c r="AH16" s="157">
        <f>'Quantitativos (A)'!AF16*$D16*$E16</f>
        <v>382.2</v>
      </c>
      <c r="AI16" s="158">
        <f>'Quantitativos (A)'!AG16*$D16*$E16</f>
        <v>390.59999999999997</v>
      </c>
      <c r="AJ16" s="22"/>
    </row>
    <row r="17" spans="1:36" x14ac:dyDescent="0.25">
      <c r="A17" s="112"/>
      <c r="B17" s="129" t="s">
        <v>58</v>
      </c>
      <c r="C17" s="67" t="s">
        <v>57</v>
      </c>
      <c r="D17" s="157">
        <f>'Dados (F)'!$D$59</f>
        <v>4.8899999999999997</v>
      </c>
      <c r="E17" s="125">
        <f>IF('Dados (F)'!$D$35=1,1,IF('Dados (F)'!$D$35=2,'Dados (F)'!$C$39,1))</f>
        <v>1</v>
      </c>
      <c r="F17" s="157">
        <f>'Quantitativos (A)'!D17*$D17*$E17</f>
        <v>4963.3499999999995</v>
      </c>
      <c r="G17" s="157">
        <f>'Quantitativos (A)'!E17*$D17*$E17</f>
        <v>5956.0199999999995</v>
      </c>
      <c r="H17" s="157">
        <f>'Quantitativos (A)'!F17*$D17*$E17</f>
        <v>5985.2132999999994</v>
      </c>
      <c r="I17" s="157">
        <f>'Quantitativos (A)'!G17*$D17*$E17</f>
        <v>4963.3499999999995</v>
      </c>
      <c r="J17" s="157">
        <f>'Quantitativos (A)'!H17*$D17*$E17</f>
        <v>5956.0199999999995</v>
      </c>
      <c r="K17" s="157">
        <f>'Quantitativos (A)'!I17*$D17*$E17</f>
        <v>5985.36</v>
      </c>
      <c r="L17" s="157">
        <f>'Quantitativos (A)'!J17*$D17*$E17</f>
        <v>4963.3499999999995</v>
      </c>
      <c r="M17" s="157">
        <f>'Quantitativos (A)'!K17*$D17*$E17</f>
        <v>5985.36</v>
      </c>
      <c r="N17" s="157">
        <f>'Quantitativos (A)'!L17*$D17*$E17</f>
        <v>4963.3499999999995</v>
      </c>
      <c r="O17" s="157">
        <f>'Quantitativos (A)'!M17*$D17*$E17</f>
        <v>6112.5</v>
      </c>
      <c r="P17" s="157">
        <f>'Quantitativos (A)'!N17*$D17*$E17</f>
        <v>5134.5</v>
      </c>
      <c r="Q17" s="157">
        <f>'Quantitativos (A)'!O17*$D17*$E17</f>
        <v>5246.9699999999993</v>
      </c>
      <c r="R17" s="157">
        <f>'Quantitativos (A)'!P17*$D17*$E17</f>
        <v>5740.86</v>
      </c>
      <c r="S17" s="157">
        <f>'Quantitativos (A)'!Q17*$D17*$E17</f>
        <v>5134.5</v>
      </c>
      <c r="T17" s="157">
        <f>'Quantitativos (A)'!R17*$D17*$E17</f>
        <v>5388.78</v>
      </c>
      <c r="U17" s="157">
        <f>'Quantitativos (A)'!S17*$D17*$E17</f>
        <v>5740.86</v>
      </c>
      <c r="V17" s="157">
        <f>'Quantitativos (A)'!T17*$D17*$E17</f>
        <v>5134.5</v>
      </c>
      <c r="W17" s="157">
        <f>'Quantitativos (A)'!U17*$D17*$E17</f>
        <v>5741.0066999999999</v>
      </c>
      <c r="X17" s="157">
        <f>'Quantitativos (A)'!V17*$D17*$E17</f>
        <v>5134.5</v>
      </c>
      <c r="Y17" s="157">
        <f>'Quantitativos (A)'!W17*$D17*$E17</f>
        <v>5741.0066999999999</v>
      </c>
      <c r="Z17" s="157">
        <f>'Quantitativos (A)'!X17*$D17*$E17</f>
        <v>4963.3499999999995</v>
      </c>
      <c r="AA17" s="157">
        <f>'Quantitativos (A)'!Y17*$D17*$E17</f>
        <v>5066.04</v>
      </c>
      <c r="AB17" s="157">
        <f>'Quantitativos (A)'!Z17*$D17*$E17</f>
        <v>5339.8799999999992</v>
      </c>
      <c r="AC17" s="157">
        <f>'Quantitativos (A)'!AA17*$D17*$E17</f>
        <v>4821.54</v>
      </c>
      <c r="AD17" s="157">
        <f>'Quantitativos (A)'!AB17*$D17*$E17</f>
        <v>5202.96</v>
      </c>
      <c r="AE17" s="157">
        <f>'Quantitativos (A)'!AC17*$D17*$E17</f>
        <v>5339.8799999999992</v>
      </c>
      <c r="AF17" s="157">
        <f>'Quantitativos (A)'!AD17*$D17*$E17</f>
        <v>4963.3499999999995</v>
      </c>
      <c r="AG17" s="157">
        <f>'Quantitativos (A)'!AE17*$D17*$E17</f>
        <v>5339.8799999999992</v>
      </c>
      <c r="AH17" s="157">
        <f>'Quantitativos (A)'!AF17*$D17*$E17</f>
        <v>5339.8799999999992</v>
      </c>
      <c r="AI17" s="158">
        <f>'Quantitativos (A)'!AG17*$D17*$E17</f>
        <v>5457.24</v>
      </c>
      <c r="AJ17" s="22"/>
    </row>
    <row r="18" spans="1:36" ht="38.25" x14ac:dyDescent="0.25">
      <c r="A18" s="112"/>
      <c r="B18" s="129" t="s">
        <v>292</v>
      </c>
      <c r="C18" s="67" t="s">
        <v>57</v>
      </c>
      <c r="D18" s="157">
        <f>'Dados (F)'!$D$109</f>
        <v>300.89</v>
      </c>
      <c r="E18" s="125">
        <f>IF('Dados (F)'!$D$35=1,1,IF('Dados (F)'!$D$35=2,'Dados (F)'!$C$39,1))</f>
        <v>1</v>
      </c>
      <c r="F18" s="157">
        <f>'Quantitativos (A)'!D18*$D18*$E18</f>
        <v>55604.472000000002</v>
      </c>
      <c r="G18" s="157">
        <f>'Quantitativos (A)'!E18*$D18*$E18</f>
        <v>60027.555</v>
      </c>
      <c r="H18" s="157">
        <f>'Quantitativos (A)'!F18*$D18*$E18</f>
        <v>75192.410999999993</v>
      </c>
      <c r="I18" s="157">
        <f>'Quantitativos (A)'!G18*$D18*$E18</f>
        <v>55604.471999999994</v>
      </c>
      <c r="J18" s="157">
        <f>'Quantitativos (A)'!H18*$D18*$E18</f>
        <v>60027.555</v>
      </c>
      <c r="K18" s="157">
        <f>'Quantitativos (A)'!I18*$D18*$E18</f>
        <v>75192.410999999993</v>
      </c>
      <c r="L18" s="157">
        <f>'Quantitativos (A)'!J18*$D18*$E18</f>
        <v>55604.472000000002</v>
      </c>
      <c r="M18" s="157">
        <f>'Quantitativos (A)'!K18*$D18*$E18</f>
        <v>75192.410999999993</v>
      </c>
      <c r="N18" s="157">
        <f>'Quantitativos (A)'!L18*$D18*$E18</f>
        <v>55604.471999999994</v>
      </c>
      <c r="O18" s="157">
        <f>'Quantitativos (A)'!M18*$D18*$E18</f>
        <v>75824.28</v>
      </c>
      <c r="P18" s="157">
        <f>'Quantitativos (A)'!N18*$D18*$E18</f>
        <v>56868.21</v>
      </c>
      <c r="Q18" s="157">
        <f>'Quantitativos (A)'!O18*$D18*$E18</f>
        <v>56868.21</v>
      </c>
      <c r="R18" s="157">
        <f>'Quantitativos (A)'!P18*$D18*$E18</f>
        <v>73296.803999999989</v>
      </c>
      <c r="S18" s="157">
        <f>'Quantitativos (A)'!Q18*$D18*$E18</f>
        <v>56868.21</v>
      </c>
      <c r="T18" s="157">
        <f>'Quantitativos (A)'!R18*$D18*$E18</f>
        <v>57500.078999999932</v>
      </c>
      <c r="U18" s="157">
        <f>'Quantitativos (A)'!S18*$D18*$E18</f>
        <v>73296.803999999989</v>
      </c>
      <c r="V18" s="157">
        <f>'Quantitativos (A)'!T18*$D18*$E18</f>
        <v>56868.21</v>
      </c>
      <c r="W18" s="157">
        <f>'Quantitativos (A)'!U18*$D18*$E18</f>
        <v>73296.804000000004</v>
      </c>
      <c r="X18" s="157">
        <f>'Quantitativos (A)'!V18*$D18*$E18</f>
        <v>56868.21</v>
      </c>
      <c r="Y18" s="157">
        <f>'Quantitativos (A)'!W18*$D18*$E18</f>
        <v>73296.804000000004</v>
      </c>
      <c r="Z18" s="157">
        <f>'Quantitativos (A)'!X18*$D18*$E18</f>
        <v>55604.472000000111</v>
      </c>
      <c r="AA18" s="157">
        <f>'Quantitativos (A)'!Y18*$D18*$E18</f>
        <v>55604.472000000002</v>
      </c>
      <c r="AB18" s="157">
        <f>'Quantitativos (A)'!Z18*$D18*$E18</f>
        <v>70769.327999999994</v>
      </c>
      <c r="AC18" s="157">
        <f>'Quantitativos (A)'!AA18*$D18*$E18</f>
        <v>54972.602999999996</v>
      </c>
      <c r="AD18" s="157">
        <f>'Quantitativos (A)'!AB18*$D18*$E18</f>
        <v>56236.341</v>
      </c>
      <c r="AE18" s="157">
        <f>'Quantitativos (A)'!AC18*$D18*$E18</f>
        <v>70769.328000000009</v>
      </c>
      <c r="AF18" s="157">
        <f>'Quantitativos (A)'!AD18*$D18*$E18</f>
        <v>55604.472000000111</v>
      </c>
      <c r="AG18" s="157">
        <f>'Quantitativos (A)'!AE18*$D18*$E18</f>
        <v>70769.328000000009</v>
      </c>
      <c r="AH18" s="157">
        <f>'Quantitativos (A)'!AF18*$D18*$E18</f>
        <v>70769.328000000009</v>
      </c>
      <c r="AI18" s="158">
        <f>'Quantitativos (A)'!AG18*$D18*$E18</f>
        <v>71401.197</v>
      </c>
      <c r="AJ18" s="22"/>
    </row>
    <row r="19" spans="1:36" ht="25.5" x14ac:dyDescent="0.25">
      <c r="A19" s="112"/>
      <c r="B19" s="129" t="s">
        <v>76</v>
      </c>
      <c r="C19" s="67" t="s">
        <v>57</v>
      </c>
      <c r="D19" s="157">
        <f>'Dados (F)'!$D$60</f>
        <v>805.46</v>
      </c>
      <c r="E19" s="125">
        <f>IF('Dados (F)'!$D$35=1,1,IF('Dados (F)'!$D$35=2,'Dados (F)'!$C$39,1))</f>
        <v>1</v>
      </c>
      <c r="F19" s="157">
        <f>'Quantitativos (A)'!D19*$D19*$E19</f>
        <v>6765.8640000000005</v>
      </c>
      <c r="G19" s="157">
        <f>'Quantitativos (A)'!E19*$D19*$E19</f>
        <v>6765.8640000000005</v>
      </c>
      <c r="H19" s="157">
        <f>'Quantitativos (A)'!F19*$D19*$E19</f>
        <v>6765.8640000000005</v>
      </c>
      <c r="I19" s="157">
        <f>'Quantitativos (A)'!G19*$D19*$E19</f>
        <v>6765.8640000000005</v>
      </c>
      <c r="J19" s="157">
        <f>'Quantitativos (A)'!H19*$D19*$E19</f>
        <v>6765.8640000000005</v>
      </c>
      <c r="K19" s="157">
        <f>'Quantitativos (A)'!I19*$D19*$E19</f>
        <v>6765.8640000000005</v>
      </c>
      <c r="L19" s="157">
        <f>'Quantitativos (A)'!J19*$D19*$E19</f>
        <v>6765.8640000000005</v>
      </c>
      <c r="M19" s="157">
        <f>'Quantitativos (A)'!K19*$D19*$E19</f>
        <v>6765.8640000000005</v>
      </c>
      <c r="N19" s="157">
        <f>'Quantitativos (A)'!L19*$D19*$E19</f>
        <v>6765.8640000000005</v>
      </c>
      <c r="O19" s="157">
        <f>'Quantitativos (A)'!M19*$D19*$E19</f>
        <v>6765.8640000000005</v>
      </c>
      <c r="P19" s="157">
        <f>'Quantitativos (A)'!N19*$D19*$E19</f>
        <v>6765.8640000000005</v>
      </c>
      <c r="Q19" s="157">
        <f>'Quantitativos (A)'!O19*$D19*$E19</f>
        <v>6765.8640000000005</v>
      </c>
      <c r="R19" s="157">
        <f>'Quantitativos (A)'!P19*$D19*$E19</f>
        <v>6765.8640000000005</v>
      </c>
      <c r="S19" s="157">
        <f>'Quantitativos (A)'!Q19*$D19*$E19</f>
        <v>6765.8640000000005</v>
      </c>
      <c r="T19" s="157">
        <f>'Quantitativos (A)'!R19*$D19*$E19</f>
        <v>6765.8640000000005</v>
      </c>
      <c r="U19" s="157">
        <f>'Quantitativos (A)'!S19*$D19*$E19</f>
        <v>6765.8640000000005</v>
      </c>
      <c r="V19" s="157">
        <f>'Quantitativos (A)'!T19*$D19*$E19</f>
        <v>6765.8640000000005</v>
      </c>
      <c r="W19" s="157">
        <f>'Quantitativos (A)'!U19*$D19*$E19</f>
        <v>6765.8640000000005</v>
      </c>
      <c r="X19" s="157">
        <f>'Quantitativos (A)'!V19*$D19*$E19</f>
        <v>6765.8640000000005</v>
      </c>
      <c r="Y19" s="157">
        <f>'Quantitativos (A)'!W19*$D19*$E19</f>
        <v>6765.8640000000005</v>
      </c>
      <c r="Z19" s="157">
        <f>'Quantitativos (A)'!X19*$D19*$E19</f>
        <v>6765.8640000000005</v>
      </c>
      <c r="AA19" s="157">
        <f>'Quantitativos (A)'!Y19*$D19*$E19</f>
        <v>6765.8640000000005</v>
      </c>
      <c r="AB19" s="157">
        <f>'Quantitativos (A)'!Z19*$D19*$E19</f>
        <v>6765.8640000000005</v>
      </c>
      <c r="AC19" s="157">
        <f>'Quantitativos (A)'!AA19*$D19*$E19</f>
        <v>6765.8640000000005</v>
      </c>
      <c r="AD19" s="157">
        <f>'Quantitativos (A)'!AB19*$D19*$E19</f>
        <v>6765.8640000000005</v>
      </c>
      <c r="AE19" s="157">
        <f>'Quantitativos (A)'!AC19*$D19*$E19</f>
        <v>6765.8640000000005</v>
      </c>
      <c r="AF19" s="157">
        <f>'Quantitativos (A)'!AD19*$D19*$E19</f>
        <v>6765.8640000000005</v>
      </c>
      <c r="AG19" s="157">
        <f>'Quantitativos (A)'!AE19*$D19*$E19</f>
        <v>6765.8640000000005</v>
      </c>
      <c r="AH19" s="157">
        <f>'Quantitativos (A)'!AF19*$D19*$E19</f>
        <v>6765.8640000000005</v>
      </c>
      <c r="AI19" s="158">
        <f>'Quantitativos (A)'!AG19*$D19*$E19</f>
        <v>6765.8640000000005</v>
      </c>
      <c r="AJ19" s="22"/>
    </row>
    <row r="20" spans="1:36" x14ac:dyDescent="0.25">
      <c r="A20" s="112"/>
      <c r="B20" s="129" t="s">
        <v>74</v>
      </c>
      <c r="C20" s="67" t="s">
        <v>57</v>
      </c>
      <c r="D20" s="157">
        <f>'Dados (F)'!$D$61</f>
        <v>245.8</v>
      </c>
      <c r="E20" s="125">
        <f>IF('Dados (F)'!$D$35=1,1,IF('Dados (F)'!$D$35=2,'Dados (F)'!$C$39,1))</f>
        <v>1</v>
      </c>
      <c r="F20" s="157">
        <f>'Quantitativos (A)'!D20*$D20*$E20</f>
        <v>516.18000000000006</v>
      </c>
      <c r="G20" s="157">
        <f>'Quantitativos (A)'!E20*$D20*$E20</f>
        <v>516.18000000000006</v>
      </c>
      <c r="H20" s="157">
        <f>'Quantitativos (A)'!F20*$D20*$E20</f>
        <v>516.18000000000006</v>
      </c>
      <c r="I20" s="157">
        <f>'Quantitativos (A)'!G20*$D20*$E20</f>
        <v>516.18000000000006</v>
      </c>
      <c r="J20" s="157">
        <f>'Quantitativos (A)'!H20*$D20*$E20</f>
        <v>516.18000000000006</v>
      </c>
      <c r="K20" s="157">
        <f>'Quantitativos (A)'!I20*$D20*$E20</f>
        <v>516.18000000000006</v>
      </c>
      <c r="L20" s="157">
        <f>'Quantitativos (A)'!J20*$D20*$E20</f>
        <v>516.18000000000006</v>
      </c>
      <c r="M20" s="157">
        <f>'Quantitativos (A)'!K20*$D20*$E20</f>
        <v>516.18000000000006</v>
      </c>
      <c r="N20" s="157">
        <f>'Quantitativos (A)'!L20*$D20*$E20</f>
        <v>516.18000000000006</v>
      </c>
      <c r="O20" s="157">
        <f>'Quantitativos (A)'!M20*$D20*$E20</f>
        <v>516.18000000000006</v>
      </c>
      <c r="P20" s="157">
        <f>'Quantitativos (A)'!N20*$D20*$E20</f>
        <v>516.18000000000006</v>
      </c>
      <c r="Q20" s="157">
        <f>'Quantitativos (A)'!O20*$D20*$E20</f>
        <v>516.18000000000006</v>
      </c>
      <c r="R20" s="157">
        <f>'Quantitativos (A)'!P20*$D20*$E20</f>
        <v>516.18000000000006</v>
      </c>
      <c r="S20" s="157">
        <f>'Quantitativos (A)'!Q20*$D20*$E20</f>
        <v>516.18000000000006</v>
      </c>
      <c r="T20" s="157">
        <f>'Quantitativos (A)'!R20*$D20*$E20</f>
        <v>516.18000000000006</v>
      </c>
      <c r="U20" s="157">
        <f>'Quantitativos (A)'!S20*$D20*$E20</f>
        <v>516.18000000000006</v>
      </c>
      <c r="V20" s="157">
        <f>'Quantitativos (A)'!T20*$D20*$E20</f>
        <v>516.18000000000006</v>
      </c>
      <c r="W20" s="157">
        <f>'Quantitativos (A)'!U20*$D20*$E20</f>
        <v>516.18000000000006</v>
      </c>
      <c r="X20" s="157">
        <f>'Quantitativos (A)'!V20*$D20*$E20</f>
        <v>516.18000000000006</v>
      </c>
      <c r="Y20" s="157">
        <f>'Quantitativos (A)'!W20*$D20*$E20</f>
        <v>516.18000000000006</v>
      </c>
      <c r="Z20" s="157">
        <f>'Quantitativos (A)'!X20*$D20*$E20</f>
        <v>516.18000000000006</v>
      </c>
      <c r="AA20" s="157">
        <f>'Quantitativos (A)'!Y20*$D20*$E20</f>
        <v>516.18000000000006</v>
      </c>
      <c r="AB20" s="157">
        <f>'Quantitativos (A)'!Z20*$D20*$E20</f>
        <v>516.18000000000006</v>
      </c>
      <c r="AC20" s="157">
        <f>'Quantitativos (A)'!AA20*$D20*$E20</f>
        <v>516.18000000000006</v>
      </c>
      <c r="AD20" s="157">
        <f>'Quantitativos (A)'!AB20*$D20*$E20</f>
        <v>516.18000000000006</v>
      </c>
      <c r="AE20" s="157">
        <f>'Quantitativos (A)'!AC20*$D20*$E20</f>
        <v>516.18000000000006</v>
      </c>
      <c r="AF20" s="157">
        <f>'Quantitativos (A)'!AD20*$D20*$E20</f>
        <v>516.18000000000006</v>
      </c>
      <c r="AG20" s="157">
        <f>'Quantitativos (A)'!AE20*$D20*$E20</f>
        <v>516.18000000000006</v>
      </c>
      <c r="AH20" s="157">
        <f>'Quantitativos (A)'!AF20*$D20*$E20</f>
        <v>516.18000000000006</v>
      </c>
      <c r="AI20" s="158">
        <f>'Quantitativos (A)'!AG20*$D20*$E20</f>
        <v>516.18000000000006</v>
      </c>
      <c r="AJ20" s="22"/>
    </row>
    <row r="21" spans="1:36" ht="25.5" x14ac:dyDescent="0.25">
      <c r="A21" s="112"/>
      <c r="B21" s="129" t="s">
        <v>293</v>
      </c>
      <c r="C21" s="67" t="s">
        <v>504</v>
      </c>
      <c r="D21" s="157">
        <f>'Dados (F)'!$D$62</f>
        <v>1453.55</v>
      </c>
      <c r="E21" s="125">
        <f>IF('Dados (F)'!$D$35=1,1,IF('Dados (F)'!$D$35=2,'Dados (F)'!$C$39,1))</f>
        <v>1</v>
      </c>
      <c r="F21" s="157">
        <f>'Quantitativos (A)'!D21*$D21*$E21</f>
        <v>1453.55</v>
      </c>
      <c r="G21" s="157">
        <f>'Quantitativos (A)'!E21*$D21*$E21</f>
        <v>1453.55</v>
      </c>
      <c r="H21" s="157">
        <f>'Quantitativos (A)'!F21*$D21*$E21</f>
        <v>1453.55</v>
      </c>
      <c r="I21" s="157">
        <f>'Quantitativos (A)'!G21*$D21*$E21</f>
        <v>1453.55</v>
      </c>
      <c r="J21" s="157">
        <f>'Quantitativos (A)'!H21*$D21*$E21</f>
        <v>1453.55</v>
      </c>
      <c r="K21" s="157">
        <f>'Quantitativos (A)'!I21*$D21*$E21</f>
        <v>1453.55</v>
      </c>
      <c r="L21" s="157">
        <f>'Quantitativos (A)'!J21*$D21*$E21</f>
        <v>1453.55</v>
      </c>
      <c r="M21" s="157">
        <f>'Quantitativos (A)'!K21*$D21*$E21</f>
        <v>1453.55</v>
      </c>
      <c r="N21" s="157">
        <f>'Quantitativos (A)'!L21*$D21*$E21</f>
        <v>1453.55</v>
      </c>
      <c r="O21" s="157">
        <f>'Quantitativos (A)'!M21*$D21*$E21</f>
        <v>1453.55</v>
      </c>
      <c r="P21" s="157">
        <f>'Quantitativos (A)'!N21*$D21*$E21</f>
        <v>1453.55</v>
      </c>
      <c r="Q21" s="157">
        <f>'Quantitativos (A)'!O21*$D21*$E21</f>
        <v>1453.55</v>
      </c>
      <c r="R21" s="157">
        <f>'Quantitativos (A)'!P21*$D21*$E21</f>
        <v>1453.55</v>
      </c>
      <c r="S21" s="157">
        <f>'Quantitativos (A)'!Q21*$D21*$E21</f>
        <v>1453.55</v>
      </c>
      <c r="T21" s="157">
        <f>'Quantitativos (A)'!R21*$D21*$E21</f>
        <v>1453.55</v>
      </c>
      <c r="U21" s="157">
        <f>'Quantitativos (A)'!S21*$D21*$E21</f>
        <v>1453.55</v>
      </c>
      <c r="V21" s="157">
        <f>'Quantitativos (A)'!T21*$D21*$E21</f>
        <v>1453.55</v>
      </c>
      <c r="W21" s="157">
        <f>'Quantitativos (A)'!U21*$D21*$E21</f>
        <v>1453.55</v>
      </c>
      <c r="X21" s="157">
        <f>'Quantitativos (A)'!V21*$D21*$E21</f>
        <v>1453.55</v>
      </c>
      <c r="Y21" s="157">
        <f>'Quantitativos (A)'!W21*$D21*$E21</f>
        <v>1453.55</v>
      </c>
      <c r="Z21" s="157">
        <f>'Quantitativos (A)'!X21*$D21*$E21</f>
        <v>1453.55</v>
      </c>
      <c r="AA21" s="157">
        <f>'Quantitativos (A)'!Y21*$D21*$E21</f>
        <v>1453.55</v>
      </c>
      <c r="AB21" s="157">
        <f>'Quantitativos (A)'!Z21*$D21*$E21</f>
        <v>1453.55</v>
      </c>
      <c r="AC21" s="157">
        <f>'Quantitativos (A)'!AA21*$D21*$E21</f>
        <v>1453.55</v>
      </c>
      <c r="AD21" s="157">
        <f>'Quantitativos (A)'!AB21*$D21*$E21</f>
        <v>1453.55</v>
      </c>
      <c r="AE21" s="157">
        <f>'Quantitativos (A)'!AC21*$D21*$E21</f>
        <v>1453.55</v>
      </c>
      <c r="AF21" s="157">
        <f>'Quantitativos (A)'!AD21*$D21*$E21</f>
        <v>1453.55</v>
      </c>
      <c r="AG21" s="157">
        <f>'Quantitativos (A)'!AE21*$D21*$E21</f>
        <v>1453.55</v>
      </c>
      <c r="AH21" s="157">
        <f>'Quantitativos (A)'!AF21*$D21*$E21</f>
        <v>1453.55</v>
      </c>
      <c r="AI21" s="158">
        <f>'Quantitativos (A)'!AG21*$D21*$E21</f>
        <v>1453.55</v>
      </c>
      <c r="AJ21" s="22"/>
    </row>
    <row r="22" spans="1:36" ht="25.5" x14ac:dyDescent="0.25">
      <c r="A22" s="112"/>
      <c r="B22" s="129" t="s">
        <v>61</v>
      </c>
      <c r="C22" s="67" t="s">
        <v>57</v>
      </c>
      <c r="D22" s="157">
        <f>'Dados (F)'!$D$63</f>
        <v>569.16</v>
      </c>
      <c r="E22" s="125">
        <f>IF('Dados (F)'!$D$35=1,1,IF('Dados (F)'!$D$35=2,'Dados (F)'!$C$39,1))</f>
        <v>1</v>
      </c>
      <c r="F22" s="157">
        <f>'Quantitativos (A)'!D22*$D22*$E22</f>
        <v>5691.5999999999995</v>
      </c>
      <c r="G22" s="157">
        <f>'Quantitativos (A)'!E22*$D22*$E22</f>
        <v>5691.5999999999995</v>
      </c>
      <c r="H22" s="157">
        <f>'Quantitativos (A)'!F22*$D22*$E22</f>
        <v>5691.5999999999995</v>
      </c>
      <c r="I22" s="157">
        <f>'Quantitativos (A)'!G22*$D22*$E22</f>
        <v>5691.5999999999995</v>
      </c>
      <c r="J22" s="157">
        <f>'Quantitativos (A)'!H22*$D22*$E22</f>
        <v>5691.5999999999995</v>
      </c>
      <c r="K22" s="157">
        <f>'Quantitativos (A)'!I22*$D22*$E22</f>
        <v>5691.5999999999995</v>
      </c>
      <c r="L22" s="157">
        <f>'Quantitativos (A)'!J22*$D22*$E22</f>
        <v>5691.5999999999995</v>
      </c>
      <c r="M22" s="157">
        <f>'Quantitativos (A)'!K22*$D22*$E22</f>
        <v>5691.5999999999995</v>
      </c>
      <c r="N22" s="157">
        <f>'Quantitativos (A)'!L22*$D22*$E22</f>
        <v>5691.5999999999995</v>
      </c>
      <c r="O22" s="157">
        <f>'Quantitativos (A)'!M22*$D22*$E22</f>
        <v>5691.5999999999995</v>
      </c>
      <c r="P22" s="157">
        <f>'Quantitativos (A)'!N22*$D22*$E22</f>
        <v>5691.5999999999995</v>
      </c>
      <c r="Q22" s="157">
        <f>'Quantitativos (A)'!O22*$D22*$E22</f>
        <v>5691.5999999999995</v>
      </c>
      <c r="R22" s="157">
        <f>'Quantitativos (A)'!P22*$D22*$E22</f>
        <v>5691.5999999999995</v>
      </c>
      <c r="S22" s="157">
        <f>'Quantitativos (A)'!Q22*$D22*$E22</f>
        <v>5691.5999999999995</v>
      </c>
      <c r="T22" s="157">
        <f>'Quantitativos (A)'!R22*$D22*$E22</f>
        <v>5691.5999999999995</v>
      </c>
      <c r="U22" s="157">
        <f>'Quantitativos (A)'!S22*$D22*$E22</f>
        <v>5691.5999999999995</v>
      </c>
      <c r="V22" s="157">
        <f>'Quantitativos (A)'!T22*$D22*$E22</f>
        <v>5691.5999999999995</v>
      </c>
      <c r="W22" s="157">
        <f>'Quantitativos (A)'!U22*$D22*$E22</f>
        <v>5691.5999999999995</v>
      </c>
      <c r="X22" s="157">
        <f>'Quantitativos (A)'!V22*$D22*$E22</f>
        <v>5691.5999999999995</v>
      </c>
      <c r="Y22" s="157">
        <f>'Quantitativos (A)'!W22*$D22*$E22</f>
        <v>5691.5999999999995</v>
      </c>
      <c r="Z22" s="157">
        <f>'Quantitativos (A)'!X22*$D22*$E22</f>
        <v>5691.5999999999995</v>
      </c>
      <c r="AA22" s="157">
        <f>'Quantitativos (A)'!Y22*$D22*$E22</f>
        <v>5691.5999999999995</v>
      </c>
      <c r="AB22" s="157">
        <f>'Quantitativos (A)'!Z22*$D22*$E22</f>
        <v>5691.5999999999995</v>
      </c>
      <c r="AC22" s="157">
        <f>'Quantitativos (A)'!AA22*$D22*$E22</f>
        <v>5691.5999999999995</v>
      </c>
      <c r="AD22" s="157">
        <f>'Quantitativos (A)'!AB22*$D22*$E22</f>
        <v>5691.5999999999995</v>
      </c>
      <c r="AE22" s="157">
        <f>'Quantitativos (A)'!AC22*$D22*$E22</f>
        <v>5691.5999999999995</v>
      </c>
      <c r="AF22" s="157">
        <f>'Quantitativos (A)'!AD22*$D22*$E22</f>
        <v>5691.5999999999995</v>
      </c>
      <c r="AG22" s="157">
        <f>'Quantitativos (A)'!AE22*$D22*$E22</f>
        <v>5691.5999999999995</v>
      </c>
      <c r="AH22" s="157">
        <f>'Quantitativos (A)'!AF22*$D22*$E22</f>
        <v>5691.5999999999995</v>
      </c>
      <c r="AI22" s="158">
        <f>'Quantitativos (A)'!AG22*$D22*$E22</f>
        <v>5691.5999999999995</v>
      </c>
      <c r="AJ22" s="22"/>
    </row>
    <row r="23" spans="1:36" ht="25.5" x14ac:dyDescent="0.25">
      <c r="A23" s="112"/>
      <c r="B23" s="129" t="s">
        <v>506</v>
      </c>
      <c r="C23" s="67" t="s">
        <v>60</v>
      </c>
      <c r="D23" s="157">
        <f>'Dados (F)'!$D$130</f>
        <v>330.71</v>
      </c>
      <c r="E23" s="125">
        <f>IF('Dados (F)'!$D$35=1,1,'Dados (F)'!$C$39)</f>
        <v>1</v>
      </c>
      <c r="F23" s="157">
        <f>'Quantitativos (A)'!D23*$D23*$E23</f>
        <v>330.71</v>
      </c>
      <c r="G23" s="157">
        <f>'Quantitativos (A)'!E23*$D23*$E23</f>
        <v>330.71</v>
      </c>
      <c r="H23" s="157">
        <f>'Quantitativos (A)'!F23*$D23*$E23</f>
        <v>330.71</v>
      </c>
      <c r="I23" s="157">
        <f>'Quantitativos (A)'!G23*$D23*$E23</f>
        <v>330.71</v>
      </c>
      <c r="J23" s="157">
        <f>'Quantitativos (A)'!H23*$D23*$E23</f>
        <v>330.71</v>
      </c>
      <c r="K23" s="157">
        <f>'Quantitativos (A)'!I23*$D23*$E23</f>
        <v>330.71</v>
      </c>
      <c r="L23" s="157">
        <f>'Quantitativos (A)'!J23*$D23*$E23</f>
        <v>330.71</v>
      </c>
      <c r="M23" s="157">
        <f>'Quantitativos (A)'!K23*$D23*$E23</f>
        <v>330.71</v>
      </c>
      <c r="N23" s="157">
        <f>'Quantitativos (A)'!L23*$D23*$E23</f>
        <v>330.71</v>
      </c>
      <c r="O23" s="157">
        <f>'Quantitativos (A)'!M23*$D23*$E23</f>
        <v>330.71</v>
      </c>
      <c r="P23" s="157">
        <f>'Quantitativos (A)'!N23*$D23*$E23</f>
        <v>330.71</v>
      </c>
      <c r="Q23" s="157">
        <f>'Quantitativos (A)'!O23*$D23*$E23</f>
        <v>330.71</v>
      </c>
      <c r="R23" s="157">
        <f>'Quantitativos (A)'!P23*$D23*$E23</f>
        <v>330.71</v>
      </c>
      <c r="S23" s="157">
        <f>'Quantitativos (A)'!Q23*$D23*$E23</f>
        <v>330.71</v>
      </c>
      <c r="T23" s="157">
        <f>'Quantitativos (A)'!R23*$D23*$E23</f>
        <v>330.71</v>
      </c>
      <c r="U23" s="157">
        <f>'Quantitativos (A)'!S23*$D23*$E23</f>
        <v>330.71</v>
      </c>
      <c r="V23" s="157">
        <f>'Quantitativos (A)'!T23*$D23*$E23</f>
        <v>330.71</v>
      </c>
      <c r="W23" s="157">
        <f>'Quantitativos (A)'!U23*$D23*$E23</f>
        <v>330.71</v>
      </c>
      <c r="X23" s="157">
        <f>'Quantitativos (A)'!V23*$D23*$E23</f>
        <v>330.71</v>
      </c>
      <c r="Y23" s="157">
        <f>'Quantitativos (A)'!W23*$D23*$E23</f>
        <v>330.71</v>
      </c>
      <c r="Z23" s="157">
        <f>'Quantitativos (A)'!X23*$D23*$E23</f>
        <v>330.71</v>
      </c>
      <c r="AA23" s="157">
        <f>'Quantitativos (A)'!Y23*$D23*$E23</f>
        <v>330.71</v>
      </c>
      <c r="AB23" s="157">
        <f>'Quantitativos (A)'!Z23*$D23*$E23</f>
        <v>330.71</v>
      </c>
      <c r="AC23" s="157">
        <f>'Quantitativos (A)'!AA23*$D23*$E23</f>
        <v>330.71</v>
      </c>
      <c r="AD23" s="157">
        <f>'Quantitativos (A)'!AB23*$D23*$E23</f>
        <v>330.71</v>
      </c>
      <c r="AE23" s="157">
        <f>'Quantitativos (A)'!AC23*$D23*$E23</f>
        <v>330.71</v>
      </c>
      <c r="AF23" s="157">
        <f>'Quantitativos (A)'!AD23*$D23*$E23</f>
        <v>330.71</v>
      </c>
      <c r="AG23" s="157">
        <f>'Quantitativos (A)'!AE23*$D23*$E23</f>
        <v>330.71</v>
      </c>
      <c r="AH23" s="157">
        <f>'Quantitativos (A)'!AF23*$D23*$E23</f>
        <v>330.71</v>
      </c>
      <c r="AI23" s="158">
        <f>'Quantitativos (A)'!AG23*$D23*$E23</f>
        <v>330.71</v>
      </c>
      <c r="AJ23" s="22"/>
    </row>
    <row r="24" spans="1:36" ht="25.5" x14ac:dyDescent="0.25">
      <c r="A24" s="112"/>
      <c r="B24" s="129" t="s">
        <v>62</v>
      </c>
      <c r="C24" s="67" t="s">
        <v>57</v>
      </c>
      <c r="D24" s="157">
        <f>'Dados (F)'!$D$131</f>
        <v>4.67</v>
      </c>
      <c r="E24" s="125">
        <f>IF('Dados (F)'!$D$35=1,1,'Dados (F)'!$C$39)</f>
        <v>1</v>
      </c>
      <c r="F24" s="157">
        <f>'Quantitativos (A)'!D24*$D24*$E24</f>
        <v>4740.05</v>
      </c>
      <c r="G24" s="157">
        <f>'Quantitativos (A)'!E24*$D24*$E24</f>
        <v>5688.0599999999995</v>
      </c>
      <c r="H24" s="157">
        <f>'Quantitativos (A)'!F24*$D24*$E24</f>
        <v>5715.9399000000003</v>
      </c>
      <c r="I24" s="157">
        <f>'Quantitativos (A)'!G24*$D24*$E24</f>
        <v>4740.05</v>
      </c>
      <c r="J24" s="157">
        <f>'Quantitativos (A)'!H24*$D24*$E24</f>
        <v>5688.0599999999995</v>
      </c>
      <c r="K24" s="157">
        <f>'Quantitativos (A)'!I24*$D24*$E24</f>
        <v>5716.08</v>
      </c>
      <c r="L24" s="157">
        <f>'Quantitativos (A)'!J24*$D24*$E24</f>
        <v>4740.05</v>
      </c>
      <c r="M24" s="157">
        <f>'Quantitativos (A)'!K24*$D24*$E24</f>
        <v>5716.08</v>
      </c>
      <c r="N24" s="157">
        <f>'Quantitativos (A)'!L24*$D24*$E24</f>
        <v>4740.05</v>
      </c>
      <c r="O24" s="157">
        <f>'Quantitativos (A)'!M24*$D24*$E24</f>
        <v>5837.5</v>
      </c>
      <c r="P24" s="157">
        <f>'Quantitativos (A)'!N24*$D24*$E24</f>
        <v>4903.5</v>
      </c>
      <c r="Q24" s="157">
        <f>'Quantitativos (A)'!O24*$D24*$E24</f>
        <v>5010.91</v>
      </c>
      <c r="R24" s="157">
        <f>'Quantitativos (A)'!P24*$D24*$E24</f>
        <v>5482.58</v>
      </c>
      <c r="S24" s="157">
        <f>'Quantitativos (A)'!Q24*$D24*$E24</f>
        <v>4903.5</v>
      </c>
      <c r="T24" s="157">
        <f>'Quantitativos (A)'!R24*$D24*$E24</f>
        <v>5146.34</v>
      </c>
      <c r="U24" s="157">
        <f>'Quantitativos (A)'!S24*$D24*$E24</f>
        <v>5482.58</v>
      </c>
      <c r="V24" s="157">
        <f>'Quantitativos (A)'!T24*$D24*$E24</f>
        <v>4903.5</v>
      </c>
      <c r="W24" s="157">
        <f>'Quantitativos (A)'!U24*$D24*$E24</f>
        <v>5482.7200999999995</v>
      </c>
      <c r="X24" s="157">
        <f>'Quantitativos (A)'!V24*$D24*$E24</f>
        <v>4903.5</v>
      </c>
      <c r="Y24" s="157">
        <f>'Quantitativos (A)'!W24*$D24*$E24</f>
        <v>5482.7200999999995</v>
      </c>
      <c r="Z24" s="157">
        <f>'Quantitativos (A)'!X24*$D24*$E24</f>
        <v>4740.05</v>
      </c>
      <c r="AA24" s="157">
        <f>'Quantitativos (A)'!Y24*$D24*$E24</f>
        <v>4838.12</v>
      </c>
      <c r="AB24" s="157">
        <f>'Quantitativos (A)'!Z24*$D24*$E24</f>
        <v>5099.6400000000003</v>
      </c>
      <c r="AC24" s="157">
        <f>'Quantitativos (A)'!AA24*$D24*$E24</f>
        <v>4604.62</v>
      </c>
      <c r="AD24" s="157">
        <f>'Quantitativos (A)'!AB24*$D24*$E24</f>
        <v>4968.88</v>
      </c>
      <c r="AE24" s="157">
        <f>'Quantitativos (A)'!AC24*$D24*$E24</f>
        <v>5099.6400000000003</v>
      </c>
      <c r="AF24" s="157">
        <f>'Quantitativos (A)'!AD24*$D24*$E24</f>
        <v>4740.05</v>
      </c>
      <c r="AG24" s="157">
        <f>'Quantitativos (A)'!AE24*$D24*$E24</f>
        <v>5099.6400000000003</v>
      </c>
      <c r="AH24" s="157">
        <f>'Quantitativos (A)'!AF24*$D24*$E24</f>
        <v>5099.6400000000003</v>
      </c>
      <c r="AI24" s="158">
        <f>'Quantitativos (A)'!AG24*$D24*$E24</f>
        <v>5211.72</v>
      </c>
      <c r="AJ24" s="22"/>
    </row>
    <row r="25" spans="1:36" x14ac:dyDescent="0.25">
      <c r="A25" s="112"/>
      <c r="B25" s="120" t="s">
        <v>501</v>
      </c>
      <c r="C25" s="121"/>
      <c r="D25" s="155"/>
      <c r="E25" s="156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22"/>
    </row>
    <row r="26" spans="1:36" ht="25.5" x14ac:dyDescent="0.25">
      <c r="A26" s="112"/>
      <c r="B26" s="129" t="s">
        <v>505</v>
      </c>
      <c r="C26" s="67" t="s">
        <v>57</v>
      </c>
      <c r="D26" s="157">
        <f>'Dados (F)'!$D$58</f>
        <v>0.35</v>
      </c>
      <c r="E26" s="125">
        <f>IF('Dados (F)'!$D$35=1,1,IF('Dados (F)'!$D$35=2,'Dados (F)'!$C$39,1))</f>
        <v>1</v>
      </c>
      <c r="F26" s="157">
        <f>'Quantitativos (A)'!D26*$D26*$E26</f>
        <v>269.5</v>
      </c>
      <c r="G26" s="157">
        <f>'Quantitativos (A)'!E26*$D26*$E26</f>
        <v>411.59999999999997</v>
      </c>
      <c r="H26" s="157">
        <f>'Quantitativos (A)'!F26*$D26*$E26</f>
        <v>50.4</v>
      </c>
      <c r="I26" s="157">
        <f>'Quantitativos (A)'!G26*$D26*$E26</f>
        <v>269.5</v>
      </c>
      <c r="J26" s="157">
        <f>'Quantitativos (A)'!H26*$D26*$E26</f>
        <v>411.59999999999997</v>
      </c>
      <c r="K26" s="157">
        <f>'Quantitativos (A)'!I26*$D26*$E26</f>
        <v>50.4</v>
      </c>
      <c r="L26" s="157">
        <f>'Quantitativos (A)'!J26*$D26*$E26</f>
        <v>269.5</v>
      </c>
      <c r="M26" s="157">
        <f>'Quantitativos (A)'!K26*$D26*$E26</f>
        <v>50.4</v>
      </c>
      <c r="N26" s="157">
        <f>'Quantitativos (A)'!L26*$D26*$E26</f>
        <v>269.5</v>
      </c>
      <c r="O26" s="157">
        <f>'Quantitativos (A)'!M26*$D26*$E26</f>
        <v>54.599999999999994</v>
      </c>
      <c r="P26" s="157">
        <f>'Quantitativos (A)'!N26*$D26*$E26</f>
        <v>220.5</v>
      </c>
      <c r="Q26" s="157">
        <f>'Quantitativos (A)'!O26*$D26*$E26</f>
        <v>297.84999999999997</v>
      </c>
      <c r="R26" s="157">
        <f>'Quantitativos (A)'!P26*$D26*$E26</f>
        <v>54.599999999999994</v>
      </c>
      <c r="S26" s="157">
        <f>'Quantitativos (A)'!Q26*$D26*$E26</f>
        <v>220.5</v>
      </c>
      <c r="T26" s="157">
        <f>'Quantitativos (A)'!R26*$D26*$E26</f>
        <v>305.89999999999998</v>
      </c>
      <c r="U26" s="157">
        <f>'Quantitativos (A)'!S26*$D26*$E26</f>
        <v>54.599999999999994</v>
      </c>
      <c r="V26" s="157">
        <f>'Quantitativos (A)'!T26*$D26*$E26</f>
        <v>220.5</v>
      </c>
      <c r="W26" s="157">
        <f>'Quantitativos (A)'!U26*$D26*$E26</f>
        <v>54.599999999999994</v>
      </c>
      <c r="X26" s="157">
        <f>'Quantitativos (A)'!V26*$D26*$E26</f>
        <v>220.5</v>
      </c>
      <c r="Y26" s="157">
        <f>'Quantitativos (A)'!W26*$D26*$E26</f>
        <v>54.599999999999994</v>
      </c>
      <c r="Z26" s="157">
        <f>'Quantitativos (A)'!X26*$D26*$E26</f>
        <v>220.5</v>
      </c>
      <c r="AA26" s="157">
        <f>'Quantitativos (A)'!Y26*$D26*$E26</f>
        <v>297.84999999999997</v>
      </c>
      <c r="AB26" s="157">
        <f>'Quantitativos (A)'!Z26*$D26*$E26</f>
        <v>46.199999999999996</v>
      </c>
      <c r="AC26" s="157">
        <f>'Quantitativos (A)'!AA26*$D26*$E26</f>
        <v>214.2</v>
      </c>
      <c r="AD26" s="157">
        <f>'Quantitativos (A)'!AB26*$D26*$E26</f>
        <v>305.89999999999998</v>
      </c>
      <c r="AE26" s="157">
        <f>'Quantitativos (A)'!AC26*$D26*$E26</f>
        <v>46.199999999999996</v>
      </c>
      <c r="AF26" s="157">
        <f>'Quantitativos (A)'!AD26*$D26*$E26</f>
        <v>220.5</v>
      </c>
      <c r="AG26" s="157">
        <f>'Quantitativos (A)'!AE26*$D26*$E26</f>
        <v>46.199999999999996</v>
      </c>
      <c r="AH26" s="157">
        <f>'Quantitativos (A)'!AF26*$D26*$E26</f>
        <v>46.199999999999996</v>
      </c>
      <c r="AI26" s="158">
        <f>'Quantitativos (A)'!AG26*$D26*$E26</f>
        <v>50.4</v>
      </c>
      <c r="AJ26" s="22"/>
    </row>
    <row r="27" spans="1:36" x14ac:dyDescent="0.25">
      <c r="A27" s="112"/>
      <c r="B27" s="129" t="s">
        <v>58</v>
      </c>
      <c r="C27" s="67" t="s">
        <v>57</v>
      </c>
      <c r="D27" s="157">
        <f>'Dados (F)'!$D$59</f>
        <v>4.8899999999999997</v>
      </c>
      <c r="E27" s="125">
        <f>IF('Dados (F)'!$D$35=1,1,IF('Dados (F)'!$D$35=2,'Dados (F)'!$C$39,1))</f>
        <v>1</v>
      </c>
      <c r="F27" s="157">
        <f>'Quantitativos (A)'!D27*$D27*$E27</f>
        <v>3765.2999999999997</v>
      </c>
      <c r="G27" s="157">
        <f>'Quantitativos (A)'!E27*$D27*$E27</f>
        <v>5750.6399999999994</v>
      </c>
      <c r="H27" s="157">
        <f>'Quantitativos (A)'!F27*$D27*$E27</f>
        <v>704.16</v>
      </c>
      <c r="I27" s="157">
        <f>'Quantitativos (A)'!G27*$D27*$E27</f>
        <v>3765.2999999999997</v>
      </c>
      <c r="J27" s="157">
        <f>'Quantitativos (A)'!H27*$D27*$E27</f>
        <v>5750.6399999999994</v>
      </c>
      <c r="K27" s="157">
        <f>'Quantitativos (A)'!I27*$D27*$E27</f>
        <v>704.16</v>
      </c>
      <c r="L27" s="157">
        <f>'Quantitativos (A)'!J27*$D27*$E27</f>
        <v>3765.2999999999997</v>
      </c>
      <c r="M27" s="157">
        <f>'Quantitativos (A)'!K27*$D27*$E27</f>
        <v>704.16</v>
      </c>
      <c r="N27" s="157">
        <f>'Quantitativos (A)'!L27*$D27*$E27</f>
        <v>3765.2999999999997</v>
      </c>
      <c r="O27" s="157">
        <f>'Quantitativos (A)'!M27*$D27*$E27</f>
        <v>762.83999999999992</v>
      </c>
      <c r="P27" s="157">
        <f>'Quantitativos (A)'!N27*$D27*$E27</f>
        <v>3080.7</v>
      </c>
      <c r="Q27" s="157">
        <f>'Quantitativos (A)'!O27*$D27*$E27</f>
        <v>4161.3899999999994</v>
      </c>
      <c r="R27" s="157">
        <f>'Quantitativos (A)'!P27*$D27*$E27</f>
        <v>762.83999999999992</v>
      </c>
      <c r="S27" s="157">
        <f>'Quantitativos (A)'!Q27*$D27*$E27</f>
        <v>3080.7</v>
      </c>
      <c r="T27" s="157">
        <f>'Quantitativos (A)'!R27*$D27*$E27</f>
        <v>4273.8599999999997</v>
      </c>
      <c r="U27" s="157">
        <f>'Quantitativos (A)'!S27*$D27*$E27</f>
        <v>762.83999999999992</v>
      </c>
      <c r="V27" s="157">
        <f>'Quantitativos (A)'!T27*$D27*$E27</f>
        <v>3080.7</v>
      </c>
      <c r="W27" s="157">
        <f>'Quantitativos (A)'!U27*$D27*$E27</f>
        <v>762.83999999999992</v>
      </c>
      <c r="X27" s="157">
        <f>'Quantitativos (A)'!V27*$D27*$E27</f>
        <v>3080.7</v>
      </c>
      <c r="Y27" s="157">
        <f>'Quantitativos (A)'!W27*$D27*$E27</f>
        <v>762.83999999999992</v>
      </c>
      <c r="Z27" s="157">
        <f>'Quantitativos (A)'!X27*$D27*$E27</f>
        <v>3080.7</v>
      </c>
      <c r="AA27" s="157">
        <f>'Quantitativos (A)'!Y27*$D27*$E27</f>
        <v>4161.3899999999994</v>
      </c>
      <c r="AB27" s="157">
        <f>'Quantitativos (A)'!Z27*$D27*$E27</f>
        <v>645.4799999999999</v>
      </c>
      <c r="AC27" s="157">
        <f>'Quantitativos (A)'!AA27*$D27*$E27</f>
        <v>2992.68</v>
      </c>
      <c r="AD27" s="157">
        <f>'Quantitativos (A)'!AB27*$D27*$E27</f>
        <v>4273.8599999999997</v>
      </c>
      <c r="AE27" s="157">
        <f>'Quantitativos (A)'!AC27*$D27*$E27</f>
        <v>645.4799999999999</v>
      </c>
      <c r="AF27" s="157">
        <f>'Quantitativos (A)'!AD27*$D27*$E27</f>
        <v>3080.7</v>
      </c>
      <c r="AG27" s="157">
        <f>'Quantitativos (A)'!AE27*$D27*$E27</f>
        <v>645.4799999999999</v>
      </c>
      <c r="AH27" s="157">
        <f>'Quantitativos (A)'!AF27*$D27*$E27</f>
        <v>645.4799999999999</v>
      </c>
      <c r="AI27" s="158">
        <f>'Quantitativos (A)'!AG27*$D27*$E27</f>
        <v>704.16</v>
      </c>
      <c r="AJ27" s="22"/>
    </row>
    <row r="28" spans="1:36" ht="38.25" x14ac:dyDescent="0.25">
      <c r="A28" s="112"/>
      <c r="B28" s="129" t="s">
        <v>292</v>
      </c>
      <c r="C28" s="67" t="s">
        <v>57</v>
      </c>
      <c r="D28" s="157">
        <f>'Dados (F)'!$D$109</f>
        <v>300.89</v>
      </c>
      <c r="E28" s="125">
        <f>IF('Dados (F)'!$D$35=1,1,IF('Dados (F)'!$D$35=2,'Dados (F)'!$C$39,1))</f>
        <v>1</v>
      </c>
      <c r="F28" s="157">
        <f>'Quantitativos (A)'!D28*$D28*$E28</f>
        <v>49917.650999999933</v>
      </c>
      <c r="G28" s="157">
        <f>'Quantitativos (A)'!E28*$D28*$E28</f>
        <v>61923.161999999989</v>
      </c>
      <c r="H28" s="157">
        <f>'Quantitativos (A)'!F28*$D28*$E28</f>
        <v>15164.856</v>
      </c>
      <c r="I28" s="157">
        <f>'Quantitativos (A)'!G28*$D28*$E28</f>
        <v>49917.650999999998</v>
      </c>
      <c r="J28" s="157">
        <f>'Quantitativos (A)'!H28*$D28*$E28</f>
        <v>61923.162000000004</v>
      </c>
      <c r="K28" s="157">
        <f>'Quantitativos (A)'!I28*$D28*$E28</f>
        <v>15164.856</v>
      </c>
      <c r="L28" s="157">
        <f>'Quantitativos (A)'!J28*$D28*$E28</f>
        <v>49917.650999999933</v>
      </c>
      <c r="M28" s="157">
        <f>'Quantitativos (A)'!K28*$D28*$E28</f>
        <v>15164.856</v>
      </c>
      <c r="N28" s="157">
        <f>'Quantitativos (A)'!L28*$D28*$E28</f>
        <v>49917.650999999998</v>
      </c>
      <c r="O28" s="157">
        <f>'Quantitativos (A)'!M28*$D28*$E28</f>
        <v>15796.724999999999</v>
      </c>
      <c r="P28" s="157">
        <f>'Quantitativos (A)'!N28*$D28*$E28</f>
        <v>44862.698999999993</v>
      </c>
      <c r="Q28" s="157">
        <f>'Quantitativos (A)'!O28*$D28*$E28</f>
        <v>52445.127</v>
      </c>
      <c r="R28" s="157">
        <f>'Quantitativos (A)'!P28*$D28*$E28</f>
        <v>15796.724999999999</v>
      </c>
      <c r="S28" s="157">
        <f>'Quantitativos (A)'!Q28*$D28*$E28</f>
        <v>44862.698999999993</v>
      </c>
      <c r="T28" s="157">
        <f>'Quantitativos (A)'!R28*$D28*$E28</f>
        <v>53076.995999999999</v>
      </c>
      <c r="U28" s="157">
        <f>'Quantitativos (A)'!S28*$D28*$E28</f>
        <v>15796.724999999999</v>
      </c>
      <c r="V28" s="157">
        <f>'Quantitativos (A)'!T28*$D28*$E28</f>
        <v>44862.698999999993</v>
      </c>
      <c r="W28" s="157">
        <f>'Quantitativos (A)'!U28*$D28*$E28</f>
        <v>15796.724999999999</v>
      </c>
      <c r="X28" s="157">
        <f>'Quantitativos (A)'!V28*$D28*$E28</f>
        <v>44862.698999999993</v>
      </c>
      <c r="Y28" s="157">
        <f>'Quantitativos (A)'!W28*$D28*$E28</f>
        <v>15796.724999999999</v>
      </c>
      <c r="Z28" s="157">
        <f>'Quantitativos (A)'!X28*$D28*$E28</f>
        <v>44862.698999999993</v>
      </c>
      <c r="AA28" s="157">
        <f>'Quantitativos (A)'!Y28*$D28*$E28</f>
        <v>52445.127</v>
      </c>
      <c r="AB28" s="157">
        <f>'Quantitativos (A)'!Z28*$D28*$E28</f>
        <v>14532.987000000001</v>
      </c>
      <c r="AC28" s="157">
        <f>'Quantitativos (A)'!AA28*$D28*$E28</f>
        <v>44230.829999999994</v>
      </c>
      <c r="AD28" s="157">
        <f>'Quantitativos (A)'!AB28*$D28*$E28</f>
        <v>53076.995999999999</v>
      </c>
      <c r="AE28" s="157">
        <f>'Quantitativos (A)'!AC28*$D28*$E28</f>
        <v>14532.986999999999</v>
      </c>
      <c r="AF28" s="157">
        <f>'Quantitativos (A)'!AD28*$D28*$E28</f>
        <v>44862.698999999993</v>
      </c>
      <c r="AG28" s="157">
        <f>'Quantitativos (A)'!AE28*$D28*$E28</f>
        <v>14532.986999999999</v>
      </c>
      <c r="AH28" s="157">
        <f>'Quantitativos (A)'!AF28*$D28*$E28</f>
        <v>14532.986999999999</v>
      </c>
      <c r="AI28" s="158">
        <f>'Quantitativos (A)'!AG28*$D28*$E28</f>
        <v>15164.856</v>
      </c>
      <c r="AJ28" s="22"/>
    </row>
    <row r="29" spans="1:36" ht="25.5" x14ac:dyDescent="0.25">
      <c r="A29" s="112"/>
      <c r="B29" s="129" t="s">
        <v>61</v>
      </c>
      <c r="C29" s="67" t="s">
        <v>57</v>
      </c>
      <c r="D29" s="157">
        <f>'Dados (F)'!$D$63</f>
        <v>569.16</v>
      </c>
      <c r="E29" s="125">
        <f>IF('Dados (F)'!$D$35=1,1,IF('Dados (F)'!$D$35=2,'Dados (F)'!$C$39,1))</f>
        <v>1</v>
      </c>
      <c r="F29" s="157">
        <f>'Quantitativos (A)'!D29*$D29*$E29</f>
        <v>5691.5999999999995</v>
      </c>
      <c r="G29" s="157">
        <f>'Quantitativos (A)'!E29*$D29*$E29</f>
        <v>5691.5999999999995</v>
      </c>
      <c r="H29" s="157">
        <f>'Quantitativos (A)'!F29*$D29*$E29</f>
        <v>5691.5999999999995</v>
      </c>
      <c r="I29" s="157">
        <f>'Quantitativos (A)'!G29*$D29*$E29</f>
        <v>5691.5999999999995</v>
      </c>
      <c r="J29" s="157">
        <f>'Quantitativos (A)'!H29*$D29*$E29</f>
        <v>5691.5999999999995</v>
      </c>
      <c r="K29" s="157">
        <f>'Quantitativos (A)'!I29*$D29*$E29</f>
        <v>5691.5999999999995</v>
      </c>
      <c r="L29" s="157">
        <f>'Quantitativos (A)'!J29*$D29*$E29</f>
        <v>5691.5999999999995</v>
      </c>
      <c r="M29" s="157">
        <f>'Quantitativos (A)'!K29*$D29*$E29</f>
        <v>5691.5999999999995</v>
      </c>
      <c r="N29" s="157">
        <f>'Quantitativos (A)'!L29*$D29*$E29</f>
        <v>5691.5999999999995</v>
      </c>
      <c r="O29" s="157">
        <f>'Quantitativos (A)'!M29*$D29*$E29</f>
        <v>5691.5999999999995</v>
      </c>
      <c r="P29" s="157">
        <f>'Quantitativos (A)'!N29*$D29*$E29</f>
        <v>5691.5999999999995</v>
      </c>
      <c r="Q29" s="157">
        <f>'Quantitativos (A)'!O29*$D29*$E29</f>
        <v>5691.5999999999995</v>
      </c>
      <c r="R29" s="157">
        <f>'Quantitativos (A)'!P29*$D29*$E29</f>
        <v>5691.5999999999995</v>
      </c>
      <c r="S29" s="157">
        <f>'Quantitativos (A)'!Q29*$D29*$E29</f>
        <v>5691.5999999999995</v>
      </c>
      <c r="T29" s="157">
        <f>'Quantitativos (A)'!R29*$D29*$E29</f>
        <v>5691.5999999999995</v>
      </c>
      <c r="U29" s="157">
        <f>'Quantitativos (A)'!S29*$D29*$E29</f>
        <v>5691.5999999999995</v>
      </c>
      <c r="V29" s="157">
        <f>'Quantitativos (A)'!T29*$D29*$E29</f>
        <v>5691.5999999999995</v>
      </c>
      <c r="W29" s="157">
        <f>'Quantitativos (A)'!U29*$D29*$E29</f>
        <v>5691.5999999999995</v>
      </c>
      <c r="X29" s="157">
        <f>'Quantitativos (A)'!V29*$D29*$E29</f>
        <v>5691.5999999999995</v>
      </c>
      <c r="Y29" s="157">
        <f>'Quantitativos (A)'!W29*$D29*$E29</f>
        <v>5691.5999999999995</v>
      </c>
      <c r="Z29" s="157">
        <f>'Quantitativos (A)'!X29*$D29*$E29</f>
        <v>5691.5999999999995</v>
      </c>
      <c r="AA29" s="157">
        <f>'Quantitativos (A)'!Y29*$D29*$E29</f>
        <v>5691.5999999999995</v>
      </c>
      <c r="AB29" s="157">
        <f>'Quantitativos (A)'!Z29*$D29*$E29</f>
        <v>5691.5999999999995</v>
      </c>
      <c r="AC29" s="157">
        <f>'Quantitativos (A)'!AA29*$D29*$E29</f>
        <v>5691.5999999999995</v>
      </c>
      <c r="AD29" s="157">
        <f>'Quantitativos (A)'!AB29*$D29*$E29</f>
        <v>5691.5999999999995</v>
      </c>
      <c r="AE29" s="157">
        <f>'Quantitativos (A)'!AC29*$D29*$E29</f>
        <v>5691.5999999999995</v>
      </c>
      <c r="AF29" s="157">
        <f>'Quantitativos (A)'!AD29*$D29*$E29</f>
        <v>5691.5999999999995</v>
      </c>
      <c r="AG29" s="157">
        <f>'Quantitativos (A)'!AE29*$D29*$E29</f>
        <v>5691.5999999999995</v>
      </c>
      <c r="AH29" s="157">
        <f>'Quantitativos (A)'!AF29*$D29*$E29</f>
        <v>5691.5999999999995</v>
      </c>
      <c r="AI29" s="158">
        <f>'Quantitativos (A)'!AG29*$D29*$E29</f>
        <v>5691.5999999999995</v>
      </c>
      <c r="AJ29" s="22"/>
    </row>
    <row r="30" spans="1:36" ht="25.5" x14ac:dyDescent="0.25">
      <c r="A30" s="112"/>
      <c r="B30" s="129" t="s">
        <v>506</v>
      </c>
      <c r="C30" s="67" t="s">
        <v>60</v>
      </c>
      <c r="D30" s="157">
        <f>'Dados (F)'!$D$130</f>
        <v>330.71</v>
      </c>
      <c r="E30" s="125">
        <f>IF('Dados (F)'!$D$35=1,1,'Dados (F)'!$C$39)</f>
        <v>1</v>
      </c>
      <c r="F30" s="157">
        <f>'Quantitativos (A)'!D30*$D30*$E30</f>
        <v>330.71</v>
      </c>
      <c r="G30" s="157">
        <f>'Quantitativos (A)'!E30*$D30*$E30</f>
        <v>330.71</v>
      </c>
      <c r="H30" s="157">
        <f>'Quantitativos (A)'!F30*$D30*$E30</f>
        <v>330.71</v>
      </c>
      <c r="I30" s="157">
        <f>'Quantitativos (A)'!G30*$D30*$E30</f>
        <v>330.71</v>
      </c>
      <c r="J30" s="157">
        <f>'Quantitativos (A)'!H30*$D30*$E30</f>
        <v>330.71</v>
      </c>
      <c r="K30" s="157">
        <f>'Quantitativos (A)'!I30*$D30*$E30</f>
        <v>330.71</v>
      </c>
      <c r="L30" s="157">
        <f>'Quantitativos (A)'!J30*$D30*$E30</f>
        <v>330.71</v>
      </c>
      <c r="M30" s="157">
        <f>'Quantitativos (A)'!K30*$D30*$E30</f>
        <v>330.71</v>
      </c>
      <c r="N30" s="157">
        <f>'Quantitativos (A)'!L30*$D30*$E30</f>
        <v>330.71</v>
      </c>
      <c r="O30" s="157">
        <f>'Quantitativos (A)'!M30*$D30*$E30</f>
        <v>330.71</v>
      </c>
      <c r="P30" s="157">
        <f>'Quantitativos (A)'!N30*$D30*$E30</f>
        <v>330.71</v>
      </c>
      <c r="Q30" s="157">
        <f>'Quantitativos (A)'!O30*$D30*$E30</f>
        <v>330.71</v>
      </c>
      <c r="R30" s="157">
        <f>'Quantitativos (A)'!P30*$D30*$E30</f>
        <v>330.71</v>
      </c>
      <c r="S30" s="157">
        <f>'Quantitativos (A)'!Q30*$D30*$E30</f>
        <v>330.71</v>
      </c>
      <c r="T30" s="157">
        <f>'Quantitativos (A)'!R30*$D30*$E30</f>
        <v>330.71</v>
      </c>
      <c r="U30" s="157">
        <f>'Quantitativos (A)'!S30*$D30*$E30</f>
        <v>330.71</v>
      </c>
      <c r="V30" s="157">
        <f>'Quantitativos (A)'!T30*$D30*$E30</f>
        <v>330.71</v>
      </c>
      <c r="W30" s="157">
        <f>'Quantitativos (A)'!U30*$D30*$E30</f>
        <v>330.71</v>
      </c>
      <c r="X30" s="157">
        <f>'Quantitativos (A)'!V30*$D30*$E30</f>
        <v>330.71</v>
      </c>
      <c r="Y30" s="157">
        <f>'Quantitativos (A)'!W30*$D30*$E30</f>
        <v>330.71</v>
      </c>
      <c r="Z30" s="157">
        <f>'Quantitativos (A)'!X30*$D30*$E30</f>
        <v>330.71</v>
      </c>
      <c r="AA30" s="157">
        <f>'Quantitativos (A)'!Y30*$D30*$E30</f>
        <v>330.71</v>
      </c>
      <c r="AB30" s="157">
        <f>'Quantitativos (A)'!Z30*$D30*$E30</f>
        <v>330.71</v>
      </c>
      <c r="AC30" s="157">
        <f>'Quantitativos (A)'!AA30*$D30*$E30</f>
        <v>330.71</v>
      </c>
      <c r="AD30" s="157">
        <f>'Quantitativos (A)'!AB30*$D30*$E30</f>
        <v>330.71</v>
      </c>
      <c r="AE30" s="157">
        <f>'Quantitativos (A)'!AC30*$D30*$E30</f>
        <v>330.71</v>
      </c>
      <c r="AF30" s="157">
        <f>'Quantitativos (A)'!AD30*$D30*$E30</f>
        <v>330.71</v>
      </c>
      <c r="AG30" s="157">
        <f>'Quantitativos (A)'!AE30*$D30*$E30</f>
        <v>330.71</v>
      </c>
      <c r="AH30" s="157">
        <f>'Quantitativos (A)'!AF30*$D30*$E30</f>
        <v>330.71</v>
      </c>
      <c r="AI30" s="158">
        <f>'Quantitativos (A)'!AG30*$D30*$E30</f>
        <v>330.71</v>
      </c>
      <c r="AJ30" s="22"/>
    </row>
    <row r="31" spans="1:36" ht="25.5" x14ac:dyDescent="0.25">
      <c r="A31" s="112"/>
      <c r="B31" s="129" t="s">
        <v>62</v>
      </c>
      <c r="C31" s="67" t="s">
        <v>57</v>
      </c>
      <c r="D31" s="157">
        <f>'Dados (F)'!$D$131</f>
        <v>4.67</v>
      </c>
      <c r="E31" s="125">
        <f>IF('Dados (F)'!$D$35=1,1,'Dados (F)'!$C$39)</f>
        <v>1</v>
      </c>
      <c r="F31" s="157">
        <f>'Quantitativos (A)'!D31*$D31*$E31</f>
        <v>3595.9</v>
      </c>
      <c r="G31" s="157">
        <f>'Quantitativos (A)'!E31*$D31*$E31</f>
        <v>5491.92</v>
      </c>
      <c r="H31" s="157">
        <f>'Quantitativos (A)'!F31*$D31*$E31</f>
        <v>672.48</v>
      </c>
      <c r="I31" s="157">
        <f>'Quantitativos (A)'!G31*$D31*$E31</f>
        <v>3595.9</v>
      </c>
      <c r="J31" s="157">
        <f>'Quantitativos (A)'!H31*$D31*$E31</f>
        <v>5491.92</v>
      </c>
      <c r="K31" s="157">
        <f>'Quantitativos (A)'!I31*$D31*$E31</f>
        <v>672.48</v>
      </c>
      <c r="L31" s="157">
        <f>'Quantitativos (A)'!J31*$D31*$E31</f>
        <v>3595.9</v>
      </c>
      <c r="M31" s="157">
        <f>'Quantitativos (A)'!K31*$D31*$E31</f>
        <v>672.48</v>
      </c>
      <c r="N31" s="157">
        <f>'Quantitativos (A)'!L31*$D31*$E31</f>
        <v>3595.9</v>
      </c>
      <c r="O31" s="157">
        <f>'Quantitativos (A)'!M31*$D31*$E31</f>
        <v>728.52</v>
      </c>
      <c r="P31" s="157">
        <f>'Quantitativos (A)'!N31*$D31*$E31</f>
        <v>2942.1</v>
      </c>
      <c r="Q31" s="157">
        <f>'Quantitativos (A)'!O31*$D31*$E31</f>
        <v>3974.17</v>
      </c>
      <c r="R31" s="157">
        <f>'Quantitativos (A)'!P31*$D31*$E31</f>
        <v>728.52</v>
      </c>
      <c r="S31" s="157">
        <f>'Quantitativos (A)'!Q31*$D31*$E31</f>
        <v>2942.1</v>
      </c>
      <c r="T31" s="157">
        <f>'Quantitativos (A)'!R31*$D31*$E31</f>
        <v>4081.58</v>
      </c>
      <c r="U31" s="157">
        <f>'Quantitativos (A)'!S31*$D31*$E31</f>
        <v>728.52</v>
      </c>
      <c r="V31" s="157">
        <f>'Quantitativos (A)'!T31*$D31*$E31</f>
        <v>2942.1</v>
      </c>
      <c r="W31" s="157">
        <f>'Quantitativos (A)'!U31*$D31*$E31</f>
        <v>728.52</v>
      </c>
      <c r="X31" s="157">
        <f>'Quantitativos (A)'!V31*$D31*$E31</f>
        <v>2942.1</v>
      </c>
      <c r="Y31" s="157">
        <f>'Quantitativos (A)'!W31*$D31*$E31</f>
        <v>728.52</v>
      </c>
      <c r="Z31" s="157">
        <f>'Quantitativos (A)'!X31*$D31*$E31</f>
        <v>2942.1</v>
      </c>
      <c r="AA31" s="157">
        <f>'Quantitativos (A)'!Y31*$D31*$E31</f>
        <v>3974.17</v>
      </c>
      <c r="AB31" s="157">
        <f>'Quantitativos (A)'!Z31*$D31*$E31</f>
        <v>616.43999999999994</v>
      </c>
      <c r="AC31" s="157">
        <f>'Quantitativos (A)'!AA31*$D31*$E31</f>
        <v>2858.04</v>
      </c>
      <c r="AD31" s="157">
        <f>'Quantitativos (A)'!AB31*$D31*$E31</f>
        <v>4081.58</v>
      </c>
      <c r="AE31" s="157">
        <f>'Quantitativos (A)'!AC31*$D31*$E31</f>
        <v>616.43999999999994</v>
      </c>
      <c r="AF31" s="157">
        <f>'Quantitativos (A)'!AD31*$D31*$E31</f>
        <v>2942.1</v>
      </c>
      <c r="AG31" s="157">
        <f>'Quantitativos (A)'!AE31*$D31*$E31</f>
        <v>616.43999999999994</v>
      </c>
      <c r="AH31" s="157">
        <f>'Quantitativos (A)'!AF31*$D31*$E31</f>
        <v>616.43999999999994</v>
      </c>
      <c r="AI31" s="158">
        <f>'Quantitativos (A)'!AG31*$D31*$E31</f>
        <v>672.48</v>
      </c>
      <c r="AJ31" s="22"/>
    </row>
    <row r="32" spans="1:36" x14ac:dyDescent="0.25">
      <c r="A32" s="112"/>
      <c r="B32" s="120" t="s">
        <v>507</v>
      </c>
      <c r="C32" s="121"/>
      <c r="D32" s="155"/>
      <c r="E32" s="156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60"/>
      <c r="AJ32" s="22"/>
    </row>
    <row r="33" spans="1:36" x14ac:dyDescent="0.25">
      <c r="A33" s="112"/>
      <c r="B33" s="120" t="s">
        <v>508</v>
      </c>
      <c r="C33" s="121"/>
      <c r="D33" s="155"/>
      <c r="E33" s="156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60"/>
      <c r="AJ33" s="22"/>
    </row>
    <row r="34" spans="1:36" ht="25.5" x14ac:dyDescent="0.25">
      <c r="A34" s="112"/>
      <c r="B34" s="129" t="s">
        <v>294</v>
      </c>
      <c r="C34" s="67" t="s">
        <v>65</v>
      </c>
      <c r="D34" s="157">
        <f>'Dados (F)'!$D$64</f>
        <v>296.22000000000003</v>
      </c>
      <c r="E34" s="125">
        <f>IF('Dados (F)'!$D$35=1,1,IF('Dados (F)'!$D$35=2,'Dados (F)'!$C$39,1))</f>
        <v>1</v>
      </c>
      <c r="F34" s="157">
        <f>'Quantitativos (A)'!D34*$D34*$E34</f>
        <v>1068.8506260000001</v>
      </c>
      <c r="G34" s="157">
        <f>'Quantitativos (A)'!E34*$D34*$E34</f>
        <v>1084.698396</v>
      </c>
      <c r="H34" s="157">
        <f>'Quantitativos (A)'!F34*$D34*$E34</f>
        <v>899.4127860000001</v>
      </c>
      <c r="I34" s="157">
        <f>'Quantitativos (A)'!G34*$D34*$E34</f>
        <v>1068.8506260000001</v>
      </c>
      <c r="J34" s="157">
        <f>'Quantitativos (A)'!H34*$D34*$E34</f>
        <v>1084.698396</v>
      </c>
      <c r="K34" s="157">
        <f>'Quantitativos (A)'!I34*$D34*$E34</f>
        <v>899.4127860000001</v>
      </c>
      <c r="L34" s="157">
        <f>'Quantitativos (A)'!J34*$D34*$E34</f>
        <v>1068.8506260000001</v>
      </c>
      <c r="M34" s="157">
        <f>'Quantitativos (A)'!K34*$D34*$E34</f>
        <v>899.4127860000001</v>
      </c>
      <c r="N34" s="157">
        <f>'Quantitativos (A)'!L34*$D34*$E34</f>
        <v>1068.8506260000001</v>
      </c>
      <c r="O34" s="157">
        <f>'Quantitativos (A)'!M34*$D34*$E34</f>
        <v>899.4127860000001</v>
      </c>
      <c r="P34" s="157">
        <f>'Quantitativos (A)'!N34*$D34*$E34</f>
        <v>523.27263000000005</v>
      </c>
      <c r="Q34" s="157">
        <f>'Quantitativos (A)'!O34*$D34*$E34</f>
        <v>524.16129000000012</v>
      </c>
      <c r="R34" s="157">
        <f>'Quantitativos (A)'!P34*$D34*$E34</f>
        <v>522.38397000000009</v>
      </c>
      <c r="S34" s="157">
        <f>'Quantitativos (A)'!Q34*$D34*$E34</f>
        <v>523.27263000000005</v>
      </c>
      <c r="T34" s="157">
        <f>'Quantitativos (A)'!R34*$D34*$E34</f>
        <v>524.16129000000012</v>
      </c>
      <c r="U34" s="157">
        <f>'Quantitativos (A)'!S34*$D34*$E34</f>
        <v>522.38397000000009</v>
      </c>
      <c r="V34" s="157">
        <f>'Quantitativos (A)'!T34*$D34*$E34</f>
        <v>523.27263000000005</v>
      </c>
      <c r="W34" s="157">
        <f>'Quantitativos (A)'!U34*$D34*$E34</f>
        <v>523.27263000000005</v>
      </c>
      <c r="X34" s="157">
        <f>'Quantitativos (A)'!V34*$D34*$E34</f>
        <v>523.27263000000005</v>
      </c>
      <c r="Y34" s="157">
        <f>'Quantitativos (A)'!W34*$D34*$E34</f>
        <v>523.27263000000005</v>
      </c>
      <c r="Z34" s="157">
        <f>'Quantitativos (A)'!X34*$D34*$E34</f>
        <v>771.62347799999998</v>
      </c>
      <c r="AA34" s="157">
        <f>'Quantitativos (A)'!Y34*$D34*$E34</f>
        <v>771.62347799999998</v>
      </c>
      <c r="AB34" s="157">
        <f>'Quantitativos (A)'!Z34*$D34*$E34</f>
        <v>771.62347799999998</v>
      </c>
      <c r="AC34" s="157">
        <f>'Quantitativos (A)'!AA34*$D34*$E34</f>
        <v>771.62347799999998</v>
      </c>
      <c r="AD34" s="157">
        <f>'Quantitativos (A)'!AB34*$D34*$E34</f>
        <v>771.62347799999998</v>
      </c>
      <c r="AE34" s="157">
        <f>'Quantitativos (A)'!AC34*$D34*$E34</f>
        <v>771.62347799999998</v>
      </c>
      <c r="AF34" s="157">
        <f>'Quantitativos (A)'!AD34*$D34*$E34</f>
        <v>771.62347799999998</v>
      </c>
      <c r="AG34" s="157">
        <f>'Quantitativos (A)'!AE34*$D34*$E34</f>
        <v>771.62347799999998</v>
      </c>
      <c r="AH34" s="157">
        <f>'Quantitativos (A)'!AF34*$D34*$E34</f>
        <v>771.62347799999998</v>
      </c>
      <c r="AI34" s="158">
        <f>'Quantitativos (A)'!AG34*$D34*$E34</f>
        <v>771.62347799999998</v>
      </c>
      <c r="AJ34" s="22"/>
    </row>
    <row r="35" spans="1:36" x14ac:dyDescent="0.25">
      <c r="A35" s="112"/>
      <c r="B35" s="129" t="s">
        <v>290</v>
      </c>
      <c r="C35" s="67" t="s">
        <v>63</v>
      </c>
      <c r="D35" s="157">
        <f>'Dados (F)'!$D$65</f>
        <v>6.32</v>
      </c>
      <c r="E35" s="125">
        <f>IF('Dados (F)'!$D$35=1,1,IF('Dados (F)'!$D$35=2,'Dados (F)'!$C$39,1))</f>
        <v>1</v>
      </c>
      <c r="F35" s="157">
        <f>'Quantitativos (A)'!D35*$D35*$E35</f>
        <v>9.1456720000000011</v>
      </c>
      <c r="G35" s="157">
        <f>'Quantitativos (A)'!E35*$D35*$E35</f>
        <v>9.2796559999999992</v>
      </c>
      <c r="H35" s="157">
        <f>'Quantitativos (A)'!F35*$D35*$E35</f>
        <v>7.6781680000000012</v>
      </c>
      <c r="I35" s="157">
        <f>'Quantitativos (A)'!G35*$D35*$E35</f>
        <v>9.1456720000000011</v>
      </c>
      <c r="J35" s="157">
        <f>'Quantitativos (A)'!H35*$D35*$E35</f>
        <v>9.2796559999999992</v>
      </c>
      <c r="K35" s="157">
        <f>'Quantitativos (A)'!I35*$D35*$E35</f>
        <v>7.6781680000000012</v>
      </c>
      <c r="L35" s="157">
        <f>'Quantitativos (A)'!J35*$D35*$E35</f>
        <v>9.1456720000000011</v>
      </c>
      <c r="M35" s="157">
        <f>'Quantitativos (A)'!K35*$D35*$E35</f>
        <v>7.6781680000000012</v>
      </c>
      <c r="N35" s="157">
        <f>'Quantitativos (A)'!L35*$D35*$E35</f>
        <v>9.1456720000000011</v>
      </c>
      <c r="O35" s="157">
        <f>'Quantitativos (A)'!M35*$D35*$E35</f>
        <v>7.6781680000000012</v>
      </c>
      <c r="P35" s="157">
        <f>'Quantitativos (A)'!N35*$D35*$E35</f>
        <v>4.4379039999999996</v>
      </c>
      <c r="Q35" s="157">
        <f>'Quantitativos (A)'!O35*$D35*$E35</f>
        <v>4.4492799999999999</v>
      </c>
      <c r="R35" s="157">
        <f>'Quantitativos (A)'!P35*$D35*$E35</f>
        <v>4.4593920000000002</v>
      </c>
      <c r="S35" s="157">
        <f>'Quantitativos (A)'!Q35*$D35*$E35</f>
        <v>4.4379039999999996</v>
      </c>
      <c r="T35" s="157">
        <f>'Quantitativos (A)'!R35*$D35*$E35</f>
        <v>4.4492799999999999</v>
      </c>
      <c r="U35" s="157">
        <f>'Quantitativos (A)'!S35*$D35*$E35</f>
        <v>4.4593920000000002</v>
      </c>
      <c r="V35" s="157">
        <f>'Quantitativos (A)'!T35*$D35*$E35</f>
        <v>4.4379039999999996</v>
      </c>
      <c r="W35" s="157">
        <f>'Quantitativos (A)'!U35*$D35*$E35</f>
        <v>4.4379039999999996</v>
      </c>
      <c r="X35" s="157">
        <f>'Quantitativos (A)'!V35*$D35*$E35</f>
        <v>4.4379039999999996</v>
      </c>
      <c r="Y35" s="157">
        <f>'Quantitativos (A)'!W35*$D35*$E35</f>
        <v>4.4379039999999996</v>
      </c>
      <c r="Z35" s="157">
        <f>'Quantitativos (A)'!X35*$D35*$E35</f>
        <v>6.5576320000000008</v>
      </c>
      <c r="AA35" s="157">
        <f>'Quantitativos (A)'!Y35*$D35*$E35</f>
        <v>6.5576320000000008</v>
      </c>
      <c r="AB35" s="157">
        <f>'Quantitativos (A)'!Z35*$D35*$E35</f>
        <v>6.5576320000000008</v>
      </c>
      <c r="AC35" s="157">
        <f>'Quantitativos (A)'!AA35*$D35*$E35</f>
        <v>6.5576320000000008</v>
      </c>
      <c r="AD35" s="157">
        <f>'Quantitativos (A)'!AB35*$D35*$E35</f>
        <v>6.5576320000000008</v>
      </c>
      <c r="AE35" s="157">
        <f>'Quantitativos (A)'!AC35*$D35*$E35</f>
        <v>6.5576320000000008</v>
      </c>
      <c r="AF35" s="157">
        <f>'Quantitativos (A)'!AD35*$D35*$E35</f>
        <v>6.5576320000000008</v>
      </c>
      <c r="AG35" s="157">
        <f>'Quantitativos (A)'!AE35*$D35*$E35</f>
        <v>6.5576320000000008</v>
      </c>
      <c r="AH35" s="157">
        <f>'Quantitativos (A)'!AF35*$D35*$E35</f>
        <v>6.5576320000000008</v>
      </c>
      <c r="AI35" s="158">
        <f>'Quantitativos (A)'!AG35*$D35*$E35</f>
        <v>6.5576320000000008</v>
      </c>
      <c r="AJ35" s="22"/>
    </row>
    <row r="36" spans="1:36" ht="25.5" x14ac:dyDescent="0.25">
      <c r="A36" s="112"/>
      <c r="B36" s="129" t="s">
        <v>295</v>
      </c>
      <c r="C36" s="67" t="s">
        <v>57</v>
      </c>
      <c r="D36" s="157">
        <f>'Dados (F)'!$D$110</f>
        <v>30.97</v>
      </c>
      <c r="E36" s="125">
        <f>IF('Dados (F)'!$D$35=1,1,IF('Dados (F)'!$D$35=2,'Dados (F)'!$C$39,1))</f>
        <v>1</v>
      </c>
      <c r="F36" s="157">
        <f>'Quantitativos (A)'!D36*$D36*$E36</f>
        <v>1294.8247299999998</v>
      </c>
      <c r="G36" s="157">
        <f>'Quantitativos (A)'!E36*$D36*$E36</f>
        <v>1307.4604899999999</v>
      </c>
      <c r="H36" s="157">
        <f>'Quantitativos (A)'!F36*$D36*$E36</f>
        <v>1047.6841299999999</v>
      </c>
      <c r="I36" s="157">
        <f>'Quantitativos (A)'!G36*$D36*$E36</f>
        <v>1294.8247299999998</v>
      </c>
      <c r="J36" s="157">
        <f>'Quantitativos (A)'!H36*$D36*$E36</f>
        <v>1307.4604899999999</v>
      </c>
      <c r="K36" s="157">
        <f>'Quantitativos (A)'!I36*$D36*$E36</f>
        <v>1047.6841299999999</v>
      </c>
      <c r="L36" s="157">
        <f>'Quantitativos (A)'!J36*$D36*$E36</f>
        <v>1294.8247299999998</v>
      </c>
      <c r="M36" s="157">
        <f>'Quantitativos (A)'!K36*$D36*$E36</f>
        <v>1047.6841299999999</v>
      </c>
      <c r="N36" s="157">
        <f>'Quantitativos (A)'!L36*$D36*$E36</f>
        <v>1294.8247299999998</v>
      </c>
      <c r="O36" s="157">
        <f>'Quantitativos (A)'!M36*$D36*$E36</f>
        <v>1047.6841299999999</v>
      </c>
      <c r="P36" s="157">
        <f>'Quantitativos (A)'!N36*$D36*$E36</f>
        <v>621.04140999999993</v>
      </c>
      <c r="Q36" s="157">
        <f>'Quantitativos (A)'!O36*$D36*$E36</f>
        <v>622.89960999999994</v>
      </c>
      <c r="R36" s="157">
        <f>'Quantitativos (A)'!P36*$D36*$E36</f>
        <v>621.10334999999998</v>
      </c>
      <c r="S36" s="157">
        <f>'Quantitativos (A)'!Q36*$D36*$E36</f>
        <v>621.04140999999993</v>
      </c>
      <c r="T36" s="157">
        <f>'Quantitativos (A)'!R36*$D36*$E36</f>
        <v>622.89960999999994</v>
      </c>
      <c r="U36" s="157">
        <f>'Quantitativos (A)'!S36*$D36*$E36</f>
        <v>621.10334999999998</v>
      </c>
      <c r="V36" s="157">
        <f>'Quantitativos (A)'!T36*$D36*$E36</f>
        <v>621.04140999999993</v>
      </c>
      <c r="W36" s="157">
        <f>'Quantitativos (A)'!U36*$D36*$E36</f>
        <v>621.04140999999993</v>
      </c>
      <c r="X36" s="157">
        <f>'Quantitativos (A)'!V36*$D36*$E36</f>
        <v>621.04140999999993</v>
      </c>
      <c r="Y36" s="157">
        <f>'Quantitativos (A)'!W36*$D36*$E36</f>
        <v>621.04140999999993</v>
      </c>
      <c r="Z36" s="157">
        <f>'Quantitativos (A)'!X36*$D36*$E36</f>
        <v>938.97942999999998</v>
      </c>
      <c r="AA36" s="157">
        <f>'Quantitativos (A)'!Y36*$D36*$E36</f>
        <v>938.97942999999998</v>
      </c>
      <c r="AB36" s="157">
        <f>'Quantitativos (A)'!Z36*$D36*$E36</f>
        <v>938.97942999999998</v>
      </c>
      <c r="AC36" s="157">
        <f>'Quantitativos (A)'!AA36*$D36*$E36</f>
        <v>938.97942999999998</v>
      </c>
      <c r="AD36" s="157">
        <f>'Quantitativos (A)'!AB36*$D36*$E36</f>
        <v>938.97942999999998</v>
      </c>
      <c r="AE36" s="157">
        <f>'Quantitativos (A)'!AC36*$D36*$E36</f>
        <v>938.97942999999998</v>
      </c>
      <c r="AF36" s="157">
        <f>'Quantitativos (A)'!AD36*$D36*$E36</f>
        <v>938.97942999999998</v>
      </c>
      <c r="AG36" s="157">
        <f>'Quantitativos (A)'!AE36*$D36*$E36</f>
        <v>938.97942999999998</v>
      </c>
      <c r="AH36" s="157">
        <f>'Quantitativos (A)'!AF36*$D36*$E36</f>
        <v>938.97942999999998</v>
      </c>
      <c r="AI36" s="158">
        <f>'Quantitativos (A)'!AG36*$D36*$E36</f>
        <v>938.97942999999998</v>
      </c>
      <c r="AJ36" s="22"/>
    </row>
    <row r="37" spans="1:36" x14ac:dyDescent="0.25">
      <c r="A37" s="112"/>
      <c r="B37" s="120" t="s">
        <v>509</v>
      </c>
      <c r="C37" s="121"/>
      <c r="D37" s="155"/>
      <c r="E37" s="156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0"/>
      <c r="AJ37" s="22"/>
    </row>
    <row r="38" spans="1:36" ht="25.5" x14ac:dyDescent="0.25">
      <c r="A38" s="112"/>
      <c r="B38" s="129" t="s">
        <v>294</v>
      </c>
      <c r="C38" s="67" t="s">
        <v>65</v>
      </c>
      <c r="D38" s="157">
        <f>'Dados (F)'!$D$64</f>
        <v>296.22000000000003</v>
      </c>
      <c r="E38" s="125">
        <f>IF('Dados (F)'!$D$35=1,1,IF('Dados (F)'!$D$35=2,'Dados (F)'!$C$39,1))</f>
        <v>1</v>
      </c>
      <c r="F38" s="157">
        <f>'Quantitativos (A)'!D38*$D38*$E38</f>
        <v>294.14646000000005</v>
      </c>
      <c r="G38" s="157">
        <f>'Quantitativos (A)'!E38*$D38*$E38</f>
        <v>2048.0058360000003</v>
      </c>
      <c r="H38" s="157">
        <f>'Quantitativos (A)'!F38*$D38*$E38</f>
        <v>0</v>
      </c>
      <c r="I38" s="157">
        <f>'Quantitativos (A)'!G38*$D38*$E38</f>
        <v>294.14646000000005</v>
      </c>
      <c r="J38" s="157">
        <f>'Quantitativos (A)'!H38*$D38*$E38</f>
        <v>2048.0058360000003</v>
      </c>
      <c r="K38" s="157">
        <f>'Quantitativos (A)'!I38*$D38*$E38</f>
        <v>0</v>
      </c>
      <c r="L38" s="157">
        <f>'Quantitativos (A)'!J38*$D38*$E38</f>
        <v>294.14646000000005</v>
      </c>
      <c r="M38" s="157">
        <f>'Quantitativos (A)'!K38*$D38*$E38</f>
        <v>0</v>
      </c>
      <c r="N38" s="157">
        <f>'Quantitativos (A)'!L38*$D38*$E38</f>
        <v>294.14646000000005</v>
      </c>
      <c r="O38" s="157">
        <f>'Quantitativos (A)'!M38*$D38*$E38</f>
        <v>0</v>
      </c>
      <c r="P38" s="157">
        <f>'Quantitativos (A)'!N38*$D38*$E38</f>
        <v>293.25780000000003</v>
      </c>
      <c r="Q38" s="157">
        <f>'Quantitativos (A)'!O38*$D38*$E38</f>
        <v>1772.1065280000003</v>
      </c>
      <c r="R38" s="157">
        <f>'Quantitativos (A)'!P38*$D38*$E38</f>
        <v>0</v>
      </c>
      <c r="S38" s="157">
        <f>'Quantitativos (A)'!Q38*$D38*$E38</f>
        <v>293.25780000000003</v>
      </c>
      <c r="T38" s="157">
        <f>'Quantitativos (A)'!R38*$D38*$E38</f>
        <v>1772.1065280000003</v>
      </c>
      <c r="U38" s="157">
        <f>'Quantitativos (A)'!S38*$D38*$E38</f>
        <v>0</v>
      </c>
      <c r="V38" s="157">
        <f>'Quantitativos (A)'!T38*$D38*$E38</f>
        <v>293.25780000000003</v>
      </c>
      <c r="W38" s="157">
        <f>'Quantitativos (A)'!U38*$D38*$E38</f>
        <v>293.25780000000003</v>
      </c>
      <c r="X38" s="157">
        <f>'Quantitativos (A)'!V38*$D38*$E38</f>
        <v>293.25780000000003</v>
      </c>
      <c r="Y38" s="157">
        <f>'Quantitativos (A)'!W38*$D38*$E38</f>
        <v>293.25780000000003</v>
      </c>
      <c r="Z38" s="157">
        <f>'Quantitativos (A)'!X38*$D38*$E38</f>
        <v>305.69904000000002</v>
      </c>
      <c r="AA38" s="157">
        <f>'Quantitativos (A)'!Y38*$D38*$E38</f>
        <v>1780.519176</v>
      </c>
      <c r="AB38" s="157">
        <f>'Quantitativos (A)'!Z38*$D38*$E38</f>
        <v>0</v>
      </c>
      <c r="AC38" s="157">
        <f>'Quantitativos (A)'!AA38*$D38*$E38</f>
        <v>305.69904000000002</v>
      </c>
      <c r="AD38" s="157">
        <f>'Quantitativos (A)'!AB38*$D38*$E38</f>
        <v>1780.519176</v>
      </c>
      <c r="AE38" s="157">
        <f>'Quantitativos (A)'!AC38*$D38*$E38</f>
        <v>0</v>
      </c>
      <c r="AF38" s="157">
        <f>'Quantitativos (A)'!AD38*$D38*$E38</f>
        <v>305.69904000000002</v>
      </c>
      <c r="AG38" s="157">
        <f>'Quantitativos (A)'!AE38*$D38*$E38</f>
        <v>305.69904000000002</v>
      </c>
      <c r="AH38" s="157">
        <f>'Quantitativos (A)'!AF38*$D38*$E38</f>
        <v>305.69904000000002</v>
      </c>
      <c r="AI38" s="158">
        <f>'Quantitativos (A)'!AG38*$D38*$E38</f>
        <v>305.69904000000002</v>
      </c>
      <c r="AJ38" s="22"/>
    </row>
    <row r="39" spans="1:36" x14ac:dyDescent="0.25">
      <c r="A39" s="112"/>
      <c r="B39" s="129" t="s">
        <v>290</v>
      </c>
      <c r="C39" s="67" t="s">
        <v>63</v>
      </c>
      <c r="D39" s="157">
        <f>'Dados (F)'!$D$65</f>
        <v>6.32</v>
      </c>
      <c r="E39" s="125">
        <f>IF('Dados (F)'!$D$35=1,1,IF('Dados (F)'!$D$35=2,'Dados (F)'!$C$39,1))</f>
        <v>1</v>
      </c>
      <c r="F39" s="157">
        <f>'Quantitativos (A)'!D39*$D39*$E39</f>
        <v>2.5103040000000001</v>
      </c>
      <c r="G39" s="157">
        <f>'Quantitativos (A)'!E39*$D39*$E39</f>
        <v>17.479223999999999</v>
      </c>
      <c r="H39" s="157">
        <f>'Quantitativos (A)'!F39*$D39*$E39</f>
        <v>0</v>
      </c>
      <c r="I39" s="157">
        <f>'Quantitativos (A)'!G39*$D39*$E39</f>
        <v>2.5103040000000001</v>
      </c>
      <c r="J39" s="157">
        <f>'Quantitativos (A)'!H39*$D39*$E39</f>
        <v>17.479223999999999</v>
      </c>
      <c r="K39" s="157">
        <f>'Quantitativos (A)'!I39*$D39*$E39</f>
        <v>0</v>
      </c>
      <c r="L39" s="157">
        <f>'Quantitativos (A)'!J39*$D39*$E39</f>
        <v>2.5103040000000001</v>
      </c>
      <c r="M39" s="157">
        <f>'Quantitativos (A)'!K39*$D39*$E39</f>
        <v>0</v>
      </c>
      <c r="N39" s="157">
        <f>'Quantitativos (A)'!L39*$D39*$E39</f>
        <v>2.5103040000000001</v>
      </c>
      <c r="O39" s="157">
        <f>'Quantitativos (A)'!M39*$D39*$E39</f>
        <v>0</v>
      </c>
      <c r="P39" s="157">
        <f>'Quantitativos (A)'!N39*$D39*$E39</f>
        <v>2.512832</v>
      </c>
      <c r="Q39" s="157">
        <f>'Quantitativos (A)'!O39*$D39*$E39</f>
        <v>15.109856000000001</v>
      </c>
      <c r="R39" s="157">
        <f>'Quantitativos (A)'!P39*$D39*$E39</f>
        <v>0</v>
      </c>
      <c r="S39" s="157">
        <f>'Quantitativos (A)'!Q39*$D39*$E39</f>
        <v>2.512832</v>
      </c>
      <c r="T39" s="157">
        <f>'Quantitativos (A)'!R39*$D39*$E39</f>
        <v>15.109856000000001</v>
      </c>
      <c r="U39" s="157">
        <f>'Quantitativos (A)'!S39*$D39*$E39</f>
        <v>0</v>
      </c>
      <c r="V39" s="157">
        <f>'Quantitativos (A)'!T39*$D39*$E39</f>
        <v>2.512832</v>
      </c>
      <c r="W39" s="157">
        <f>'Quantitativos (A)'!U39*$D39*$E39</f>
        <v>2.512832</v>
      </c>
      <c r="X39" s="157">
        <f>'Quantitativos (A)'!V39*$D39*$E39</f>
        <v>2.512832</v>
      </c>
      <c r="Y39" s="157">
        <f>'Quantitativos (A)'!W39*$D39*$E39</f>
        <v>2.512832</v>
      </c>
      <c r="Z39" s="157">
        <f>'Quantitativos (A)'!X39*$D39*$E39</f>
        <v>2.6051040000000003</v>
      </c>
      <c r="AA39" s="157">
        <f>'Quantitativos (A)'!Y39*$D39*$E39</f>
        <v>15.222984</v>
      </c>
      <c r="AB39" s="157">
        <f>'Quantitativos (A)'!Z39*$D39*$E39</f>
        <v>0</v>
      </c>
      <c r="AC39" s="157">
        <f>'Quantitativos (A)'!AA39*$D39*$E39</f>
        <v>2.6051040000000003</v>
      </c>
      <c r="AD39" s="157">
        <f>'Quantitativos (A)'!AB39*$D39*$E39</f>
        <v>15.222984</v>
      </c>
      <c r="AE39" s="157">
        <f>'Quantitativos (A)'!AC39*$D39*$E39</f>
        <v>0</v>
      </c>
      <c r="AF39" s="157">
        <f>'Quantitativos (A)'!AD39*$D39*$E39</f>
        <v>2.6051040000000003</v>
      </c>
      <c r="AG39" s="157">
        <f>'Quantitativos (A)'!AE39*$D39*$E39</f>
        <v>2.6051040000000003</v>
      </c>
      <c r="AH39" s="157">
        <f>'Quantitativos (A)'!AF39*$D39*$E39</f>
        <v>2.6051040000000003</v>
      </c>
      <c r="AI39" s="158">
        <f>'Quantitativos (A)'!AG39*$D39*$E39</f>
        <v>2.6051040000000003</v>
      </c>
      <c r="AJ39" s="22"/>
    </row>
    <row r="40" spans="1:36" ht="25.5" x14ac:dyDescent="0.25">
      <c r="A40" s="112"/>
      <c r="B40" s="129" t="s">
        <v>295</v>
      </c>
      <c r="C40" s="67" t="s">
        <v>57</v>
      </c>
      <c r="D40" s="157">
        <f>'Dados (F)'!$D$110</f>
        <v>30.97</v>
      </c>
      <c r="E40" s="125">
        <f>IF('Dados (F)'!$D$35=1,1,IF('Dados (F)'!$D$35=2,'Dados (F)'!$C$39,1))</f>
        <v>1</v>
      </c>
      <c r="F40" s="157">
        <f>'Quantitativos (A)'!D40*$D40*$E40</f>
        <v>320.22980000000001</v>
      </c>
      <c r="G40" s="157">
        <f>'Quantitativos (A)'!E40*$D40*$E40</f>
        <v>2605.5370699999999</v>
      </c>
      <c r="H40" s="157">
        <f>'Quantitativos (A)'!F40*$D40*$E40</f>
        <v>0</v>
      </c>
      <c r="I40" s="157">
        <f>'Quantitativos (A)'!G40*$D40*$E40</f>
        <v>320.22980000000001</v>
      </c>
      <c r="J40" s="157">
        <f>'Quantitativos (A)'!H40*$D40*$E40</f>
        <v>2605.5370699999999</v>
      </c>
      <c r="K40" s="157">
        <f>'Quantitativos (A)'!I40*$D40*$E40</f>
        <v>0</v>
      </c>
      <c r="L40" s="157">
        <f>'Quantitativos (A)'!J40*$D40*$E40</f>
        <v>320.22980000000001</v>
      </c>
      <c r="M40" s="157">
        <f>'Quantitativos (A)'!K40*$D40*$E40</f>
        <v>0</v>
      </c>
      <c r="N40" s="157">
        <f>'Quantitativos (A)'!L40*$D40*$E40</f>
        <v>320.22980000000001</v>
      </c>
      <c r="O40" s="157">
        <f>'Quantitativos (A)'!M40*$D40*$E40</f>
        <v>0</v>
      </c>
      <c r="P40" s="157">
        <f>'Quantitativos (A)'!N40*$D40*$E40</f>
        <v>320.28244899999999</v>
      </c>
      <c r="Q40" s="157">
        <f>'Quantitativos (A)'!O40*$D40*$E40</f>
        <v>2221.66392</v>
      </c>
      <c r="R40" s="157">
        <f>'Quantitativos (A)'!P40*$D40*$E40</f>
        <v>0</v>
      </c>
      <c r="S40" s="157">
        <f>'Quantitativos (A)'!Q40*$D40*$E40</f>
        <v>320.28244899999999</v>
      </c>
      <c r="T40" s="157">
        <f>'Quantitativos (A)'!R40*$D40*$E40</f>
        <v>2221.66392</v>
      </c>
      <c r="U40" s="157">
        <f>'Quantitativos (A)'!S40*$D40*$E40</f>
        <v>0</v>
      </c>
      <c r="V40" s="157">
        <f>'Quantitativos (A)'!T40*$D40*$E40</f>
        <v>320.28244899999999</v>
      </c>
      <c r="W40" s="157">
        <f>'Quantitativos (A)'!U40*$D40*$E40</f>
        <v>320.28244899999999</v>
      </c>
      <c r="X40" s="157">
        <f>'Quantitativos (A)'!V40*$D40*$E40</f>
        <v>320.28244899999999</v>
      </c>
      <c r="Y40" s="157">
        <f>'Quantitativos (A)'!W40*$D40*$E40</f>
        <v>320.28244899999999</v>
      </c>
      <c r="Z40" s="157">
        <f>'Quantitativos (A)'!X40*$D40*$E40</f>
        <v>335.71479999999997</v>
      </c>
      <c r="AA40" s="157">
        <f>'Quantitativos (A)'!Y40*$D40*$E40</f>
        <v>2234.2067699999998</v>
      </c>
      <c r="AB40" s="157">
        <f>'Quantitativos (A)'!Z40*$D40*$E40</f>
        <v>0</v>
      </c>
      <c r="AC40" s="157">
        <f>'Quantitativos (A)'!AA40*$D40*$E40</f>
        <v>335.71479999999997</v>
      </c>
      <c r="AD40" s="157">
        <f>'Quantitativos (A)'!AB40*$D40*$E40</f>
        <v>2234.2067699999998</v>
      </c>
      <c r="AE40" s="157">
        <f>'Quantitativos (A)'!AC40*$D40*$E40</f>
        <v>0</v>
      </c>
      <c r="AF40" s="157">
        <f>'Quantitativos (A)'!AD40*$D40*$E40</f>
        <v>335.71479999999997</v>
      </c>
      <c r="AG40" s="157">
        <f>'Quantitativos (A)'!AE40*$D40*$E40</f>
        <v>335.71479999999997</v>
      </c>
      <c r="AH40" s="157">
        <f>'Quantitativos (A)'!AF40*$D40*$E40</f>
        <v>335.71479999999997</v>
      </c>
      <c r="AI40" s="158">
        <f>'Quantitativos (A)'!AG40*$D40*$E40</f>
        <v>335.71479999999997</v>
      </c>
      <c r="AJ40" s="22"/>
    </row>
    <row r="41" spans="1:36" x14ac:dyDescent="0.25">
      <c r="A41" s="112"/>
      <c r="B41" s="120" t="s">
        <v>510</v>
      </c>
      <c r="C41" s="121"/>
      <c r="D41" s="155"/>
      <c r="E41" s="156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60"/>
      <c r="AJ41" s="22"/>
    </row>
    <row r="42" spans="1:36" x14ac:dyDescent="0.25">
      <c r="A42" s="112"/>
      <c r="B42" s="120" t="s">
        <v>511</v>
      </c>
      <c r="C42" s="121"/>
      <c r="D42" s="155"/>
      <c r="E42" s="156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60"/>
      <c r="AJ42" s="22"/>
    </row>
    <row r="43" spans="1:36" ht="25.5" x14ac:dyDescent="0.25">
      <c r="A43" s="112"/>
      <c r="B43" s="129" t="s">
        <v>294</v>
      </c>
      <c r="C43" s="67" t="s">
        <v>65</v>
      </c>
      <c r="D43" s="157">
        <f>'Dados (F)'!$D$64</f>
        <v>296.22000000000003</v>
      </c>
      <c r="E43" s="125">
        <f>IF('Dados (F)'!$D$35=1,1,IF('Dados (F)'!$D$35=2,'Dados (F)'!$C$39,1))</f>
        <v>1</v>
      </c>
      <c r="F43" s="157">
        <f>'Quantitativos (A)'!D43*$D43*$E43</f>
        <v>10721.090460000003</v>
      </c>
      <c r="G43" s="157">
        <f>'Quantitativos (A)'!E43*$D43*$E43</f>
        <v>10788.332400000001</v>
      </c>
      <c r="H43" s="157">
        <f>'Quantitativos (A)'!F43*$D43*$E43</f>
        <v>12836.693700000002</v>
      </c>
      <c r="I43" s="157">
        <f>'Quantitativos (A)'!G43*$D43*$E43</f>
        <v>10748.638920000001</v>
      </c>
      <c r="J43" s="157">
        <f>'Quantitativos (A)'!H43*$D43*$E43</f>
        <v>10819.139280000001</v>
      </c>
      <c r="K43" s="157">
        <f>'Quantitativos (A)'!I43*$D43*$E43</f>
        <v>12955.181700000001</v>
      </c>
      <c r="L43" s="157">
        <f>'Quantitativos (A)'!J43*$D43*$E43</f>
        <v>10721.090460000003</v>
      </c>
      <c r="M43" s="157">
        <f>'Quantitativos (A)'!K43*$D43*$E43</f>
        <v>12895.937700000002</v>
      </c>
      <c r="N43" s="157">
        <f>'Quantitativos (A)'!L43*$D43*$E43</f>
        <v>10748.638920000001</v>
      </c>
      <c r="O43" s="157">
        <f>'Quantitativos (A)'!M43*$D43*$E43</f>
        <v>13014.425700000002</v>
      </c>
      <c r="P43" s="157">
        <f>'Quantitativos (A)'!N43*$D43*$E43</f>
        <v>11307.30984</v>
      </c>
      <c r="Q43" s="157">
        <f>'Quantitativos (A)'!O43*$D43*$E43</f>
        <v>10322.674560000001</v>
      </c>
      <c r="R43" s="157">
        <f>'Quantitativos (A)'!P43*$D43*$E43</f>
        <v>12507.000840000002</v>
      </c>
      <c r="S43" s="157">
        <f>'Quantitativos (A)'!Q43*$D43*$E43</f>
        <v>11307.30984</v>
      </c>
      <c r="T43" s="157">
        <f>'Quantitativos (A)'!R43*$D43*$E43</f>
        <v>10409.46702</v>
      </c>
      <c r="U43" s="157">
        <f>'Quantitativos (A)'!S43*$D43*$E43</f>
        <v>12507.000840000002</v>
      </c>
      <c r="V43" s="157">
        <f>'Quantitativos (A)'!T43*$D43*$E43</f>
        <v>11307.30984</v>
      </c>
      <c r="W43" s="157">
        <f>'Quantitativos (A)'!U43*$D43*$E43</f>
        <v>11338.11672</v>
      </c>
      <c r="X43" s="157">
        <f>'Quantitativos (A)'!V43*$D43*$E43</f>
        <v>11307.30984</v>
      </c>
      <c r="Y43" s="157">
        <f>'Quantitativos (A)'!W43*$D43*$E43</f>
        <v>11338.11672</v>
      </c>
      <c r="Z43" s="157">
        <f>'Quantitativos (A)'!X43*$D43*$E43</f>
        <v>9703.8709800000015</v>
      </c>
      <c r="AA43" s="157">
        <f>'Quantitativos (A)'!Y43*$D43*$E43</f>
        <v>9992.6854800000019</v>
      </c>
      <c r="AB43" s="157">
        <f>'Quantitativos (A)'!Z43*$D43*$E43</f>
        <v>11884.642620000001</v>
      </c>
      <c r="AC43" s="157">
        <f>'Quantitativos (A)'!AA43*$D43*$E43</f>
        <v>9735.5665200000003</v>
      </c>
      <c r="AD43" s="157">
        <f>'Quantitativos (A)'!AB43*$D43*$E43</f>
        <v>10081.55148</v>
      </c>
      <c r="AE43" s="157">
        <f>'Quantitativos (A)'!AC43*$D43*$E43</f>
        <v>11945.66394</v>
      </c>
      <c r="AF43" s="157">
        <f>'Quantitativos (A)'!AD43*$D43*$E43</f>
        <v>9703.8709800000015</v>
      </c>
      <c r="AG43" s="157">
        <f>'Quantitativos (A)'!AE43*$D43*$E43</f>
        <v>9763.1149800000003</v>
      </c>
      <c r="AH43" s="157">
        <f>'Quantitativos (A)'!AF43*$D43*$E43</f>
        <v>9735.5665200000003</v>
      </c>
      <c r="AI43" s="158">
        <f>'Quantitativos (A)'!AG43*$D43*$E43</f>
        <v>9824.4325200000003</v>
      </c>
      <c r="AJ43" s="22"/>
    </row>
    <row r="44" spans="1:36" x14ac:dyDescent="0.25">
      <c r="A44" s="112"/>
      <c r="B44" s="129" t="s">
        <v>290</v>
      </c>
      <c r="C44" s="67" t="s">
        <v>63</v>
      </c>
      <c r="D44" s="157">
        <f>'Dados (F)'!$D$65</f>
        <v>6.32</v>
      </c>
      <c r="E44" s="125">
        <f>IF('Dados (F)'!$D$35=1,1,IF('Dados (F)'!$D$35=2,'Dados (F)'!$C$39,1))</f>
        <v>1</v>
      </c>
      <c r="F44" s="157">
        <f>'Quantitativos (A)'!D44*$D44*$E44</f>
        <v>91.507279999999994</v>
      </c>
      <c r="G44" s="157">
        <f>'Quantitativos (A)'!E44*$D44*$E44</f>
        <v>92.069760000000002</v>
      </c>
      <c r="H44" s="157">
        <f>'Quantitativos (A)'!F44*$D44*$E44</f>
        <v>109.57615999999999</v>
      </c>
      <c r="I44" s="157">
        <f>'Quantitativos (A)'!G44*$D44*$E44</f>
        <v>91.71584</v>
      </c>
      <c r="J44" s="157">
        <f>'Quantitativos (A)'!H44*$D44*$E44</f>
        <v>92.341520000000003</v>
      </c>
      <c r="K44" s="157">
        <f>'Quantitativos (A)'!I44*$D44*$E44</f>
        <v>110.58736000000002</v>
      </c>
      <c r="L44" s="157">
        <f>'Quantitativos (A)'!J44*$D44*$E44</f>
        <v>91.507279999999994</v>
      </c>
      <c r="M44" s="157">
        <f>'Quantitativos (A)'!K44*$D44*$E44</f>
        <v>110.08176</v>
      </c>
      <c r="N44" s="157">
        <f>'Quantitativos (A)'!L44*$D44*$E44</f>
        <v>91.71584</v>
      </c>
      <c r="O44" s="157">
        <f>'Quantitativos (A)'!M44*$D44*$E44</f>
        <v>111.09296000000001</v>
      </c>
      <c r="P44" s="157">
        <f>'Quantitativos (A)'!N44*$D44*$E44</f>
        <v>96.525359999999992</v>
      </c>
      <c r="Q44" s="157">
        <f>'Quantitativos (A)'!O44*$D44*$E44</f>
        <v>88.107120000000009</v>
      </c>
      <c r="R44" s="157">
        <f>'Quantitativos (A)'!P44*$D44*$E44</f>
        <v>106.76376</v>
      </c>
      <c r="S44" s="157">
        <f>'Quantitativos (A)'!Q44*$D44*$E44</f>
        <v>96.525359999999992</v>
      </c>
      <c r="T44" s="157">
        <f>'Quantitativos (A)'!R44*$D44*$E44</f>
        <v>88.827600000000004</v>
      </c>
      <c r="U44" s="157">
        <f>'Quantitativos (A)'!S44*$D44*$E44</f>
        <v>106.76376</v>
      </c>
      <c r="V44" s="157">
        <f>'Quantitativos (A)'!T44*$D44*$E44</f>
        <v>96.525359999999992</v>
      </c>
      <c r="W44" s="157">
        <f>'Quantitativos (A)'!U44*$D44*$E44</f>
        <v>96.733919999999998</v>
      </c>
      <c r="X44" s="157">
        <f>'Quantitativos (A)'!V44*$D44*$E44</f>
        <v>96.525359999999992</v>
      </c>
      <c r="Y44" s="157">
        <f>'Quantitativos (A)'!W44*$D44*$E44</f>
        <v>96.733919999999998</v>
      </c>
      <c r="Z44" s="157">
        <f>'Quantitativos (A)'!X44*$D44*$E44</f>
        <v>82.829920000000001</v>
      </c>
      <c r="AA44" s="157">
        <f>'Quantitativos (A)'!Y44*$D44*$E44</f>
        <v>85.263120000000001</v>
      </c>
      <c r="AB44" s="157">
        <f>'Quantitativos (A)'!Z44*$D44*$E44</f>
        <v>101.41072</v>
      </c>
      <c r="AC44" s="157">
        <f>'Quantitativos (A)'!AA44*$D44*$E44</f>
        <v>83.05744</v>
      </c>
      <c r="AD44" s="157">
        <f>'Quantitativos (A)'!AB44*$D44*$E44</f>
        <v>86.021519999999995</v>
      </c>
      <c r="AE44" s="157">
        <f>'Quantitativos (A)'!AC44*$D44*$E44</f>
        <v>101.96056</v>
      </c>
      <c r="AF44" s="157">
        <f>'Quantitativos (A)'!AD44*$D44*$E44</f>
        <v>82.829920000000001</v>
      </c>
      <c r="AG44" s="157">
        <f>'Quantitativos (A)'!AE44*$D44*$E44</f>
        <v>83.335520000000002</v>
      </c>
      <c r="AH44" s="157">
        <f>'Quantitativos (A)'!AF44*$D44*$E44</f>
        <v>83.05744</v>
      </c>
      <c r="AI44" s="158">
        <f>'Quantitativos (A)'!AG44*$D44*$E44</f>
        <v>83.815839999999994</v>
      </c>
      <c r="AJ44" s="22"/>
    </row>
    <row r="45" spans="1:36" ht="25.5" x14ac:dyDescent="0.25">
      <c r="A45" s="112"/>
      <c r="B45" s="129" t="s">
        <v>295</v>
      </c>
      <c r="C45" s="67" t="s">
        <v>57</v>
      </c>
      <c r="D45" s="157">
        <f>'Dados (F)'!$D$110</f>
        <v>30.97</v>
      </c>
      <c r="E45" s="125">
        <f>IF('Dados (F)'!$D$35=1,1,IF('Dados (F)'!$D$35=2,'Dados (F)'!$C$39,1))</f>
        <v>1</v>
      </c>
      <c r="F45" s="157">
        <f>'Quantitativos (A)'!D45*$D45*$E45</f>
        <v>2111.4726599999999</v>
      </c>
      <c r="G45" s="157">
        <f>'Quantitativos (A)'!E45*$D45*$E45</f>
        <v>2274.5916500000003</v>
      </c>
      <c r="H45" s="157">
        <f>'Quantitativos (A)'!F45*$D45*$E45</f>
        <v>2702.9686900000002</v>
      </c>
      <c r="I45" s="157">
        <f>'Quantitativos (A)'!G45*$D45*$E45</f>
        <v>2117.57375</v>
      </c>
      <c r="J45" s="157">
        <f>'Quantitativos (A)'!H45*$D45*$E45</f>
        <v>2280.9714700000004</v>
      </c>
      <c r="K45" s="157">
        <f>'Quantitativos (A)'!I45*$D45*$E45</f>
        <v>2727.74469</v>
      </c>
      <c r="L45" s="157">
        <f>'Quantitativos (A)'!J45*$D45*$E45</f>
        <v>2111.4726599999999</v>
      </c>
      <c r="M45" s="157">
        <f>'Quantitativos (A)'!K45*$D45*$E45</f>
        <v>2715.3566899999996</v>
      </c>
      <c r="N45" s="157">
        <f>'Quantitativos (A)'!L45*$D45*$E45</f>
        <v>2117.57375</v>
      </c>
      <c r="O45" s="157">
        <f>'Quantitativos (A)'!M45*$D45*$E45</f>
        <v>2740.1326899999999</v>
      </c>
      <c r="P45" s="157">
        <f>'Quantitativos (A)'!N45*$D45*$E45</f>
        <v>2159.2284</v>
      </c>
      <c r="Q45" s="157">
        <f>'Quantitativos (A)'!O45*$D45*$E45</f>
        <v>2175.9522000000002</v>
      </c>
      <c r="R45" s="157">
        <f>'Quantitativos (A)'!P45*$D45*$E45</f>
        <v>2633.19328</v>
      </c>
      <c r="S45" s="157">
        <f>'Quantitativos (A)'!Q45*$D45*$E45</f>
        <v>2159.2284</v>
      </c>
      <c r="T45" s="157">
        <f>'Quantitativos (A)'!R45*$D45*$E45</f>
        <v>2194.7200199999997</v>
      </c>
      <c r="U45" s="157">
        <f>'Quantitativos (A)'!S45*$D45*$E45</f>
        <v>2633.19328</v>
      </c>
      <c r="V45" s="157">
        <f>'Quantitativos (A)'!T45*$D45*$E45</f>
        <v>2159.2284</v>
      </c>
      <c r="W45" s="157">
        <f>'Quantitativos (A)'!U45*$D45*$E45</f>
        <v>2165.6082200000001</v>
      </c>
      <c r="X45" s="157">
        <f>'Quantitativos (A)'!V45*$D45*$E45</f>
        <v>2159.2284</v>
      </c>
      <c r="Y45" s="157">
        <f>'Quantitativos (A)'!W45*$D45*$E45</f>
        <v>2165.6082200000001</v>
      </c>
      <c r="Z45" s="157">
        <f>'Quantitativos (A)'!X45*$D45*$E45</f>
        <v>2098.8988399999998</v>
      </c>
      <c r="AA45" s="157">
        <f>'Quantitativos (A)'!Y45*$D45*$E45</f>
        <v>2125.6259499999996</v>
      </c>
      <c r="AB45" s="157">
        <f>'Quantitativos (A)'!Z45*$D45*$E45</f>
        <v>2556.1399200000001</v>
      </c>
      <c r="AC45" s="157">
        <f>'Quantitativos (A)'!AA45*$D45*$E45</f>
        <v>2104.9070200000001</v>
      </c>
      <c r="AD45" s="157">
        <f>'Quantitativos (A)'!AB45*$D45*$E45</f>
        <v>2144.20795</v>
      </c>
      <c r="AE45" s="157">
        <f>'Quantitativos (A)'!AC45*$D45*$E45</f>
        <v>2568.31113</v>
      </c>
      <c r="AF45" s="157">
        <f>'Quantitativos (A)'!AD45*$D45*$E45</f>
        <v>2098.8988399999998</v>
      </c>
      <c r="AG45" s="157">
        <f>'Quantitativos (A)'!AE45*$D45*$E45</f>
        <v>2111.2868399999998</v>
      </c>
      <c r="AH45" s="157">
        <f>'Quantitativos (A)'!AF45*$D45*$E45</f>
        <v>2104.9070200000001</v>
      </c>
      <c r="AI45" s="158">
        <f>'Quantitativos (A)'!AG45*$D45*$E45</f>
        <v>2123.48902</v>
      </c>
      <c r="AJ45" s="22"/>
    </row>
    <row r="46" spans="1:36" x14ac:dyDescent="0.25">
      <c r="A46" s="112"/>
      <c r="B46" s="120" t="s">
        <v>512</v>
      </c>
      <c r="C46" s="121"/>
      <c r="D46" s="155"/>
      <c r="E46" s="156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60"/>
      <c r="AJ46" s="22"/>
    </row>
    <row r="47" spans="1:36" ht="25.5" x14ac:dyDescent="0.25">
      <c r="A47" s="112"/>
      <c r="B47" s="129" t="s">
        <v>294</v>
      </c>
      <c r="C47" s="67" t="s">
        <v>65</v>
      </c>
      <c r="D47" s="157">
        <f>'Dados (F)'!$D$64</f>
        <v>296.22000000000003</v>
      </c>
      <c r="E47" s="125">
        <f>IF('Dados (F)'!$D$35=1,1,IF('Dados (F)'!$D$35=2,'Dados (F)'!$C$39,1))</f>
        <v>1</v>
      </c>
      <c r="F47" s="157">
        <f>'Quantitativos (A)'!D47*$D47*$E47</f>
        <v>9250.9506000000001</v>
      </c>
      <c r="G47" s="157">
        <f>'Quantitativos (A)'!E47*$D47*$E47</f>
        <v>9566.1286800000016</v>
      </c>
      <c r="H47" s="157">
        <f>'Quantitativos (A)'!F47*$D47*$E47</f>
        <v>1947.7353660000003</v>
      </c>
      <c r="I47" s="157">
        <f>'Quantitativos (A)'!G47*$D47*$E47</f>
        <v>9281.7574800000002</v>
      </c>
      <c r="J47" s="157">
        <f>'Quantitativos (A)'!H47*$D47*$E47</f>
        <v>9575.9039400000001</v>
      </c>
      <c r="K47" s="157">
        <f>'Quantitativos (A)'!I47*$D47*$E47</f>
        <v>2007.9568920000002</v>
      </c>
      <c r="L47" s="157">
        <f>'Quantitativos (A)'!J47*$D47*$E47</f>
        <v>9250.9506000000001</v>
      </c>
      <c r="M47" s="157">
        <f>'Quantitativos (A)'!K47*$D47*$E47</f>
        <v>2006.979366</v>
      </c>
      <c r="N47" s="157">
        <f>'Quantitativos (A)'!L47*$D47*$E47</f>
        <v>9281.7574800000002</v>
      </c>
      <c r="O47" s="157">
        <f>'Quantitativos (A)'!M47*$D47*$E47</f>
        <v>2067.2008920000003</v>
      </c>
      <c r="P47" s="157">
        <f>'Quantitativos (A)'!N47*$D47*$E47</f>
        <v>8133.9049800000021</v>
      </c>
      <c r="Q47" s="157">
        <f>'Quantitativos (A)'!O47*$D47*$E47</f>
        <v>7802.7310200000002</v>
      </c>
      <c r="R47" s="157">
        <f>'Quantitativos (A)'!P47*$D47*$E47</f>
        <v>2103.2508660000003</v>
      </c>
      <c r="S47" s="157">
        <f>'Quantitativos (A)'!Q47*$D47*$E47</f>
        <v>8133.9049800000021</v>
      </c>
      <c r="T47" s="157">
        <f>'Quantitativos (A)'!R47*$D47*$E47</f>
        <v>7889.5234800000007</v>
      </c>
      <c r="U47" s="157">
        <f>'Quantitativos (A)'!S47*$D47*$E47</f>
        <v>2103.2508660000003</v>
      </c>
      <c r="V47" s="157">
        <f>'Quantitativos (A)'!T47*$D47*$E47</f>
        <v>8133.9049800000021</v>
      </c>
      <c r="W47" s="157">
        <f>'Quantitativos (A)'!U47*$D47*$E47</f>
        <v>8164.4156400000011</v>
      </c>
      <c r="X47" s="157">
        <f>'Quantitativos (A)'!V47*$D47*$E47</f>
        <v>8133.9049800000021</v>
      </c>
      <c r="Y47" s="157">
        <f>'Quantitativos (A)'!W47*$D47*$E47</f>
        <v>8164.4156400000011</v>
      </c>
      <c r="Z47" s="157">
        <f>'Quantitativos (A)'!X47*$D47*$E47</f>
        <v>8037.9297000000006</v>
      </c>
      <c r="AA47" s="157">
        <f>'Quantitativos (A)'!Y47*$D47*$E47</f>
        <v>7788.5124600000017</v>
      </c>
      <c r="AB47" s="157">
        <f>'Quantitativos (A)'!Z47*$D47*$E47</f>
        <v>1920.0980400000003</v>
      </c>
      <c r="AC47" s="157">
        <f>'Quantitativos (A)'!AA47*$D47*$E47</f>
        <v>8066.3668200000011</v>
      </c>
      <c r="AD47" s="157">
        <f>'Quantitativos (A)'!AB47*$D47*$E47</f>
        <v>7877.3784600000017</v>
      </c>
      <c r="AE47" s="157">
        <f>'Quantitativos (A)'!AC47*$D47*$E47</f>
        <v>1919.1205140000002</v>
      </c>
      <c r="AF47" s="157">
        <f>'Quantitativos (A)'!AD47*$D47*$E47</f>
        <v>8037.9297000000006</v>
      </c>
      <c r="AG47" s="157">
        <f>'Quantitativos (A)'!AE47*$D47*$E47</f>
        <v>8097.1737000000012</v>
      </c>
      <c r="AH47" s="157">
        <f>'Quantitativos (A)'!AF47*$D47*$E47</f>
        <v>8066.3668200000011</v>
      </c>
      <c r="AI47" s="158">
        <f>'Quantitativos (A)'!AG47*$D47*$E47</f>
        <v>8095.9888200000005</v>
      </c>
      <c r="AJ47" s="22"/>
    </row>
    <row r="48" spans="1:36" x14ac:dyDescent="0.25">
      <c r="A48" s="112"/>
      <c r="B48" s="129" t="s">
        <v>290</v>
      </c>
      <c r="C48" s="67" t="s">
        <v>63</v>
      </c>
      <c r="D48" s="157">
        <f>'Dados (F)'!$D$65</f>
        <v>6.32</v>
      </c>
      <c r="E48" s="125">
        <f>IF('Dados (F)'!$D$35=1,1,IF('Dados (F)'!$D$35=2,'Dados (F)'!$C$39,1))</f>
        <v>1</v>
      </c>
      <c r="F48" s="157">
        <f>'Quantitativos (A)'!D48*$D48*$E48</f>
        <v>78.930480000000003</v>
      </c>
      <c r="G48" s="157">
        <f>'Quantitativos (A)'!E48*$D48*$E48</f>
        <v>81.610160000000008</v>
      </c>
      <c r="H48" s="157">
        <f>'Quantitativos (A)'!F48*$D48*$E48</f>
        <v>16.643719999999998</v>
      </c>
      <c r="I48" s="157">
        <f>'Quantitativos (A)'!G48*$D48*$E48</f>
        <v>79.208560000000006</v>
      </c>
      <c r="J48" s="157">
        <f>'Quantitativos (A)'!H48*$D48*$E48</f>
        <v>81.723919999999993</v>
      </c>
      <c r="K48" s="157">
        <f>'Quantitativos (A)'!I48*$D48*$E48</f>
        <v>17.106976000000003</v>
      </c>
      <c r="L48" s="157">
        <f>'Quantitativos (A)'!J48*$D48*$E48</f>
        <v>78.930480000000003</v>
      </c>
      <c r="M48" s="157">
        <f>'Quantitativos (A)'!K48*$D48*$E48</f>
        <v>17.149319999999999</v>
      </c>
      <c r="N48" s="157">
        <f>'Quantitativos (A)'!L48*$D48*$E48</f>
        <v>79.208560000000006</v>
      </c>
      <c r="O48" s="157">
        <f>'Quantitativos (A)'!M48*$D48*$E48</f>
        <v>17.612576000000004</v>
      </c>
      <c r="P48" s="157">
        <f>'Quantitativos (A)'!N48*$D48*$E48</f>
        <v>69.451744000000005</v>
      </c>
      <c r="Q48" s="157">
        <f>'Quantitativos (A)'!O48*$D48*$E48</f>
        <v>66.551496</v>
      </c>
      <c r="R48" s="157">
        <f>'Quantitativos (A)'!P48*$D48*$E48</f>
        <v>17.934264000000002</v>
      </c>
      <c r="S48" s="157">
        <f>'Quantitativos (A)'!Q48*$D48*$E48</f>
        <v>69.451744000000005</v>
      </c>
      <c r="T48" s="157">
        <f>'Quantitativos (A)'!R48*$D48*$E48</f>
        <v>67.330752000000004</v>
      </c>
      <c r="U48" s="157">
        <f>'Quantitativos (A)'!S48*$D48*$E48</f>
        <v>17.934264000000002</v>
      </c>
      <c r="V48" s="157">
        <f>'Quantitativos (A)'!T48*$D48*$E48</f>
        <v>69.451744000000005</v>
      </c>
      <c r="W48" s="157">
        <f>'Quantitativos (A)'!U48*$D48*$E48</f>
        <v>69.674840000000003</v>
      </c>
      <c r="X48" s="157">
        <f>'Quantitativos (A)'!V48*$D48*$E48</f>
        <v>69.451744000000005</v>
      </c>
      <c r="Y48" s="157">
        <f>'Quantitativos (A)'!W48*$D48*$E48</f>
        <v>69.674840000000003</v>
      </c>
      <c r="Z48" s="157">
        <f>'Quantitativos (A)'!X48*$D48*$E48</f>
        <v>68.584640000000007</v>
      </c>
      <c r="AA48" s="157">
        <f>'Quantitativos (A)'!Y48*$D48*$E48</f>
        <v>66.468071999999992</v>
      </c>
      <c r="AB48" s="157">
        <f>'Quantitativos (A)'!Z48*$D48*$E48</f>
        <v>16.410512000000001</v>
      </c>
      <c r="AC48" s="157">
        <f>'Quantitativos (A)'!AA48*$D48*$E48</f>
        <v>68.812160000000006</v>
      </c>
      <c r="AD48" s="157">
        <f>'Quantitativos (A)'!AB48*$D48*$E48</f>
        <v>67.226472000000001</v>
      </c>
      <c r="AE48" s="157">
        <f>'Quantitativos (A)'!AC48*$D48*$E48</f>
        <v>16.389655999999999</v>
      </c>
      <c r="AF48" s="157">
        <f>'Quantitativos (A)'!AD48*$D48*$E48</f>
        <v>68.584640000000007</v>
      </c>
      <c r="AG48" s="157">
        <f>'Quantitativos (A)'!AE48*$D48*$E48</f>
        <v>69.090240000000009</v>
      </c>
      <c r="AH48" s="157">
        <f>'Quantitativos (A)'!AF48*$D48*$E48</f>
        <v>68.812160000000006</v>
      </c>
      <c r="AI48" s="158">
        <f>'Quantitativos (A)'!AG48*$D48*$E48</f>
        <v>69.064960000000013</v>
      </c>
      <c r="AJ48" s="22"/>
    </row>
    <row r="49" spans="1:36" ht="25.5" x14ac:dyDescent="0.25">
      <c r="A49" s="112"/>
      <c r="B49" s="129" t="s">
        <v>295</v>
      </c>
      <c r="C49" s="67" t="s">
        <v>57</v>
      </c>
      <c r="D49" s="157">
        <f>'Dados (F)'!$D$110</f>
        <v>30.97</v>
      </c>
      <c r="E49" s="125">
        <f>IF('Dados (F)'!$D$35=1,1,IF('Dados (F)'!$D$35=2,'Dados (F)'!$C$39,1))</f>
        <v>1</v>
      </c>
      <c r="F49" s="157">
        <f>'Quantitativos (A)'!D49*$D49*$E49</f>
        <v>2012.6164200000001</v>
      </c>
      <c r="G49" s="157">
        <f>'Quantitativos (A)'!E49*$D49*$E49</f>
        <v>2016.0231200000001</v>
      </c>
      <c r="H49" s="157">
        <f>'Quantitativos (A)'!F49*$D49*$E49</f>
        <v>419.64350000000002</v>
      </c>
      <c r="I49" s="157">
        <f>'Quantitativos (A)'!G49*$D49*$E49</f>
        <v>2018.6865399999999</v>
      </c>
      <c r="J49" s="157">
        <f>'Quantitativos (A)'!H49*$D49*$E49</f>
        <v>2018.6865399999999</v>
      </c>
      <c r="K49" s="157">
        <f>'Quantitativos (A)'!I49*$D49*$E49</f>
        <v>432.21731999999997</v>
      </c>
      <c r="L49" s="157">
        <f>'Quantitativos (A)'!J49*$D49*$E49</f>
        <v>2012.6164200000001</v>
      </c>
      <c r="M49" s="157">
        <f>'Quantitativos (A)'!K49*$D49*$E49</f>
        <v>432.03149999999999</v>
      </c>
      <c r="N49" s="157">
        <f>'Quantitativos (A)'!L49*$D49*$E49</f>
        <v>2018.6865399999999</v>
      </c>
      <c r="O49" s="157">
        <f>'Quantitativos (A)'!M49*$D49*$E49</f>
        <v>444.60531999999995</v>
      </c>
      <c r="P49" s="157">
        <f>'Quantitativos (A)'!N49*$D49*$E49</f>
        <v>1772.5679499999999</v>
      </c>
      <c r="Q49" s="157">
        <f>'Quantitativos (A)'!O49*$D49*$E49</f>
        <v>1668.3848700000001</v>
      </c>
      <c r="R49" s="157">
        <f>'Quantitativos (A)'!P49*$D49*$E49</f>
        <v>452.40976000000001</v>
      </c>
      <c r="S49" s="157">
        <f>'Quantitativos (A)'!Q49*$D49*$E49</f>
        <v>1772.5679499999999</v>
      </c>
      <c r="T49" s="157">
        <f>'Quantitativos (A)'!R49*$D49*$E49</f>
        <v>1687.1836599999999</v>
      </c>
      <c r="U49" s="157">
        <f>'Quantitativos (A)'!S49*$D49*$E49</f>
        <v>452.40976000000001</v>
      </c>
      <c r="V49" s="157">
        <f>'Quantitativos (A)'!T49*$D49*$E49</f>
        <v>1772.5679499999999</v>
      </c>
      <c r="W49" s="157">
        <f>'Quantitativos (A)'!U49*$D49*$E49</f>
        <v>1778.94777</v>
      </c>
      <c r="X49" s="157">
        <f>'Quantitativos (A)'!V49*$D49*$E49</f>
        <v>1772.5679499999999</v>
      </c>
      <c r="Y49" s="157">
        <f>'Quantitativos (A)'!W49*$D49*$E49</f>
        <v>1778.94777</v>
      </c>
      <c r="Z49" s="157">
        <f>'Quantitativos (A)'!X49*$D49*$E49</f>
        <v>1773.7757799999999</v>
      </c>
      <c r="AA49" s="157">
        <f>'Quantitativos (A)'!Y49*$D49*$E49</f>
        <v>1665.8453299999999</v>
      </c>
      <c r="AB49" s="157">
        <f>'Quantitativos (A)'!Z49*$D49*$E49</f>
        <v>429.36807999999996</v>
      </c>
      <c r="AC49" s="157">
        <f>'Quantitativos (A)'!AA49*$D49*$E49</f>
        <v>1779.75299</v>
      </c>
      <c r="AD49" s="157">
        <f>'Quantitativos (A)'!AB49*$D49*$E49</f>
        <v>1684.42733</v>
      </c>
      <c r="AE49" s="157">
        <f>'Quantitativos (A)'!AC49*$D49*$E49</f>
        <v>429.46099000000004</v>
      </c>
      <c r="AF49" s="157">
        <f>'Quantitativos (A)'!AD49*$D49*$E49</f>
        <v>1773.7757799999999</v>
      </c>
      <c r="AG49" s="157">
        <f>'Quantitativos (A)'!AE49*$D49*$E49</f>
        <v>1786.1637799999999</v>
      </c>
      <c r="AH49" s="157">
        <f>'Quantitativos (A)'!AF49*$D49*$E49</f>
        <v>1779.75299</v>
      </c>
      <c r="AI49" s="158">
        <f>'Quantitativos (A)'!AG49*$D49*$E49</f>
        <v>1785.9469899999999</v>
      </c>
      <c r="AJ49" s="22"/>
    </row>
    <row r="50" spans="1:36" x14ac:dyDescent="0.25">
      <c r="A50" s="112"/>
      <c r="B50" s="120" t="s">
        <v>513</v>
      </c>
      <c r="C50" s="121"/>
      <c r="D50" s="155"/>
      <c r="E50" s="156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60"/>
      <c r="AJ50" s="22"/>
    </row>
    <row r="51" spans="1:36" ht="51" x14ac:dyDescent="0.25">
      <c r="A51" s="112"/>
      <c r="B51" s="27" t="s">
        <v>441</v>
      </c>
      <c r="C51" s="67" t="s">
        <v>65</v>
      </c>
      <c r="D51" s="157">
        <f>'Dados (F)'!$D$67</f>
        <v>4.13</v>
      </c>
      <c r="E51" s="125">
        <f>IF('Dados (F)'!$D$35=1,1,IF('Dados (F)'!$D$35=2,'Dados (F)'!$C$39,1))</f>
        <v>1</v>
      </c>
      <c r="F51" s="157">
        <f>'Quantitativos (A)'!D51*$D51*$E51</f>
        <v>176.19405999999984</v>
      </c>
      <c r="G51" s="157">
        <f>'Quantitativos (A)'!E51*$D51*$E51</f>
        <v>176.19405999999984</v>
      </c>
      <c r="H51" s="157">
        <f>'Quantitativos (A)'!F51*$D51*$E51</f>
        <v>176.19405999999984</v>
      </c>
      <c r="I51" s="157">
        <f>'Quantitativos (A)'!G51*$D51*$E51</f>
        <v>176.19405999999984</v>
      </c>
      <c r="J51" s="157">
        <f>'Quantitativos (A)'!H51*$D51*$E51</f>
        <v>176.19405999999984</v>
      </c>
      <c r="K51" s="157">
        <f>'Quantitativos (A)'!I51*$D51*$E51</f>
        <v>176.19405999999984</v>
      </c>
      <c r="L51" s="157">
        <f>'Quantitativos (A)'!J51*$D51*$E51</f>
        <v>176.19405999999984</v>
      </c>
      <c r="M51" s="157">
        <f>'Quantitativos (A)'!K51*$D51*$E51</f>
        <v>176.19405999999984</v>
      </c>
      <c r="N51" s="157">
        <f>'Quantitativos (A)'!L51*$D51*$E51</f>
        <v>176.19405999999984</v>
      </c>
      <c r="O51" s="157">
        <f>'Quantitativos (A)'!M51*$D51*$E51</f>
        <v>176.19405999999984</v>
      </c>
      <c r="P51" s="157">
        <f>'Quantitativos (A)'!N51*$D51*$E51</f>
        <v>219.57145000000003</v>
      </c>
      <c r="Q51" s="157">
        <f>'Quantitativos (A)'!O51*$D51*$E51</f>
        <v>219.57145000000003</v>
      </c>
      <c r="R51" s="157">
        <f>'Quantitativos (A)'!P51*$D51*$E51</f>
        <v>219.57145000000003</v>
      </c>
      <c r="S51" s="157">
        <f>'Quantitativos (A)'!Q51*$D51*$E51</f>
        <v>219.57145000000003</v>
      </c>
      <c r="T51" s="157">
        <f>'Quantitativos (A)'!R51*$D51*$E51</f>
        <v>219.57145000000003</v>
      </c>
      <c r="U51" s="157">
        <f>'Quantitativos (A)'!S51*$D51*$E51</f>
        <v>219.57145000000003</v>
      </c>
      <c r="V51" s="157">
        <f>'Quantitativos (A)'!T51*$D51*$E51</f>
        <v>219.57145000000003</v>
      </c>
      <c r="W51" s="157">
        <f>'Quantitativos (A)'!U51*$D51*$E51</f>
        <v>219.57145000000003</v>
      </c>
      <c r="X51" s="157">
        <f>'Quantitativos (A)'!V51*$D51*$E51</f>
        <v>219.57145000000003</v>
      </c>
      <c r="Y51" s="157">
        <f>'Quantitativos (A)'!W51*$D51*$E51</f>
        <v>219.57145000000003</v>
      </c>
      <c r="Z51" s="157">
        <f>'Quantitativos (A)'!X51*$D51*$E51</f>
        <v>178.00299999999999</v>
      </c>
      <c r="AA51" s="157">
        <f>'Quantitativos (A)'!Y51*$D51*$E51</f>
        <v>178.00299999999999</v>
      </c>
      <c r="AB51" s="157">
        <f>'Quantitativos (A)'!Z51*$D51*$E51</f>
        <v>178.00299999999999</v>
      </c>
      <c r="AC51" s="157">
        <f>'Quantitativos (A)'!AA51*$D51*$E51</f>
        <v>178.00299999999999</v>
      </c>
      <c r="AD51" s="157">
        <f>'Quantitativos (A)'!AB51*$D51*$E51</f>
        <v>178.00299999999999</v>
      </c>
      <c r="AE51" s="157">
        <f>'Quantitativos (A)'!AC51*$D51*$E51</f>
        <v>178.00299999999999</v>
      </c>
      <c r="AF51" s="157">
        <f>'Quantitativos (A)'!AD51*$D51*$E51</f>
        <v>178.00299999999999</v>
      </c>
      <c r="AG51" s="157">
        <f>'Quantitativos (A)'!AE51*$D51*$E51</f>
        <v>178.00299999999999</v>
      </c>
      <c r="AH51" s="157">
        <f>'Quantitativos (A)'!AF51*$D51*$E51</f>
        <v>178.00299999999999</v>
      </c>
      <c r="AI51" s="158">
        <f>'Quantitativos (A)'!AG51*$D51*$E51</f>
        <v>178.00299999999999</v>
      </c>
      <c r="AJ51" s="22"/>
    </row>
    <row r="52" spans="1:36" ht="25.5" x14ac:dyDescent="0.25">
      <c r="A52" s="112"/>
      <c r="B52" s="129" t="s">
        <v>294</v>
      </c>
      <c r="C52" s="67" t="s">
        <v>65</v>
      </c>
      <c r="D52" s="157">
        <f>'Dados (F)'!$D$64</f>
        <v>296.22000000000003</v>
      </c>
      <c r="E52" s="125">
        <f>IF('Dados (F)'!$D$35=1,1,IF('Dados (F)'!$D$35=2,'Dados (F)'!$C$39,1))</f>
        <v>1</v>
      </c>
      <c r="F52" s="157">
        <f>'Quantitativos (A)'!D52*$D52*$E52</f>
        <v>21117.523800000003</v>
      </c>
      <c r="G52" s="157">
        <f>'Quantitativos (A)'!E52*$D52*$E52</f>
        <v>21117.523800000003</v>
      </c>
      <c r="H52" s="157">
        <f>'Quantitativos (A)'!F52*$D52*$E52</f>
        <v>21117.523800000003</v>
      </c>
      <c r="I52" s="157">
        <f>'Quantitativos (A)'!G52*$D52*$E52</f>
        <v>21117.523800000003</v>
      </c>
      <c r="J52" s="157">
        <f>'Quantitativos (A)'!H52*$D52*$E52</f>
        <v>21117.523800000003</v>
      </c>
      <c r="K52" s="157">
        <f>'Quantitativos (A)'!I52*$D52*$E52</f>
        <v>21117.523800000003</v>
      </c>
      <c r="L52" s="157">
        <f>'Quantitativos (A)'!J52*$D52*$E52</f>
        <v>21117.523800000003</v>
      </c>
      <c r="M52" s="157">
        <f>'Quantitativos (A)'!K52*$D52*$E52</f>
        <v>21117.523800000003</v>
      </c>
      <c r="N52" s="157">
        <f>'Quantitativos (A)'!L52*$D52*$E52</f>
        <v>21117.523800000003</v>
      </c>
      <c r="O52" s="157">
        <f>'Quantitativos (A)'!M52*$D52*$E52</f>
        <v>21117.523800000003</v>
      </c>
      <c r="P52" s="157">
        <f>'Quantitativos (A)'!N52*$D52*$E52</f>
        <v>21155.736180000004</v>
      </c>
      <c r="Q52" s="157">
        <f>'Quantitativos (A)'!O52*$D52*$E52</f>
        <v>21155.736180000004</v>
      </c>
      <c r="R52" s="157">
        <f>'Quantitativos (A)'!P52*$D52*$E52</f>
        <v>21155.736180000004</v>
      </c>
      <c r="S52" s="157">
        <f>'Quantitativos (A)'!Q52*$D52*$E52</f>
        <v>21155.736180000004</v>
      </c>
      <c r="T52" s="157">
        <f>'Quantitativos (A)'!R52*$D52*$E52</f>
        <v>21155.736180000004</v>
      </c>
      <c r="U52" s="157">
        <f>'Quantitativos (A)'!S52*$D52*$E52</f>
        <v>21155.736180000004</v>
      </c>
      <c r="V52" s="157">
        <f>'Quantitativos (A)'!T52*$D52*$E52</f>
        <v>21155.736180000004</v>
      </c>
      <c r="W52" s="157">
        <f>'Quantitativos (A)'!U52*$D52*$E52</f>
        <v>21155.736180000004</v>
      </c>
      <c r="X52" s="157">
        <f>'Quantitativos (A)'!V52*$D52*$E52</f>
        <v>21155.736180000004</v>
      </c>
      <c r="Y52" s="157">
        <f>'Quantitativos (A)'!W52*$D52*$E52</f>
        <v>21155.736180000004</v>
      </c>
      <c r="Z52" s="157">
        <f>'Quantitativos (A)'!X52*$D52*$E52</f>
        <v>21138.2592</v>
      </c>
      <c r="AA52" s="157">
        <f>'Quantitativos (A)'!Y52*$D52*$E52</f>
        <v>21138.2592</v>
      </c>
      <c r="AB52" s="157">
        <f>'Quantitativos (A)'!Z52*$D52*$E52</f>
        <v>21138.2592</v>
      </c>
      <c r="AC52" s="157">
        <f>'Quantitativos (A)'!AA52*$D52*$E52</f>
        <v>21138.2592</v>
      </c>
      <c r="AD52" s="157">
        <f>'Quantitativos (A)'!AB52*$D52*$E52</f>
        <v>21138.2592</v>
      </c>
      <c r="AE52" s="157">
        <f>'Quantitativos (A)'!AC52*$D52*$E52</f>
        <v>21138.2592</v>
      </c>
      <c r="AF52" s="157">
        <f>'Quantitativos (A)'!AD52*$D52*$E52</f>
        <v>21138.2592</v>
      </c>
      <c r="AG52" s="157">
        <f>'Quantitativos (A)'!AE52*$D52*$E52</f>
        <v>21138.2592</v>
      </c>
      <c r="AH52" s="157">
        <f>'Quantitativos (A)'!AF52*$D52*$E52</f>
        <v>21138.2592</v>
      </c>
      <c r="AI52" s="158">
        <f>'Quantitativos (A)'!AG52*$D52*$E52</f>
        <v>21138.2592</v>
      </c>
      <c r="AJ52" s="22"/>
    </row>
    <row r="53" spans="1:36" x14ac:dyDescent="0.25">
      <c r="A53" s="112"/>
      <c r="B53" s="129" t="s">
        <v>290</v>
      </c>
      <c r="C53" s="67" t="s">
        <v>63</v>
      </c>
      <c r="D53" s="157">
        <f>'Dados (F)'!$D$65</f>
        <v>6.32</v>
      </c>
      <c r="E53" s="125">
        <f>IF('Dados (F)'!$D$35=1,1,IF('Dados (F)'!$D$35=2,'Dados (F)'!$C$39,1))</f>
        <v>1</v>
      </c>
      <c r="F53" s="157">
        <f>'Quantitativos (A)'!D53*$D53*$E53</f>
        <v>180.24639999999999</v>
      </c>
      <c r="G53" s="157">
        <f>'Quantitativos (A)'!E53*$D53*$E53</f>
        <v>180.24639999999999</v>
      </c>
      <c r="H53" s="157">
        <f>'Quantitativos (A)'!F53*$D53*$E53</f>
        <v>180.24639999999999</v>
      </c>
      <c r="I53" s="157">
        <f>'Quantitativos (A)'!G53*$D53*$E53</f>
        <v>180.24639999999999</v>
      </c>
      <c r="J53" s="157">
        <f>'Quantitativos (A)'!H53*$D53*$E53</f>
        <v>180.24639999999999</v>
      </c>
      <c r="K53" s="157">
        <f>'Quantitativos (A)'!I53*$D53*$E53</f>
        <v>180.24639999999999</v>
      </c>
      <c r="L53" s="157">
        <f>'Quantitativos (A)'!J53*$D53*$E53</f>
        <v>180.24639999999999</v>
      </c>
      <c r="M53" s="157">
        <f>'Quantitativos (A)'!K53*$D53*$E53</f>
        <v>180.24639999999999</v>
      </c>
      <c r="N53" s="157">
        <f>'Quantitativos (A)'!L53*$D53*$E53</f>
        <v>180.24639999999999</v>
      </c>
      <c r="O53" s="157">
        <f>'Quantitativos (A)'!M53*$D53*$E53</f>
        <v>180.24639999999999</v>
      </c>
      <c r="P53" s="157">
        <f>'Quantitativos (A)'!N53*$D53*$E53</f>
        <v>180.54344</v>
      </c>
      <c r="Q53" s="157">
        <f>'Quantitativos (A)'!O53*$D53*$E53</f>
        <v>180.54344</v>
      </c>
      <c r="R53" s="157">
        <f>'Quantitativos (A)'!P53*$D53*$E53</f>
        <v>180.54344</v>
      </c>
      <c r="S53" s="157">
        <f>'Quantitativos (A)'!Q53*$D53*$E53</f>
        <v>180.54344</v>
      </c>
      <c r="T53" s="157">
        <f>'Quantitativos (A)'!R53*$D53*$E53</f>
        <v>180.54344</v>
      </c>
      <c r="U53" s="157">
        <f>'Quantitativos (A)'!S53*$D53*$E53</f>
        <v>180.54344</v>
      </c>
      <c r="V53" s="157">
        <f>'Quantitativos (A)'!T53*$D53*$E53</f>
        <v>180.54344</v>
      </c>
      <c r="W53" s="157">
        <f>'Quantitativos (A)'!U53*$D53*$E53</f>
        <v>180.54344</v>
      </c>
      <c r="X53" s="157">
        <f>'Quantitativos (A)'!V53*$D53*$E53</f>
        <v>180.54344</v>
      </c>
      <c r="Y53" s="157">
        <f>'Quantitativos (A)'!W53*$D53*$E53</f>
        <v>180.54344</v>
      </c>
      <c r="Z53" s="157">
        <f>'Quantitativos (A)'!X53*$D53*$E53</f>
        <v>180.37280000000001</v>
      </c>
      <c r="AA53" s="157">
        <f>'Quantitativos (A)'!Y53*$D53*$E53</f>
        <v>180.37280000000001</v>
      </c>
      <c r="AB53" s="157">
        <f>'Quantitativos (A)'!Z53*$D53*$E53</f>
        <v>180.37280000000001</v>
      </c>
      <c r="AC53" s="157">
        <f>'Quantitativos (A)'!AA53*$D53*$E53</f>
        <v>180.37280000000001</v>
      </c>
      <c r="AD53" s="157">
        <f>'Quantitativos (A)'!AB53*$D53*$E53</f>
        <v>180.37280000000001</v>
      </c>
      <c r="AE53" s="157">
        <f>'Quantitativos (A)'!AC53*$D53*$E53</f>
        <v>180.37280000000001</v>
      </c>
      <c r="AF53" s="157">
        <f>'Quantitativos (A)'!AD53*$D53*$E53</f>
        <v>180.37280000000001</v>
      </c>
      <c r="AG53" s="157">
        <f>'Quantitativos (A)'!AE53*$D53*$E53</f>
        <v>180.37280000000001</v>
      </c>
      <c r="AH53" s="157">
        <f>'Quantitativos (A)'!AF53*$D53*$E53</f>
        <v>180.37280000000001</v>
      </c>
      <c r="AI53" s="158">
        <f>'Quantitativos (A)'!AG53*$D53*$E53</f>
        <v>180.37280000000001</v>
      </c>
      <c r="AJ53" s="22"/>
    </row>
    <row r="54" spans="1:36" ht="25.5" x14ac:dyDescent="0.25">
      <c r="A54" s="112"/>
      <c r="B54" s="129" t="s">
        <v>295</v>
      </c>
      <c r="C54" s="67" t="s">
        <v>57</v>
      </c>
      <c r="D54" s="157">
        <f>'Dados (F)'!$D$110</f>
        <v>30.97</v>
      </c>
      <c r="E54" s="125">
        <f>IF('Dados (F)'!$D$35=1,1,IF('Dados (F)'!$D$35=2,'Dados (F)'!$C$39,1))</f>
        <v>1</v>
      </c>
      <c r="F54" s="157">
        <f>'Quantitativos (A)'!D54*$D54*$E54</f>
        <v>1175.9308999999998</v>
      </c>
      <c r="G54" s="157">
        <f>'Quantitativos (A)'!E54*$D54*$E54</f>
        <v>1175.9308999999998</v>
      </c>
      <c r="H54" s="157">
        <f>'Quantitativos (A)'!F54*$D54*$E54</f>
        <v>1175.9308999999998</v>
      </c>
      <c r="I54" s="157">
        <f>'Quantitativos (A)'!G54*$D54*$E54</f>
        <v>1175.9308999999998</v>
      </c>
      <c r="J54" s="157">
        <f>'Quantitativos (A)'!H54*$D54*$E54</f>
        <v>1175.9308999999998</v>
      </c>
      <c r="K54" s="157">
        <f>'Quantitativos (A)'!I54*$D54*$E54</f>
        <v>1175.9308999999998</v>
      </c>
      <c r="L54" s="157">
        <f>'Quantitativos (A)'!J54*$D54*$E54</f>
        <v>1175.9308999999998</v>
      </c>
      <c r="M54" s="157">
        <f>'Quantitativos (A)'!K54*$D54*$E54</f>
        <v>1175.9308999999998</v>
      </c>
      <c r="N54" s="157">
        <f>'Quantitativos (A)'!L54*$D54*$E54</f>
        <v>1175.9308999999998</v>
      </c>
      <c r="O54" s="157">
        <f>'Quantitativos (A)'!M54*$D54*$E54</f>
        <v>1175.9308999999998</v>
      </c>
      <c r="P54" s="157">
        <f>'Quantitativos (A)'!N54*$D54*$E54</f>
        <v>1191.5088099999998</v>
      </c>
      <c r="Q54" s="157">
        <f>'Quantitativos (A)'!O54*$D54*$E54</f>
        <v>1191.5088099999998</v>
      </c>
      <c r="R54" s="157">
        <f>'Quantitativos (A)'!P54*$D54*$E54</f>
        <v>1191.5088099999998</v>
      </c>
      <c r="S54" s="157">
        <f>'Quantitativos (A)'!Q54*$D54*$E54</f>
        <v>1191.5088099999998</v>
      </c>
      <c r="T54" s="157">
        <f>'Quantitativos (A)'!R54*$D54*$E54</f>
        <v>1191.5088099999998</v>
      </c>
      <c r="U54" s="157">
        <f>'Quantitativos (A)'!S54*$D54*$E54</f>
        <v>1191.5088099999998</v>
      </c>
      <c r="V54" s="157">
        <f>'Quantitativos (A)'!T54*$D54*$E54</f>
        <v>1191.5088099999998</v>
      </c>
      <c r="W54" s="157">
        <f>'Quantitativos (A)'!U54*$D54*$E54</f>
        <v>1191.5088099999998</v>
      </c>
      <c r="X54" s="157">
        <f>'Quantitativos (A)'!V54*$D54*$E54</f>
        <v>1191.5088099999998</v>
      </c>
      <c r="Y54" s="157">
        <f>'Quantitativos (A)'!W54*$D54*$E54</f>
        <v>1191.5088099999998</v>
      </c>
      <c r="Z54" s="157">
        <f>'Quantitativos (A)'!X54*$D54*$E54</f>
        <v>1183.6733999999999</v>
      </c>
      <c r="AA54" s="157">
        <f>'Quantitativos (A)'!Y54*$D54*$E54</f>
        <v>1183.6733999999999</v>
      </c>
      <c r="AB54" s="157">
        <f>'Quantitativos (A)'!Z54*$D54*$E54</f>
        <v>1183.6733999999999</v>
      </c>
      <c r="AC54" s="157">
        <f>'Quantitativos (A)'!AA54*$D54*$E54</f>
        <v>1183.6733999999999</v>
      </c>
      <c r="AD54" s="157">
        <f>'Quantitativos (A)'!AB54*$D54*$E54</f>
        <v>1183.6733999999999</v>
      </c>
      <c r="AE54" s="157">
        <f>'Quantitativos (A)'!AC54*$D54*$E54</f>
        <v>1183.6733999999999</v>
      </c>
      <c r="AF54" s="157">
        <f>'Quantitativos (A)'!AD54*$D54*$E54</f>
        <v>1183.6733999999999</v>
      </c>
      <c r="AG54" s="157">
        <f>'Quantitativos (A)'!AE54*$D54*$E54</f>
        <v>1183.6733999999999</v>
      </c>
      <c r="AH54" s="157">
        <f>'Quantitativos (A)'!AF54*$D54*$E54</f>
        <v>1183.6733999999999</v>
      </c>
      <c r="AI54" s="158">
        <f>'Quantitativos (A)'!AG54*$D54*$E54</f>
        <v>1183.6733999999999</v>
      </c>
      <c r="AJ54" s="22"/>
    </row>
    <row r="55" spans="1:36" ht="38.25" x14ac:dyDescent="0.25">
      <c r="A55" s="112"/>
      <c r="B55" s="27" t="s">
        <v>297</v>
      </c>
      <c r="C55" s="67" t="s">
        <v>57</v>
      </c>
      <c r="D55" s="157">
        <f>'Dados (F)'!$D$70</f>
        <v>46.57</v>
      </c>
      <c r="E55" s="125">
        <f>IF('Dados (F)'!$D$35=1,1,IF('Dados (F)'!$D$35=2,'Dados (F)'!$C$39,1))</f>
        <v>1</v>
      </c>
      <c r="F55" s="157">
        <f>'Quantitativos (A)'!D55*$D55*$E55</f>
        <v>20215.571299999981</v>
      </c>
      <c r="G55" s="157">
        <f>'Quantitativos (A)'!E55*$D55*$E55</f>
        <v>20215.571299999981</v>
      </c>
      <c r="H55" s="157">
        <f>'Quantitativos (A)'!F55*$D55*$E55</f>
        <v>20215.571299999981</v>
      </c>
      <c r="I55" s="157">
        <f>'Quantitativos (A)'!G55*$D55*$E55</f>
        <v>20215.571299999981</v>
      </c>
      <c r="J55" s="157">
        <f>'Quantitativos (A)'!H55*$D55*$E55</f>
        <v>20215.571299999981</v>
      </c>
      <c r="K55" s="157">
        <f>'Quantitativos (A)'!I55*$D55*$E55</f>
        <v>20215.571299999981</v>
      </c>
      <c r="L55" s="157">
        <f>'Quantitativos (A)'!J55*$D55*$E55</f>
        <v>20215.571299999981</v>
      </c>
      <c r="M55" s="157">
        <f>'Quantitativos (A)'!K55*$D55*$E55</f>
        <v>20215.571299999981</v>
      </c>
      <c r="N55" s="157">
        <f>'Quantitativos (A)'!L55*$D55*$E55</f>
        <v>20215.571299999981</v>
      </c>
      <c r="O55" s="157">
        <f>'Quantitativos (A)'!M55*$D55*$E55</f>
        <v>20215.571299999981</v>
      </c>
      <c r="P55" s="157">
        <f>'Quantitativos (A)'!N55*$D55*$E55</f>
        <v>20443.764299999999</v>
      </c>
      <c r="Q55" s="157">
        <f>'Quantitativos (A)'!O55*$D55*$E55</f>
        <v>20443.764299999999</v>
      </c>
      <c r="R55" s="157">
        <f>'Quantitativos (A)'!P55*$D55*$E55</f>
        <v>20443.764299999999</v>
      </c>
      <c r="S55" s="157">
        <f>'Quantitativos (A)'!Q55*$D55*$E55</f>
        <v>20443.764299999999</v>
      </c>
      <c r="T55" s="157">
        <f>'Quantitativos (A)'!R55*$D55*$E55</f>
        <v>20443.764299999999</v>
      </c>
      <c r="U55" s="157">
        <f>'Quantitativos (A)'!S55*$D55*$E55</f>
        <v>20443.764299999999</v>
      </c>
      <c r="V55" s="157">
        <f>'Quantitativos (A)'!T55*$D55*$E55</f>
        <v>20443.764299999999</v>
      </c>
      <c r="W55" s="157">
        <f>'Quantitativos (A)'!U55*$D55*$E55</f>
        <v>20443.764299999999</v>
      </c>
      <c r="X55" s="157">
        <f>'Quantitativos (A)'!V55*$D55*$E55</f>
        <v>20443.764299999999</v>
      </c>
      <c r="Y55" s="157">
        <f>'Quantitativos (A)'!W55*$D55*$E55</f>
        <v>20443.764299999999</v>
      </c>
      <c r="Z55" s="157">
        <f>'Quantitativos (A)'!X55*$D55*$E55</f>
        <v>20103.8033</v>
      </c>
      <c r="AA55" s="157">
        <f>'Quantitativos (A)'!Y55*$D55*$E55</f>
        <v>20103.8033</v>
      </c>
      <c r="AB55" s="157">
        <f>'Quantitativos (A)'!Z55*$D55*$E55</f>
        <v>20103.8033</v>
      </c>
      <c r="AC55" s="157">
        <f>'Quantitativos (A)'!AA55*$D55*$E55</f>
        <v>20103.8033</v>
      </c>
      <c r="AD55" s="157">
        <f>'Quantitativos (A)'!AB55*$D55*$E55</f>
        <v>20103.8033</v>
      </c>
      <c r="AE55" s="157">
        <f>'Quantitativos (A)'!AC55*$D55*$E55</f>
        <v>20103.8033</v>
      </c>
      <c r="AF55" s="157">
        <f>'Quantitativos (A)'!AD55*$D55*$E55</f>
        <v>20103.8033</v>
      </c>
      <c r="AG55" s="157">
        <f>'Quantitativos (A)'!AE55*$D55*$E55</f>
        <v>20103.8033</v>
      </c>
      <c r="AH55" s="157">
        <f>'Quantitativos (A)'!AF55*$D55*$E55</f>
        <v>20103.8033</v>
      </c>
      <c r="AI55" s="158">
        <f>'Quantitativos (A)'!AG55*$D55*$E55</f>
        <v>20103.8033</v>
      </c>
      <c r="AJ55" s="22"/>
    </row>
    <row r="56" spans="1:36" ht="38.25" x14ac:dyDescent="0.25">
      <c r="A56" s="112"/>
      <c r="B56" s="27" t="s">
        <v>66</v>
      </c>
      <c r="C56" s="67" t="s">
        <v>57</v>
      </c>
      <c r="D56" s="157">
        <f>'Dados (F)'!$D$73</f>
        <v>59.1</v>
      </c>
      <c r="E56" s="125">
        <f>IF('Dados (F)'!$D$35=1,1,IF('Dados (F)'!$D$35=2,'Dados (F)'!$C$39,1))</f>
        <v>1</v>
      </c>
      <c r="F56" s="157">
        <f>'Quantitativos (A)'!D56*$D56*$E56</f>
        <v>8937.1020000000008</v>
      </c>
      <c r="G56" s="157">
        <f>'Quantitativos (A)'!E56*$D56*$E56</f>
        <v>8937.1020000000008</v>
      </c>
      <c r="H56" s="157">
        <f>'Quantitativos (A)'!F56*$D56*$E56</f>
        <v>8937.1020000000008</v>
      </c>
      <c r="I56" s="157">
        <f>'Quantitativos (A)'!G56*$D56*$E56</f>
        <v>8937.1020000000008</v>
      </c>
      <c r="J56" s="157">
        <f>'Quantitativos (A)'!H56*$D56*$E56</f>
        <v>8937.1020000000008</v>
      </c>
      <c r="K56" s="157">
        <f>'Quantitativos (A)'!I56*$D56*$E56</f>
        <v>8937.1020000000008</v>
      </c>
      <c r="L56" s="157">
        <f>'Quantitativos (A)'!J56*$D56*$E56</f>
        <v>8937.1020000000008</v>
      </c>
      <c r="M56" s="157">
        <f>'Quantitativos (A)'!K56*$D56*$E56</f>
        <v>8937.1020000000008</v>
      </c>
      <c r="N56" s="157">
        <f>'Quantitativos (A)'!L56*$D56*$E56</f>
        <v>8937.1020000000008</v>
      </c>
      <c r="O56" s="157">
        <f>'Quantitativos (A)'!M56*$D56*$E56</f>
        <v>8937.1020000000008</v>
      </c>
      <c r="P56" s="157">
        <f>'Quantitativos (A)'!N56*$D56*$E56</f>
        <v>8937.1020000000008</v>
      </c>
      <c r="Q56" s="157">
        <f>'Quantitativos (A)'!O56*$D56*$E56</f>
        <v>8937.1020000000008</v>
      </c>
      <c r="R56" s="157">
        <f>'Quantitativos (A)'!P56*$D56*$E56</f>
        <v>8937.1020000000008</v>
      </c>
      <c r="S56" s="157">
        <f>'Quantitativos (A)'!Q56*$D56*$E56</f>
        <v>8937.1020000000008</v>
      </c>
      <c r="T56" s="157">
        <f>'Quantitativos (A)'!R56*$D56*$E56</f>
        <v>8937.1020000000008</v>
      </c>
      <c r="U56" s="157">
        <f>'Quantitativos (A)'!S56*$D56*$E56</f>
        <v>8937.1020000000008</v>
      </c>
      <c r="V56" s="157">
        <f>'Quantitativos (A)'!T56*$D56*$E56</f>
        <v>8937.1020000000008</v>
      </c>
      <c r="W56" s="157">
        <f>'Quantitativos (A)'!U56*$D56*$E56</f>
        <v>8937.1020000000008</v>
      </c>
      <c r="X56" s="157">
        <f>'Quantitativos (A)'!V56*$D56*$E56</f>
        <v>8937.1020000000008</v>
      </c>
      <c r="Y56" s="157">
        <f>'Quantitativos (A)'!W56*$D56*$E56</f>
        <v>8937.1020000000008</v>
      </c>
      <c r="Z56" s="157">
        <f>'Quantitativos (A)'!X56*$D56*$E56</f>
        <v>8937.1020000000008</v>
      </c>
      <c r="AA56" s="157">
        <f>'Quantitativos (A)'!Y56*$D56*$E56</f>
        <v>8937.1020000000008</v>
      </c>
      <c r="AB56" s="157">
        <f>'Quantitativos (A)'!Z56*$D56*$E56</f>
        <v>8937.1020000000008</v>
      </c>
      <c r="AC56" s="157">
        <f>'Quantitativos (A)'!AA56*$D56*$E56</f>
        <v>8937.1020000000008</v>
      </c>
      <c r="AD56" s="157">
        <f>'Quantitativos (A)'!AB56*$D56*$E56</f>
        <v>8937.1020000000008</v>
      </c>
      <c r="AE56" s="157">
        <f>'Quantitativos (A)'!AC56*$D56*$E56</f>
        <v>8937.1020000000008</v>
      </c>
      <c r="AF56" s="157">
        <f>'Quantitativos (A)'!AD56*$D56*$E56</f>
        <v>8937.1020000000008</v>
      </c>
      <c r="AG56" s="157">
        <f>'Quantitativos (A)'!AE56*$D56*$E56</f>
        <v>8937.1020000000008</v>
      </c>
      <c r="AH56" s="157">
        <f>'Quantitativos (A)'!AF56*$D56*$E56</f>
        <v>8937.1020000000008</v>
      </c>
      <c r="AI56" s="158">
        <f>'Quantitativos (A)'!AG56*$D56*$E56</f>
        <v>8937.1020000000008</v>
      </c>
      <c r="AJ56" s="22"/>
    </row>
    <row r="57" spans="1:36" ht="25.5" x14ac:dyDescent="0.25">
      <c r="A57" s="112"/>
      <c r="B57" s="27" t="s">
        <v>67</v>
      </c>
      <c r="C57" s="67" t="s">
        <v>57</v>
      </c>
      <c r="D57" s="157">
        <f>'Dados (F)'!$D$75</f>
        <v>33.659999999999997</v>
      </c>
      <c r="E57" s="125">
        <f>IF('Dados (F)'!$D$35=1,1,IF('Dados (F)'!$D$35=2,'Dados (F)'!$C$39,1))</f>
        <v>1</v>
      </c>
      <c r="F57" s="157">
        <f>'Quantitativos (A)'!D57*$D57*$E57</f>
        <v>5090.0651999999991</v>
      </c>
      <c r="G57" s="157">
        <f>'Quantitativos (A)'!E57*$D57*$E57</f>
        <v>5090.0651999999991</v>
      </c>
      <c r="H57" s="157">
        <f>'Quantitativos (A)'!F57*$D57*$E57</f>
        <v>5090.0651999999991</v>
      </c>
      <c r="I57" s="157">
        <f>'Quantitativos (A)'!G57*$D57*$E57</f>
        <v>5090.0651999999991</v>
      </c>
      <c r="J57" s="157">
        <f>'Quantitativos (A)'!H57*$D57*$E57</f>
        <v>5090.0651999999991</v>
      </c>
      <c r="K57" s="157">
        <f>'Quantitativos (A)'!I57*$D57*$E57</f>
        <v>5090.0651999999991</v>
      </c>
      <c r="L57" s="157">
        <f>'Quantitativos (A)'!J57*$D57*$E57</f>
        <v>5090.0651999999991</v>
      </c>
      <c r="M57" s="157">
        <f>'Quantitativos (A)'!K57*$D57*$E57</f>
        <v>5090.0651999999991</v>
      </c>
      <c r="N57" s="157">
        <f>'Quantitativos (A)'!L57*$D57*$E57</f>
        <v>5090.0651999999991</v>
      </c>
      <c r="O57" s="157">
        <f>'Quantitativos (A)'!M57*$D57*$E57</f>
        <v>5090.0651999999991</v>
      </c>
      <c r="P57" s="157">
        <f>'Quantitativos (A)'!N57*$D57*$E57</f>
        <v>5090.0651999999991</v>
      </c>
      <c r="Q57" s="157">
        <f>'Quantitativos (A)'!O57*$D57*$E57</f>
        <v>5090.0651999999991</v>
      </c>
      <c r="R57" s="157">
        <f>'Quantitativos (A)'!P57*$D57*$E57</f>
        <v>5090.0651999999991</v>
      </c>
      <c r="S57" s="157">
        <f>'Quantitativos (A)'!Q57*$D57*$E57</f>
        <v>5090.0651999999991</v>
      </c>
      <c r="T57" s="157">
        <f>'Quantitativos (A)'!R57*$D57*$E57</f>
        <v>5090.0651999999991</v>
      </c>
      <c r="U57" s="157">
        <f>'Quantitativos (A)'!S57*$D57*$E57</f>
        <v>5090.0651999999991</v>
      </c>
      <c r="V57" s="157">
        <f>'Quantitativos (A)'!T57*$D57*$E57</f>
        <v>5090.0651999999991</v>
      </c>
      <c r="W57" s="157">
        <f>'Quantitativos (A)'!U57*$D57*$E57</f>
        <v>5090.0651999999991</v>
      </c>
      <c r="X57" s="157">
        <f>'Quantitativos (A)'!V57*$D57*$E57</f>
        <v>5090.0651999999991</v>
      </c>
      <c r="Y57" s="157">
        <f>'Quantitativos (A)'!W57*$D57*$E57</f>
        <v>5090.0651999999991</v>
      </c>
      <c r="Z57" s="157">
        <f>'Quantitativos (A)'!X57*$D57*$E57</f>
        <v>5090.0651999999991</v>
      </c>
      <c r="AA57" s="157">
        <f>'Quantitativos (A)'!Y57*$D57*$E57</f>
        <v>5090.0651999999991</v>
      </c>
      <c r="AB57" s="157">
        <f>'Quantitativos (A)'!Z57*$D57*$E57</f>
        <v>5090.0651999999991</v>
      </c>
      <c r="AC57" s="157">
        <f>'Quantitativos (A)'!AA57*$D57*$E57</f>
        <v>5090.0651999999991</v>
      </c>
      <c r="AD57" s="157">
        <f>'Quantitativos (A)'!AB57*$D57*$E57</f>
        <v>5090.0651999999991</v>
      </c>
      <c r="AE57" s="157">
        <f>'Quantitativos (A)'!AC57*$D57*$E57</f>
        <v>5090.0651999999991</v>
      </c>
      <c r="AF57" s="157">
        <f>'Quantitativos (A)'!AD57*$D57*$E57</f>
        <v>5090.0651999999991</v>
      </c>
      <c r="AG57" s="157">
        <f>'Quantitativos (A)'!AE57*$D57*$E57</f>
        <v>5090.0651999999991</v>
      </c>
      <c r="AH57" s="157">
        <f>'Quantitativos (A)'!AF57*$D57*$E57</f>
        <v>5090.0651999999991</v>
      </c>
      <c r="AI57" s="158">
        <f>'Quantitativos (A)'!AG57*$D57*$E57</f>
        <v>5090.0651999999991</v>
      </c>
      <c r="AJ57" s="22"/>
    </row>
    <row r="58" spans="1:36" x14ac:dyDescent="0.25">
      <c r="A58" s="112"/>
      <c r="B58" s="27" t="s">
        <v>68</v>
      </c>
      <c r="C58" s="67" t="s">
        <v>64</v>
      </c>
      <c r="D58" s="157">
        <f>'Dados (F)'!$D$76</f>
        <v>38.93</v>
      </c>
      <c r="E58" s="125">
        <f>IF('Dados (F)'!$D$35=1,1,IF('Dados (F)'!$D$35=2,'Dados (F)'!$C$39,1))</f>
        <v>1</v>
      </c>
      <c r="F58" s="157">
        <f>'Quantitativos (A)'!D58*$D58*$E58</f>
        <v>8027.3659999999991</v>
      </c>
      <c r="G58" s="157">
        <f>'Quantitativos (A)'!E58*$D58*$E58</f>
        <v>8027.3659999999991</v>
      </c>
      <c r="H58" s="157">
        <f>'Quantitativos (A)'!F58*$D58*$E58</f>
        <v>8027.3659999999991</v>
      </c>
      <c r="I58" s="157">
        <f>'Quantitativos (A)'!G58*$D58*$E58</f>
        <v>8027.3659999999991</v>
      </c>
      <c r="J58" s="157">
        <f>'Quantitativos (A)'!H58*$D58*$E58</f>
        <v>8027.3659999999991</v>
      </c>
      <c r="K58" s="157">
        <f>'Quantitativos (A)'!I58*$D58*$E58</f>
        <v>8027.3659999999991</v>
      </c>
      <c r="L58" s="157">
        <f>'Quantitativos (A)'!J58*$D58*$E58</f>
        <v>8027.3659999999991</v>
      </c>
      <c r="M58" s="157">
        <f>'Quantitativos (A)'!K58*$D58*$E58</f>
        <v>8027.3659999999991</v>
      </c>
      <c r="N58" s="157">
        <f>'Quantitativos (A)'!L58*$D58*$E58</f>
        <v>8027.3659999999991</v>
      </c>
      <c r="O58" s="157">
        <f>'Quantitativos (A)'!M58*$D58*$E58</f>
        <v>8027.3659999999991</v>
      </c>
      <c r="P58" s="157">
        <f>'Quantitativos (A)'!N58*$D58*$E58</f>
        <v>8027.3659999999991</v>
      </c>
      <c r="Q58" s="157">
        <f>'Quantitativos (A)'!O58*$D58*$E58</f>
        <v>8027.3659999999991</v>
      </c>
      <c r="R58" s="157">
        <f>'Quantitativos (A)'!P58*$D58*$E58</f>
        <v>8027.3659999999991</v>
      </c>
      <c r="S58" s="157">
        <f>'Quantitativos (A)'!Q58*$D58*$E58</f>
        <v>8027.3659999999991</v>
      </c>
      <c r="T58" s="157">
        <f>'Quantitativos (A)'!R58*$D58*$E58</f>
        <v>8027.3659999999991</v>
      </c>
      <c r="U58" s="157">
        <f>'Quantitativos (A)'!S58*$D58*$E58</f>
        <v>8027.3659999999991</v>
      </c>
      <c r="V58" s="157">
        <f>'Quantitativos (A)'!T58*$D58*$E58</f>
        <v>8027.3659999999991</v>
      </c>
      <c r="W58" s="157">
        <f>'Quantitativos (A)'!U58*$D58*$E58</f>
        <v>8027.3659999999991</v>
      </c>
      <c r="X58" s="157">
        <f>'Quantitativos (A)'!V58*$D58*$E58</f>
        <v>8027.3659999999991</v>
      </c>
      <c r="Y58" s="157">
        <f>'Quantitativos (A)'!W58*$D58*$E58</f>
        <v>8027.3659999999991</v>
      </c>
      <c r="Z58" s="157">
        <f>'Quantitativos (A)'!X58*$D58*$E58</f>
        <v>8027.3659999999991</v>
      </c>
      <c r="AA58" s="157">
        <f>'Quantitativos (A)'!Y58*$D58*$E58</f>
        <v>8027.3659999999991</v>
      </c>
      <c r="AB58" s="157">
        <f>'Quantitativos (A)'!Z58*$D58*$E58</f>
        <v>8027.3659999999991</v>
      </c>
      <c r="AC58" s="157">
        <f>'Quantitativos (A)'!AA58*$D58*$E58</f>
        <v>8027.3659999999991</v>
      </c>
      <c r="AD58" s="157">
        <f>'Quantitativos (A)'!AB58*$D58*$E58</f>
        <v>8027.3659999999991</v>
      </c>
      <c r="AE58" s="157">
        <f>'Quantitativos (A)'!AC58*$D58*$E58</f>
        <v>8027.3659999999991</v>
      </c>
      <c r="AF58" s="157">
        <f>'Quantitativos (A)'!AD58*$D58*$E58</f>
        <v>8027.3659999999991</v>
      </c>
      <c r="AG58" s="157">
        <f>'Quantitativos (A)'!AE58*$D58*$E58</f>
        <v>8027.3659999999991</v>
      </c>
      <c r="AH58" s="157">
        <f>'Quantitativos (A)'!AF58*$D58*$E58</f>
        <v>8027.3659999999991</v>
      </c>
      <c r="AI58" s="158">
        <f>'Quantitativos (A)'!AG58*$D58*$E58</f>
        <v>8027.3659999999991</v>
      </c>
      <c r="AJ58" s="22"/>
    </row>
    <row r="59" spans="1:36" ht="25.5" x14ac:dyDescent="0.25">
      <c r="A59" s="112"/>
      <c r="B59" s="69" t="s">
        <v>902</v>
      </c>
      <c r="C59" s="70" t="s">
        <v>57</v>
      </c>
      <c r="D59" s="161">
        <f>'Dados (F)'!$D$77</f>
        <v>273.13</v>
      </c>
      <c r="E59" s="125">
        <f>IF('Dados (F)'!$D$35=1,1,IF('Dados (F)'!$D$35=2,'Dados (F)'!$C$39,1))</f>
        <v>1</v>
      </c>
      <c r="F59" s="157">
        <f>'Quantitativos (A)'!D59*$D59*$E59</f>
        <v>8554.4315999999999</v>
      </c>
      <c r="G59" s="157">
        <f>'Quantitativos (A)'!E59*$D59*$E59</f>
        <v>8554.4315999999999</v>
      </c>
      <c r="H59" s="157">
        <f>'Quantitativos (A)'!F59*$D59*$E59</f>
        <v>8554.4315999999999</v>
      </c>
      <c r="I59" s="157">
        <f>'Quantitativos (A)'!G59*$D59*$E59</f>
        <v>8554.4315999999999</v>
      </c>
      <c r="J59" s="157">
        <f>'Quantitativos (A)'!H59*$D59*$E59</f>
        <v>8554.4315999999999</v>
      </c>
      <c r="K59" s="157">
        <f>'Quantitativos (A)'!I59*$D59*$E59</f>
        <v>8554.4315999999999</v>
      </c>
      <c r="L59" s="157">
        <f>'Quantitativos (A)'!J59*$D59*$E59</f>
        <v>8554.4315999999999</v>
      </c>
      <c r="M59" s="157">
        <f>'Quantitativos (A)'!K59*$D59*$E59</f>
        <v>8554.4315999999999</v>
      </c>
      <c r="N59" s="157">
        <f>'Quantitativos (A)'!L59*$D59*$E59</f>
        <v>8554.4315999999999</v>
      </c>
      <c r="O59" s="157">
        <f>'Quantitativos (A)'!M59*$D59*$E59</f>
        <v>8554.4315999999999</v>
      </c>
      <c r="P59" s="157">
        <f>'Quantitativos (A)'!N59*$D59*$E59</f>
        <v>8554.4315999999999</v>
      </c>
      <c r="Q59" s="157">
        <f>'Quantitativos (A)'!O59*$D59*$E59</f>
        <v>8554.4315999999999</v>
      </c>
      <c r="R59" s="157">
        <f>'Quantitativos (A)'!P59*$D59*$E59</f>
        <v>8554.4315999999999</v>
      </c>
      <c r="S59" s="157">
        <f>'Quantitativos (A)'!Q59*$D59*$E59</f>
        <v>8554.4315999999999</v>
      </c>
      <c r="T59" s="157">
        <f>'Quantitativos (A)'!R59*$D59*$E59</f>
        <v>8554.4315999999999</v>
      </c>
      <c r="U59" s="157">
        <f>'Quantitativos (A)'!S59*$D59*$E59</f>
        <v>8554.4315999999999</v>
      </c>
      <c r="V59" s="157">
        <f>'Quantitativos (A)'!T59*$D59*$E59</f>
        <v>8554.4315999999999</v>
      </c>
      <c r="W59" s="157">
        <f>'Quantitativos (A)'!U59*$D59*$E59</f>
        <v>8554.4315999999999</v>
      </c>
      <c r="X59" s="157">
        <f>'Quantitativos (A)'!V59*$D59*$E59</f>
        <v>8554.4315999999999</v>
      </c>
      <c r="Y59" s="157">
        <f>'Quantitativos (A)'!W59*$D59*$E59</f>
        <v>8554.4315999999999</v>
      </c>
      <c r="Z59" s="157">
        <f>'Quantitativos (A)'!X59*$D59*$E59</f>
        <v>8554.4315999999999</v>
      </c>
      <c r="AA59" s="157">
        <f>'Quantitativos (A)'!Y59*$D59*$E59</f>
        <v>8554.4315999999999</v>
      </c>
      <c r="AB59" s="157">
        <f>'Quantitativos (A)'!Z59*$D59*$E59</f>
        <v>8554.4315999999999</v>
      </c>
      <c r="AC59" s="157">
        <f>'Quantitativos (A)'!AA59*$D59*$E59</f>
        <v>8554.4315999999999</v>
      </c>
      <c r="AD59" s="157">
        <f>'Quantitativos (A)'!AB59*$D59*$E59</f>
        <v>8554.4315999999999</v>
      </c>
      <c r="AE59" s="157">
        <f>'Quantitativos (A)'!AC59*$D59*$E59</f>
        <v>8554.4315999999999</v>
      </c>
      <c r="AF59" s="157">
        <f>'Quantitativos (A)'!AD59*$D59*$E59</f>
        <v>8554.4315999999999</v>
      </c>
      <c r="AG59" s="157">
        <f>'Quantitativos (A)'!AE59*$D59*$E59</f>
        <v>8554.4315999999999</v>
      </c>
      <c r="AH59" s="157">
        <f>'Quantitativos (A)'!AF59*$D59*$E59</f>
        <v>8554.4315999999999</v>
      </c>
      <c r="AI59" s="158">
        <f>'Quantitativos (A)'!AG59*$D59*$E59</f>
        <v>8554.4315999999999</v>
      </c>
      <c r="AJ59" s="22"/>
    </row>
    <row r="60" spans="1:36" ht="25.5" x14ac:dyDescent="0.25">
      <c r="A60" s="112"/>
      <c r="B60" s="27" t="s">
        <v>77</v>
      </c>
      <c r="C60" s="67" t="s">
        <v>57</v>
      </c>
      <c r="D60" s="157">
        <f>'Dados (F)'!$D$78</f>
        <v>503.65</v>
      </c>
      <c r="E60" s="125">
        <f>IF('Dados (F)'!$D$35=1,1,IF('Dados (F)'!$D$35=2,'Dados (F)'!$C$39,1))</f>
        <v>1</v>
      </c>
      <c r="F60" s="157">
        <f>'Quantitativos (A)'!D60*$D60*$E60</f>
        <v>9518.9849999999988</v>
      </c>
      <c r="G60" s="157">
        <f>'Quantitativos (A)'!E60*$D60*$E60</f>
        <v>9518.9849999999988</v>
      </c>
      <c r="H60" s="157">
        <f>'Quantitativos (A)'!F60*$D60*$E60</f>
        <v>9518.9849999999988</v>
      </c>
      <c r="I60" s="157">
        <f>'Quantitativos (A)'!G60*$D60*$E60</f>
        <v>9518.9849999999988</v>
      </c>
      <c r="J60" s="157">
        <f>'Quantitativos (A)'!H60*$D60*$E60</f>
        <v>9518.9849999999988</v>
      </c>
      <c r="K60" s="157">
        <f>'Quantitativos (A)'!I60*$D60*$E60</f>
        <v>9518.9849999999988</v>
      </c>
      <c r="L60" s="157">
        <f>'Quantitativos (A)'!J60*$D60*$E60</f>
        <v>9518.9849999999988</v>
      </c>
      <c r="M60" s="157">
        <f>'Quantitativos (A)'!K60*$D60*$E60</f>
        <v>9518.9849999999988</v>
      </c>
      <c r="N60" s="157">
        <f>'Quantitativos (A)'!L60*$D60*$E60</f>
        <v>9518.9849999999988</v>
      </c>
      <c r="O60" s="157">
        <f>'Quantitativos (A)'!M60*$D60*$E60</f>
        <v>9518.9849999999988</v>
      </c>
      <c r="P60" s="157">
        <f>'Quantitativos (A)'!N60*$D60*$E60</f>
        <v>9518.9849999999988</v>
      </c>
      <c r="Q60" s="157">
        <f>'Quantitativos (A)'!O60*$D60*$E60</f>
        <v>9518.9849999999988</v>
      </c>
      <c r="R60" s="157">
        <f>'Quantitativos (A)'!P60*$D60*$E60</f>
        <v>9518.9849999999988</v>
      </c>
      <c r="S60" s="157">
        <f>'Quantitativos (A)'!Q60*$D60*$E60</f>
        <v>9518.9849999999988</v>
      </c>
      <c r="T60" s="157">
        <f>'Quantitativos (A)'!R60*$D60*$E60</f>
        <v>9518.9849999999988</v>
      </c>
      <c r="U60" s="157">
        <f>'Quantitativos (A)'!S60*$D60*$E60</f>
        <v>9518.9849999999988</v>
      </c>
      <c r="V60" s="157">
        <f>'Quantitativos (A)'!T60*$D60*$E60</f>
        <v>9518.9849999999988</v>
      </c>
      <c r="W60" s="157">
        <f>'Quantitativos (A)'!U60*$D60*$E60</f>
        <v>9518.9849999999988</v>
      </c>
      <c r="X60" s="157">
        <f>'Quantitativos (A)'!V60*$D60*$E60</f>
        <v>9518.9849999999988</v>
      </c>
      <c r="Y60" s="157">
        <f>'Quantitativos (A)'!W60*$D60*$E60</f>
        <v>9518.9849999999988</v>
      </c>
      <c r="Z60" s="157">
        <f>'Quantitativos (A)'!X60*$D60*$E60</f>
        <v>9518.9849999999988</v>
      </c>
      <c r="AA60" s="157">
        <f>'Quantitativos (A)'!Y60*$D60*$E60</f>
        <v>9518.9849999999988</v>
      </c>
      <c r="AB60" s="157">
        <f>'Quantitativos (A)'!Z60*$D60*$E60</f>
        <v>9518.9849999999988</v>
      </c>
      <c r="AC60" s="157">
        <f>'Quantitativos (A)'!AA60*$D60*$E60</f>
        <v>9518.9849999999988</v>
      </c>
      <c r="AD60" s="157">
        <f>'Quantitativos (A)'!AB60*$D60*$E60</f>
        <v>9518.9849999999988</v>
      </c>
      <c r="AE60" s="157">
        <f>'Quantitativos (A)'!AC60*$D60*$E60</f>
        <v>9518.9849999999988</v>
      </c>
      <c r="AF60" s="157">
        <f>'Quantitativos (A)'!AD60*$D60*$E60</f>
        <v>9518.9849999999988</v>
      </c>
      <c r="AG60" s="157">
        <f>'Quantitativos (A)'!AE60*$D60*$E60</f>
        <v>9518.9849999999988</v>
      </c>
      <c r="AH60" s="157">
        <f>'Quantitativos (A)'!AF60*$D60*$E60</f>
        <v>9518.9849999999988</v>
      </c>
      <c r="AI60" s="158">
        <f>'Quantitativos (A)'!AG60*$D60*$E60</f>
        <v>9518.9849999999988</v>
      </c>
      <c r="AJ60" s="22"/>
    </row>
    <row r="61" spans="1:36" ht="25.5" x14ac:dyDescent="0.25">
      <c r="A61" s="112"/>
      <c r="B61" s="27" t="s">
        <v>69</v>
      </c>
      <c r="C61" s="67" t="s">
        <v>57</v>
      </c>
      <c r="D61" s="157">
        <f>'Dados (F)'!$D$79</f>
        <v>275.85000000000002</v>
      </c>
      <c r="E61" s="125">
        <f>IF('Dados (F)'!$D$35=1,1,IF('Dados (F)'!$D$35=2,'Dados (F)'!$C$39,1))</f>
        <v>1</v>
      </c>
      <c r="F61" s="157">
        <f>'Quantitativos (A)'!D61*$D61*$E61</f>
        <v>2027.4975000000002</v>
      </c>
      <c r="G61" s="157">
        <f>'Quantitativos (A)'!E61*$D61*$E61</f>
        <v>2027.4975000000002</v>
      </c>
      <c r="H61" s="157">
        <f>'Quantitativos (A)'!F61*$D61*$E61</f>
        <v>2027.4975000000002</v>
      </c>
      <c r="I61" s="157">
        <f>'Quantitativos (A)'!G61*$D61*$E61</f>
        <v>2027.4975000000002</v>
      </c>
      <c r="J61" s="157">
        <f>'Quantitativos (A)'!H61*$D61*$E61</f>
        <v>2027.4975000000002</v>
      </c>
      <c r="K61" s="157">
        <f>'Quantitativos (A)'!I61*$D61*$E61</f>
        <v>2027.4975000000002</v>
      </c>
      <c r="L61" s="157">
        <f>'Quantitativos (A)'!J61*$D61*$E61</f>
        <v>2027.4975000000002</v>
      </c>
      <c r="M61" s="157">
        <f>'Quantitativos (A)'!K61*$D61*$E61</f>
        <v>2027.4975000000002</v>
      </c>
      <c r="N61" s="157">
        <f>'Quantitativos (A)'!L61*$D61*$E61</f>
        <v>2027.4975000000002</v>
      </c>
      <c r="O61" s="157">
        <f>'Quantitativos (A)'!M61*$D61*$E61</f>
        <v>2027.4975000000002</v>
      </c>
      <c r="P61" s="157">
        <f>'Quantitativos (A)'!N61*$D61*$E61</f>
        <v>2027.4975000000002</v>
      </c>
      <c r="Q61" s="157">
        <f>'Quantitativos (A)'!O61*$D61*$E61</f>
        <v>2027.4975000000002</v>
      </c>
      <c r="R61" s="157">
        <f>'Quantitativos (A)'!P61*$D61*$E61</f>
        <v>2027.4975000000002</v>
      </c>
      <c r="S61" s="157">
        <f>'Quantitativos (A)'!Q61*$D61*$E61</f>
        <v>2027.4975000000002</v>
      </c>
      <c r="T61" s="157">
        <f>'Quantitativos (A)'!R61*$D61*$E61</f>
        <v>2027.4975000000002</v>
      </c>
      <c r="U61" s="157">
        <f>'Quantitativos (A)'!S61*$D61*$E61</f>
        <v>2027.4975000000002</v>
      </c>
      <c r="V61" s="157">
        <f>'Quantitativos (A)'!T61*$D61*$E61</f>
        <v>2027.4975000000002</v>
      </c>
      <c r="W61" s="157">
        <f>'Quantitativos (A)'!U61*$D61*$E61</f>
        <v>2027.4975000000002</v>
      </c>
      <c r="X61" s="157">
        <f>'Quantitativos (A)'!V61*$D61*$E61</f>
        <v>2027.4975000000002</v>
      </c>
      <c r="Y61" s="157">
        <f>'Quantitativos (A)'!W61*$D61*$E61</f>
        <v>2027.4975000000002</v>
      </c>
      <c r="Z61" s="157">
        <f>'Quantitativos (A)'!X61*$D61*$E61</f>
        <v>2027.4975000000002</v>
      </c>
      <c r="AA61" s="157">
        <f>'Quantitativos (A)'!Y61*$D61*$E61</f>
        <v>2027.4975000000002</v>
      </c>
      <c r="AB61" s="157">
        <f>'Quantitativos (A)'!Z61*$D61*$E61</f>
        <v>2027.4975000000002</v>
      </c>
      <c r="AC61" s="157">
        <f>'Quantitativos (A)'!AA61*$D61*$E61</f>
        <v>2027.4975000000002</v>
      </c>
      <c r="AD61" s="157">
        <f>'Quantitativos (A)'!AB61*$D61*$E61</f>
        <v>2027.4975000000002</v>
      </c>
      <c r="AE61" s="157">
        <f>'Quantitativos (A)'!AC61*$D61*$E61</f>
        <v>2027.4975000000002</v>
      </c>
      <c r="AF61" s="157">
        <f>'Quantitativos (A)'!AD61*$D61*$E61</f>
        <v>2027.4975000000002</v>
      </c>
      <c r="AG61" s="157">
        <f>'Quantitativos (A)'!AE61*$D61*$E61</f>
        <v>2027.4975000000002</v>
      </c>
      <c r="AH61" s="157">
        <f>'Quantitativos (A)'!AF61*$D61*$E61</f>
        <v>2027.4975000000002</v>
      </c>
      <c r="AI61" s="158">
        <f>'Quantitativos (A)'!AG61*$D61*$E61</f>
        <v>2027.4975000000002</v>
      </c>
      <c r="AJ61" s="22"/>
    </row>
    <row r="62" spans="1:36" ht="38.25" x14ac:dyDescent="0.25">
      <c r="A62" s="112"/>
      <c r="B62" s="27" t="s">
        <v>302</v>
      </c>
      <c r="C62" s="67" t="s">
        <v>57</v>
      </c>
      <c r="D62" s="157">
        <f>'Dados (F)'!$D$80</f>
        <v>26.15</v>
      </c>
      <c r="E62" s="125">
        <f>IF('Dados (F)'!$D$35=1,1,IF('Dados (F)'!$D$35=2,'Dados (F)'!$C$39,1))</f>
        <v>1</v>
      </c>
      <c r="F62" s="157">
        <f>'Quantitativos (A)'!D62*$D62*$E62</f>
        <v>5700.7</v>
      </c>
      <c r="G62" s="157">
        <f>'Quantitativos (A)'!E62*$D62*$E62</f>
        <v>5700.7</v>
      </c>
      <c r="H62" s="157">
        <f>'Quantitativos (A)'!F62*$D62*$E62</f>
        <v>5700.7</v>
      </c>
      <c r="I62" s="157">
        <f>'Quantitativos (A)'!G62*$D62*$E62</f>
        <v>5700.7</v>
      </c>
      <c r="J62" s="157">
        <f>'Quantitativos (A)'!H62*$D62*$E62</f>
        <v>5700.7</v>
      </c>
      <c r="K62" s="157">
        <f>'Quantitativos (A)'!I62*$D62*$E62</f>
        <v>5700.7</v>
      </c>
      <c r="L62" s="157">
        <f>'Quantitativos (A)'!J62*$D62*$E62</f>
        <v>5700.7</v>
      </c>
      <c r="M62" s="157">
        <f>'Quantitativos (A)'!K62*$D62*$E62</f>
        <v>5700.7</v>
      </c>
      <c r="N62" s="157">
        <f>'Quantitativos (A)'!L62*$D62*$E62</f>
        <v>5700.7</v>
      </c>
      <c r="O62" s="157">
        <f>'Quantitativos (A)'!M62*$D62*$E62</f>
        <v>5700.7</v>
      </c>
      <c r="P62" s="157">
        <f>'Quantitativos (A)'!N62*$D62*$E62</f>
        <v>5622.25</v>
      </c>
      <c r="Q62" s="157">
        <f>'Quantitativos (A)'!O62*$D62*$E62</f>
        <v>5622.25</v>
      </c>
      <c r="R62" s="157">
        <f>'Quantitativos (A)'!P62*$D62*$E62</f>
        <v>5622.25</v>
      </c>
      <c r="S62" s="157">
        <f>'Quantitativos (A)'!Q62*$D62*$E62</f>
        <v>5622.25</v>
      </c>
      <c r="T62" s="157">
        <f>'Quantitativos (A)'!R62*$D62*$E62</f>
        <v>5622.25</v>
      </c>
      <c r="U62" s="157">
        <f>'Quantitativos (A)'!S62*$D62*$E62</f>
        <v>5622.25</v>
      </c>
      <c r="V62" s="157">
        <f>'Quantitativos (A)'!T62*$D62*$E62</f>
        <v>5622.25</v>
      </c>
      <c r="W62" s="157">
        <f>'Quantitativos (A)'!U62*$D62*$E62</f>
        <v>5622.25</v>
      </c>
      <c r="X62" s="157">
        <f>'Quantitativos (A)'!V62*$D62*$E62</f>
        <v>5622.25</v>
      </c>
      <c r="Y62" s="157">
        <f>'Quantitativos (A)'!W62*$D62*$E62</f>
        <v>5622.25</v>
      </c>
      <c r="Z62" s="157">
        <f>'Quantitativos (A)'!X62*$D62*$E62</f>
        <v>5661.4749999999995</v>
      </c>
      <c r="AA62" s="157">
        <f>'Quantitativos (A)'!Y62*$D62*$E62</f>
        <v>5661.4749999999995</v>
      </c>
      <c r="AB62" s="157">
        <f>'Quantitativos (A)'!Z62*$D62*$E62</f>
        <v>5661.4749999999995</v>
      </c>
      <c r="AC62" s="157">
        <f>'Quantitativos (A)'!AA62*$D62*$E62</f>
        <v>5661.4749999999995</v>
      </c>
      <c r="AD62" s="157">
        <f>'Quantitativos (A)'!AB62*$D62*$E62</f>
        <v>5661.4749999999995</v>
      </c>
      <c r="AE62" s="157">
        <f>'Quantitativos (A)'!AC62*$D62*$E62</f>
        <v>5661.4749999999995</v>
      </c>
      <c r="AF62" s="157">
        <f>'Quantitativos (A)'!AD62*$D62*$E62</f>
        <v>5661.4749999999995</v>
      </c>
      <c r="AG62" s="157">
        <f>'Quantitativos (A)'!AE62*$D62*$E62</f>
        <v>5661.4749999999995</v>
      </c>
      <c r="AH62" s="157">
        <f>'Quantitativos (A)'!AF62*$D62*$E62</f>
        <v>5661.4749999999995</v>
      </c>
      <c r="AI62" s="158">
        <f>'Quantitativos (A)'!AG62*$D62*$E62</f>
        <v>5661.4749999999995</v>
      </c>
      <c r="AJ62" s="22"/>
    </row>
    <row r="63" spans="1:36" ht="38.25" x14ac:dyDescent="0.25">
      <c r="A63" s="112"/>
      <c r="B63" s="27" t="s">
        <v>298</v>
      </c>
      <c r="C63" s="67" t="s">
        <v>57</v>
      </c>
      <c r="D63" s="157">
        <f>'Dados (F)'!$D$81</f>
        <v>38.14</v>
      </c>
      <c r="E63" s="125">
        <f>IF('Dados (F)'!$D$35=1,1,IF('Dados (F)'!$D$35=2,'Dados (F)'!$C$39,1))</f>
        <v>1</v>
      </c>
      <c r="F63" s="157">
        <f>'Quantitativos (A)'!D63*$D63*$E63</f>
        <v>8657.7800000000007</v>
      </c>
      <c r="G63" s="157">
        <f>'Quantitativos (A)'!E63*$D63*$E63</f>
        <v>8657.7800000000007</v>
      </c>
      <c r="H63" s="157">
        <f>'Quantitativos (A)'!F63*$D63*$E63</f>
        <v>8657.7800000000007</v>
      </c>
      <c r="I63" s="157">
        <f>'Quantitativos (A)'!G63*$D63*$E63</f>
        <v>8657.7800000000007</v>
      </c>
      <c r="J63" s="157">
        <f>'Quantitativos (A)'!H63*$D63*$E63</f>
        <v>8657.7800000000007</v>
      </c>
      <c r="K63" s="157">
        <f>'Quantitativos (A)'!I63*$D63*$E63</f>
        <v>8657.7800000000007</v>
      </c>
      <c r="L63" s="157">
        <f>'Quantitativos (A)'!J63*$D63*$E63</f>
        <v>8657.7800000000007</v>
      </c>
      <c r="M63" s="157">
        <f>'Quantitativos (A)'!K63*$D63*$E63</f>
        <v>8657.7800000000007</v>
      </c>
      <c r="N63" s="157">
        <f>'Quantitativos (A)'!L63*$D63*$E63</f>
        <v>8657.7800000000007</v>
      </c>
      <c r="O63" s="157">
        <f>'Quantitativos (A)'!M63*$D63*$E63</f>
        <v>8657.7800000000007</v>
      </c>
      <c r="P63" s="157">
        <f>'Quantitativos (A)'!N63*$D63*$E63</f>
        <v>8657.7800000000007</v>
      </c>
      <c r="Q63" s="157">
        <f>'Quantitativos (A)'!O63*$D63*$E63</f>
        <v>8657.7800000000007</v>
      </c>
      <c r="R63" s="157">
        <f>'Quantitativos (A)'!P63*$D63*$E63</f>
        <v>8657.7800000000007</v>
      </c>
      <c r="S63" s="157">
        <f>'Quantitativos (A)'!Q63*$D63*$E63</f>
        <v>8657.7800000000007</v>
      </c>
      <c r="T63" s="157">
        <f>'Quantitativos (A)'!R63*$D63*$E63</f>
        <v>8657.7800000000007</v>
      </c>
      <c r="U63" s="157">
        <f>'Quantitativos (A)'!S63*$D63*$E63</f>
        <v>8657.7800000000007</v>
      </c>
      <c r="V63" s="157">
        <f>'Quantitativos (A)'!T63*$D63*$E63</f>
        <v>8657.7800000000007</v>
      </c>
      <c r="W63" s="157">
        <f>'Quantitativos (A)'!U63*$D63*$E63</f>
        <v>8657.7800000000007</v>
      </c>
      <c r="X63" s="157">
        <f>'Quantitativos (A)'!V63*$D63*$E63</f>
        <v>8657.7800000000007</v>
      </c>
      <c r="Y63" s="157">
        <f>'Quantitativos (A)'!W63*$D63*$E63</f>
        <v>8657.7800000000007</v>
      </c>
      <c r="Z63" s="157">
        <f>'Quantitativos (A)'!X63*$D63*$E63</f>
        <v>8657.7800000000007</v>
      </c>
      <c r="AA63" s="157">
        <f>'Quantitativos (A)'!Y63*$D63*$E63</f>
        <v>8657.7800000000007</v>
      </c>
      <c r="AB63" s="157">
        <f>'Quantitativos (A)'!Z63*$D63*$E63</f>
        <v>8657.7800000000007</v>
      </c>
      <c r="AC63" s="157">
        <f>'Quantitativos (A)'!AA63*$D63*$E63</f>
        <v>8657.7800000000007</v>
      </c>
      <c r="AD63" s="157">
        <f>'Quantitativos (A)'!AB63*$D63*$E63</f>
        <v>8657.7800000000007</v>
      </c>
      <c r="AE63" s="157">
        <f>'Quantitativos (A)'!AC63*$D63*$E63</f>
        <v>8657.7800000000007</v>
      </c>
      <c r="AF63" s="157">
        <f>'Quantitativos (A)'!AD63*$D63*$E63</f>
        <v>8657.7800000000007</v>
      </c>
      <c r="AG63" s="157">
        <f>'Quantitativos (A)'!AE63*$D63*$E63</f>
        <v>8657.7800000000007</v>
      </c>
      <c r="AH63" s="157">
        <f>'Quantitativos (A)'!AF63*$D63*$E63</f>
        <v>8657.7800000000007</v>
      </c>
      <c r="AI63" s="158">
        <f>'Quantitativos (A)'!AG63*$D63*$E63</f>
        <v>8657.7800000000007</v>
      </c>
      <c r="AJ63" s="22"/>
    </row>
    <row r="64" spans="1:36" ht="38.25" x14ac:dyDescent="0.25">
      <c r="A64" s="112"/>
      <c r="B64" s="27" t="s">
        <v>299</v>
      </c>
      <c r="C64" s="67" t="s">
        <v>57</v>
      </c>
      <c r="D64" s="157">
        <f>'Dados (F)'!$D$83</f>
        <v>46.76</v>
      </c>
      <c r="E64" s="125">
        <f>IF('Dados (F)'!$D$35=1,1,IF('Dados (F)'!$D$35=2,'Dados (F)'!$C$39,1))</f>
        <v>1</v>
      </c>
      <c r="F64" s="157">
        <f>'Quantitativos (A)'!D64*$D64*$E64</f>
        <v>14768.678399999999</v>
      </c>
      <c r="G64" s="157">
        <f>'Quantitativos (A)'!E64*$D64*$E64</f>
        <v>14768.678399999999</v>
      </c>
      <c r="H64" s="157">
        <f>'Quantitativos (A)'!F64*$D64*$E64</f>
        <v>14768.678399999999</v>
      </c>
      <c r="I64" s="157">
        <f>'Quantitativos (A)'!G64*$D64*$E64</f>
        <v>14768.678399999999</v>
      </c>
      <c r="J64" s="157">
        <f>'Quantitativos (A)'!H64*$D64*$E64</f>
        <v>14768.678399999999</v>
      </c>
      <c r="K64" s="157">
        <f>'Quantitativos (A)'!I64*$D64*$E64</f>
        <v>14768.678399999999</v>
      </c>
      <c r="L64" s="157">
        <f>'Quantitativos (A)'!J64*$D64*$E64</f>
        <v>14768.678399999999</v>
      </c>
      <c r="M64" s="157">
        <f>'Quantitativos (A)'!K64*$D64*$E64</f>
        <v>14768.678399999999</v>
      </c>
      <c r="N64" s="157">
        <f>'Quantitativos (A)'!L64*$D64*$E64</f>
        <v>14768.678399999999</v>
      </c>
      <c r="O64" s="157">
        <f>'Quantitativos (A)'!M64*$D64*$E64</f>
        <v>14768.678399999999</v>
      </c>
      <c r="P64" s="157">
        <f>'Quantitativos (A)'!N64*$D64*$E64</f>
        <v>14768.678399999999</v>
      </c>
      <c r="Q64" s="157">
        <f>'Quantitativos (A)'!O64*$D64*$E64</f>
        <v>14768.678399999999</v>
      </c>
      <c r="R64" s="157">
        <f>'Quantitativos (A)'!P64*$D64*$E64</f>
        <v>14768.678399999999</v>
      </c>
      <c r="S64" s="157">
        <f>'Quantitativos (A)'!Q64*$D64*$E64</f>
        <v>14768.678399999999</v>
      </c>
      <c r="T64" s="157">
        <f>'Quantitativos (A)'!R64*$D64*$E64</f>
        <v>14768.678399999999</v>
      </c>
      <c r="U64" s="157">
        <f>'Quantitativos (A)'!S64*$D64*$E64</f>
        <v>14768.678399999999</v>
      </c>
      <c r="V64" s="157">
        <f>'Quantitativos (A)'!T64*$D64*$E64</f>
        <v>14768.678399999999</v>
      </c>
      <c r="W64" s="157">
        <f>'Quantitativos (A)'!U64*$D64*$E64</f>
        <v>14768.678399999999</v>
      </c>
      <c r="X64" s="157">
        <f>'Quantitativos (A)'!V64*$D64*$E64</f>
        <v>14768.678399999999</v>
      </c>
      <c r="Y64" s="157">
        <f>'Quantitativos (A)'!W64*$D64*$E64</f>
        <v>14768.678399999999</v>
      </c>
      <c r="Z64" s="157">
        <f>'Quantitativos (A)'!X64*$D64*$E64</f>
        <v>14768.678399999999</v>
      </c>
      <c r="AA64" s="157">
        <f>'Quantitativos (A)'!Y64*$D64*$E64</f>
        <v>14768.678399999999</v>
      </c>
      <c r="AB64" s="157">
        <f>'Quantitativos (A)'!Z64*$D64*$E64</f>
        <v>14768.678399999999</v>
      </c>
      <c r="AC64" s="157">
        <f>'Quantitativos (A)'!AA64*$D64*$E64</f>
        <v>14768.678399999999</v>
      </c>
      <c r="AD64" s="157">
        <f>'Quantitativos (A)'!AB64*$D64*$E64</f>
        <v>14768.678399999999</v>
      </c>
      <c r="AE64" s="157">
        <f>'Quantitativos (A)'!AC64*$D64*$E64</f>
        <v>14768.678399999999</v>
      </c>
      <c r="AF64" s="157">
        <f>'Quantitativos (A)'!AD64*$D64*$E64</f>
        <v>14768.678399999999</v>
      </c>
      <c r="AG64" s="157">
        <f>'Quantitativos (A)'!AE64*$D64*$E64</f>
        <v>14768.678399999999</v>
      </c>
      <c r="AH64" s="157">
        <f>'Quantitativos (A)'!AF64*$D64*$E64</f>
        <v>14768.678399999999</v>
      </c>
      <c r="AI64" s="158">
        <f>'Quantitativos (A)'!AG64*$D64*$E64</f>
        <v>14768.678399999999</v>
      </c>
      <c r="AJ64" s="22"/>
    </row>
    <row r="65" spans="1:36" ht="51" x14ac:dyDescent="0.25">
      <c r="A65" s="112"/>
      <c r="B65" s="27" t="s">
        <v>301</v>
      </c>
      <c r="C65" s="67" t="s">
        <v>57</v>
      </c>
      <c r="D65" s="157">
        <f>'Dados (F)'!$D$84</f>
        <v>13.87</v>
      </c>
      <c r="E65" s="125">
        <f>IF('Dados (F)'!$D$35=1,1,IF('Dados (F)'!$D$35=2,'Dados (F)'!$C$39,1))</f>
        <v>1</v>
      </c>
      <c r="F65" s="157">
        <f>'Quantitativos (A)'!D65*$D65*$E65</f>
        <v>3180.6683999999996</v>
      </c>
      <c r="G65" s="157">
        <f>'Quantitativos (A)'!E65*$D65*$E65</f>
        <v>3180.6683999999996</v>
      </c>
      <c r="H65" s="157">
        <f>'Quantitativos (A)'!F65*$D65*$E65</f>
        <v>3180.6683999999996</v>
      </c>
      <c r="I65" s="157">
        <f>'Quantitativos (A)'!G65*$D65*$E65</f>
        <v>3180.6683999999996</v>
      </c>
      <c r="J65" s="157">
        <f>'Quantitativos (A)'!H65*$D65*$E65</f>
        <v>3180.6683999999996</v>
      </c>
      <c r="K65" s="157">
        <f>'Quantitativos (A)'!I65*$D65*$E65</f>
        <v>3180.6683999999996</v>
      </c>
      <c r="L65" s="157">
        <f>'Quantitativos (A)'!J65*$D65*$E65</f>
        <v>3180.6683999999996</v>
      </c>
      <c r="M65" s="157">
        <f>'Quantitativos (A)'!K65*$D65*$E65</f>
        <v>3180.6683999999996</v>
      </c>
      <c r="N65" s="157">
        <f>'Quantitativos (A)'!L65*$D65*$E65</f>
        <v>3180.6683999999996</v>
      </c>
      <c r="O65" s="157">
        <f>'Quantitativos (A)'!M65*$D65*$E65</f>
        <v>3180.6683999999996</v>
      </c>
      <c r="P65" s="157">
        <f>'Quantitativos (A)'!N65*$D65*$E65</f>
        <v>3180.6683999999996</v>
      </c>
      <c r="Q65" s="157">
        <f>'Quantitativos (A)'!O65*$D65*$E65</f>
        <v>3180.6683999999996</v>
      </c>
      <c r="R65" s="157">
        <f>'Quantitativos (A)'!P65*$D65*$E65</f>
        <v>3180.6683999999996</v>
      </c>
      <c r="S65" s="157">
        <f>'Quantitativos (A)'!Q65*$D65*$E65</f>
        <v>3180.6683999999996</v>
      </c>
      <c r="T65" s="157">
        <f>'Quantitativos (A)'!R65*$D65*$E65</f>
        <v>3180.6683999999996</v>
      </c>
      <c r="U65" s="157">
        <f>'Quantitativos (A)'!S65*$D65*$E65</f>
        <v>3180.6683999999996</v>
      </c>
      <c r="V65" s="157">
        <f>'Quantitativos (A)'!T65*$D65*$E65</f>
        <v>3180.6683999999996</v>
      </c>
      <c r="W65" s="157">
        <f>'Quantitativos (A)'!U65*$D65*$E65</f>
        <v>3180.6683999999996</v>
      </c>
      <c r="X65" s="157">
        <f>'Quantitativos (A)'!V65*$D65*$E65</f>
        <v>3180.6683999999996</v>
      </c>
      <c r="Y65" s="157">
        <f>'Quantitativos (A)'!W65*$D65*$E65</f>
        <v>3180.6683999999996</v>
      </c>
      <c r="Z65" s="157">
        <f>'Quantitativos (A)'!X65*$D65*$E65</f>
        <v>3180.6683999999996</v>
      </c>
      <c r="AA65" s="157">
        <f>'Quantitativos (A)'!Y65*$D65*$E65</f>
        <v>3180.6683999999996</v>
      </c>
      <c r="AB65" s="157">
        <f>'Quantitativos (A)'!Z65*$D65*$E65</f>
        <v>3180.6683999999996</v>
      </c>
      <c r="AC65" s="157">
        <f>'Quantitativos (A)'!AA65*$D65*$E65</f>
        <v>3180.6683999999996</v>
      </c>
      <c r="AD65" s="157">
        <f>'Quantitativos (A)'!AB65*$D65*$E65</f>
        <v>3180.6683999999996</v>
      </c>
      <c r="AE65" s="157">
        <f>'Quantitativos (A)'!AC65*$D65*$E65</f>
        <v>3180.6683999999996</v>
      </c>
      <c r="AF65" s="157">
        <f>'Quantitativos (A)'!AD65*$D65*$E65</f>
        <v>3180.6683999999996</v>
      </c>
      <c r="AG65" s="157">
        <f>'Quantitativos (A)'!AE65*$D65*$E65</f>
        <v>3180.6683999999996</v>
      </c>
      <c r="AH65" s="157">
        <f>'Quantitativos (A)'!AF65*$D65*$E65</f>
        <v>3180.6683999999996</v>
      </c>
      <c r="AI65" s="158">
        <f>'Quantitativos (A)'!AG65*$D65*$E65</f>
        <v>3180.6683999999996</v>
      </c>
      <c r="AJ65" s="22"/>
    </row>
    <row r="66" spans="1:36" ht="38.25" x14ac:dyDescent="0.25">
      <c r="A66" s="112"/>
      <c r="B66" s="27" t="s">
        <v>300</v>
      </c>
      <c r="C66" s="67" t="s">
        <v>57</v>
      </c>
      <c r="D66" s="157">
        <f>'Dados (F)'!$D$85</f>
        <v>18.55</v>
      </c>
      <c r="E66" s="125">
        <f>IF('Dados (F)'!$D$35=1,1,IF('Dados (F)'!$D$35=2,'Dados (F)'!$C$39,1))</f>
        <v>1</v>
      </c>
      <c r="F66" s="157">
        <f>'Quantitativos (A)'!D66*$D66*$E66</f>
        <v>9474.2270000000062</v>
      </c>
      <c r="G66" s="157">
        <f>'Quantitativos (A)'!E66*$D66*$E66</f>
        <v>9474.2270000000062</v>
      </c>
      <c r="H66" s="157">
        <f>'Quantitativos (A)'!F66*$D66*$E66</f>
        <v>9474.2270000000062</v>
      </c>
      <c r="I66" s="157">
        <f>'Quantitativos (A)'!G66*$D66*$E66</f>
        <v>9474.2270000000062</v>
      </c>
      <c r="J66" s="157">
        <f>'Quantitativos (A)'!H66*$D66*$E66</f>
        <v>9474.2270000000062</v>
      </c>
      <c r="K66" s="157">
        <f>'Quantitativos (A)'!I66*$D66*$E66</f>
        <v>9474.2270000000062</v>
      </c>
      <c r="L66" s="157">
        <f>'Quantitativos (A)'!J66*$D66*$E66</f>
        <v>9474.2270000000062</v>
      </c>
      <c r="M66" s="157">
        <f>'Quantitativos (A)'!K66*$D66*$E66</f>
        <v>9474.2270000000062</v>
      </c>
      <c r="N66" s="157">
        <f>'Quantitativos (A)'!L66*$D66*$E66</f>
        <v>9474.2270000000062</v>
      </c>
      <c r="O66" s="157">
        <f>'Quantitativos (A)'!M66*$D66*$E66</f>
        <v>9474.2270000000062</v>
      </c>
      <c r="P66" s="157">
        <f>'Quantitativos (A)'!N66*$D66*$E66</f>
        <v>9565.1219999999994</v>
      </c>
      <c r="Q66" s="157">
        <f>'Quantitativos (A)'!O66*$D66*$E66</f>
        <v>9565.1219999999994</v>
      </c>
      <c r="R66" s="157">
        <f>'Quantitativos (A)'!P66*$D66*$E66</f>
        <v>9565.1219999999994</v>
      </c>
      <c r="S66" s="157">
        <f>'Quantitativos (A)'!Q66*$D66*$E66</f>
        <v>9565.1219999999994</v>
      </c>
      <c r="T66" s="157">
        <f>'Quantitativos (A)'!R66*$D66*$E66</f>
        <v>9565.1219999999994</v>
      </c>
      <c r="U66" s="157">
        <f>'Quantitativos (A)'!S66*$D66*$E66</f>
        <v>9565.1219999999994</v>
      </c>
      <c r="V66" s="157">
        <f>'Quantitativos (A)'!T66*$D66*$E66</f>
        <v>9565.1219999999994</v>
      </c>
      <c r="W66" s="157">
        <f>'Quantitativos (A)'!U66*$D66*$E66</f>
        <v>9565.1219999999994</v>
      </c>
      <c r="X66" s="157">
        <f>'Quantitativos (A)'!V66*$D66*$E66</f>
        <v>9565.1219999999994</v>
      </c>
      <c r="Y66" s="157">
        <f>'Quantitativos (A)'!W66*$D66*$E66</f>
        <v>9565.1219999999994</v>
      </c>
      <c r="Z66" s="157">
        <f>'Quantitativos (A)'!X66*$D66*$E66</f>
        <v>9429.7070000000003</v>
      </c>
      <c r="AA66" s="157">
        <f>'Quantitativos (A)'!Y66*$D66*$E66</f>
        <v>9429.7070000000003</v>
      </c>
      <c r="AB66" s="157">
        <f>'Quantitativos (A)'!Z66*$D66*$E66</f>
        <v>9429.7070000000003</v>
      </c>
      <c r="AC66" s="157">
        <f>'Quantitativos (A)'!AA66*$D66*$E66</f>
        <v>9429.7070000000003</v>
      </c>
      <c r="AD66" s="157">
        <f>'Quantitativos (A)'!AB66*$D66*$E66</f>
        <v>9429.7070000000003</v>
      </c>
      <c r="AE66" s="157">
        <f>'Quantitativos (A)'!AC66*$D66*$E66</f>
        <v>9429.7070000000003</v>
      </c>
      <c r="AF66" s="157">
        <f>'Quantitativos (A)'!AD66*$D66*$E66</f>
        <v>9429.7070000000003</v>
      </c>
      <c r="AG66" s="157">
        <f>'Quantitativos (A)'!AE66*$D66*$E66</f>
        <v>9429.7070000000003</v>
      </c>
      <c r="AH66" s="157">
        <f>'Quantitativos (A)'!AF66*$D66*$E66</f>
        <v>9429.7070000000003</v>
      </c>
      <c r="AI66" s="158">
        <f>'Quantitativos (A)'!AG66*$D66*$E66</f>
        <v>9429.7070000000003</v>
      </c>
      <c r="AJ66" s="22"/>
    </row>
    <row r="67" spans="1:36" ht="25.5" x14ac:dyDescent="0.25">
      <c r="A67" s="112"/>
      <c r="B67" s="27" t="s">
        <v>303</v>
      </c>
      <c r="C67" s="67" t="s">
        <v>57</v>
      </c>
      <c r="D67" s="157">
        <f>'Dados (F)'!$D$86</f>
        <v>34.26</v>
      </c>
      <c r="E67" s="125">
        <f>IF('Dados (F)'!$D$35=1,1,IF('Dados (F)'!$D$35=2,'Dados (F)'!$C$39,1))</f>
        <v>1</v>
      </c>
      <c r="F67" s="157">
        <f>'Quantitativos (A)'!D67*$D67*$E67</f>
        <v>7468.6799999999994</v>
      </c>
      <c r="G67" s="157">
        <f>'Quantitativos (A)'!E67*$D67*$E67</f>
        <v>7468.6799999999994</v>
      </c>
      <c r="H67" s="157">
        <f>'Quantitativos (A)'!F67*$D67*$E67</f>
        <v>7468.6799999999994</v>
      </c>
      <c r="I67" s="157">
        <f>'Quantitativos (A)'!G67*$D67*$E67</f>
        <v>7468.6799999999994</v>
      </c>
      <c r="J67" s="157">
        <f>'Quantitativos (A)'!H67*$D67*$E67</f>
        <v>7468.6799999999994</v>
      </c>
      <c r="K67" s="157">
        <f>'Quantitativos (A)'!I67*$D67*$E67</f>
        <v>7468.6799999999994</v>
      </c>
      <c r="L67" s="157">
        <f>'Quantitativos (A)'!J67*$D67*$E67</f>
        <v>7468.6799999999994</v>
      </c>
      <c r="M67" s="157">
        <f>'Quantitativos (A)'!K67*$D67*$E67</f>
        <v>7468.6799999999994</v>
      </c>
      <c r="N67" s="157">
        <f>'Quantitativos (A)'!L67*$D67*$E67</f>
        <v>7468.6799999999994</v>
      </c>
      <c r="O67" s="157">
        <f>'Quantitativos (A)'!M67*$D67*$E67</f>
        <v>7468.6799999999994</v>
      </c>
      <c r="P67" s="157">
        <f>'Quantitativos (A)'!N67*$D67*$E67</f>
        <v>7365.9</v>
      </c>
      <c r="Q67" s="157">
        <f>'Quantitativos (A)'!O67*$D67*$E67</f>
        <v>7365.9</v>
      </c>
      <c r="R67" s="157">
        <f>'Quantitativos (A)'!P67*$D67*$E67</f>
        <v>7365.9</v>
      </c>
      <c r="S67" s="157">
        <f>'Quantitativos (A)'!Q67*$D67*$E67</f>
        <v>7365.9</v>
      </c>
      <c r="T67" s="157">
        <f>'Quantitativos (A)'!R67*$D67*$E67</f>
        <v>7365.9</v>
      </c>
      <c r="U67" s="157">
        <f>'Quantitativos (A)'!S67*$D67*$E67</f>
        <v>7365.9</v>
      </c>
      <c r="V67" s="157">
        <f>'Quantitativos (A)'!T67*$D67*$E67</f>
        <v>7365.9</v>
      </c>
      <c r="W67" s="157">
        <f>'Quantitativos (A)'!U67*$D67*$E67</f>
        <v>7365.9</v>
      </c>
      <c r="X67" s="157">
        <f>'Quantitativos (A)'!V67*$D67*$E67</f>
        <v>7365.9</v>
      </c>
      <c r="Y67" s="157">
        <f>'Quantitativos (A)'!W67*$D67*$E67</f>
        <v>7365.9</v>
      </c>
      <c r="Z67" s="157">
        <f>'Quantitativos (A)'!X67*$D67*$E67</f>
        <v>7417.29</v>
      </c>
      <c r="AA67" s="157">
        <f>'Quantitativos (A)'!Y67*$D67*$E67</f>
        <v>7417.29</v>
      </c>
      <c r="AB67" s="157">
        <f>'Quantitativos (A)'!Z67*$D67*$E67</f>
        <v>7417.29</v>
      </c>
      <c r="AC67" s="157">
        <f>'Quantitativos (A)'!AA67*$D67*$E67</f>
        <v>7417.29</v>
      </c>
      <c r="AD67" s="157">
        <f>'Quantitativos (A)'!AB67*$D67*$E67</f>
        <v>7417.29</v>
      </c>
      <c r="AE67" s="157">
        <f>'Quantitativos (A)'!AC67*$D67*$E67</f>
        <v>7417.29</v>
      </c>
      <c r="AF67" s="157">
        <f>'Quantitativos (A)'!AD67*$D67*$E67</f>
        <v>7417.29</v>
      </c>
      <c r="AG67" s="157">
        <f>'Quantitativos (A)'!AE67*$D67*$E67</f>
        <v>7417.29</v>
      </c>
      <c r="AH67" s="157">
        <f>'Quantitativos (A)'!AF67*$D67*$E67</f>
        <v>7417.29</v>
      </c>
      <c r="AI67" s="158">
        <f>'Quantitativos (A)'!AG67*$D67*$E67</f>
        <v>7417.29</v>
      </c>
      <c r="AJ67" s="22"/>
    </row>
    <row r="68" spans="1:36" ht="38.25" x14ac:dyDescent="0.25">
      <c r="A68" s="112"/>
      <c r="B68" s="27" t="s">
        <v>304</v>
      </c>
      <c r="C68" s="67" t="s">
        <v>57</v>
      </c>
      <c r="D68" s="157">
        <f>'Dados (F)'!$D$87</f>
        <v>43.79</v>
      </c>
      <c r="E68" s="125">
        <f>IF('Dados (F)'!$D$35=1,1,IF('Dados (F)'!$D$35=2,'Dados (F)'!$C$39,1))</f>
        <v>1</v>
      </c>
      <c r="F68" s="157">
        <f>'Quantitativos (A)'!D68*$D68*$E68</f>
        <v>10041.9228</v>
      </c>
      <c r="G68" s="157">
        <f>'Quantitativos (A)'!E68*$D68*$E68</f>
        <v>10041.9228</v>
      </c>
      <c r="H68" s="157">
        <f>'Quantitativos (A)'!F68*$D68*$E68</f>
        <v>10041.9228</v>
      </c>
      <c r="I68" s="157">
        <f>'Quantitativos (A)'!G68*$D68*$E68</f>
        <v>10041.9228</v>
      </c>
      <c r="J68" s="157">
        <f>'Quantitativos (A)'!H68*$D68*$E68</f>
        <v>10041.9228</v>
      </c>
      <c r="K68" s="157">
        <f>'Quantitativos (A)'!I68*$D68*$E68</f>
        <v>10041.9228</v>
      </c>
      <c r="L68" s="157">
        <f>'Quantitativos (A)'!J68*$D68*$E68</f>
        <v>10041.9228</v>
      </c>
      <c r="M68" s="157">
        <f>'Quantitativos (A)'!K68*$D68*$E68</f>
        <v>10041.9228</v>
      </c>
      <c r="N68" s="157">
        <f>'Quantitativos (A)'!L68*$D68*$E68</f>
        <v>10041.9228</v>
      </c>
      <c r="O68" s="157">
        <f>'Quantitativos (A)'!M68*$D68*$E68</f>
        <v>10041.9228</v>
      </c>
      <c r="P68" s="157">
        <f>'Quantitativos (A)'!N68*$D68*$E68</f>
        <v>10041.9228</v>
      </c>
      <c r="Q68" s="157">
        <f>'Quantitativos (A)'!O68*$D68*$E68</f>
        <v>10041.9228</v>
      </c>
      <c r="R68" s="157">
        <f>'Quantitativos (A)'!P68*$D68*$E68</f>
        <v>10041.9228</v>
      </c>
      <c r="S68" s="157">
        <f>'Quantitativos (A)'!Q68*$D68*$E68</f>
        <v>10041.9228</v>
      </c>
      <c r="T68" s="157">
        <f>'Quantitativos (A)'!R68*$D68*$E68</f>
        <v>10041.9228</v>
      </c>
      <c r="U68" s="157">
        <f>'Quantitativos (A)'!S68*$D68*$E68</f>
        <v>10041.9228</v>
      </c>
      <c r="V68" s="157">
        <f>'Quantitativos (A)'!T68*$D68*$E68</f>
        <v>10041.9228</v>
      </c>
      <c r="W68" s="157">
        <f>'Quantitativos (A)'!U68*$D68*$E68</f>
        <v>10041.9228</v>
      </c>
      <c r="X68" s="157">
        <f>'Quantitativos (A)'!V68*$D68*$E68</f>
        <v>10041.9228</v>
      </c>
      <c r="Y68" s="157">
        <f>'Quantitativos (A)'!W68*$D68*$E68</f>
        <v>10041.9228</v>
      </c>
      <c r="Z68" s="157">
        <f>'Quantitativos (A)'!X68*$D68*$E68</f>
        <v>10041.9228</v>
      </c>
      <c r="AA68" s="157">
        <f>'Quantitativos (A)'!Y68*$D68*$E68</f>
        <v>10041.9228</v>
      </c>
      <c r="AB68" s="157">
        <f>'Quantitativos (A)'!Z68*$D68*$E68</f>
        <v>10041.9228</v>
      </c>
      <c r="AC68" s="157">
        <f>'Quantitativos (A)'!AA68*$D68*$E68</f>
        <v>10041.9228</v>
      </c>
      <c r="AD68" s="157">
        <f>'Quantitativos (A)'!AB68*$D68*$E68</f>
        <v>10041.9228</v>
      </c>
      <c r="AE68" s="157">
        <f>'Quantitativos (A)'!AC68*$D68*$E68</f>
        <v>10041.9228</v>
      </c>
      <c r="AF68" s="157">
        <f>'Quantitativos (A)'!AD68*$D68*$E68</f>
        <v>10041.9228</v>
      </c>
      <c r="AG68" s="157">
        <f>'Quantitativos (A)'!AE68*$D68*$E68</f>
        <v>10041.9228</v>
      </c>
      <c r="AH68" s="157">
        <f>'Quantitativos (A)'!AF68*$D68*$E68</f>
        <v>10041.9228</v>
      </c>
      <c r="AI68" s="158">
        <f>'Quantitativos (A)'!AG68*$D68*$E68</f>
        <v>10041.9228</v>
      </c>
      <c r="AJ68" s="22"/>
    </row>
    <row r="69" spans="1:36" x14ac:dyDescent="0.25">
      <c r="A69" s="112"/>
      <c r="B69" s="27" t="s">
        <v>309</v>
      </c>
      <c r="C69" s="67" t="s">
        <v>57</v>
      </c>
      <c r="D69" s="157">
        <f>'Dados (F)'!$D$88</f>
        <v>13.41</v>
      </c>
      <c r="E69" s="125">
        <f>IF('Dados (F)'!$D$35=1,1,IF('Dados (F)'!$D$35=2,'Dados (F)'!$C$39,1))</f>
        <v>1</v>
      </c>
      <c r="F69" s="157">
        <f>'Quantitativos (A)'!D69*$D69*$E69</f>
        <v>3044.07</v>
      </c>
      <c r="G69" s="157">
        <f>'Quantitativos (A)'!E69*$D69*$E69</f>
        <v>3044.07</v>
      </c>
      <c r="H69" s="157">
        <f>'Quantitativos (A)'!F69*$D69*$E69</f>
        <v>3044.07</v>
      </c>
      <c r="I69" s="157">
        <f>'Quantitativos (A)'!G69*$D69*$E69</f>
        <v>3044.07</v>
      </c>
      <c r="J69" s="157">
        <f>'Quantitativos (A)'!H69*$D69*$E69</f>
        <v>3044.07</v>
      </c>
      <c r="K69" s="157">
        <f>'Quantitativos (A)'!I69*$D69*$E69</f>
        <v>3044.07</v>
      </c>
      <c r="L69" s="157">
        <f>'Quantitativos (A)'!J69*$D69*$E69</f>
        <v>3044.07</v>
      </c>
      <c r="M69" s="157">
        <f>'Quantitativos (A)'!K69*$D69*$E69</f>
        <v>3044.07</v>
      </c>
      <c r="N69" s="157">
        <f>'Quantitativos (A)'!L69*$D69*$E69</f>
        <v>3044.07</v>
      </c>
      <c r="O69" s="157">
        <f>'Quantitativos (A)'!M69*$D69*$E69</f>
        <v>3044.07</v>
      </c>
      <c r="P69" s="157">
        <f>'Quantitativos (A)'!N69*$D69*$E69</f>
        <v>3044.07</v>
      </c>
      <c r="Q69" s="157">
        <f>'Quantitativos (A)'!O69*$D69*$E69</f>
        <v>3044.07</v>
      </c>
      <c r="R69" s="157">
        <f>'Quantitativos (A)'!P69*$D69*$E69</f>
        <v>3044.07</v>
      </c>
      <c r="S69" s="157">
        <f>'Quantitativos (A)'!Q69*$D69*$E69</f>
        <v>3044.07</v>
      </c>
      <c r="T69" s="157">
        <f>'Quantitativos (A)'!R69*$D69*$E69</f>
        <v>3044.07</v>
      </c>
      <c r="U69" s="157">
        <f>'Quantitativos (A)'!S69*$D69*$E69</f>
        <v>3044.07</v>
      </c>
      <c r="V69" s="157">
        <f>'Quantitativos (A)'!T69*$D69*$E69</f>
        <v>3044.07</v>
      </c>
      <c r="W69" s="157">
        <f>'Quantitativos (A)'!U69*$D69*$E69</f>
        <v>3044.07</v>
      </c>
      <c r="X69" s="157">
        <f>'Quantitativos (A)'!V69*$D69*$E69</f>
        <v>3044.07</v>
      </c>
      <c r="Y69" s="157">
        <f>'Quantitativos (A)'!W69*$D69*$E69</f>
        <v>3044.07</v>
      </c>
      <c r="Z69" s="157">
        <f>'Quantitativos (A)'!X69*$D69*$E69</f>
        <v>3044.07</v>
      </c>
      <c r="AA69" s="157">
        <f>'Quantitativos (A)'!Y69*$D69*$E69</f>
        <v>3044.07</v>
      </c>
      <c r="AB69" s="157">
        <f>'Quantitativos (A)'!Z69*$D69*$E69</f>
        <v>3044.07</v>
      </c>
      <c r="AC69" s="157">
        <f>'Quantitativos (A)'!AA69*$D69*$E69</f>
        <v>3044.07</v>
      </c>
      <c r="AD69" s="157">
        <f>'Quantitativos (A)'!AB69*$D69*$E69</f>
        <v>3044.07</v>
      </c>
      <c r="AE69" s="157">
        <f>'Quantitativos (A)'!AC69*$D69*$E69</f>
        <v>3044.07</v>
      </c>
      <c r="AF69" s="157">
        <f>'Quantitativos (A)'!AD69*$D69*$E69</f>
        <v>3044.07</v>
      </c>
      <c r="AG69" s="157">
        <f>'Quantitativos (A)'!AE69*$D69*$E69</f>
        <v>3044.07</v>
      </c>
      <c r="AH69" s="157">
        <f>'Quantitativos (A)'!AF69*$D69*$E69</f>
        <v>3044.07</v>
      </c>
      <c r="AI69" s="158">
        <f>'Quantitativos (A)'!AG69*$D69*$E69</f>
        <v>3044.07</v>
      </c>
      <c r="AJ69" s="22"/>
    </row>
    <row r="70" spans="1:36" ht="25.5" x14ac:dyDescent="0.25">
      <c r="A70" s="112"/>
      <c r="B70" s="27" t="s">
        <v>71</v>
      </c>
      <c r="C70" s="67" t="s">
        <v>57</v>
      </c>
      <c r="D70" s="157">
        <f>'Dados (F)'!$D$89</f>
        <v>11.6</v>
      </c>
      <c r="E70" s="125">
        <f>IF('Dados (F)'!$D$35=1,1,IF('Dados (F)'!$D$35=2,'Dados (F)'!$C$39,1))</f>
        <v>1</v>
      </c>
      <c r="F70" s="157">
        <f>'Quantitativos (A)'!D70*$D70*$E70</f>
        <v>3663.7439999999997</v>
      </c>
      <c r="G70" s="157">
        <f>'Quantitativos (A)'!E70*$D70*$E70</f>
        <v>3663.7439999999997</v>
      </c>
      <c r="H70" s="157">
        <f>'Quantitativos (A)'!F70*$D70*$E70</f>
        <v>3663.7439999999997</v>
      </c>
      <c r="I70" s="157">
        <f>'Quantitativos (A)'!G70*$D70*$E70</f>
        <v>3663.7439999999997</v>
      </c>
      <c r="J70" s="157">
        <f>'Quantitativos (A)'!H70*$D70*$E70</f>
        <v>3663.7439999999997</v>
      </c>
      <c r="K70" s="157">
        <f>'Quantitativos (A)'!I70*$D70*$E70</f>
        <v>3663.7439999999997</v>
      </c>
      <c r="L70" s="157">
        <f>'Quantitativos (A)'!J70*$D70*$E70</f>
        <v>3663.7439999999997</v>
      </c>
      <c r="M70" s="157">
        <f>'Quantitativos (A)'!K70*$D70*$E70</f>
        <v>3663.7439999999997</v>
      </c>
      <c r="N70" s="157">
        <f>'Quantitativos (A)'!L70*$D70*$E70</f>
        <v>3663.7439999999997</v>
      </c>
      <c r="O70" s="157">
        <f>'Quantitativos (A)'!M70*$D70*$E70</f>
        <v>3663.7439999999997</v>
      </c>
      <c r="P70" s="157">
        <f>'Quantitativos (A)'!N70*$D70*$E70</f>
        <v>3663.7439999999997</v>
      </c>
      <c r="Q70" s="157">
        <f>'Quantitativos (A)'!O70*$D70*$E70</f>
        <v>3663.7439999999997</v>
      </c>
      <c r="R70" s="157">
        <f>'Quantitativos (A)'!P70*$D70*$E70</f>
        <v>3663.7439999999997</v>
      </c>
      <c r="S70" s="157">
        <f>'Quantitativos (A)'!Q70*$D70*$E70</f>
        <v>3663.7439999999997</v>
      </c>
      <c r="T70" s="157">
        <f>'Quantitativos (A)'!R70*$D70*$E70</f>
        <v>3663.7439999999997</v>
      </c>
      <c r="U70" s="157">
        <f>'Quantitativos (A)'!S70*$D70*$E70</f>
        <v>3663.7439999999997</v>
      </c>
      <c r="V70" s="157">
        <f>'Quantitativos (A)'!T70*$D70*$E70</f>
        <v>3663.7439999999997</v>
      </c>
      <c r="W70" s="157">
        <f>'Quantitativos (A)'!U70*$D70*$E70</f>
        <v>3663.7439999999997</v>
      </c>
      <c r="X70" s="157">
        <f>'Quantitativos (A)'!V70*$D70*$E70</f>
        <v>3663.7439999999997</v>
      </c>
      <c r="Y70" s="157">
        <f>'Quantitativos (A)'!W70*$D70*$E70</f>
        <v>3663.7439999999997</v>
      </c>
      <c r="Z70" s="157">
        <f>'Quantitativos (A)'!X70*$D70*$E70</f>
        <v>3663.7439999999997</v>
      </c>
      <c r="AA70" s="157">
        <f>'Quantitativos (A)'!Y70*$D70*$E70</f>
        <v>3663.7439999999997</v>
      </c>
      <c r="AB70" s="157">
        <f>'Quantitativos (A)'!Z70*$D70*$E70</f>
        <v>3663.7439999999997</v>
      </c>
      <c r="AC70" s="157">
        <f>'Quantitativos (A)'!AA70*$D70*$E70</f>
        <v>3663.7439999999997</v>
      </c>
      <c r="AD70" s="157">
        <f>'Quantitativos (A)'!AB70*$D70*$E70</f>
        <v>3663.7439999999997</v>
      </c>
      <c r="AE70" s="157">
        <f>'Quantitativos (A)'!AC70*$D70*$E70</f>
        <v>3663.7439999999997</v>
      </c>
      <c r="AF70" s="157">
        <f>'Quantitativos (A)'!AD70*$D70*$E70</f>
        <v>3663.7439999999997</v>
      </c>
      <c r="AG70" s="157">
        <f>'Quantitativos (A)'!AE70*$D70*$E70</f>
        <v>3663.7439999999997</v>
      </c>
      <c r="AH70" s="157">
        <f>'Quantitativos (A)'!AF70*$D70*$E70</f>
        <v>3663.7439999999997</v>
      </c>
      <c r="AI70" s="158">
        <f>'Quantitativos (A)'!AG70*$D70*$E70</f>
        <v>3663.7439999999997</v>
      </c>
      <c r="AJ70" s="22"/>
    </row>
    <row r="71" spans="1:36" ht="25.5" x14ac:dyDescent="0.25">
      <c r="A71" s="112"/>
      <c r="B71" s="27" t="s">
        <v>70</v>
      </c>
      <c r="C71" s="67" t="s">
        <v>57</v>
      </c>
      <c r="D71" s="157">
        <f>'Dados (F)'!$D$90</f>
        <v>9.02</v>
      </c>
      <c r="E71" s="125">
        <f>IF('Dados (F)'!$D$35=1,1,IF('Dados (F)'!$D$35=2,'Dados (F)'!$C$39,1))</f>
        <v>1</v>
      </c>
      <c r="F71" s="157">
        <f>'Quantitativos (A)'!D71*$D71*$E71</f>
        <v>4606.8748000000032</v>
      </c>
      <c r="G71" s="157">
        <f>'Quantitativos (A)'!E71*$D71*$E71</f>
        <v>4606.8748000000032</v>
      </c>
      <c r="H71" s="157">
        <f>'Quantitativos (A)'!F71*$D71*$E71</f>
        <v>4606.8748000000032</v>
      </c>
      <c r="I71" s="157">
        <f>'Quantitativos (A)'!G71*$D71*$E71</f>
        <v>4606.8748000000032</v>
      </c>
      <c r="J71" s="157">
        <f>'Quantitativos (A)'!H71*$D71*$E71</f>
        <v>4606.8748000000032</v>
      </c>
      <c r="K71" s="157">
        <f>'Quantitativos (A)'!I71*$D71*$E71</f>
        <v>4606.8748000000032</v>
      </c>
      <c r="L71" s="157">
        <f>'Quantitativos (A)'!J71*$D71*$E71</f>
        <v>4606.8748000000032</v>
      </c>
      <c r="M71" s="157">
        <f>'Quantitativos (A)'!K71*$D71*$E71</f>
        <v>4606.8748000000032</v>
      </c>
      <c r="N71" s="157">
        <f>'Quantitativos (A)'!L71*$D71*$E71</f>
        <v>4606.8748000000032</v>
      </c>
      <c r="O71" s="157">
        <f>'Quantitativos (A)'!M71*$D71*$E71</f>
        <v>4606.8748000000032</v>
      </c>
      <c r="P71" s="157">
        <f>'Quantitativos (A)'!N71*$D71*$E71</f>
        <v>4651.0727999999999</v>
      </c>
      <c r="Q71" s="157">
        <f>'Quantitativos (A)'!O71*$D71*$E71</f>
        <v>4651.0727999999999</v>
      </c>
      <c r="R71" s="157">
        <f>'Quantitativos (A)'!P71*$D71*$E71</f>
        <v>4651.0727999999999</v>
      </c>
      <c r="S71" s="157">
        <f>'Quantitativos (A)'!Q71*$D71*$E71</f>
        <v>4651.0727999999999</v>
      </c>
      <c r="T71" s="157">
        <f>'Quantitativos (A)'!R71*$D71*$E71</f>
        <v>4651.0727999999999</v>
      </c>
      <c r="U71" s="157">
        <f>'Quantitativos (A)'!S71*$D71*$E71</f>
        <v>4651.0727999999999</v>
      </c>
      <c r="V71" s="157">
        <f>'Quantitativos (A)'!T71*$D71*$E71</f>
        <v>4651.0727999999999</v>
      </c>
      <c r="W71" s="157">
        <f>'Quantitativos (A)'!U71*$D71*$E71</f>
        <v>4651.0727999999999</v>
      </c>
      <c r="X71" s="157">
        <f>'Quantitativos (A)'!V71*$D71*$E71</f>
        <v>4651.0727999999999</v>
      </c>
      <c r="Y71" s="157">
        <f>'Quantitativos (A)'!W71*$D71*$E71</f>
        <v>4651.0727999999999</v>
      </c>
      <c r="Z71" s="157">
        <f>'Quantitativos (A)'!X71*$D71*$E71</f>
        <v>4585.2267999999995</v>
      </c>
      <c r="AA71" s="157">
        <f>'Quantitativos (A)'!Y71*$D71*$E71</f>
        <v>4585.2267999999995</v>
      </c>
      <c r="AB71" s="157">
        <f>'Quantitativos (A)'!Z71*$D71*$E71</f>
        <v>4585.2267999999995</v>
      </c>
      <c r="AC71" s="157">
        <f>'Quantitativos (A)'!AA71*$D71*$E71</f>
        <v>4585.2267999999995</v>
      </c>
      <c r="AD71" s="157">
        <f>'Quantitativos (A)'!AB71*$D71*$E71</f>
        <v>4585.2267999999995</v>
      </c>
      <c r="AE71" s="157">
        <f>'Quantitativos (A)'!AC71*$D71*$E71</f>
        <v>4585.2267999999995</v>
      </c>
      <c r="AF71" s="157">
        <f>'Quantitativos (A)'!AD71*$D71*$E71</f>
        <v>4585.2267999999995</v>
      </c>
      <c r="AG71" s="157">
        <f>'Quantitativos (A)'!AE71*$D71*$E71</f>
        <v>4585.2267999999995</v>
      </c>
      <c r="AH71" s="157">
        <f>'Quantitativos (A)'!AF71*$D71*$E71</f>
        <v>4585.2267999999995</v>
      </c>
      <c r="AI71" s="158">
        <f>'Quantitativos (A)'!AG71*$D71*$E71</f>
        <v>4585.2267999999995</v>
      </c>
      <c r="AJ71" s="22"/>
    </row>
    <row r="72" spans="1:36" x14ac:dyDescent="0.25">
      <c r="A72" s="112"/>
      <c r="B72" s="27" t="s">
        <v>443</v>
      </c>
      <c r="C72" s="67" t="s">
        <v>59</v>
      </c>
      <c r="D72" s="157">
        <f>'Dados (F)'!$D$132</f>
        <v>5564.93</v>
      </c>
      <c r="E72" s="125">
        <f>IF('Dados (F)'!$D$35=1,1,'Dados (F)'!$C$39)</f>
        <v>1</v>
      </c>
      <c r="F72" s="157">
        <f>'Quantitativos (A)'!D72*$D72*$E72</f>
        <v>5564.93</v>
      </c>
      <c r="G72" s="157">
        <f>'Quantitativos (A)'!E72*$D72*$E72</f>
        <v>5564.93</v>
      </c>
      <c r="H72" s="157">
        <f>'Quantitativos (A)'!F72*$D72*$E72</f>
        <v>5564.93</v>
      </c>
      <c r="I72" s="157">
        <f>'Quantitativos (A)'!G72*$D72*$E72</f>
        <v>5564.93</v>
      </c>
      <c r="J72" s="157">
        <f>'Quantitativos (A)'!H72*$D72*$E72</f>
        <v>5564.93</v>
      </c>
      <c r="K72" s="157">
        <f>'Quantitativos (A)'!I72*$D72*$E72</f>
        <v>5564.93</v>
      </c>
      <c r="L72" s="157">
        <f>'Quantitativos (A)'!J72*$D72*$E72</f>
        <v>5564.93</v>
      </c>
      <c r="M72" s="157">
        <f>'Quantitativos (A)'!K72*$D72*$E72</f>
        <v>5564.93</v>
      </c>
      <c r="N72" s="157">
        <f>'Quantitativos (A)'!L72*$D72*$E72</f>
        <v>5564.93</v>
      </c>
      <c r="O72" s="157">
        <f>'Quantitativos (A)'!M72*$D72*$E72</f>
        <v>5564.93</v>
      </c>
      <c r="P72" s="157">
        <f>'Quantitativos (A)'!N72*$D72*$E72</f>
        <v>5564.93</v>
      </c>
      <c r="Q72" s="157">
        <f>'Quantitativos (A)'!O72*$D72*$E72</f>
        <v>5564.93</v>
      </c>
      <c r="R72" s="157">
        <f>'Quantitativos (A)'!P72*$D72*$E72</f>
        <v>5564.93</v>
      </c>
      <c r="S72" s="157">
        <f>'Quantitativos (A)'!Q72*$D72*$E72</f>
        <v>5564.93</v>
      </c>
      <c r="T72" s="157">
        <f>'Quantitativos (A)'!R72*$D72*$E72</f>
        <v>5564.93</v>
      </c>
      <c r="U72" s="157">
        <f>'Quantitativos (A)'!S72*$D72*$E72</f>
        <v>5564.93</v>
      </c>
      <c r="V72" s="157">
        <f>'Quantitativos (A)'!T72*$D72*$E72</f>
        <v>5564.93</v>
      </c>
      <c r="W72" s="157">
        <f>'Quantitativos (A)'!U72*$D72*$E72</f>
        <v>5564.93</v>
      </c>
      <c r="X72" s="157">
        <f>'Quantitativos (A)'!V72*$D72*$E72</f>
        <v>5564.93</v>
      </c>
      <c r="Y72" s="157">
        <f>'Quantitativos (A)'!W72*$D72*$E72</f>
        <v>5564.93</v>
      </c>
      <c r="Z72" s="157">
        <f>'Quantitativos (A)'!X72*$D72*$E72</f>
        <v>5564.93</v>
      </c>
      <c r="AA72" s="157">
        <f>'Quantitativos (A)'!Y72*$D72*$E72</f>
        <v>5564.93</v>
      </c>
      <c r="AB72" s="157">
        <f>'Quantitativos (A)'!Z72*$D72*$E72</f>
        <v>5564.93</v>
      </c>
      <c r="AC72" s="157">
        <f>'Quantitativos (A)'!AA72*$D72*$E72</f>
        <v>5564.93</v>
      </c>
      <c r="AD72" s="157">
        <f>'Quantitativos (A)'!AB72*$D72*$E72</f>
        <v>5564.93</v>
      </c>
      <c r="AE72" s="157">
        <f>'Quantitativos (A)'!AC72*$D72*$E72</f>
        <v>5564.93</v>
      </c>
      <c r="AF72" s="157">
        <f>'Quantitativos (A)'!AD72*$D72*$E72</f>
        <v>5564.93</v>
      </c>
      <c r="AG72" s="157">
        <f>'Quantitativos (A)'!AE72*$D72*$E72</f>
        <v>5564.93</v>
      </c>
      <c r="AH72" s="157">
        <f>'Quantitativos (A)'!AF72*$D72*$E72</f>
        <v>5564.93</v>
      </c>
      <c r="AI72" s="158">
        <f>'Quantitativos (A)'!AG72*$D72*$E72</f>
        <v>5564.93</v>
      </c>
      <c r="AJ72" s="22"/>
    </row>
    <row r="73" spans="1:36" x14ac:dyDescent="0.25">
      <c r="A73" s="112"/>
      <c r="B73" s="27" t="s">
        <v>444</v>
      </c>
      <c r="C73" s="67" t="s">
        <v>59</v>
      </c>
      <c r="D73" s="157">
        <f>'Dados (F)'!$D$133</f>
        <v>4173.7</v>
      </c>
      <c r="E73" s="125">
        <f>IF('Dados (F)'!$D$35=1,1,'Dados (F)'!$C$39)</f>
        <v>1</v>
      </c>
      <c r="F73" s="157">
        <f>'Quantitativos (A)'!D73*$D73*$E73</f>
        <v>4173.7</v>
      </c>
      <c r="G73" s="157">
        <f>'Quantitativos (A)'!E73*$D73*$E73</f>
        <v>4173.7</v>
      </c>
      <c r="H73" s="157">
        <f>'Quantitativos (A)'!F73*$D73*$E73</f>
        <v>4173.7</v>
      </c>
      <c r="I73" s="157">
        <f>'Quantitativos (A)'!G73*$D73*$E73</f>
        <v>4173.7</v>
      </c>
      <c r="J73" s="157">
        <f>'Quantitativos (A)'!H73*$D73*$E73</f>
        <v>4173.7</v>
      </c>
      <c r="K73" s="157">
        <f>'Quantitativos (A)'!I73*$D73*$E73</f>
        <v>4173.7</v>
      </c>
      <c r="L73" s="157">
        <f>'Quantitativos (A)'!J73*$D73*$E73</f>
        <v>4173.7</v>
      </c>
      <c r="M73" s="157">
        <f>'Quantitativos (A)'!K73*$D73*$E73</f>
        <v>4173.7</v>
      </c>
      <c r="N73" s="157">
        <f>'Quantitativos (A)'!L73*$D73*$E73</f>
        <v>4173.7</v>
      </c>
      <c r="O73" s="157">
        <f>'Quantitativos (A)'!M73*$D73*$E73</f>
        <v>4173.7</v>
      </c>
      <c r="P73" s="157">
        <f>'Quantitativos (A)'!N73*$D73*$E73</f>
        <v>4173.7</v>
      </c>
      <c r="Q73" s="157">
        <f>'Quantitativos (A)'!O73*$D73*$E73</f>
        <v>4173.7</v>
      </c>
      <c r="R73" s="157">
        <f>'Quantitativos (A)'!P73*$D73*$E73</f>
        <v>4173.7</v>
      </c>
      <c r="S73" s="157">
        <f>'Quantitativos (A)'!Q73*$D73*$E73</f>
        <v>4173.7</v>
      </c>
      <c r="T73" s="157">
        <f>'Quantitativos (A)'!R73*$D73*$E73</f>
        <v>4173.7</v>
      </c>
      <c r="U73" s="157">
        <f>'Quantitativos (A)'!S73*$D73*$E73</f>
        <v>4173.7</v>
      </c>
      <c r="V73" s="157">
        <f>'Quantitativos (A)'!T73*$D73*$E73</f>
        <v>4173.7</v>
      </c>
      <c r="W73" s="157">
        <f>'Quantitativos (A)'!U73*$D73*$E73</f>
        <v>4173.7</v>
      </c>
      <c r="X73" s="157">
        <f>'Quantitativos (A)'!V73*$D73*$E73</f>
        <v>4173.7</v>
      </c>
      <c r="Y73" s="157">
        <f>'Quantitativos (A)'!W73*$D73*$E73</f>
        <v>4173.7</v>
      </c>
      <c r="Z73" s="157">
        <f>'Quantitativos (A)'!X73*$D73*$E73</f>
        <v>4173.7</v>
      </c>
      <c r="AA73" s="157">
        <f>'Quantitativos (A)'!Y73*$D73*$E73</f>
        <v>4173.7</v>
      </c>
      <c r="AB73" s="157">
        <f>'Quantitativos (A)'!Z73*$D73*$E73</f>
        <v>4173.7</v>
      </c>
      <c r="AC73" s="157">
        <f>'Quantitativos (A)'!AA73*$D73*$E73</f>
        <v>4173.7</v>
      </c>
      <c r="AD73" s="157">
        <f>'Quantitativos (A)'!AB73*$D73*$E73</f>
        <v>4173.7</v>
      </c>
      <c r="AE73" s="157">
        <f>'Quantitativos (A)'!AC73*$D73*$E73</f>
        <v>4173.7</v>
      </c>
      <c r="AF73" s="157">
        <f>'Quantitativos (A)'!AD73*$D73*$E73</f>
        <v>4173.7</v>
      </c>
      <c r="AG73" s="157">
        <f>'Quantitativos (A)'!AE73*$D73*$E73</f>
        <v>4173.7</v>
      </c>
      <c r="AH73" s="157">
        <f>'Quantitativos (A)'!AF73*$D73*$E73</f>
        <v>4173.7</v>
      </c>
      <c r="AI73" s="158">
        <f>'Quantitativos (A)'!AG73*$D73*$E73</f>
        <v>4173.7</v>
      </c>
      <c r="AJ73" s="22"/>
    </row>
    <row r="74" spans="1:36" x14ac:dyDescent="0.25">
      <c r="A74" s="21"/>
      <c r="B74" s="120" t="s">
        <v>515</v>
      </c>
      <c r="C74" s="121"/>
      <c r="D74" s="155"/>
      <c r="E74" s="156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60"/>
      <c r="AJ74" s="22"/>
    </row>
    <row r="75" spans="1:36" ht="25.5" x14ac:dyDescent="0.25">
      <c r="A75" s="21"/>
      <c r="B75" s="129" t="s">
        <v>294</v>
      </c>
      <c r="C75" s="67" t="s">
        <v>65</v>
      </c>
      <c r="D75" s="157">
        <f>'Dados (F)'!$D$64</f>
        <v>296.22000000000003</v>
      </c>
      <c r="E75" s="125">
        <f>IF('Dados (F)'!$D$35=1,1,IF('Dados (F)'!$D$35=2,'Dados (F)'!$C$39,1))</f>
        <v>1</v>
      </c>
      <c r="F75" s="157">
        <f>'Quantitativos (A)'!D75*$D75*$E75</f>
        <v>319.50289200000003</v>
      </c>
      <c r="G75" s="157">
        <f>'Quantitativos (A)'!E75*$D75*$E75</f>
        <v>319.50289200000003</v>
      </c>
      <c r="H75" s="157">
        <f>'Quantitativos (A)'!F75*$D75*$E75</f>
        <v>319.50289200000003</v>
      </c>
      <c r="I75" s="157">
        <f>'Quantitativos (A)'!G75*$D75*$E75</f>
        <v>1224.218016</v>
      </c>
      <c r="J75" s="157">
        <f>'Quantitativos (A)'!H75*$D75*$E75</f>
        <v>1224.218016</v>
      </c>
      <c r="K75" s="157">
        <f>'Quantitativos (A)'!I75*$D75*$E75</f>
        <v>1224.218016</v>
      </c>
      <c r="L75" s="157">
        <f>'Quantitativos (A)'!J75*$D75*$E75</f>
        <v>319.50289200000003</v>
      </c>
      <c r="M75" s="157">
        <f>'Quantitativos (A)'!K75*$D75*$E75</f>
        <v>319.50289200000003</v>
      </c>
      <c r="N75" s="157">
        <f>'Quantitativos (A)'!L75*$D75*$E75</f>
        <v>1224.218016</v>
      </c>
      <c r="O75" s="157">
        <f>'Quantitativos (A)'!M75*$D75*$E75</f>
        <v>1224.218016</v>
      </c>
      <c r="P75" s="157">
        <f>'Quantitativos (A)'!N75*$D75*$E75</f>
        <v>126.16009800000003</v>
      </c>
      <c r="Q75" s="157">
        <f>'Quantitativos (A)'!O75*$D75*$E75</f>
        <v>126.16009800000003</v>
      </c>
      <c r="R75" s="157">
        <f>'Quantitativos (A)'!P75*$D75*$E75</f>
        <v>126.16009800000003</v>
      </c>
      <c r="S75" s="157">
        <f>'Quantitativos (A)'!Q75*$D75*$E75</f>
        <v>948.58530600000017</v>
      </c>
      <c r="T75" s="157">
        <f>'Quantitativos (A)'!R75*$D75*$E75</f>
        <v>948.58530600000017</v>
      </c>
      <c r="U75" s="157">
        <f>'Quantitativos (A)'!S75*$D75*$E75</f>
        <v>948.58530600000017</v>
      </c>
      <c r="V75" s="157">
        <f>'Quantitativos (A)'!T75*$D75*$E75</f>
        <v>126.16009800000003</v>
      </c>
      <c r="W75" s="157">
        <f>'Quantitativos (A)'!U75*$D75*$E75</f>
        <v>126.16009800000003</v>
      </c>
      <c r="X75" s="157">
        <f>'Quantitativos (A)'!V75*$D75*$E75</f>
        <v>948.58530600000017</v>
      </c>
      <c r="Y75" s="157">
        <f>'Quantitativos (A)'!W75*$D75*$E75</f>
        <v>948.58530600000017</v>
      </c>
      <c r="Z75" s="157">
        <f>'Quantitativos (A)'!X75*$D75*$E75</f>
        <v>0</v>
      </c>
      <c r="AA75" s="157">
        <f>'Quantitativos (A)'!Y75*$D75*$E75</f>
        <v>0</v>
      </c>
      <c r="AB75" s="157">
        <f>'Quantitativos (A)'!Z75*$D75*$E75</f>
        <v>0</v>
      </c>
      <c r="AC75" s="157">
        <f>'Quantitativos (A)'!AA75*$D75*$E75</f>
        <v>0</v>
      </c>
      <c r="AD75" s="157">
        <f>'Quantitativos (A)'!AB75*$D75*$E75</f>
        <v>0</v>
      </c>
      <c r="AE75" s="157">
        <f>'Quantitativos (A)'!AC75*$D75*$E75</f>
        <v>0</v>
      </c>
      <c r="AF75" s="157">
        <f>'Quantitativos (A)'!AD75*$D75*$E75</f>
        <v>0</v>
      </c>
      <c r="AG75" s="157">
        <f>'Quantitativos (A)'!AE75*$D75*$E75</f>
        <v>0</v>
      </c>
      <c r="AH75" s="157">
        <f>'Quantitativos (A)'!AF75*$D75*$E75</f>
        <v>0</v>
      </c>
      <c r="AI75" s="158">
        <f>'Quantitativos (A)'!AG75*$D75*$E75</f>
        <v>0</v>
      </c>
      <c r="AJ75" s="22"/>
    </row>
    <row r="76" spans="1:36" x14ac:dyDescent="0.25">
      <c r="A76" s="21"/>
      <c r="B76" s="129" t="s">
        <v>290</v>
      </c>
      <c r="C76" s="67" t="s">
        <v>63</v>
      </c>
      <c r="D76" s="157">
        <f>'Dados (F)'!$D$65</f>
        <v>6.32</v>
      </c>
      <c r="E76" s="125">
        <f>IF('Dados (F)'!$D$35=1,1,IF('Dados (F)'!$D$35=2,'Dados (F)'!$C$39,1))</f>
        <v>1</v>
      </c>
      <c r="F76" s="157">
        <f>'Quantitativos (A)'!D76*$D76*$E76</f>
        <v>2.7036960000000003</v>
      </c>
      <c r="G76" s="157">
        <f>'Quantitativos (A)'!E76*$D76*$E76</f>
        <v>2.7036960000000003</v>
      </c>
      <c r="H76" s="157">
        <f>'Quantitativos (A)'!F76*$D76*$E76</f>
        <v>2.7036960000000003</v>
      </c>
      <c r="I76" s="157">
        <f>'Quantitativos (A)'!G76*$D76*$E76</f>
        <v>10.474136</v>
      </c>
      <c r="J76" s="157">
        <f>'Quantitativos (A)'!H76*$D76*$E76</f>
        <v>10.474136</v>
      </c>
      <c r="K76" s="157">
        <f>'Quantitativos (A)'!I76*$D76*$E76</f>
        <v>10.474136</v>
      </c>
      <c r="L76" s="157">
        <f>'Quantitativos (A)'!J76*$D76*$E76</f>
        <v>2.7036960000000003</v>
      </c>
      <c r="M76" s="157">
        <f>'Quantitativos (A)'!K76*$D76*$E76</f>
        <v>2.7036960000000003</v>
      </c>
      <c r="N76" s="157">
        <f>'Quantitativos (A)'!L76*$D76*$E76</f>
        <v>10.474136</v>
      </c>
      <c r="O76" s="157">
        <f>'Quantitativos (A)'!M76*$D76*$E76</f>
        <v>10.474136</v>
      </c>
      <c r="P76" s="157">
        <f>'Quantitativos (A)'!N76*$D76*$E76</f>
        <v>1.0819840000000001</v>
      </c>
      <c r="Q76" s="157">
        <f>'Quantitativos (A)'!O76*$D76*$E76</f>
        <v>1.0819840000000001</v>
      </c>
      <c r="R76" s="157">
        <f>'Quantitativos (A)'!P76*$D76*$E76</f>
        <v>1.0819840000000001</v>
      </c>
      <c r="S76" s="157">
        <f>'Quantitativos (A)'!Q76*$D76*$E76</f>
        <v>8.0978160000000017</v>
      </c>
      <c r="T76" s="157">
        <f>'Quantitativos (A)'!R76*$D76*$E76</f>
        <v>8.0978160000000017</v>
      </c>
      <c r="U76" s="157">
        <f>'Quantitativos (A)'!S76*$D76*$E76</f>
        <v>8.0978160000000017</v>
      </c>
      <c r="V76" s="157">
        <f>'Quantitativos (A)'!T76*$D76*$E76</f>
        <v>1.0819840000000001</v>
      </c>
      <c r="W76" s="157">
        <f>'Quantitativos (A)'!U76*$D76*$E76</f>
        <v>1.0819840000000001</v>
      </c>
      <c r="X76" s="157">
        <f>'Quantitativos (A)'!V76*$D76*$E76</f>
        <v>8.0978160000000017</v>
      </c>
      <c r="Y76" s="157">
        <f>'Quantitativos (A)'!W76*$D76*$E76</f>
        <v>8.0978160000000017</v>
      </c>
      <c r="Z76" s="157">
        <f>'Quantitativos (A)'!X76*$D76*$E76</f>
        <v>0</v>
      </c>
      <c r="AA76" s="157">
        <f>'Quantitativos (A)'!Y76*$D76*$E76</f>
        <v>0</v>
      </c>
      <c r="AB76" s="157">
        <f>'Quantitativos (A)'!Z76*$D76*$E76</f>
        <v>0</v>
      </c>
      <c r="AC76" s="157">
        <f>'Quantitativos (A)'!AA76*$D76*$E76</f>
        <v>0</v>
      </c>
      <c r="AD76" s="157">
        <f>'Quantitativos (A)'!AB76*$D76*$E76</f>
        <v>0</v>
      </c>
      <c r="AE76" s="157">
        <f>'Quantitativos (A)'!AC76*$D76*$E76</f>
        <v>0</v>
      </c>
      <c r="AF76" s="157">
        <f>'Quantitativos (A)'!AD76*$D76*$E76</f>
        <v>0</v>
      </c>
      <c r="AG76" s="157">
        <f>'Quantitativos (A)'!AE76*$D76*$E76</f>
        <v>0</v>
      </c>
      <c r="AH76" s="157">
        <f>'Quantitativos (A)'!AF76*$D76*$E76</f>
        <v>0</v>
      </c>
      <c r="AI76" s="158">
        <f>'Quantitativos (A)'!AG76*$D76*$E76</f>
        <v>0</v>
      </c>
      <c r="AJ76" s="22"/>
    </row>
    <row r="77" spans="1:36" ht="25.5" x14ac:dyDescent="0.25">
      <c r="A77" s="21"/>
      <c r="B77" s="129" t="s">
        <v>295</v>
      </c>
      <c r="C77" s="67" t="s">
        <v>57</v>
      </c>
      <c r="D77" s="157">
        <f>'Dados (F)'!$D$110</f>
        <v>30.97</v>
      </c>
      <c r="E77" s="125">
        <f>IF('Dados (F)'!$D$35=1,1,IF('Dados (F)'!$D$35=2,'Dados (F)'!$C$39,1))</f>
        <v>1</v>
      </c>
      <c r="F77" s="157">
        <f>'Quantitativos (A)'!D77*$D77*$E77</f>
        <v>164.60864699999996</v>
      </c>
      <c r="G77" s="157">
        <f>'Quantitativos (A)'!E77*$D77*$E77</f>
        <v>164.60864699999996</v>
      </c>
      <c r="H77" s="157">
        <f>'Quantitativos (A)'!F77*$D77*$E77</f>
        <v>164.60864699999996</v>
      </c>
      <c r="I77" s="157">
        <f>'Quantitativos (A)'!G77*$D77*$E77</f>
        <v>970.97144000000003</v>
      </c>
      <c r="J77" s="157">
        <f>'Quantitativos (A)'!H77*$D77*$E77</f>
        <v>970.97144000000003</v>
      </c>
      <c r="K77" s="157">
        <f>'Quantitativos (A)'!I77*$D77*$E77</f>
        <v>970.97144000000003</v>
      </c>
      <c r="L77" s="157">
        <f>'Quantitativos (A)'!J77*$D77*$E77</f>
        <v>164.60864699999996</v>
      </c>
      <c r="M77" s="157">
        <f>'Quantitativos (A)'!K77*$D77*$E77</f>
        <v>164.60864699999996</v>
      </c>
      <c r="N77" s="157">
        <f>'Quantitativos (A)'!L77*$D77*$E77</f>
        <v>970.97144000000003</v>
      </c>
      <c r="O77" s="157">
        <f>'Quantitativos (A)'!M77*$D77*$E77</f>
        <v>970.97144000000003</v>
      </c>
      <c r="P77" s="157">
        <f>'Quantitativos (A)'!N77*$D77*$E77</f>
        <v>65.232111000000003</v>
      </c>
      <c r="Q77" s="157">
        <f>'Quantitativos (A)'!O77*$D77*$E77</f>
        <v>65.232111000000003</v>
      </c>
      <c r="R77" s="157">
        <f>'Quantitativos (A)'!P77*$D77*$E77</f>
        <v>65.232111000000003</v>
      </c>
      <c r="S77" s="157">
        <f>'Quantitativos (A)'!Q77*$D77*$E77</f>
        <v>1091.25892</v>
      </c>
      <c r="T77" s="157">
        <f>'Quantitativos (A)'!R77*$D77*$E77</f>
        <v>1091.25892</v>
      </c>
      <c r="U77" s="157">
        <f>'Quantitativos (A)'!S77*$D77*$E77</f>
        <v>1091.25892</v>
      </c>
      <c r="V77" s="157">
        <f>'Quantitativos (A)'!T77*$D77*$E77</f>
        <v>65.232111000000003</v>
      </c>
      <c r="W77" s="157">
        <f>'Quantitativos (A)'!U77*$D77*$E77</f>
        <v>65.232111000000003</v>
      </c>
      <c r="X77" s="157">
        <f>'Quantitativos (A)'!V77*$D77*$E77</f>
        <v>1091.25892</v>
      </c>
      <c r="Y77" s="157">
        <f>'Quantitativos (A)'!W77*$D77*$E77</f>
        <v>1091.25892</v>
      </c>
      <c r="Z77" s="157">
        <f>'Quantitativos (A)'!X77*$D77*$E77</f>
        <v>0</v>
      </c>
      <c r="AA77" s="157">
        <f>'Quantitativos (A)'!Y77*$D77*$E77</f>
        <v>0</v>
      </c>
      <c r="AB77" s="157">
        <f>'Quantitativos (A)'!Z77*$D77*$E77</f>
        <v>0</v>
      </c>
      <c r="AC77" s="157">
        <f>'Quantitativos (A)'!AA77*$D77*$E77</f>
        <v>0</v>
      </c>
      <c r="AD77" s="157">
        <f>'Quantitativos (A)'!AB77*$D77*$E77</f>
        <v>0</v>
      </c>
      <c r="AE77" s="157">
        <f>'Quantitativos (A)'!AC77*$D77*$E77</f>
        <v>0</v>
      </c>
      <c r="AF77" s="157">
        <f>'Quantitativos (A)'!AD77*$D77*$E77</f>
        <v>0</v>
      </c>
      <c r="AG77" s="157">
        <f>'Quantitativos (A)'!AE77*$D77*$E77</f>
        <v>0</v>
      </c>
      <c r="AH77" s="157">
        <f>'Quantitativos (A)'!AF77*$D77*$E77</f>
        <v>0</v>
      </c>
      <c r="AI77" s="158">
        <f>'Quantitativos (A)'!AG77*$D77*$E77</f>
        <v>0</v>
      </c>
      <c r="AJ77" s="22"/>
    </row>
    <row r="78" spans="1:36" x14ac:dyDescent="0.25">
      <c r="A78" s="21"/>
      <c r="B78" s="27" t="s">
        <v>305</v>
      </c>
      <c r="C78" s="67" t="s">
        <v>63</v>
      </c>
      <c r="D78" s="157">
        <f>'Dados (F)'!$D$111</f>
        <v>6.01</v>
      </c>
      <c r="E78" s="125">
        <f>IF('Dados (F)'!$D$35=1,1,IF('Dados (F)'!$D$35=2,'Dados (F)'!$C$39,1))</f>
        <v>1</v>
      </c>
      <c r="F78" s="157">
        <f>'Quantitativos (A)'!D78*$D78*$E78</f>
        <v>194.72399999999999</v>
      </c>
      <c r="G78" s="157">
        <f>'Quantitativos (A)'!E78*$D78*$E78</f>
        <v>194.72399999999999</v>
      </c>
      <c r="H78" s="157">
        <f>'Quantitativos (A)'!F78*$D78*$E78</f>
        <v>194.72399999999999</v>
      </c>
      <c r="I78" s="157">
        <f>'Quantitativos (A)'!G78*$D78*$E78</f>
        <v>0</v>
      </c>
      <c r="J78" s="157">
        <f>'Quantitativos (A)'!H78*$D78*$E78</f>
        <v>0</v>
      </c>
      <c r="K78" s="157">
        <f>'Quantitativos (A)'!I78*$D78*$E78</f>
        <v>0</v>
      </c>
      <c r="L78" s="157">
        <f>'Quantitativos (A)'!J78*$D78*$E78</f>
        <v>194.72399999999999</v>
      </c>
      <c r="M78" s="157">
        <f>'Quantitativos (A)'!K78*$D78*$E78</f>
        <v>194.72399999999999</v>
      </c>
      <c r="N78" s="157">
        <f>'Quantitativos (A)'!L78*$D78*$E78</f>
        <v>0</v>
      </c>
      <c r="O78" s="157">
        <f>'Quantitativos (A)'!M78*$D78*$E78</f>
        <v>0</v>
      </c>
      <c r="P78" s="157">
        <f>'Quantitativos (A)'!N78*$D78*$E78</f>
        <v>194.76005999999998</v>
      </c>
      <c r="Q78" s="157">
        <f>'Quantitativos (A)'!O78*$D78*$E78</f>
        <v>194.76005999999998</v>
      </c>
      <c r="R78" s="157">
        <f>'Quantitativos (A)'!P78*$D78*$E78</f>
        <v>194.76005999999998</v>
      </c>
      <c r="S78" s="157">
        <f>'Quantitativos (A)'!Q78*$D78*$E78</f>
        <v>0</v>
      </c>
      <c r="T78" s="157">
        <f>'Quantitativos (A)'!R78*$D78*$E78</f>
        <v>0</v>
      </c>
      <c r="U78" s="157">
        <f>'Quantitativos (A)'!S78*$D78*$E78</f>
        <v>0</v>
      </c>
      <c r="V78" s="157">
        <f>'Quantitativos (A)'!T78*$D78*$E78</f>
        <v>194.76005999999998</v>
      </c>
      <c r="W78" s="157">
        <f>'Quantitativos (A)'!U78*$D78*$E78</f>
        <v>194.76005999999998</v>
      </c>
      <c r="X78" s="157">
        <f>'Quantitativos (A)'!V78*$D78*$E78</f>
        <v>0</v>
      </c>
      <c r="Y78" s="157">
        <f>'Quantitativos (A)'!W78*$D78*$E78</f>
        <v>0</v>
      </c>
      <c r="Z78" s="157">
        <f>'Quantitativos (A)'!X78*$D78*$E78</f>
        <v>0</v>
      </c>
      <c r="AA78" s="157">
        <f>'Quantitativos (A)'!Y78*$D78*$E78</f>
        <v>0</v>
      </c>
      <c r="AB78" s="157">
        <f>'Quantitativos (A)'!Z78*$D78*$E78</f>
        <v>0</v>
      </c>
      <c r="AC78" s="157">
        <f>'Quantitativos (A)'!AA78*$D78*$E78</f>
        <v>0</v>
      </c>
      <c r="AD78" s="157">
        <f>'Quantitativos (A)'!AB78*$D78*$E78</f>
        <v>0</v>
      </c>
      <c r="AE78" s="157">
        <f>'Quantitativos (A)'!AC78*$D78*$E78</f>
        <v>0</v>
      </c>
      <c r="AF78" s="157">
        <f>'Quantitativos (A)'!AD78*$D78*$E78</f>
        <v>0</v>
      </c>
      <c r="AG78" s="157">
        <f>'Quantitativos (A)'!AE78*$D78*$E78</f>
        <v>0</v>
      </c>
      <c r="AH78" s="157">
        <f>'Quantitativos (A)'!AF78*$D78*$E78</f>
        <v>0</v>
      </c>
      <c r="AI78" s="158">
        <f>'Quantitativos (A)'!AG78*$D78*$E78</f>
        <v>0</v>
      </c>
      <c r="AJ78" s="22"/>
    </row>
    <row r="79" spans="1:36" x14ac:dyDescent="0.25">
      <c r="A79" s="21"/>
      <c r="B79" s="27" t="s">
        <v>465</v>
      </c>
      <c r="C79" s="67" t="s">
        <v>63</v>
      </c>
      <c r="D79" s="157">
        <f>'Dados (F)'!$D$112</f>
        <v>5.83</v>
      </c>
      <c r="E79" s="125">
        <f>IF('Dados (F)'!$D$35=1,1,IF('Dados (F)'!$D$35=2,'Dados (F)'!$C$39,1))</f>
        <v>1</v>
      </c>
      <c r="F79" s="157">
        <f>'Quantitativos (A)'!D79*$D79*$E79</f>
        <v>2067.07897</v>
      </c>
      <c r="G79" s="157">
        <f>'Quantitativos (A)'!E79*$D79*$E79</f>
        <v>2067.07897</v>
      </c>
      <c r="H79" s="157">
        <f>'Quantitativos (A)'!F79*$D79*$E79</f>
        <v>2067.07897</v>
      </c>
      <c r="I79" s="157">
        <f>'Quantitativos (A)'!G79*$D79*$E79</f>
        <v>0</v>
      </c>
      <c r="J79" s="157">
        <f>'Quantitativos (A)'!H79*$D79*$E79</f>
        <v>0</v>
      </c>
      <c r="K79" s="157">
        <f>'Quantitativos (A)'!I79*$D79*$E79</f>
        <v>0</v>
      </c>
      <c r="L79" s="157">
        <f>'Quantitativos (A)'!J79*$D79*$E79</f>
        <v>2067.07897</v>
      </c>
      <c r="M79" s="157">
        <f>'Quantitativos (A)'!K79*$D79*$E79</f>
        <v>2067.07897</v>
      </c>
      <c r="N79" s="157">
        <f>'Quantitativos (A)'!L79*$D79*$E79</f>
        <v>0</v>
      </c>
      <c r="O79" s="157">
        <f>'Quantitativos (A)'!M79*$D79*$E79</f>
        <v>0</v>
      </c>
      <c r="P79" s="157">
        <f>'Quantitativos (A)'!N79*$D79*$E79</f>
        <v>2860.4894999999997</v>
      </c>
      <c r="Q79" s="157">
        <f>'Quantitativos (A)'!O79*$D79*$E79</f>
        <v>2860.4894999999997</v>
      </c>
      <c r="R79" s="157">
        <f>'Quantitativos (A)'!P79*$D79*$E79</f>
        <v>2860.4894999999997</v>
      </c>
      <c r="S79" s="157">
        <f>'Quantitativos (A)'!Q79*$D79*$E79</f>
        <v>0</v>
      </c>
      <c r="T79" s="157">
        <f>'Quantitativos (A)'!R79*$D79*$E79</f>
        <v>0</v>
      </c>
      <c r="U79" s="157">
        <f>'Quantitativos (A)'!S79*$D79*$E79</f>
        <v>0</v>
      </c>
      <c r="V79" s="157">
        <f>'Quantitativos (A)'!T79*$D79*$E79</f>
        <v>2860.4894999999997</v>
      </c>
      <c r="W79" s="157">
        <f>'Quantitativos (A)'!U79*$D79*$E79</f>
        <v>2860.4894999999997</v>
      </c>
      <c r="X79" s="157">
        <f>'Quantitativos (A)'!V79*$D79*$E79</f>
        <v>0</v>
      </c>
      <c r="Y79" s="157">
        <f>'Quantitativos (A)'!W79*$D79*$E79</f>
        <v>0</v>
      </c>
      <c r="Z79" s="157">
        <f>'Quantitativos (A)'!X79*$D79*$E79</f>
        <v>0</v>
      </c>
      <c r="AA79" s="157">
        <f>'Quantitativos (A)'!Y79*$D79*$E79</f>
        <v>0</v>
      </c>
      <c r="AB79" s="157">
        <f>'Quantitativos (A)'!Z79*$D79*$E79</f>
        <v>0</v>
      </c>
      <c r="AC79" s="157">
        <f>'Quantitativos (A)'!AA79*$D79*$E79</f>
        <v>0</v>
      </c>
      <c r="AD79" s="157">
        <f>'Quantitativos (A)'!AB79*$D79*$E79</f>
        <v>0</v>
      </c>
      <c r="AE79" s="157">
        <f>'Quantitativos (A)'!AC79*$D79*$E79</f>
        <v>0</v>
      </c>
      <c r="AF79" s="157">
        <f>'Quantitativos (A)'!AD79*$D79*$E79</f>
        <v>0</v>
      </c>
      <c r="AG79" s="157">
        <f>'Quantitativos (A)'!AE79*$D79*$E79</f>
        <v>0</v>
      </c>
      <c r="AH79" s="157">
        <f>'Quantitativos (A)'!AF79*$D79*$E79</f>
        <v>0</v>
      </c>
      <c r="AI79" s="158">
        <f>'Quantitativos (A)'!AG79*$D79*$E79</f>
        <v>0</v>
      </c>
      <c r="AJ79" s="22"/>
    </row>
    <row r="80" spans="1:36" x14ac:dyDescent="0.25">
      <c r="A80" s="21"/>
      <c r="B80" s="27" t="s">
        <v>522</v>
      </c>
      <c r="C80" s="67" t="s">
        <v>63</v>
      </c>
      <c r="D80" s="157">
        <f>'Dados (F)'!$D$135</f>
        <v>1.39</v>
      </c>
      <c r="E80" s="125">
        <f>IF('Dados (F)'!$D$35=1,1,'Dados (F)'!$C$39)</f>
        <v>1</v>
      </c>
      <c r="F80" s="157">
        <f>'Quantitativos (A)'!D80*$D80*$E80</f>
        <v>215.15253999999999</v>
      </c>
      <c r="G80" s="157">
        <f>'Quantitativos (A)'!E80*$D80*$E80</f>
        <v>215.15253999999999</v>
      </c>
      <c r="H80" s="157">
        <f>'Quantitativos (A)'!F80*$D80*$E80</f>
        <v>215.15253999999999</v>
      </c>
      <c r="I80" s="157">
        <f>'Quantitativos (A)'!G80*$D80*$E80</f>
        <v>0</v>
      </c>
      <c r="J80" s="157">
        <f>'Quantitativos (A)'!H80*$D80*$E80</f>
        <v>0</v>
      </c>
      <c r="K80" s="157">
        <f>'Quantitativos (A)'!I80*$D80*$E80</f>
        <v>0</v>
      </c>
      <c r="L80" s="157">
        <f>'Quantitativos (A)'!J80*$D80*$E80</f>
        <v>215.15253999999999</v>
      </c>
      <c r="M80" s="157">
        <f>'Quantitativos (A)'!K80*$D80*$E80</f>
        <v>215.15253999999999</v>
      </c>
      <c r="N80" s="157">
        <f>'Quantitativos (A)'!L80*$D80*$E80</f>
        <v>0</v>
      </c>
      <c r="O80" s="157">
        <f>'Quantitativos (A)'!M80*$D80*$E80</f>
        <v>0</v>
      </c>
      <c r="P80" s="157">
        <f>'Quantitativos (A)'!N80*$D80*$E80</f>
        <v>290.82413999999994</v>
      </c>
      <c r="Q80" s="157">
        <f>'Quantitativos (A)'!O80*$D80*$E80</f>
        <v>290.82413999999994</v>
      </c>
      <c r="R80" s="157">
        <f>'Quantitativos (A)'!P80*$D80*$E80</f>
        <v>290.82413999999994</v>
      </c>
      <c r="S80" s="157">
        <f>'Quantitativos (A)'!Q80*$D80*$E80</f>
        <v>0</v>
      </c>
      <c r="T80" s="157">
        <f>'Quantitativos (A)'!R80*$D80*$E80</f>
        <v>0</v>
      </c>
      <c r="U80" s="157">
        <f>'Quantitativos (A)'!S80*$D80*$E80</f>
        <v>0</v>
      </c>
      <c r="V80" s="157">
        <f>'Quantitativos (A)'!T80*$D80*$E80</f>
        <v>290.82413999999994</v>
      </c>
      <c r="W80" s="157">
        <f>'Quantitativos (A)'!U80*$D80*$E80</f>
        <v>290.82413999999994</v>
      </c>
      <c r="X80" s="157">
        <f>'Quantitativos (A)'!V80*$D80*$E80</f>
        <v>0</v>
      </c>
      <c r="Y80" s="157">
        <f>'Quantitativos (A)'!W80*$D80*$E80</f>
        <v>0</v>
      </c>
      <c r="Z80" s="157">
        <f>'Quantitativos (A)'!X80*$D80*$E80</f>
        <v>0</v>
      </c>
      <c r="AA80" s="157">
        <f>'Quantitativos (A)'!Y80*$D80*$E80</f>
        <v>0</v>
      </c>
      <c r="AB80" s="157">
        <f>'Quantitativos (A)'!Z80*$D80*$E80</f>
        <v>0</v>
      </c>
      <c r="AC80" s="157">
        <f>'Quantitativos (A)'!AA80*$D80*$E80</f>
        <v>0</v>
      </c>
      <c r="AD80" s="157">
        <f>'Quantitativos (A)'!AB80*$D80*$E80</f>
        <v>0</v>
      </c>
      <c r="AE80" s="157">
        <f>'Quantitativos (A)'!AC80*$D80*$E80</f>
        <v>0</v>
      </c>
      <c r="AF80" s="157">
        <f>'Quantitativos (A)'!AD80*$D80*$E80</f>
        <v>0</v>
      </c>
      <c r="AG80" s="157">
        <f>'Quantitativos (A)'!AE80*$D80*$E80</f>
        <v>0</v>
      </c>
      <c r="AH80" s="157">
        <f>'Quantitativos (A)'!AF80*$D80*$E80</f>
        <v>0</v>
      </c>
      <c r="AI80" s="158">
        <f>'Quantitativos (A)'!AG80*$D80*$E80</f>
        <v>0</v>
      </c>
      <c r="AJ80" s="22"/>
    </row>
    <row r="81" spans="1:36" ht="25.5" x14ac:dyDescent="0.25">
      <c r="A81" s="21"/>
      <c r="B81" s="27" t="s">
        <v>516</v>
      </c>
      <c r="C81" s="67" t="s">
        <v>57</v>
      </c>
      <c r="D81" s="157">
        <f>'Dados (F)'!$D$136</f>
        <v>69.56</v>
      </c>
      <c r="E81" s="125">
        <f>IF('Dados (F)'!$D$35=1,1,'Dados (F)'!$C$39)</f>
        <v>1</v>
      </c>
      <c r="F81" s="157">
        <f>'Quantitativos (A)'!D81*$D81*$E81</f>
        <v>1389.523604</v>
      </c>
      <c r="G81" s="157">
        <f>'Quantitativos (A)'!E81*$D81*$E81</f>
        <v>1389.523604</v>
      </c>
      <c r="H81" s="157">
        <f>'Quantitativos (A)'!F81*$D81*$E81</f>
        <v>1389.523604</v>
      </c>
      <c r="I81" s="157">
        <f>'Quantitativos (A)'!G81*$D81*$E81</f>
        <v>0</v>
      </c>
      <c r="J81" s="157">
        <f>'Quantitativos (A)'!H81*$D81*$E81</f>
        <v>0</v>
      </c>
      <c r="K81" s="157">
        <f>'Quantitativos (A)'!I81*$D81*$E81</f>
        <v>0</v>
      </c>
      <c r="L81" s="157">
        <f>'Quantitativos (A)'!J81*$D81*$E81</f>
        <v>1389.523604</v>
      </c>
      <c r="M81" s="157">
        <f>'Quantitativos (A)'!K81*$D81*$E81</f>
        <v>1389.523604</v>
      </c>
      <c r="N81" s="157">
        <f>'Quantitativos (A)'!L81*$D81*$E81</f>
        <v>0</v>
      </c>
      <c r="O81" s="157">
        <f>'Quantitativos (A)'!M81*$D81*$E81</f>
        <v>0</v>
      </c>
      <c r="P81" s="157">
        <f>'Quantitativos (A)'!N81*$D81*$E81</f>
        <v>1887.7123240000003</v>
      </c>
      <c r="Q81" s="157">
        <f>'Quantitativos (A)'!O81*$D81*$E81</f>
        <v>1887.7123240000003</v>
      </c>
      <c r="R81" s="157">
        <f>'Quantitativos (A)'!P81*$D81*$E81</f>
        <v>1887.7123240000003</v>
      </c>
      <c r="S81" s="157">
        <f>'Quantitativos (A)'!Q81*$D81*$E81</f>
        <v>0</v>
      </c>
      <c r="T81" s="157">
        <f>'Quantitativos (A)'!R81*$D81*$E81</f>
        <v>0</v>
      </c>
      <c r="U81" s="157">
        <f>'Quantitativos (A)'!S81*$D81*$E81</f>
        <v>0</v>
      </c>
      <c r="V81" s="157">
        <f>'Quantitativos (A)'!T81*$D81*$E81</f>
        <v>1887.7123240000003</v>
      </c>
      <c r="W81" s="157">
        <f>'Quantitativos (A)'!U81*$D81*$E81</f>
        <v>1887.7123240000003</v>
      </c>
      <c r="X81" s="157">
        <f>'Quantitativos (A)'!V81*$D81*$E81</f>
        <v>0</v>
      </c>
      <c r="Y81" s="157">
        <f>'Quantitativos (A)'!W81*$D81*$E81</f>
        <v>0</v>
      </c>
      <c r="Z81" s="157">
        <f>'Quantitativos (A)'!X81*$D81*$E81</f>
        <v>0</v>
      </c>
      <c r="AA81" s="157">
        <f>'Quantitativos (A)'!Y81*$D81*$E81</f>
        <v>0</v>
      </c>
      <c r="AB81" s="157">
        <f>'Quantitativos (A)'!Z81*$D81*$E81</f>
        <v>0</v>
      </c>
      <c r="AC81" s="157">
        <f>'Quantitativos (A)'!AA81*$D81*$E81</f>
        <v>0</v>
      </c>
      <c r="AD81" s="157">
        <f>'Quantitativos (A)'!AB81*$D81*$E81</f>
        <v>0</v>
      </c>
      <c r="AE81" s="157">
        <f>'Quantitativos (A)'!AC81*$D81*$E81</f>
        <v>0</v>
      </c>
      <c r="AF81" s="157">
        <f>'Quantitativos (A)'!AD81*$D81*$E81</f>
        <v>0</v>
      </c>
      <c r="AG81" s="157">
        <f>'Quantitativos (A)'!AE81*$D81*$E81</f>
        <v>0</v>
      </c>
      <c r="AH81" s="157">
        <f>'Quantitativos (A)'!AF81*$D81*$E81</f>
        <v>0</v>
      </c>
      <c r="AI81" s="158">
        <f>'Quantitativos (A)'!AG81*$D81*$E81</f>
        <v>0</v>
      </c>
      <c r="AJ81" s="22"/>
    </row>
    <row r="82" spans="1:36" ht="25.5" x14ac:dyDescent="0.25">
      <c r="A82" s="21"/>
      <c r="B82" s="27" t="s">
        <v>517</v>
      </c>
      <c r="C82" s="67" t="s">
        <v>57</v>
      </c>
      <c r="D82" s="157">
        <f>'Dados (F)'!$D$137</f>
        <v>69.56</v>
      </c>
      <c r="E82" s="125">
        <f>IF('Dados (F)'!$D$35=1,1,'Dados (F)'!$C$39)</f>
        <v>1</v>
      </c>
      <c r="F82" s="157">
        <f>'Quantitativos (A)'!D82*$D82*$E82</f>
        <v>1389.523604</v>
      </c>
      <c r="G82" s="157">
        <f>'Quantitativos (A)'!E82*$D82*$E82</f>
        <v>1389.523604</v>
      </c>
      <c r="H82" s="157">
        <f>'Quantitativos (A)'!F82*$D82*$E82</f>
        <v>1389.523604</v>
      </c>
      <c r="I82" s="157">
        <f>'Quantitativos (A)'!G82*$D82*$E82</f>
        <v>0</v>
      </c>
      <c r="J82" s="157">
        <f>'Quantitativos (A)'!H82*$D82*$E82</f>
        <v>0</v>
      </c>
      <c r="K82" s="157">
        <f>'Quantitativos (A)'!I82*$D82*$E82</f>
        <v>0</v>
      </c>
      <c r="L82" s="157">
        <f>'Quantitativos (A)'!J82*$D82*$E82</f>
        <v>1389.523604</v>
      </c>
      <c r="M82" s="157">
        <f>'Quantitativos (A)'!K82*$D82*$E82</f>
        <v>1389.523604</v>
      </c>
      <c r="N82" s="157">
        <f>'Quantitativos (A)'!L82*$D82*$E82</f>
        <v>0</v>
      </c>
      <c r="O82" s="157">
        <f>'Quantitativos (A)'!M82*$D82*$E82</f>
        <v>0</v>
      </c>
      <c r="P82" s="157">
        <f>'Quantitativos (A)'!N82*$D82*$E82</f>
        <v>1887.7123240000003</v>
      </c>
      <c r="Q82" s="157">
        <f>'Quantitativos (A)'!O82*$D82*$E82</f>
        <v>1887.7123240000003</v>
      </c>
      <c r="R82" s="157">
        <f>'Quantitativos (A)'!P82*$D82*$E82</f>
        <v>1887.7123240000003</v>
      </c>
      <c r="S82" s="157">
        <f>'Quantitativos (A)'!Q82*$D82*$E82</f>
        <v>0</v>
      </c>
      <c r="T82" s="157">
        <f>'Quantitativos (A)'!R82*$D82*$E82</f>
        <v>0</v>
      </c>
      <c r="U82" s="157">
        <f>'Quantitativos (A)'!S82*$D82*$E82</f>
        <v>0</v>
      </c>
      <c r="V82" s="157">
        <f>'Quantitativos (A)'!T82*$D82*$E82</f>
        <v>1887.7123240000003</v>
      </c>
      <c r="W82" s="157">
        <f>'Quantitativos (A)'!U82*$D82*$E82</f>
        <v>1887.7123240000003</v>
      </c>
      <c r="X82" s="157">
        <f>'Quantitativos (A)'!V82*$D82*$E82</f>
        <v>0</v>
      </c>
      <c r="Y82" s="157">
        <f>'Quantitativos (A)'!W82*$D82*$E82</f>
        <v>0</v>
      </c>
      <c r="Z82" s="157">
        <f>'Quantitativos (A)'!X82*$D82*$E82</f>
        <v>0</v>
      </c>
      <c r="AA82" s="157">
        <f>'Quantitativos (A)'!Y82*$D82*$E82</f>
        <v>0</v>
      </c>
      <c r="AB82" s="157">
        <f>'Quantitativos (A)'!Z82*$D82*$E82</f>
        <v>0</v>
      </c>
      <c r="AC82" s="157">
        <f>'Quantitativos (A)'!AA82*$D82*$E82</f>
        <v>0</v>
      </c>
      <c r="AD82" s="157">
        <f>'Quantitativos (A)'!AB82*$D82*$E82</f>
        <v>0</v>
      </c>
      <c r="AE82" s="157">
        <f>'Quantitativos (A)'!AC82*$D82*$E82</f>
        <v>0</v>
      </c>
      <c r="AF82" s="157">
        <f>'Quantitativos (A)'!AD82*$D82*$E82</f>
        <v>0</v>
      </c>
      <c r="AG82" s="157">
        <f>'Quantitativos (A)'!AE82*$D82*$E82</f>
        <v>0</v>
      </c>
      <c r="AH82" s="157">
        <f>'Quantitativos (A)'!AF82*$D82*$E82</f>
        <v>0</v>
      </c>
      <c r="AI82" s="158">
        <f>'Quantitativos (A)'!AG82*$D82*$E82</f>
        <v>0</v>
      </c>
      <c r="AJ82" s="22"/>
    </row>
    <row r="83" spans="1:36" x14ac:dyDescent="0.25">
      <c r="A83" s="21"/>
      <c r="B83" s="120" t="s">
        <v>518</v>
      </c>
      <c r="C83" s="121"/>
      <c r="D83" s="155"/>
      <c r="E83" s="156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60"/>
      <c r="AJ83" s="22"/>
    </row>
    <row r="84" spans="1:36" ht="25.5" x14ac:dyDescent="0.25">
      <c r="A84" s="21"/>
      <c r="B84" s="129" t="s">
        <v>294</v>
      </c>
      <c r="C84" s="67" t="s">
        <v>65</v>
      </c>
      <c r="D84" s="157">
        <f>'Dados (F)'!$D$64</f>
        <v>296.22000000000003</v>
      </c>
      <c r="E84" s="125">
        <f>IF('Dados (F)'!$D$35=1,1,IF('Dados (F)'!$D$35=2,'Dados (F)'!$C$39,1))</f>
        <v>1</v>
      </c>
      <c r="F84" s="157">
        <f>'Quantitativos (A)'!D84*$D84*$E84</f>
        <v>0</v>
      </c>
      <c r="G84" s="157">
        <f>'Quantitativos (A)'!E84*$D84*$E84</f>
        <v>0</v>
      </c>
      <c r="H84" s="157">
        <f>'Quantitativos (A)'!F84*$D84*$E84</f>
        <v>0</v>
      </c>
      <c r="I84" s="157">
        <f>'Quantitativos (A)'!G84*$D84*$E84</f>
        <v>0</v>
      </c>
      <c r="J84" s="157">
        <f>'Quantitativos (A)'!H84*$D84*$E84</f>
        <v>0</v>
      </c>
      <c r="K84" s="157">
        <f>'Quantitativos (A)'!I84*$D84*$E84</f>
        <v>0</v>
      </c>
      <c r="L84" s="157">
        <f>'Quantitativos (A)'!J84*$D84*$E84</f>
        <v>0</v>
      </c>
      <c r="M84" s="157">
        <f>'Quantitativos (A)'!K84*$D84*$E84</f>
        <v>0</v>
      </c>
      <c r="N84" s="157">
        <f>'Quantitativos (A)'!L84*$D84*$E84</f>
        <v>0</v>
      </c>
      <c r="O84" s="157">
        <f>'Quantitativos (A)'!M84*$D84*$E84</f>
        <v>0</v>
      </c>
      <c r="P84" s="157">
        <f>'Quantitativos (A)'!N84*$D84*$E84</f>
        <v>2241.1116540000003</v>
      </c>
      <c r="Q84" s="157">
        <f>'Quantitativos (A)'!O84*$D84*$E84</f>
        <v>2241.1116540000003</v>
      </c>
      <c r="R84" s="157">
        <f>'Quantitativos (A)'!P84*$D84*$E84</f>
        <v>2241.1116540000003</v>
      </c>
      <c r="S84" s="157">
        <f>'Quantitativos (A)'!Q84*$D84*$E84</f>
        <v>6448.1169600000012</v>
      </c>
      <c r="T84" s="157">
        <f>'Quantitativos (A)'!R84*$D84*$E84</f>
        <v>6448.1169600000012</v>
      </c>
      <c r="U84" s="157">
        <f>'Quantitativos (A)'!S84*$D84*$E84</f>
        <v>6448.1169600000012</v>
      </c>
      <c r="V84" s="157">
        <f>'Quantitativos (A)'!T84*$D84*$E84</f>
        <v>2241.1116540000003</v>
      </c>
      <c r="W84" s="157">
        <f>'Quantitativos (A)'!U84*$D84*$E84</f>
        <v>2241.1116540000003</v>
      </c>
      <c r="X84" s="157">
        <f>'Quantitativos (A)'!V84*$D84*$E84</f>
        <v>6448.1169600000012</v>
      </c>
      <c r="Y84" s="157">
        <f>'Quantitativos (A)'!W84*$D84*$E84</f>
        <v>6448.1169600000012</v>
      </c>
      <c r="Z84" s="157">
        <f>'Quantitativos (A)'!X84*$D84*$E84</f>
        <v>0</v>
      </c>
      <c r="AA84" s="157">
        <f>'Quantitativos (A)'!Y84*$D84*$E84</f>
        <v>0</v>
      </c>
      <c r="AB84" s="157">
        <f>'Quantitativos (A)'!Z84*$D84*$E84</f>
        <v>0</v>
      </c>
      <c r="AC84" s="157">
        <f>'Quantitativos (A)'!AA84*$D84*$E84</f>
        <v>0</v>
      </c>
      <c r="AD84" s="157">
        <f>'Quantitativos (A)'!AB84*$D84*$E84</f>
        <v>0</v>
      </c>
      <c r="AE84" s="157">
        <f>'Quantitativos (A)'!AC84*$D84*$E84</f>
        <v>0</v>
      </c>
      <c r="AF84" s="157">
        <f>'Quantitativos (A)'!AD84*$D84*$E84</f>
        <v>0</v>
      </c>
      <c r="AG84" s="157">
        <f>'Quantitativos (A)'!AE84*$D84*$E84</f>
        <v>0</v>
      </c>
      <c r="AH84" s="157">
        <f>'Quantitativos (A)'!AF84*$D84*$E84</f>
        <v>0</v>
      </c>
      <c r="AI84" s="158">
        <f>'Quantitativos (A)'!AG84*$D84*$E84</f>
        <v>0</v>
      </c>
      <c r="AJ84" s="22"/>
    </row>
    <row r="85" spans="1:36" x14ac:dyDescent="0.25">
      <c r="A85" s="21"/>
      <c r="B85" s="129" t="s">
        <v>290</v>
      </c>
      <c r="C85" s="67" t="s">
        <v>63</v>
      </c>
      <c r="D85" s="157">
        <f>'Dados (F)'!$D$65</f>
        <v>6.32</v>
      </c>
      <c r="E85" s="125">
        <f>IF('Dados (F)'!$D$35=1,1,IF('Dados (F)'!$D$35=2,'Dados (F)'!$C$39,1))</f>
        <v>1</v>
      </c>
      <c r="F85" s="157">
        <f>'Quantitativos (A)'!D85*$D85*$E85</f>
        <v>0</v>
      </c>
      <c r="G85" s="157">
        <f>'Quantitativos (A)'!E85*$D85*$E85</f>
        <v>0</v>
      </c>
      <c r="H85" s="157">
        <f>'Quantitativos (A)'!F85*$D85*$E85</f>
        <v>0</v>
      </c>
      <c r="I85" s="157">
        <f>'Quantitativos (A)'!G85*$D85*$E85</f>
        <v>0</v>
      </c>
      <c r="J85" s="157">
        <f>'Quantitativos (A)'!H85*$D85*$E85</f>
        <v>0</v>
      </c>
      <c r="K85" s="157">
        <f>'Quantitativos (A)'!I85*$D85*$E85</f>
        <v>0</v>
      </c>
      <c r="L85" s="157">
        <f>'Quantitativos (A)'!J85*$D85*$E85</f>
        <v>0</v>
      </c>
      <c r="M85" s="157">
        <f>'Quantitativos (A)'!K85*$D85*$E85</f>
        <v>0</v>
      </c>
      <c r="N85" s="157">
        <f>'Quantitativos (A)'!L85*$D85*$E85</f>
        <v>0</v>
      </c>
      <c r="O85" s="157">
        <f>'Quantitativos (A)'!M85*$D85*$E85</f>
        <v>0</v>
      </c>
      <c r="P85" s="157">
        <f>'Quantitativos (A)'!N85*$D85*$E85</f>
        <v>19.124951999999997</v>
      </c>
      <c r="Q85" s="157">
        <f>'Quantitativos (A)'!O85*$D85*$E85</f>
        <v>19.124951999999997</v>
      </c>
      <c r="R85" s="157">
        <f>'Quantitativos (A)'!P85*$D85*$E85</f>
        <v>19.124951999999997</v>
      </c>
      <c r="S85" s="157">
        <f>'Quantitativos (A)'!Q85*$D85*$E85</f>
        <v>55.018128000000011</v>
      </c>
      <c r="T85" s="157">
        <f>'Quantitativos (A)'!R85*$D85*$E85</f>
        <v>55.018128000000011</v>
      </c>
      <c r="U85" s="157">
        <f>'Quantitativos (A)'!S85*$D85*$E85</f>
        <v>55.018128000000011</v>
      </c>
      <c r="V85" s="157">
        <f>'Quantitativos (A)'!T85*$D85*$E85</f>
        <v>19.124951999999997</v>
      </c>
      <c r="W85" s="157">
        <f>'Quantitativos (A)'!U85*$D85*$E85</f>
        <v>19.124951999999997</v>
      </c>
      <c r="X85" s="157">
        <f>'Quantitativos (A)'!V85*$D85*$E85</f>
        <v>55.018128000000011</v>
      </c>
      <c r="Y85" s="157">
        <f>'Quantitativos (A)'!W85*$D85*$E85</f>
        <v>55.018128000000011</v>
      </c>
      <c r="Z85" s="157">
        <f>'Quantitativos (A)'!X85*$D85*$E85</f>
        <v>0</v>
      </c>
      <c r="AA85" s="157">
        <f>'Quantitativos (A)'!Y85*$D85*$E85</f>
        <v>0</v>
      </c>
      <c r="AB85" s="157">
        <f>'Quantitativos (A)'!Z85*$D85*$E85</f>
        <v>0</v>
      </c>
      <c r="AC85" s="157">
        <f>'Quantitativos (A)'!AA85*$D85*$E85</f>
        <v>0</v>
      </c>
      <c r="AD85" s="157">
        <f>'Quantitativos (A)'!AB85*$D85*$E85</f>
        <v>0</v>
      </c>
      <c r="AE85" s="157">
        <f>'Quantitativos (A)'!AC85*$D85*$E85</f>
        <v>0</v>
      </c>
      <c r="AF85" s="157">
        <f>'Quantitativos (A)'!AD85*$D85*$E85</f>
        <v>0</v>
      </c>
      <c r="AG85" s="157">
        <f>'Quantitativos (A)'!AE85*$D85*$E85</f>
        <v>0</v>
      </c>
      <c r="AH85" s="157">
        <f>'Quantitativos (A)'!AF85*$D85*$E85</f>
        <v>0</v>
      </c>
      <c r="AI85" s="158">
        <f>'Quantitativos (A)'!AG85*$D85*$E85</f>
        <v>0</v>
      </c>
      <c r="AJ85" s="22"/>
    </row>
    <row r="86" spans="1:36" ht="25.5" x14ac:dyDescent="0.25">
      <c r="A86" s="21"/>
      <c r="B86" s="129" t="s">
        <v>295</v>
      </c>
      <c r="C86" s="67" t="s">
        <v>57</v>
      </c>
      <c r="D86" s="157">
        <f>'Dados (F)'!$D$110</f>
        <v>30.97</v>
      </c>
      <c r="E86" s="125">
        <f>IF('Dados (F)'!$D$35=1,1,IF('Dados (F)'!$D$35=2,'Dados (F)'!$C$39,1))</f>
        <v>1</v>
      </c>
      <c r="F86" s="157">
        <f>'Quantitativos (A)'!D86*$D86*$E86</f>
        <v>0</v>
      </c>
      <c r="G86" s="157">
        <f>'Quantitativos (A)'!E86*$D86*$E86</f>
        <v>0</v>
      </c>
      <c r="H86" s="157">
        <f>'Quantitativos (A)'!F86*$D86*$E86</f>
        <v>0</v>
      </c>
      <c r="I86" s="157">
        <f>'Quantitativos (A)'!G86*$D86*$E86</f>
        <v>0</v>
      </c>
      <c r="J86" s="157">
        <f>'Quantitativos (A)'!H86*$D86*$E86</f>
        <v>0</v>
      </c>
      <c r="K86" s="157">
        <f>'Quantitativos (A)'!I86*$D86*$E86</f>
        <v>0</v>
      </c>
      <c r="L86" s="157">
        <f>'Quantitativos (A)'!J86*$D86*$E86</f>
        <v>0</v>
      </c>
      <c r="M86" s="157">
        <f>'Quantitativos (A)'!K86*$D86*$E86</f>
        <v>0</v>
      </c>
      <c r="N86" s="157">
        <f>'Quantitativos (A)'!L86*$D86*$E86</f>
        <v>0</v>
      </c>
      <c r="O86" s="157">
        <f>'Quantitativos (A)'!M86*$D86*$E86</f>
        <v>0</v>
      </c>
      <c r="P86" s="157">
        <f>'Quantitativos (A)'!N86*$D86*$E86</f>
        <v>340.56779899999998</v>
      </c>
      <c r="Q86" s="157">
        <f>'Quantitativos (A)'!O86*$D86*$E86</f>
        <v>340.56779899999998</v>
      </c>
      <c r="R86" s="157">
        <f>'Quantitativos (A)'!P86*$D86*$E86</f>
        <v>340.56779899999998</v>
      </c>
      <c r="S86" s="157">
        <f>'Quantitativos (A)'!Q86*$D86*$E86</f>
        <v>3348.8480400000003</v>
      </c>
      <c r="T86" s="157">
        <f>'Quantitativos (A)'!R86*$D86*$E86</f>
        <v>3348.8480400000003</v>
      </c>
      <c r="U86" s="157">
        <f>'Quantitativos (A)'!S86*$D86*$E86</f>
        <v>3348.8480400000003</v>
      </c>
      <c r="V86" s="157">
        <f>'Quantitativos (A)'!T86*$D86*$E86</f>
        <v>340.56779899999998</v>
      </c>
      <c r="W86" s="157">
        <f>'Quantitativos (A)'!U86*$D86*$E86</f>
        <v>340.56779899999998</v>
      </c>
      <c r="X86" s="157">
        <f>'Quantitativos (A)'!V86*$D86*$E86</f>
        <v>3348.8480400000003</v>
      </c>
      <c r="Y86" s="157">
        <f>'Quantitativos (A)'!W86*$D86*$E86</f>
        <v>3348.8480400000003</v>
      </c>
      <c r="Z86" s="157">
        <f>'Quantitativos (A)'!X86*$D86*$E86</f>
        <v>0</v>
      </c>
      <c r="AA86" s="157">
        <f>'Quantitativos (A)'!Y86*$D86*$E86</f>
        <v>0</v>
      </c>
      <c r="AB86" s="157">
        <f>'Quantitativos (A)'!Z86*$D86*$E86</f>
        <v>0</v>
      </c>
      <c r="AC86" s="157">
        <f>'Quantitativos (A)'!AA86*$D86*$E86</f>
        <v>0</v>
      </c>
      <c r="AD86" s="157">
        <f>'Quantitativos (A)'!AB86*$D86*$E86</f>
        <v>0</v>
      </c>
      <c r="AE86" s="157">
        <f>'Quantitativos (A)'!AC86*$D86*$E86</f>
        <v>0</v>
      </c>
      <c r="AF86" s="157">
        <f>'Quantitativos (A)'!AD86*$D86*$E86</f>
        <v>0</v>
      </c>
      <c r="AG86" s="157">
        <f>'Quantitativos (A)'!AE86*$D86*$E86</f>
        <v>0</v>
      </c>
      <c r="AH86" s="157">
        <f>'Quantitativos (A)'!AF86*$D86*$E86</f>
        <v>0</v>
      </c>
      <c r="AI86" s="158">
        <f>'Quantitativos (A)'!AG86*$D86*$E86</f>
        <v>0</v>
      </c>
      <c r="AJ86" s="22"/>
    </row>
    <row r="87" spans="1:36" x14ac:dyDescent="0.25">
      <c r="A87" s="21"/>
      <c r="B87" s="27" t="s">
        <v>305</v>
      </c>
      <c r="C87" s="67" t="s">
        <v>63</v>
      </c>
      <c r="D87" s="157">
        <f>'Dados (F)'!$D$111</f>
        <v>6.01</v>
      </c>
      <c r="E87" s="125">
        <f>IF('Dados (F)'!$D$35=1,1,IF('Dados (F)'!$D$35=2,'Dados (F)'!$C$39,1))</f>
        <v>1</v>
      </c>
      <c r="F87" s="157">
        <f>'Quantitativos (A)'!D87*$D87*$E87</f>
        <v>0</v>
      </c>
      <c r="G87" s="157">
        <f>'Quantitativos (A)'!E87*$D87*$E87</f>
        <v>0</v>
      </c>
      <c r="H87" s="157">
        <f>'Quantitativos (A)'!F87*$D87*$E87</f>
        <v>0</v>
      </c>
      <c r="I87" s="157">
        <f>'Quantitativos (A)'!G87*$D87*$E87</f>
        <v>0</v>
      </c>
      <c r="J87" s="157">
        <f>'Quantitativos (A)'!H87*$D87*$E87</f>
        <v>0</v>
      </c>
      <c r="K87" s="157">
        <f>'Quantitativos (A)'!I87*$D87*$E87</f>
        <v>0</v>
      </c>
      <c r="L87" s="157">
        <f>'Quantitativos (A)'!J87*$D87*$E87</f>
        <v>0</v>
      </c>
      <c r="M87" s="157">
        <f>'Quantitativos (A)'!K87*$D87*$E87</f>
        <v>0</v>
      </c>
      <c r="N87" s="157">
        <f>'Quantitativos (A)'!L87*$D87*$E87</f>
        <v>0</v>
      </c>
      <c r="O87" s="157">
        <f>'Quantitativos (A)'!M87*$D87*$E87</f>
        <v>0</v>
      </c>
      <c r="P87" s="157">
        <f>'Quantitativos (A)'!N87*$D87*$E87</f>
        <v>3031.90076</v>
      </c>
      <c r="Q87" s="157">
        <f>'Quantitativos (A)'!O87*$D87*$E87</f>
        <v>3031.90076</v>
      </c>
      <c r="R87" s="157">
        <f>'Quantitativos (A)'!P87*$D87*$E87</f>
        <v>3031.90076</v>
      </c>
      <c r="S87" s="157">
        <f>'Quantitativos (A)'!Q87*$D87*$E87</f>
        <v>1515.95038</v>
      </c>
      <c r="T87" s="157">
        <f>'Quantitativos (A)'!R87*$D87*$E87</f>
        <v>1515.95038</v>
      </c>
      <c r="U87" s="157">
        <f>'Quantitativos (A)'!S87*$D87*$E87</f>
        <v>1515.95038</v>
      </c>
      <c r="V87" s="157">
        <f>'Quantitativos (A)'!T87*$D87*$E87</f>
        <v>3031.90076</v>
      </c>
      <c r="W87" s="157">
        <f>'Quantitativos (A)'!U87*$D87*$E87</f>
        <v>3031.90076</v>
      </c>
      <c r="X87" s="157">
        <f>'Quantitativos (A)'!V87*$D87*$E87</f>
        <v>1515.95038</v>
      </c>
      <c r="Y87" s="157">
        <f>'Quantitativos (A)'!W87*$D87*$E87</f>
        <v>1515.95038</v>
      </c>
      <c r="Z87" s="157">
        <f>'Quantitativos (A)'!X87*$D87*$E87</f>
        <v>0</v>
      </c>
      <c r="AA87" s="157">
        <f>'Quantitativos (A)'!Y87*$D87*$E87</f>
        <v>0</v>
      </c>
      <c r="AB87" s="157">
        <f>'Quantitativos (A)'!Z87*$D87*$E87</f>
        <v>0</v>
      </c>
      <c r="AC87" s="157">
        <f>'Quantitativos (A)'!AA87*$D87*$E87</f>
        <v>0</v>
      </c>
      <c r="AD87" s="157">
        <f>'Quantitativos (A)'!AB87*$D87*$E87</f>
        <v>0</v>
      </c>
      <c r="AE87" s="157">
        <f>'Quantitativos (A)'!AC87*$D87*$E87</f>
        <v>0</v>
      </c>
      <c r="AF87" s="157">
        <f>'Quantitativos (A)'!AD87*$D87*$E87</f>
        <v>0</v>
      </c>
      <c r="AG87" s="157">
        <f>'Quantitativos (A)'!AE87*$D87*$E87</f>
        <v>0</v>
      </c>
      <c r="AH87" s="157">
        <f>'Quantitativos (A)'!AF87*$D87*$E87</f>
        <v>0</v>
      </c>
      <c r="AI87" s="158">
        <f>'Quantitativos (A)'!AG87*$D87*$E87</f>
        <v>0</v>
      </c>
      <c r="AJ87" s="22"/>
    </row>
    <row r="88" spans="1:36" x14ac:dyDescent="0.25">
      <c r="A88" s="21"/>
      <c r="B88" s="27" t="s">
        <v>465</v>
      </c>
      <c r="C88" s="67" t="s">
        <v>63</v>
      </c>
      <c r="D88" s="157">
        <f>'Dados (F)'!$D$112</f>
        <v>5.83</v>
      </c>
      <c r="E88" s="125">
        <f>IF('Dados (F)'!$D$35=1,1,IF('Dados (F)'!$D$35=2,'Dados (F)'!$C$39,1))</f>
        <v>1</v>
      </c>
      <c r="F88" s="157">
        <f>'Quantitativos (A)'!D88*$D88*$E88</f>
        <v>0</v>
      </c>
      <c r="G88" s="157">
        <f>'Quantitativos (A)'!E88*$D88*$E88</f>
        <v>0</v>
      </c>
      <c r="H88" s="157">
        <f>'Quantitativos (A)'!F88*$D88*$E88</f>
        <v>0</v>
      </c>
      <c r="I88" s="157">
        <f>'Quantitativos (A)'!G88*$D88*$E88</f>
        <v>0</v>
      </c>
      <c r="J88" s="157">
        <f>'Quantitativos (A)'!H88*$D88*$E88</f>
        <v>0</v>
      </c>
      <c r="K88" s="157">
        <f>'Quantitativos (A)'!I88*$D88*$E88</f>
        <v>0</v>
      </c>
      <c r="L88" s="157">
        <f>'Quantitativos (A)'!J88*$D88*$E88</f>
        <v>0</v>
      </c>
      <c r="M88" s="157">
        <f>'Quantitativos (A)'!K88*$D88*$E88</f>
        <v>0</v>
      </c>
      <c r="N88" s="157">
        <f>'Quantitativos (A)'!L88*$D88*$E88</f>
        <v>0</v>
      </c>
      <c r="O88" s="157">
        <f>'Quantitativos (A)'!M88*$D88*$E88</f>
        <v>0</v>
      </c>
      <c r="P88" s="157">
        <f>'Quantitativos (A)'!N88*$D88*$E88</f>
        <v>11780.331200000002</v>
      </c>
      <c r="Q88" s="157">
        <f>'Quantitativos (A)'!O88*$D88*$E88</f>
        <v>11780.331200000002</v>
      </c>
      <c r="R88" s="157">
        <f>'Quantitativos (A)'!P88*$D88*$E88</f>
        <v>11780.331200000002</v>
      </c>
      <c r="S88" s="157">
        <f>'Quantitativos (A)'!Q88*$D88*$E88</f>
        <v>1939.8217299999999</v>
      </c>
      <c r="T88" s="157">
        <f>'Quantitativos (A)'!R88*$D88*$E88</f>
        <v>1939.8217299999999</v>
      </c>
      <c r="U88" s="157">
        <f>'Quantitativos (A)'!S88*$D88*$E88</f>
        <v>1939.8217299999999</v>
      </c>
      <c r="V88" s="157">
        <f>'Quantitativos (A)'!T88*$D88*$E88</f>
        <v>11780.331200000002</v>
      </c>
      <c r="W88" s="157">
        <f>'Quantitativos (A)'!U88*$D88*$E88</f>
        <v>11780.331200000002</v>
      </c>
      <c r="X88" s="157">
        <f>'Quantitativos (A)'!V88*$D88*$E88</f>
        <v>1939.8217299999999</v>
      </c>
      <c r="Y88" s="157">
        <f>'Quantitativos (A)'!W88*$D88*$E88</f>
        <v>1939.8217299999999</v>
      </c>
      <c r="Z88" s="157">
        <f>'Quantitativos (A)'!X88*$D88*$E88</f>
        <v>0</v>
      </c>
      <c r="AA88" s="157">
        <f>'Quantitativos (A)'!Y88*$D88*$E88</f>
        <v>0</v>
      </c>
      <c r="AB88" s="157">
        <f>'Quantitativos (A)'!Z88*$D88*$E88</f>
        <v>0</v>
      </c>
      <c r="AC88" s="157">
        <f>'Quantitativos (A)'!AA88*$D88*$E88</f>
        <v>0</v>
      </c>
      <c r="AD88" s="157">
        <f>'Quantitativos (A)'!AB88*$D88*$E88</f>
        <v>0</v>
      </c>
      <c r="AE88" s="157">
        <f>'Quantitativos (A)'!AC88*$D88*$E88</f>
        <v>0</v>
      </c>
      <c r="AF88" s="157">
        <f>'Quantitativos (A)'!AD88*$D88*$E88</f>
        <v>0</v>
      </c>
      <c r="AG88" s="157">
        <f>'Quantitativos (A)'!AE88*$D88*$E88</f>
        <v>0</v>
      </c>
      <c r="AH88" s="157">
        <f>'Quantitativos (A)'!AF88*$D88*$E88</f>
        <v>0</v>
      </c>
      <c r="AI88" s="158">
        <f>'Quantitativos (A)'!AG88*$D88*$E88</f>
        <v>0</v>
      </c>
      <c r="AJ88" s="22"/>
    </row>
    <row r="89" spans="1:36" x14ac:dyDescent="0.25">
      <c r="A89" s="21"/>
      <c r="B89" s="27" t="s">
        <v>522</v>
      </c>
      <c r="C89" s="67" t="s">
        <v>63</v>
      </c>
      <c r="D89" s="157">
        <f>'Dados (F)'!$D$135</f>
        <v>1.39</v>
      </c>
      <c r="E89" s="125">
        <f>IF('Dados (F)'!$D$35=1,1,'Dados (F)'!$C$39)</f>
        <v>1</v>
      </c>
      <c r="F89" s="157">
        <f>'Quantitativos (A)'!D89*$D89*$E89</f>
        <v>0</v>
      </c>
      <c r="G89" s="157">
        <f>'Quantitativos (A)'!E89*$D89*$E89</f>
        <v>0</v>
      </c>
      <c r="H89" s="157">
        <f>'Quantitativos (A)'!F89*$D89*$E89</f>
        <v>0</v>
      </c>
      <c r="I89" s="157">
        <f>'Quantitativos (A)'!G89*$D89*$E89</f>
        <v>0</v>
      </c>
      <c r="J89" s="157">
        <f>'Quantitativos (A)'!H89*$D89*$E89</f>
        <v>0</v>
      </c>
      <c r="K89" s="157">
        <f>'Quantitativos (A)'!I89*$D89*$E89</f>
        <v>0</v>
      </c>
      <c r="L89" s="157">
        <f>'Quantitativos (A)'!J89*$D89*$E89</f>
        <v>0</v>
      </c>
      <c r="M89" s="157">
        <f>'Quantitativos (A)'!K89*$D89*$E89</f>
        <v>0</v>
      </c>
      <c r="N89" s="157">
        <f>'Quantitativos (A)'!L89*$D89*$E89</f>
        <v>0</v>
      </c>
      <c r="O89" s="157">
        <f>'Quantitativos (A)'!M89*$D89*$E89</f>
        <v>0</v>
      </c>
      <c r="P89" s="157">
        <f>'Quantitativos (A)'!N89*$D89*$E89</f>
        <v>1403.9972999999998</v>
      </c>
      <c r="Q89" s="157">
        <f>'Quantitativos (A)'!O89*$D89*$E89</f>
        <v>1403.9972999999998</v>
      </c>
      <c r="R89" s="157">
        <f>'Quantitativos (A)'!P89*$D89*$E89</f>
        <v>1403.9972999999998</v>
      </c>
      <c r="S89" s="157">
        <f>'Quantitativos (A)'!Q89*$D89*$E89</f>
        <v>325.23775999999998</v>
      </c>
      <c r="T89" s="157">
        <f>'Quantitativos (A)'!R89*$D89*$E89</f>
        <v>325.23775999999998</v>
      </c>
      <c r="U89" s="157">
        <f>'Quantitativos (A)'!S89*$D89*$E89</f>
        <v>325.23775999999998</v>
      </c>
      <c r="V89" s="157">
        <f>'Quantitativos (A)'!T89*$D89*$E89</f>
        <v>1403.9972999999998</v>
      </c>
      <c r="W89" s="157">
        <f>'Quantitativos (A)'!U89*$D89*$E89</f>
        <v>1403.9972999999998</v>
      </c>
      <c r="X89" s="157">
        <f>'Quantitativos (A)'!V89*$D89*$E89</f>
        <v>325.23775999999998</v>
      </c>
      <c r="Y89" s="157">
        <f>'Quantitativos (A)'!W89*$D89*$E89</f>
        <v>325.23775999999998</v>
      </c>
      <c r="Z89" s="157">
        <f>'Quantitativos (A)'!X89*$D89*$E89</f>
        <v>0</v>
      </c>
      <c r="AA89" s="157">
        <f>'Quantitativos (A)'!Y89*$D89*$E89</f>
        <v>0</v>
      </c>
      <c r="AB89" s="157">
        <f>'Quantitativos (A)'!Z89*$D89*$E89</f>
        <v>0</v>
      </c>
      <c r="AC89" s="157">
        <f>'Quantitativos (A)'!AA89*$D89*$E89</f>
        <v>0</v>
      </c>
      <c r="AD89" s="157">
        <f>'Quantitativos (A)'!AB89*$D89*$E89</f>
        <v>0</v>
      </c>
      <c r="AE89" s="157">
        <f>'Quantitativos (A)'!AC89*$D89*$E89</f>
        <v>0</v>
      </c>
      <c r="AF89" s="157">
        <f>'Quantitativos (A)'!AD89*$D89*$E89</f>
        <v>0</v>
      </c>
      <c r="AG89" s="157">
        <f>'Quantitativos (A)'!AE89*$D89*$E89</f>
        <v>0</v>
      </c>
      <c r="AH89" s="157">
        <f>'Quantitativos (A)'!AF89*$D89*$E89</f>
        <v>0</v>
      </c>
      <c r="AI89" s="158">
        <f>'Quantitativos (A)'!AG89*$D89*$E89</f>
        <v>0</v>
      </c>
      <c r="AJ89" s="22"/>
    </row>
    <row r="90" spans="1:36" ht="25.5" x14ac:dyDescent="0.25">
      <c r="A90" s="21"/>
      <c r="B90" s="27" t="s">
        <v>516</v>
      </c>
      <c r="C90" s="67" t="s">
        <v>57</v>
      </c>
      <c r="D90" s="157">
        <f>'Dados (F)'!$D$136</f>
        <v>69.56</v>
      </c>
      <c r="E90" s="125">
        <f>IF('Dados (F)'!$D$35=1,1,'Dados (F)'!$C$39)</f>
        <v>1</v>
      </c>
      <c r="F90" s="157">
        <f>'Quantitativos (A)'!D90*$D90*$E90</f>
        <v>0</v>
      </c>
      <c r="G90" s="157">
        <f>'Quantitativos (A)'!E90*$D90*$E90</f>
        <v>0</v>
      </c>
      <c r="H90" s="157">
        <f>'Quantitativos (A)'!F90*$D90*$E90</f>
        <v>0</v>
      </c>
      <c r="I90" s="157">
        <f>'Quantitativos (A)'!G90*$D90*$E90</f>
        <v>0</v>
      </c>
      <c r="J90" s="157">
        <f>'Quantitativos (A)'!H90*$D90*$E90</f>
        <v>0</v>
      </c>
      <c r="K90" s="157">
        <f>'Quantitativos (A)'!I90*$D90*$E90</f>
        <v>0</v>
      </c>
      <c r="L90" s="157">
        <f>'Quantitativos (A)'!J90*$D90*$E90</f>
        <v>0</v>
      </c>
      <c r="M90" s="157">
        <f>'Quantitativos (A)'!K90*$D90*$E90</f>
        <v>0</v>
      </c>
      <c r="N90" s="157">
        <f>'Quantitativos (A)'!L90*$D90*$E90</f>
        <v>0</v>
      </c>
      <c r="O90" s="157">
        <f>'Quantitativos (A)'!M90*$D90*$E90</f>
        <v>0</v>
      </c>
      <c r="P90" s="157">
        <f>'Quantitativos (A)'!N90*$D90*$E90</f>
        <v>8818.5385600000009</v>
      </c>
      <c r="Q90" s="157">
        <f>'Quantitativos (A)'!O90*$D90*$E90</f>
        <v>8818.5385600000009</v>
      </c>
      <c r="R90" s="157">
        <f>'Quantitativos (A)'!P90*$D90*$E90</f>
        <v>8818.5385600000009</v>
      </c>
      <c r="S90" s="157">
        <f>'Quantitativos (A)'!Q90*$D90*$E90</f>
        <v>1928.4397039999999</v>
      </c>
      <c r="T90" s="157">
        <f>'Quantitativos (A)'!R90*$D90*$E90</f>
        <v>1928.4397039999999</v>
      </c>
      <c r="U90" s="157">
        <f>'Quantitativos (A)'!S90*$D90*$E90</f>
        <v>1928.4397039999999</v>
      </c>
      <c r="V90" s="157">
        <f>'Quantitativos (A)'!T90*$D90*$E90</f>
        <v>8818.5385600000009</v>
      </c>
      <c r="W90" s="157">
        <f>'Quantitativos (A)'!U90*$D90*$E90</f>
        <v>8818.5385600000009</v>
      </c>
      <c r="X90" s="157">
        <f>'Quantitativos (A)'!V90*$D90*$E90</f>
        <v>1928.4397039999999</v>
      </c>
      <c r="Y90" s="157">
        <f>'Quantitativos (A)'!W90*$D90*$E90</f>
        <v>1928.4397039999999</v>
      </c>
      <c r="Z90" s="157">
        <f>'Quantitativos (A)'!X90*$D90*$E90</f>
        <v>0</v>
      </c>
      <c r="AA90" s="157">
        <f>'Quantitativos (A)'!Y90*$D90*$E90</f>
        <v>0</v>
      </c>
      <c r="AB90" s="157">
        <f>'Quantitativos (A)'!Z90*$D90*$E90</f>
        <v>0</v>
      </c>
      <c r="AC90" s="157">
        <f>'Quantitativos (A)'!AA90*$D90*$E90</f>
        <v>0</v>
      </c>
      <c r="AD90" s="157">
        <f>'Quantitativos (A)'!AB90*$D90*$E90</f>
        <v>0</v>
      </c>
      <c r="AE90" s="157">
        <f>'Quantitativos (A)'!AC90*$D90*$E90</f>
        <v>0</v>
      </c>
      <c r="AF90" s="157">
        <f>'Quantitativos (A)'!AD90*$D90*$E90</f>
        <v>0</v>
      </c>
      <c r="AG90" s="157">
        <f>'Quantitativos (A)'!AE90*$D90*$E90</f>
        <v>0</v>
      </c>
      <c r="AH90" s="157">
        <f>'Quantitativos (A)'!AF90*$D90*$E90</f>
        <v>0</v>
      </c>
      <c r="AI90" s="158">
        <f>'Quantitativos (A)'!AG90*$D90*$E90</f>
        <v>0</v>
      </c>
      <c r="AJ90" s="22"/>
    </row>
    <row r="91" spans="1:36" ht="25.5" x14ac:dyDescent="0.25">
      <c r="A91" s="21"/>
      <c r="B91" s="27" t="s">
        <v>517</v>
      </c>
      <c r="C91" s="67" t="s">
        <v>57</v>
      </c>
      <c r="D91" s="157">
        <f>'Dados (F)'!$D$137</f>
        <v>69.56</v>
      </c>
      <c r="E91" s="125">
        <f>IF('Dados (F)'!$D$35=1,1,'Dados (F)'!$C$39)</f>
        <v>1</v>
      </c>
      <c r="F91" s="157">
        <f>'Quantitativos (A)'!D91*$D91*$E91</f>
        <v>0</v>
      </c>
      <c r="G91" s="157">
        <f>'Quantitativos (A)'!E91*$D91*$E91</f>
        <v>0</v>
      </c>
      <c r="H91" s="157">
        <f>'Quantitativos (A)'!F91*$D91*$E91</f>
        <v>0</v>
      </c>
      <c r="I91" s="157">
        <f>'Quantitativos (A)'!G91*$D91*$E91</f>
        <v>0</v>
      </c>
      <c r="J91" s="157">
        <f>'Quantitativos (A)'!H91*$D91*$E91</f>
        <v>0</v>
      </c>
      <c r="K91" s="157">
        <f>'Quantitativos (A)'!I91*$D91*$E91</f>
        <v>0</v>
      </c>
      <c r="L91" s="157">
        <f>'Quantitativos (A)'!J91*$D91*$E91</f>
        <v>0</v>
      </c>
      <c r="M91" s="157">
        <f>'Quantitativos (A)'!K91*$D91*$E91</f>
        <v>0</v>
      </c>
      <c r="N91" s="157">
        <f>'Quantitativos (A)'!L91*$D91*$E91</f>
        <v>0</v>
      </c>
      <c r="O91" s="157">
        <f>'Quantitativos (A)'!M91*$D91*$E91</f>
        <v>0</v>
      </c>
      <c r="P91" s="157">
        <f>'Quantitativos (A)'!N91*$D91*$E91</f>
        <v>8818.5385600000009</v>
      </c>
      <c r="Q91" s="157">
        <f>'Quantitativos (A)'!O91*$D91*$E91</f>
        <v>8818.5385600000009</v>
      </c>
      <c r="R91" s="157">
        <f>'Quantitativos (A)'!P91*$D91*$E91</f>
        <v>8818.5385600000009</v>
      </c>
      <c r="S91" s="157">
        <f>'Quantitativos (A)'!Q91*$D91*$E91</f>
        <v>1928.4397039999999</v>
      </c>
      <c r="T91" s="157">
        <f>'Quantitativos (A)'!R91*$D91*$E91</f>
        <v>1928.4397039999999</v>
      </c>
      <c r="U91" s="157">
        <f>'Quantitativos (A)'!S91*$D91*$E91</f>
        <v>1928.4397039999999</v>
      </c>
      <c r="V91" s="157">
        <f>'Quantitativos (A)'!T91*$D91*$E91</f>
        <v>8818.5385600000009</v>
      </c>
      <c r="W91" s="157">
        <f>'Quantitativos (A)'!U91*$D91*$E91</f>
        <v>8818.5385600000009</v>
      </c>
      <c r="X91" s="157">
        <f>'Quantitativos (A)'!V91*$D91*$E91</f>
        <v>1928.4397039999999</v>
      </c>
      <c r="Y91" s="157">
        <f>'Quantitativos (A)'!W91*$D91*$E91</f>
        <v>1928.4397039999999</v>
      </c>
      <c r="Z91" s="157">
        <f>'Quantitativos (A)'!X91*$D91*$E91</f>
        <v>0</v>
      </c>
      <c r="AA91" s="157">
        <f>'Quantitativos (A)'!Y91*$D91*$E91</f>
        <v>0</v>
      </c>
      <c r="AB91" s="157">
        <f>'Quantitativos (A)'!Z91*$D91*$E91</f>
        <v>0</v>
      </c>
      <c r="AC91" s="157">
        <f>'Quantitativos (A)'!AA91*$D91*$E91</f>
        <v>0</v>
      </c>
      <c r="AD91" s="157">
        <f>'Quantitativos (A)'!AB91*$D91*$E91</f>
        <v>0</v>
      </c>
      <c r="AE91" s="157">
        <f>'Quantitativos (A)'!AC91*$D91*$E91</f>
        <v>0</v>
      </c>
      <c r="AF91" s="157">
        <f>'Quantitativos (A)'!AD91*$D91*$E91</f>
        <v>0</v>
      </c>
      <c r="AG91" s="157">
        <f>'Quantitativos (A)'!AE91*$D91*$E91</f>
        <v>0</v>
      </c>
      <c r="AH91" s="157">
        <f>'Quantitativos (A)'!AF91*$D91*$E91</f>
        <v>0</v>
      </c>
      <c r="AI91" s="158">
        <f>'Quantitativos (A)'!AG91*$D91*$E91</f>
        <v>0</v>
      </c>
      <c r="AJ91" s="22"/>
    </row>
    <row r="92" spans="1:36" x14ac:dyDescent="0.25">
      <c r="A92" s="21"/>
      <c r="B92" s="27" t="s">
        <v>523</v>
      </c>
      <c r="C92" s="67" t="s">
        <v>65</v>
      </c>
      <c r="D92" s="157">
        <f>'Dados (F)'!$D$114</f>
        <v>633.75</v>
      </c>
      <c r="E92" s="125">
        <f>IF('Dados (F)'!$D$35=1,1,IF('Dados (F)'!$D$35=2,'Dados (F)'!$C$39,1))</f>
        <v>1</v>
      </c>
      <c r="F92" s="157">
        <f>'Quantitativos (A)'!D92*$D92*$E92</f>
        <v>0</v>
      </c>
      <c r="G92" s="157">
        <f>'Quantitativos (A)'!E92*$D92*$E92</f>
        <v>0</v>
      </c>
      <c r="H92" s="157">
        <f>'Quantitativos (A)'!F92*$D92*$E92</f>
        <v>0</v>
      </c>
      <c r="I92" s="157">
        <f>'Quantitativos (A)'!G92*$D92*$E92</f>
        <v>0</v>
      </c>
      <c r="J92" s="157">
        <f>'Quantitativos (A)'!H92*$D92*$E92</f>
        <v>0</v>
      </c>
      <c r="K92" s="157">
        <f>'Quantitativos (A)'!I92*$D92*$E92</f>
        <v>0</v>
      </c>
      <c r="L92" s="157">
        <f>'Quantitativos (A)'!J92*$D92*$E92</f>
        <v>0</v>
      </c>
      <c r="M92" s="157">
        <f>'Quantitativos (A)'!K92*$D92*$E92</f>
        <v>0</v>
      </c>
      <c r="N92" s="157">
        <f>'Quantitativos (A)'!L92*$D92*$E92</f>
        <v>0</v>
      </c>
      <c r="O92" s="157">
        <f>'Quantitativos (A)'!M92*$D92*$E92</f>
        <v>0</v>
      </c>
      <c r="P92" s="157">
        <f>'Quantitativos (A)'!N92*$D92*$E92</f>
        <v>483.678</v>
      </c>
      <c r="Q92" s="157">
        <f>'Quantitativos (A)'!O92*$D92*$E92</f>
        <v>483.678</v>
      </c>
      <c r="R92" s="157">
        <f>'Quantitativos (A)'!P92*$D92*$E92</f>
        <v>483.678</v>
      </c>
      <c r="S92" s="157">
        <f>'Quantitativos (A)'!Q92*$D92*$E92</f>
        <v>483.678</v>
      </c>
      <c r="T92" s="157">
        <f>'Quantitativos (A)'!R92*$D92*$E92</f>
        <v>483.678</v>
      </c>
      <c r="U92" s="157">
        <f>'Quantitativos (A)'!S92*$D92*$E92</f>
        <v>483.678</v>
      </c>
      <c r="V92" s="157">
        <f>'Quantitativos (A)'!T92*$D92*$E92</f>
        <v>483.678</v>
      </c>
      <c r="W92" s="157">
        <f>'Quantitativos (A)'!U92*$D92*$E92</f>
        <v>483.678</v>
      </c>
      <c r="X92" s="157">
        <f>'Quantitativos (A)'!V92*$D92*$E92</f>
        <v>483.678</v>
      </c>
      <c r="Y92" s="157">
        <f>'Quantitativos (A)'!W92*$D92*$E92</f>
        <v>483.678</v>
      </c>
      <c r="Z92" s="157">
        <f>'Quantitativos (A)'!X92*$D92*$E92</f>
        <v>0</v>
      </c>
      <c r="AA92" s="157">
        <f>'Quantitativos (A)'!Y92*$D92*$E92</f>
        <v>0</v>
      </c>
      <c r="AB92" s="157">
        <f>'Quantitativos (A)'!Z92*$D92*$E92</f>
        <v>0</v>
      </c>
      <c r="AC92" s="157">
        <f>'Quantitativos (A)'!AA92*$D92*$E92</f>
        <v>0</v>
      </c>
      <c r="AD92" s="157">
        <f>'Quantitativos (A)'!AB92*$D92*$E92</f>
        <v>0</v>
      </c>
      <c r="AE92" s="157">
        <f>'Quantitativos (A)'!AC92*$D92*$E92</f>
        <v>0</v>
      </c>
      <c r="AF92" s="157">
        <f>'Quantitativos (A)'!AD92*$D92*$E92</f>
        <v>0</v>
      </c>
      <c r="AG92" s="157">
        <f>'Quantitativos (A)'!AE92*$D92*$E92</f>
        <v>0</v>
      </c>
      <c r="AH92" s="157">
        <f>'Quantitativos (A)'!AF92*$D92*$E92</f>
        <v>0</v>
      </c>
      <c r="AI92" s="158">
        <f>'Quantitativos (A)'!AG92*$D92*$E92</f>
        <v>0</v>
      </c>
      <c r="AJ92" s="22"/>
    </row>
    <row r="93" spans="1:36" x14ac:dyDescent="0.25">
      <c r="A93" s="21"/>
      <c r="B93" s="27" t="s">
        <v>524</v>
      </c>
      <c r="C93" s="67" t="s">
        <v>65</v>
      </c>
      <c r="D93" s="157">
        <f>'Dados (F)'!$D$115</f>
        <v>621.17999999999995</v>
      </c>
      <c r="E93" s="125">
        <f>IF('Dados (F)'!$D$35=1,1,IF('Dados (F)'!$D$35=2,'Dados (F)'!$C$39,1))</f>
        <v>1</v>
      </c>
      <c r="F93" s="157">
        <f>'Quantitativos (A)'!D93*$D93*$E93</f>
        <v>0</v>
      </c>
      <c r="G93" s="157">
        <f>'Quantitativos (A)'!E93*$D93*$E93</f>
        <v>0</v>
      </c>
      <c r="H93" s="157">
        <f>'Quantitativos (A)'!F93*$D93*$E93</f>
        <v>0</v>
      </c>
      <c r="I93" s="157">
        <f>'Quantitativos (A)'!G93*$D93*$E93</f>
        <v>0</v>
      </c>
      <c r="J93" s="157">
        <f>'Quantitativos (A)'!H93*$D93*$E93</f>
        <v>0</v>
      </c>
      <c r="K93" s="157">
        <f>'Quantitativos (A)'!I93*$D93*$E93</f>
        <v>0</v>
      </c>
      <c r="L93" s="157">
        <f>'Quantitativos (A)'!J93*$D93*$E93</f>
        <v>0</v>
      </c>
      <c r="M93" s="157">
        <f>'Quantitativos (A)'!K93*$D93*$E93</f>
        <v>0</v>
      </c>
      <c r="N93" s="157">
        <f>'Quantitativos (A)'!L93*$D93*$E93</f>
        <v>0</v>
      </c>
      <c r="O93" s="157">
        <f>'Quantitativos (A)'!M93*$D93*$E93</f>
        <v>0</v>
      </c>
      <c r="P93" s="157">
        <f>'Quantitativos (A)'!N93*$D93*$E93</f>
        <v>239.83759799999999</v>
      </c>
      <c r="Q93" s="157">
        <f>'Quantitativos (A)'!O93*$D93*$E93</f>
        <v>239.83759799999999</v>
      </c>
      <c r="R93" s="157">
        <f>'Quantitativos (A)'!P93*$D93*$E93</f>
        <v>239.83759799999999</v>
      </c>
      <c r="S93" s="157">
        <f>'Quantitativos (A)'!Q93*$D93*$E93</f>
        <v>239.83759799999999</v>
      </c>
      <c r="T93" s="157">
        <f>'Quantitativos (A)'!R93*$D93*$E93</f>
        <v>239.83759799999999</v>
      </c>
      <c r="U93" s="157">
        <f>'Quantitativos (A)'!S93*$D93*$E93</f>
        <v>239.83759799999999</v>
      </c>
      <c r="V93" s="157">
        <f>'Quantitativos (A)'!T93*$D93*$E93</f>
        <v>239.83759799999999</v>
      </c>
      <c r="W93" s="157">
        <f>'Quantitativos (A)'!U93*$D93*$E93</f>
        <v>239.83759799999999</v>
      </c>
      <c r="X93" s="157">
        <f>'Quantitativos (A)'!V93*$D93*$E93</f>
        <v>239.83759799999999</v>
      </c>
      <c r="Y93" s="157">
        <f>'Quantitativos (A)'!W93*$D93*$E93</f>
        <v>239.83759799999999</v>
      </c>
      <c r="Z93" s="157">
        <f>'Quantitativos (A)'!X93*$D93*$E93</f>
        <v>0</v>
      </c>
      <c r="AA93" s="157">
        <f>'Quantitativos (A)'!Y93*$D93*$E93</f>
        <v>0</v>
      </c>
      <c r="AB93" s="157">
        <f>'Quantitativos (A)'!Z93*$D93*$E93</f>
        <v>0</v>
      </c>
      <c r="AC93" s="157">
        <f>'Quantitativos (A)'!AA93*$D93*$E93</f>
        <v>0</v>
      </c>
      <c r="AD93" s="157">
        <f>'Quantitativos (A)'!AB93*$D93*$E93</f>
        <v>0</v>
      </c>
      <c r="AE93" s="157">
        <f>'Quantitativos (A)'!AC93*$D93*$E93</f>
        <v>0</v>
      </c>
      <c r="AF93" s="157">
        <f>'Quantitativos (A)'!AD93*$D93*$E93</f>
        <v>0</v>
      </c>
      <c r="AG93" s="157">
        <f>'Quantitativos (A)'!AE93*$D93*$E93</f>
        <v>0</v>
      </c>
      <c r="AH93" s="157">
        <f>'Quantitativos (A)'!AF93*$D93*$E93</f>
        <v>0</v>
      </c>
      <c r="AI93" s="158">
        <f>'Quantitativos (A)'!AG93*$D93*$E93</f>
        <v>0</v>
      </c>
      <c r="AJ93" s="22"/>
    </row>
    <row r="94" spans="1:36" x14ac:dyDescent="0.25">
      <c r="A94" s="21"/>
      <c r="B94" s="27" t="s">
        <v>525</v>
      </c>
      <c r="C94" s="67" t="s">
        <v>65</v>
      </c>
      <c r="D94" s="157">
        <f>'Dados (F)'!$D$115</f>
        <v>621.17999999999995</v>
      </c>
      <c r="E94" s="125">
        <f>IF('Dados (F)'!$D$35=1,1,IF('Dados (F)'!$D$35=2,'Dados (F)'!$C$39,1))</f>
        <v>1</v>
      </c>
      <c r="F94" s="157">
        <f>'Quantitativos (A)'!D94*$D94*$E94</f>
        <v>0</v>
      </c>
      <c r="G94" s="157">
        <f>'Quantitativos (A)'!E94*$D94*$E94</f>
        <v>0</v>
      </c>
      <c r="H94" s="157">
        <f>'Quantitativos (A)'!F94*$D94*$E94</f>
        <v>0</v>
      </c>
      <c r="I94" s="157">
        <f>'Quantitativos (A)'!G94*$D94*$E94</f>
        <v>0</v>
      </c>
      <c r="J94" s="157">
        <f>'Quantitativos (A)'!H94*$D94*$E94</f>
        <v>0</v>
      </c>
      <c r="K94" s="157">
        <f>'Quantitativos (A)'!I94*$D94*$E94</f>
        <v>0</v>
      </c>
      <c r="L94" s="157">
        <f>'Quantitativos (A)'!J94*$D94*$E94</f>
        <v>0</v>
      </c>
      <c r="M94" s="157">
        <f>'Quantitativos (A)'!K94*$D94*$E94</f>
        <v>0</v>
      </c>
      <c r="N94" s="157">
        <f>'Quantitativos (A)'!L94*$D94*$E94</f>
        <v>0</v>
      </c>
      <c r="O94" s="157">
        <f>'Quantitativos (A)'!M94*$D94*$E94</f>
        <v>0</v>
      </c>
      <c r="P94" s="157">
        <f>'Quantitativos (A)'!N94*$D94*$E94</f>
        <v>239.83759799999999</v>
      </c>
      <c r="Q94" s="157">
        <f>'Quantitativos (A)'!O94*$D94*$E94</f>
        <v>239.83759799999999</v>
      </c>
      <c r="R94" s="157">
        <f>'Quantitativos (A)'!P94*$D94*$E94</f>
        <v>239.83759799999999</v>
      </c>
      <c r="S94" s="157">
        <f>'Quantitativos (A)'!Q94*$D94*$E94</f>
        <v>239.83759799999999</v>
      </c>
      <c r="T94" s="157">
        <f>'Quantitativos (A)'!R94*$D94*$E94</f>
        <v>239.83759799999999</v>
      </c>
      <c r="U94" s="157">
        <f>'Quantitativos (A)'!S94*$D94*$E94</f>
        <v>239.83759799999999</v>
      </c>
      <c r="V94" s="157">
        <f>'Quantitativos (A)'!T94*$D94*$E94</f>
        <v>239.83759799999999</v>
      </c>
      <c r="W94" s="157">
        <f>'Quantitativos (A)'!U94*$D94*$E94</f>
        <v>239.83759799999999</v>
      </c>
      <c r="X94" s="157">
        <f>'Quantitativos (A)'!V94*$D94*$E94</f>
        <v>239.83759799999999</v>
      </c>
      <c r="Y94" s="157">
        <f>'Quantitativos (A)'!W94*$D94*$E94</f>
        <v>239.83759799999999</v>
      </c>
      <c r="Z94" s="157">
        <f>'Quantitativos (A)'!X94*$D94*$E94</f>
        <v>0</v>
      </c>
      <c r="AA94" s="157">
        <f>'Quantitativos (A)'!Y94*$D94*$E94</f>
        <v>0</v>
      </c>
      <c r="AB94" s="157">
        <f>'Quantitativos (A)'!Z94*$D94*$E94</f>
        <v>0</v>
      </c>
      <c r="AC94" s="157">
        <f>'Quantitativos (A)'!AA94*$D94*$E94</f>
        <v>0</v>
      </c>
      <c r="AD94" s="157">
        <f>'Quantitativos (A)'!AB94*$D94*$E94</f>
        <v>0</v>
      </c>
      <c r="AE94" s="157">
        <f>'Quantitativos (A)'!AC94*$D94*$E94</f>
        <v>0</v>
      </c>
      <c r="AF94" s="157">
        <f>'Quantitativos (A)'!AD94*$D94*$E94</f>
        <v>0</v>
      </c>
      <c r="AG94" s="157">
        <f>'Quantitativos (A)'!AE94*$D94*$E94</f>
        <v>0</v>
      </c>
      <c r="AH94" s="157">
        <f>'Quantitativos (A)'!AF94*$D94*$E94</f>
        <v>0</v>
      </c>
      <c r="AI94" s="158">
        <f>'Quantitativos (A)'!AG94*$D94*$E94</f>
        <v>0</v>
      </c>
      <c r="AJ94" s="22"/>
    </row>
    <row r="95" spans="1:36" x14ac:dyDescent="0.25">
      <c r="A95" s="21"/>
      <c r="B95" s="27" t="s">
        <v>526</v>
      </c>
      <c r="C95" s="67" t="s">
        <v>65</v>
      </c>
      <c r="D95" s="157">
        <f>'Dados (F)'!$D$115</f>
        <v>621.17999999999995</v>
      </c>
      <c r="E95" s="125">
        <f>IF('Dados (F)'!$D$35=1,1,IF('Dados (F)'!$D$35=2,'Dados (F)'!$C$39,1))</f>
        <v>1</v>
      </c>
      <c r="F95" s="157">
        <f>'Quantitativos (A)'!D95*$D95*$E95</f>
        <v>0</v>
      </c>
      <c r="G95" s="157">
        <f>'Quantitativos (A)'!E95*$D95*$E95</f>
        <v>0</v>
      </c>
      <c r="H95" s="157">
        <f>'Quantitativos (A)'!F95*$D95*$E95</f>
        <v>0</v>
      </c>
      <c r="I95" s="157">
        <f>'Quantitativos (A)'!G95*$D95*$E95</f>
        <v>0</v>
      </c>
      <c r="J95" s="157">
        <f>'Quantitativos (A)'!H95*$D95*$E95</f>
        <v>0</v>
      </c>
      <c r="K95" s="157">
        <f>'Quantitativos (A)'!I95*$D95*$E95</f>
        <v>0</v>
      </c>
      <c r="L95" s="157">
        <f>'Quantitativos (A)'!J95*$D95*$E95</f>
        <v>0</v>
      </c>
      <c r="M95" s="157">
        <f>'Quantitativos (A)'!K95*$D95*$E95</f>
        <v>0</v>
      </c>
      <c r="N95" s="157">
        <f>'Quantitativos (A)'!L95*$D95*$E95</f>
        <v>0</v>
      </c>
      <c r="O95" s="157">
        <f>'Quantitativos (A)'!M95*$D95*$E95</f>
        <v>0</v>
      </c>
      <c r="P95" s="157">
        <f>'Quantitativos (A)'!N95*$D95*$E95</f>
        <v>239.83759799999999</v>
      </c>
      <c r="Q95" s="157">
        <f>'Quantitativos (A)'!O95*$D95*$E95</f>
        <v>239.83759799999999</v>
      </c>
      <c r="R95" s="157">
        <f>'Quantitativos (A)'!P95*$D95*$E95</f>
        <v>239.83759799999999</v>
      </c>
      <c r="S95" s="157">
        <f>'Quantitativos (A)'!Q95*$D95*$E95</f>
        <v>239.83759799999999</v>
      </c>
      <c r="T95" s="157">
        <f>'Quantitativos (A)'!R95*$D95*$E95</f>
        <v>239.83759799999999</v>
      </c>
      <c r="U95" s="157">
        <f>'Quantitativos (A)'!S95*$D95*$E95</f>
        <v>239.83759799999999</v>
      </c>
      <c r="V95" s="157">
        <f>'Quantitativos (A)'!T95*$D95*$E95</f>
        <v>239.83759799999999</v>
      </c>
      <c r="W95" s="157">
        <f>'Quantitativos (A)'!U95*$D95*$E95</f>
        <v>239.83759799999999</v>
      </c>
      <c r="X95" s="157">
        <f>'Quantitativos (A)'!V95*$D95*$E95</f>
        <v>239.83759799999999</v>
      </c>
      <c r="Y95" s="157">
        <f>'Quantitativos (A)'!W95*$D95*$E95</f>
        <v>239.83759799999999</v>
      </c>
      <c r="Z95" s="157">
        <f>'Quantitativos (A)'!X95*$D95*$E95</f>
        <v>0</v>
      </c>
      <c r="AA95" s="157">
        <f>'Quantitativos (A)'!Y95*$D95*$E95</f>
        <v>0</v>
      </c>
      <c r="AB95" s="157">
        <f>'Quantitativos (A)'!Z95*$D95*$E95</f>
        <v>0</v>
      </c>
      <c r="AC95" s="157">
        <f>'Quantitativos (A)'!AA95*$D95*$E95</f>
        <v>0</v>
      </c>
      <c r="AD95" s="157">
        <f>'Quantitativos (A)'!AB95*$D95*$E95</f>
        <v>0</v>
      </c>
      <c r="AE95" s="157">
        <f>'Quantitativos (A)'!AC95*$D95*$E95</f>
        <v>0</v>
      </c>
      <c r="AF95" s="157">
        <f>'Quantitativos (A)'!AD95*$D95*$E95</f>
        <v>0</v>
      </c>
      <c r="AG95" s="157">
        <f>'Quantitativos (A)'!AE95*$D95*$E95</f>
        <v>0</v>
      </c>
      <c r="AH95" s="157">
        <f>'Quantitativos (A)'!AF95*$D95*$E95</f>
        <v>0</v>
      </c>
      <c r="AI95" s="158">
        <f>'Quantitativos (A)'!AG95*$D95*$E95</f>
        <v>0</v>
      </c>
      <c r="AJ95" s="22"/>
    </row>
    <row r="96" spans="1:36" x14ac:dyDescent="0.25">
      <c r="A96" s="21"/>
      <c r="B96" s="27" t="s">
        <v>527</v>
      </c>
      <c r="C96" s="67" t="s">
        <v>65</v>
      </c>
      <c r="D96" s="157">
        <f>'Dados (F)'!$D$115</f>
        <v>621.17999999999995</v>
      </c>
      <c r="E96" s="125">
        <f>IF('Dados (F)'!$D$35=1,1,IF('Dados (F)'!$D$35=2,'Dados (F)'!$C$39,1))</f>
        <v>1</v>
      </c>
      <c r="F96" s="157">
        <f>'Quantitativos (A)'!D96*$D96*$E96</f>
        <v>0</v>
      </c>
      <c r="G96" s="157">
        <f>'Quantitativos (A)'!E96*$D96*$E96</f>
        <v>0</v>
      </c>
      <c r="H96" s="157">
        <f>'Quantitativos (A)'!F96*$D96*$E96</f>
        <v>0</v>
      </c>
      <c r="I96" s="157">
        <f>'Quantitativos (A)'!G96*$D96*$E96</f>
        <v>0</v>
      </c>
      <c r="J96" s="157">
        <f>'Quantitativos (A)'!H96*$D96*$E96</f>
        <v>0</v>
      </c>
      <c r="K96" s="157">
        <f>'Quantitativos (A)'!I96*$D96*$E96</f>
        <v>0</v>
      </c>
      <c r="L96" s="157">
        <f>'Quantitativos (A)'!J96*$D96*$E96</f>
        <v>0</v>
      </c>
      <c r="M96" s="157">
        <f>'Quantitativos (A)'!K96*$D96*$E96</f>
        <v>0</v>
      </c>
      <c r="N96" s="157">
        <f>'Quantitativos (A)'!L96*$D96*$E96</f>
        <v>0</v>
      </c>
      <c r="O96" s="157">
        <f>'Quantitativos (A)'!M96*$D96*$E96</f>
        <v>0</v>
      </c>
      <c r="P96" s="157">
        <f>'Quantitativos (A)'!N96*$D96*$E96</f>
        <v>239.83759799999999</v>
      </c>
      <c r="Q96" s="157">
        <f>'Quantitativos (A)'!O96*$D96*$E96</f>
        <v>239.83759799999999</v>
      </c>
      <c r="R96" s="157">
        <f>'Quantitativos (A)'!P96*$D96*$E96</f>
        <v>239.83759799999999</v>
      </c>
      <c r="S96" s="157">
        <f>'Quantitativos (A)'!Q96*$D96*$E96</f>
        <v>239.83759799999999</v>
      </c>
      <c r="T96" s="157">
        <f>'Quantitativos (A)'!R96*$D96*$E96</f>
        <v>239.83759799999999</v>
      </c>
      <c r="U96" s="157">
        <f>'Quantitativos (A)'!S96*$D96*$E96</f>
        <v>239.83759799999999</v>
      </c>
      <c r="V96" s="157">
        <f>'Quantitativos (A)'!T96*$D96*$E96</f>
        <v>239.83759799999999</v>
      </c>
      <c r="W96" s="157">
        <f>'Quantitativos (A)'!U96*$D96*$E96</f>
        <v>239.83759799999999</v>
      </c>
      <c r="X96" s="157">
        <f>'Quantitativos (A)'!V96*$D96*$E96</f>
        <v>239.83759799999999</v>
      </c>
      <c r="Y96" s="157">
        <f>'Quantitativos (A)'!W96*$D96*$E96</f>
        <v>239.83759799999999</v>
      </c>
      <c r="Z96" s="157">
        <f>'Quantitativos (A)'!X96*$D96*$E96</f>
        <v>0</v>
      </c>
      <c r="AA96" s="157">
        <f>'Quantitativos (A)'!Y96*$D96*$E96</f>
        <v>0</v>
      </c>
      <c r="AB96" s="157">
        <f>'Quantitativos (A)'!Z96*$D96*$E96</f>
        <v>0</v>
      </c>
      <c r="AC96" s="157">
        <f>'Quantitativos (A)'!AA96*$D96*$E96</f>
        <v>0</v>
      </c>
      <c r="AD96" s="157">
        <f>'Quantitativos (A)'!AB96*$D96*$E96</f>
        <v>0</v>
      </c>
      <c r="AE96" s="157">
        <f>'Quantitativos (A)'!AC96*$D96*$E96</f>
        <v>0</v>
      </c>
      <c r="AF96" s="157">
        <f>'Quantitativos (A)'!AD96*$D96*$E96</f>
        <v>0</v>
      </c>
      <c r="AG96" s="157">
        <f>'Quantitativos (A)'!AE96*$D96*$E96</f>
        <v>0</v>
      </c>
      <c r="AH96" s="157">
        <f>'Quantitativos (A)'!AF96*$D96*$E96</f>
        <v>0</v>
      </c>
      <c r="AI96" s="158">
        <f>'Quantitativos (A)'!AG96*$D96*$E96</f>
        <v>0</v>
      </c>
      <c r="AJ96" s="22"/>
    </row>
    <row r="97" spans="1:36" x14ac:dyDescent="0.25">
      <c r="A97" s="21"/>
      <c r="B97" s="27" t="s">
        <v>528</v>
      </c>
      <c r="C97" s="67" t="s">
        <v>65</v>
      </c>
      <c r="D97" s="157">
        <f>'Dados (F)'!$D$115</f>
        <v>621.17999999999995</v>
      </c>
      <c r="E97" s="125">
        <f>IF('Dados (F)'!$D$35=1,1,IF('Dados (F)'!$D$35=2,'Dados (F)'!$C$39,1))</f>
        <v>1</v>
      </c>
      <c r="F97" s="157">
        <f>'Quantitativos (A)'!D97*$D97*$E97</f>
        <v>0</v>
      </c>
      <c r="G97" s="157">
        <f>'Quantitativos (A)'!E97*$D97*$E97</f>
        <v>0</v>
      </c>
      <c r="H97" s="157">
        <f>'Quantitativos (A)'!F97*$D97*$E97</f>
        <v>0</v>
      </c>
      <c r="I97" s="157">
        <f>'Quantitativos (A)'!G97*$D97*$E97</f>
        <v>0</v>
      </c>
      <c r="J97" s="157">
        <f>'Quantitativos (A)'!H97*$D97*$E97</f>
        <v>0</v>
      </c>
      <c r="K97" s="157">
        <f>'Quantitativos (A)'!I97*$D97*$E97</f>
        <v>0</v>
      </c>
      <c r="L97" s="157">
        <f>'Quantitativos (A)'!J97*$D97*$E97</f>
        <v>0</v>
      </c>
      <c r="M97" s="157">
        <f>'Quantitativos (A)'!K97*$D97*$E97</f>
        <v>0</v>
      </c>
      <c r="N97" s="157">
        <f>'Quantitativos (A)'!L97*$D97*$E97</f>
        <v>0</v>
      </c>
      <c r="O97" s="157">
        <f>'Quantitativos (A)'!M97*$D97*$E97</f>
        <v>0</v>
      </c>
      <c r="P97" s="157">
        <f>'Quantitativos (A)'!N97*$D97*$E97</f>
        <v>398.30061599999999</v>
      </c>
      <c r="Q97" s="157">
        <f>'Quantitativos (A)'!O97*$D97*$E97</f>
        <v>398.30061599999999</v>
      </c>
      <c r="R97" s="157">
        <f>'Quantitativos (A)'!P97*$D97*$E97</f>
        <v>398.30061599999999</v>
      </c>
      <c r="S97" s="157">
        <f>'Quantitativos (A)'!Q97*$D97*$E97</f>
        <v>398.30061599999999</v>
      </c>
      <c r="T97" s="157">
        <f>'Quantitativos (A)'!R97*$D97*$E97</f>
        <v>398.30061599999999</v>
      </c>
      <c r="U97" s="157">
        <f>'Quantitativos (A)'!S97*$D97*$E97</f>
        <v>398.30061599999999</v>
      </c>
      <c r="V97" s="157">
        <f>'Quantitativos (A)'!T97*$D97*$E97</f>
        <v>398.30061599999999</v>
      </c>
      <c r="W97" s="157">
        <f>'Quantitativos (A)'!U97*$D97*$E97</f>
        <v>398.30061599999999</v>
      </c>
      <c r="X97" s="157">
        <f>'Quantitativos (A)'!V97*$D97*$E97</f>
        <v>398.30061599999999</v>
      </c>
      <c r="Y97" s="157">
        <f>'Quantitativos (A)'!W97*$D97*$E97</f>
        <v>398.30061599999999</v>
      </c>
      <c r="Z97" s="157">
        <f>'Quantitativos (A)'!X97*$D97*$E97</f>
        <v>0</v>
      </c>
      <c r="AA97" s="157">
        <f>'Quantitativos (A)'!Y97*$D97*$E97</f>
        <v>0</v>
      </c>
      <c r="AB97" s="157">
        <f>'Quantitativos (A)'!Z97*$D97*$E97</f>
        <v>0</v>
      </c>
      <c r="AC97" s="157">
        <f>'Quantitativos (A)'!AA97*$D97*$E97</f>
        <v>0</v>
      </c>
      <c r="AD97" s="157">
        <f>'Quantitativos (A)'!AB97*$D97*$E97</f>
        <v>0</v>
      </c>
      <c r="AE97" s="157">
        <f>'Quantitativos (A)'!AC97*$D97*$E97</f>
        <v>0</v>
      </c>
      <c r="AF97" s="157">
        <f>'Quantitativos (A)'!AD97*$D97*$E97</f>
        <v>0</v>
      </c>
      <c r="AG97" s="157">
        <f>'Quantitativos (A)'!AE97*$D97*$E97</f>
        <v>0</v>
      </c>
      <c r="AH97" s="157">
        <f>'Quantitativos (A)'!AF97*$D97*$E97</f>
        <v>0</v>
      </c>
      <c r="AI97" s="158">
        <f>'Quantitativos (A)'!AG97*$D97*$E97</f>
        <v>0</v>
      </c>
      <c r="AJ97" s="22"/>
    </row>
    <row r="98" spans="1:36" x14ac:dyDescent="0.25">
      <c r="A98" s="21"/>
      <c r="B98" s="27" t="s">
        <v>529</v>
      </c>
      <c r="C98" s="67" t="s">
        <v>65</v>
      </c>
      <c r="D98" s="157">
        <f>'Dados (F)'!$D$115</f>
        <v>621.17999999999995</v>
      </c>
      <c r="E98" s="125">
        <f>IF('Dados (F)'!$D$35=1,1,IF('Dados (F)'!$D$35=2,'Dados (F)'!$C$39,1))</f>
        <v>1</v>
      </c>
      <c r="F98" s="157">
        <f>'Quantitativos (A)'!D98*$D98*$E98</f>
        <v>0</v>
      </c>
      <c r="G98" s="157">
        <f>'Quantitativos (A)'!E98*$D98*$E98</f>
        <v>0</v>
      </c>
      <c r="H98" s="157">
        <f>'Quantitativos (A)'!F98*$D98*$E98</f>
        <v>0</v>
      </c>
      <c r="I98" s="157">
        <f>'Quantitativos (A)'!G98*$D98*$E98</f>
        <v>0</v>
      </c>
      <c r="J98" s="157">
        <f>'Quantitativos (A)'!H98*$D98*$E98</f>
        <v>0</v>
      </c>
      <c r="K98" s="157">
        <f>'Quantitativos (A)'!I98*$D98*$E98</f>
        <v>0</v>
      </c>
      <c r="L98" s="157">
        <f>'Quantitativos (A)'!J98*$D98*$E98</f>
        <v>0</v>
      </c>
      <c r="M98" s="157">
        <f>'Quantitativos (A)'!K98*$D98*$E98</f>
        <v>0</v>
      </c>
      <c r="N98" s="157">
        <f>'Quantitativos (A)'!L98*$D98*$E98</f>
        <v>0</v>
      </c>
      <c r="O98" s="157">
        <f>'Quantitativos (A)'!M98*$D98*$E98</f>
        <v>0</v>
      </c>
      <c r="P98" s="157">
        <f>'Quantitativos (A)'!N98*$D98*$E98</f>
        <v>398.30061599999999</v>
      </c>
      <c r="Q98" s="157">
        <f>'Quantitativos (A)'!O98*$D98*$E98</f>
        <v>398.30061599999999</v>
      </c>
      <c r="R98" s="157">
        <f>'Quantitativos (A)'!P98*$D98*$E98</f>
        <v>398.30061599999999</v>
      </c>
      <c r="S98" s="157">
        <f>'Quantitativos (A)'!Q98*$D98*$E98</f>
        <v>398.30061599999999</v>
      </c>
      <c r="T98" s="157">
        <f>'Quantitativos (A)'!R98*$D98*$E98</f>
        <v>398.30061599999999</v>
      </c>
      <c r="U98" s="157">
        <f>'Quantitativos (A)'!S98*$D98*$E98</f>
        <v>398.30061599999999</v>
      </c>
      <c r="V98" s="157">
        <f>'Quantitativos (A)'!T98*$D98*$E98</f>
        <v>398.30061599999999</v>
      </c>
      <c r="W98" s="157">
        <f>'Quantitativos (A)'!U98*$D98*$E98</f>
        <v>398.30061599999999</v>
      </c>
      <c r="X98" s="157">
        <f>'Quantitativos (A)'!V98*$D98*$E98</f>
        <v>398.30061599999999</v>
      </c>
      <c r="Y98" s="157">
        <f>'Quantitativos (A)'!W98*$D98*$E98</f>
        <v>398.30061599999999</v>
      </c>
      <c r="Z98" s="157">
        <f>'Quantitativos (A)'!X98*$D98*$E98</f>
        <v>0</v>
      </c>
      <c r="AA98" s="157">
        <f>'Quantitativos (A)'!Y98*$D98*$E98</f>
        <v>0</v>
      </c>
      <c r="AB98" s="157">
        <f>'Quantitativos (A)'!Z98*$D98*$E98</f>
        <v>0</v>
      </c>
      <c r="AC98" s="157">
        <f>'Quantitativos (A)'!AA98*$D98*$E98</f>
        <v>0</v>
      </c>
      <c r="AD98" s="157">
        <f>'Quantitativos (A)'!AB98*$D98*$E98</f>
        <v>0</v>
      </c>
      <c r="AE98" s="157">
        <f>'Quantitativos (A)'!AC98*$D98*$E98</f>
        <v>0</v>
      </c>
      <c r="AF98" s="157">
        <f>'Quantitativos (A)'!AD98*$D98*$E98</f>
        <v>0</v>
      </c>
      <c r="AG98" s="157">
        <f>'Quantitativos (A)'!AE98*$D98*$E98</f>
        <v>0</v>
      </c>
      <c r="AH98" s="157">
        <f>'Quantitativos (A)'!AF98*$D98*$E98</f>
        <v>0</v>
      </c>
      <c r="AI98" s="158">
        <f>'Quantitativos (A)'!AG98*$D98*$E98</f>
        <v>0</v>
      </c>
      <c r="AJ98" s="22"/>
    </row>
    <row r="99" spans="1:36" x14ac:dyDescent="0.25">
      <c r="A99" s="21"/>
      <c r="B99" s="27" t="s">
        <v>534</v>
      </c>
      <c r="C99" s="67" t="s">
        <v>65</v>
      </c>
      <c r="D99" s="157">
        <f>'Dados (F)'!$D$116</f>
        <v>1031.6199999999999</v>
      </c>
      <c r="E99" s="125">
        <f>IF('Dados (F)'!$D$35=1,1,IF('Dados (F)'!$D$35=2,'Dados (F)'!$C$39,1))</f>
        <v>1</v>
      </c>
      <c r="F99" s="157">
        <f>'Quantitativos (A)'!D99*$D99*$E99</f>
        <v>0</v>
      </c>
      <c r="G99" s="157">
        <f>'Quantitativos (A)'!E99*$D99*$E99</f>
        <v>0</v>
      </c>
      <c r="H99" s="157">
        <f>'Quantitativos (A)'!F99*$D99*$E99</f>
        <v>0</v>
      </c>
      <c r="I99" s="157">
        <f>'Quantitativos (A)'!G99*$D99*$E99</f>
        <v>0</v>
      </c>
      <c r="J99" s="157">
        <f>'Quantitativos (A)'!H99*$D99*$E99</f>
        <v>0</v>
      </c>
      <c r="K99" s="157">
        <f>'Quantitativos (A)'!I99*$D99*$E99</f>
        <v>0</v>
      </c>
      <c r="L99" s="157">
        <f>'Quantitativos (A)'!J99*$D99*$E99</f>
        <v>0</v>
      </c>
      <c r="M99" s="157">
        <f>'Quantitativos (A)'!K99*$D99*$E99</f>
        <v>0</v>
      </c>
      <c r="N99" s="157">
        <f>'Quantitativos (A)'!L99*$D99*$E99</f>
        <v>0</v>
      </c>
      <c r="O99" s="157">
        <f>'Quantitativos (A)'!M99*$D99*$E99</f>
        <v>0</v>
      </c>
      <c r="P99" s="157">
        <f>'Quantitativos (A)'!N99*$D99*$E99</f>
        <v>10010.427831999999</v>
      </c>
      <c r="Q99" s="157">
        <f>'Quantitativos (A)'!O99*$D99*$E99</f>
        <v>10010.427831999999</v>
      </c>
      <c r="R99" s="157">
        <f>'Quantitativos (A)'!P99*$D99*$E99</f>
        <v>10010.427831999999</v>
      </c>
      <c r="S99" s="157">
        <f>'Quantitativos (A)'!Q99*$D99*$E99</f>
        <v>10010.427831999999</v>
      </c>
      <c r="T99" s="157">
        <f>'Quantitativos (A)'!R99*$D99*$E99</f>
        <v>10010.427831999999</v>
      </c>
      <c r="U99" s="157">
        <f>'Quantitativos (A)'!S99*$D99*$E99</f>
        <v>10010.427831999999</v>
      </c>
      <c r="V99" s="157">
        <f>'Quantitativos (A)'!T99*$D99*$E99</f>
        <v>10010.427831999999</v>
      </c>
      <c r="W99" s="157">
        <f>'Quantitativos (A)'!U99*$D99*$E99</f>
        <v>10010.427831999999</v>
      </c>
      <c r="X99" s="157">
        <f>'Quantitativos (A)'!V99*$D99*$E99</f>
        <v>10010.427831999999</v>
      </c>
      <c r="Y99" s="157">
        <f>'Quantitativos (A)'!W99*$D99*$E99</f>
        <v>10010.427831999999</v>
      </c>
      <c r="Z99" s="157">
        <f>'Quantitativos (A)'!X99*$D99*$E99</f>
        <v>0</v>
      </c>
      <c r="AA99" s="157">
        <f>'Quantitativos (A)'!Y99*$D99*$E99</f>
        <v>0</v>
      </c>
      <c r="AB99" s="157">
        <f>'Quantitativos (A)'!Z99*$D99*$E99</f>
        <v>0</v>
      </c>
      <c r="AC99" s="157">
        <f>'Quantitativos (A)'!AA99*$D99*$E99</f>
        <v>0</v>
      </c>
      <c r="AD99" s="157">
        <f>'Quantitativos (A)'!AB99*$D99*$E99</f>
        <v>0</v>
      </c>
      <c r="AE99" s="157">
        <f>'Quantitativos (A)'!AC99*$D99*$E99</f>
        <v>0</v>
      </c>
      <c r="AF99" s="157">
        <f>'Quantitativos (A)'!AD99*$D99*$E99</f>
        <v>0</v>
      </c>
      <c r="AG99" s="157">
        <f>'Quantitativos (A)'!AE99*$D99*$E99</f>
        <v>0</v>
      </c>
      <c r="AH99" s="157">
        <f>'Quantitativos (A)'!AF99*$D99*$E99</f>
        <v>0</v>
      </c>
      <c r="AI99" s="158">
        <f>'Quantitativos (A)'!AG99*$D99*$E99</f>
        <v>0</v>
      </c>
      <c r="AJ99" s="22"/>
    </row>
    <row r="100" spans="1:36" x14ac:dyDescent="0.25">
      <c r="A100" s="21"/>
      <c r="B100" s="120" t="s">
        <v>519</v>
      </c>
      <c r="C100" s="121"/>
      <c r="D100" s="155"/>
      <c r="E100" s="156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60"/>
      <c r="AJ100" s="22"/>
    </row>
    <row r="101" spans="1:36" ht="25.5" x14ac:dyDescent="0.25">
      <c r="A101" s="21"/>
      <c r="B101" s="129" t="s">
        <v>294</v>
      </c>
      <c r="C101" s="67" t="s">
        <v>65</v>
      </c>
      <c r="D101" s="157">
        <f>'Dados (F)'!$D$64</f>
        <v>296.22000000000003</v>
      </c>
      <c r="E101" s="125">
        <f>IF('Dados (F)'!$D$35=1,1,IF('Dados (F)'!$D$35=2,'Dados (F)'!$C$39,1))</f>
        <v>1</v>
      </c>
      <c r="F101" s="157">
        <f>'Quantitativos (A)'!D101*$D101*$E101</f>
        <v>6590.7468900000013</v>
      </c>
      <c r="G101" s="157">
        <f>'Quantitativos (A)'!E101*$D101*$E101</f>
        <v>6590.7468900000013</v>
      </c>
      <c r="H101" s="157">
        <f>'Quantitativos (A)'!F101*$D101*$E101</f>
        <v>6590.7468900000013</v>
      </c>
      <c r="I101" s="157">
        <f>'Quantitativos (A)'!G101*$D101*$E101</f>
        <v>11106.294948000001</v>
      </c>
      <c r="J101" s="157">
        <f>'Quantitativos (A)'!H101*$D101*$E101</f>
        <v>11106.294948000001</v>
      </c>
      <c r="K101" s="157">
        <f>'Quantitativos (A)'!I101*$D101*$E101</f>
        <v>11106.294948000001</v>
      </c>
      <c r="L101" s="157">
        <f>'Quantitativos (A)'!J101*$D101*$E101</f>
        <v>6590.7468900000013</v>
      </c>
      <c r="M101" s="157">
        <f>'Quantitativos (A)'!K101*$D101*$E101</f>
        <v>6590.7468900000013</v>
      </c>
      <c r="N101" s="157">
        <f>'Quantitativos (A)'!L101*$D101*$E101</f>
        <v>11106.294948000001</v>
      </c>
      <c r="O101" s="157">
        <f>'Quantitativos (A)'!M101*$D101*$E101</f>
        <v>11106.294948000001</v>
      </c>
      <c r="P101" s="157">
        <f>'Quantitativos (A)'!N101*$D101*$E101</f>
        <v>0</v>
      </c>
      <c r="Q101" s="157">
        <f>'Quantitativos (A)'!O101*$D101*$E101</f>
        <v>0</v>
      </c>
      <c r="R101" s="157">
        <f>'Quantitativos (A)'!P101*$D101*$E101</f>
        <v>0</v>
      </c>
      <c r="S101" s="157">
        <f>'Quantitativos (A)'!Q101*$D101*$E101</f>
        <v>0</v>
      </c>
      <c r="T101" s="157">
        <f>'Quantitativos (A)'!R101*$D101*$E101</f>
        <v>0</v>
      </c>
      <c r="U101" s="157">
        <f>'Quantitativos (A)'!S101*$D101*$E101</f>
        <v>0</v>
      </c>
      <c r="V101" s="157">
        <f>'Quantitativos (A)'!T101*$D101*$E101</f>
        <v>0</v>
      </c>
      <c r="W101" s="157">
        <f>'Quantitativos (A)'!U101*$D101*$E101</f>
        <v>0</v>
      </c>
      <c r="X101" s="157">
        <f>'Quantitativos (A)'!V101*$D101*$E101</f>
        <v>0</v>
      </c>
      <c r="Y101" s="157">
        <f>'Quantitativos (A)'!W101*$D101*$E101</f>
        <v>0</v>
      </c>
      <c r="Z101" s="157">
        <f>'Quantitativos (A)'!X101*$D101*$E101</f>
        <v>0</v>
      </c>
      <c r="AA101" s="157">
        <f>'Quantitativos (A)'!Y101*$D101*$E101</f>
        <v>0</v>
      </c>
      <c r="AB101" s="157">
        <f>'Quantitativos (A)'!Z101*$D101*$E101</f>
        <v>0</v>
      </c>
      <c r="AC101" s="157">
        <f>'Quantitativos (A)'!AA101*$D101*$E101</f>
        <v>0</v>
      </c>
      <c r="AD101" s="157">
        <f>'Quantitativos (A)'!AB101*$D101*$E101</f>
        <v>0</v>
      </c>
      <c r="AE101" s="157">
        <f>'Quantitativos (A)'!AC101*$D101*$E101</f>
        <v>0</v>
      </c>
      <c r="AF101" s="157">
        <f>'Quantitativos (A)'!AD101*$D101*$E101</f>
        <v>0</v>
      </c>
      <c r="AG101" s="157">
        <f>'Quantitativos (A)'!AE101*$D101*$E101</f>
        <v>0</v>
      </c>
      <c r="AH101" s="157">
        <f>'Quantitativos (A)'!AF101*$D101*$E101</f>
        <v>0</v>
      </c>
      <c r="AI101" s="158">
        <f>'Quantitativos (A)'!AG101*$D101*$E101</f>
        <v>0</v>
      </c>
      <c r="AJ101" s="22"/>
    </row>
    <row r="102" spans="1:36" x14ac:dyDescent="0.25">
      <c r="A102" s="21"/>
      <c r="B102" s="129" t="s">
        <v>290</v>
      </c>
      <c r="C102" s="67" t="s">
        <v>63</v>
      </c>
      <c r="D102" s="157">
        <f>'Dados (F)'!$D$65</f>
        <v>6.32</v>
      </c>
      <c r="E102" s="125">
        <f>IF('Dados (F)'!$D$35=1,1,IF('Dados (F)'!$D$35=2,'Dados (F)'!$C$39,1))</f>
        <v>1</v>
      </c>
      <c r="F102" s="157">
        <f>'Quantitativos (A)'!D102*$D102*$E102</f>
        <v>56.217664000000006</v>
      </c>
      <c r="G102" s="157">
        <f>'Quantitativos (A)'!E102*$D102*$E102</f>
        <v>56.217664000000006</v>
      </c>
      <c r="H102" s="157">
        <f>'Quantitativos (A)'!F102*$D102*$E102</f>
        <v>56.217664000000006</v>
      </c>
      <c r="I102" s="157">
        <f>'Quantitativos (A)'!G102*$D102*$E102</f>
        <v>94.7684</v>
      </c>
      <c r="J102" s="157">
        <f>'Quantitativos (A)'!H102*$D102*$E102</f>
        <v>94.7684</v>
      </c>
      <c r="K102" s="157">
        <f>'Quantitativos (A)'!I102*$D102*$E102</f>
        <v>94.7684</v>
      </c>
      <c r="L102" s="157">
        <f>'Quantitativos (A)'!J102*$D102*$E102</f>
        <v>56.217664000000006</v>
      </c>
      <c r="M102" s="157">
        <f>'Quantitativos (A)'!K102*$D102*$E102</f>
        <v>56.217664000000006</v>
      </c>
      <c r="N102" s="157">
        <f>'Quantitativos (A)'!L102*$D102*$E102</f>
        <v>94.7684</v>
      </c>
      <c r="O102" s="157">
        <f>'Quantitativos (A)'!M102*$D102*$E102</f>
        <v>94.7684</v>
      </c>
      <c r="P102" s="157">
        <f>'Quantitativos (A)'!N102*$D102*$E102</f>
        <v>0</v>
      </c>
      <c r="Q102" s="157">
        <f>'Quantitativos (A)'!O102*$D102*$E102</f>
        <v>0</v>
      </c>
      <c r="R102" s="157">
        <f>'Quantitativos (A)'!P102*$D102*$E102</f>
        <v>0</v>
      </c>
      <c r="S102" s="157">
        <f>'Quantitativos (A)'!Q102*$D102*$E102</f>
        <v>0</v>
      </c>
      <c r="T102" s="157">
        <f>'Quantitativos (A)'!R102*$D102*$E102</f>
        <v>0</v>
      </c>
      <c r="U102" s="157">
        <f>'Quantitativos (A)'!S102*$D102*$E102</f>
        <v>0</v>
      </c>
      <c r="V102" s="157">
        <f>'Quantitativos (A)'!T102*$D102*$E102</f>
        <v>0</v>
      </c>
      <c r="W102" s="157">
        <f>'Quantitativos (A)'!U102*$D102*$E102</f>
        <v>0</v>
      </c>
      <c r="X102" s="157">
        <f>'Quantitativos (A)'!V102*$D102*$E102</f>
        <v>0</v>
      </c>
      <c r="Y102" s="157">
        <f>'Quantitativos (A)'!W102*$D102*$E102</f>
        <v>0</v>
      </c>
      <c r="Z102" s="157">
        <f>'Quantitativos (A)'!X102*$D102*$E102</f>
        <v>0</v>
      </c>
      <c r="AA102" s="157">
        <f>'Quantitativos (A)'!Y102*$D102*$E102</f>
        <v>0</v>
      </c>
      <c r="AB102" s="157">
        <f>'Quantitativos (A)'!Z102*$D102*$E102</f>
        <v>0</v>
      </c>
      <c r="AC102" s="157">
        <f>'Quantitativos (A)'!AA102*$D102*$E102</f>
        <v>0</v>
      </c>
      <c r="AD102" s="157">
        <f>'Quantitativos (A)'!AB102*$D102*$E102</f>
        <v>0</v>
      </c>
      <c r="AE102" s="157">
        <f>'Quantitativos (A)'!AC102*$D102*$E102</f>
        <v>0</v>
      </c>
      <c r="AF102" s="157">
        <f>'Quantitativos (A)'!AD102*$D102*$E102</f>
        <v>0</v>
      </c>
      <c r="AG102" s="157">
        <f>'Quantitativos (A)'!AE102*$D102*$E102</f>
        <v>0</v>
      </c>
      <c r="AH102" s="157">
        <f>'Quantitativos (A)'!AF102*$D102*$E102</f>
        <v>0</v>
      </c>
      <c r="AI102" s="158">
        <f>'Quantitativos (A)'!AG102*$D102*$E102</f>
        <v>0</v>
      </c>
      <c r="AJ102" s="22"/>
    </row>
    <row r="103" spans="1:36" ht="25.5" x14ac:dyDescent="0.25">
      <c r="A103" s="21"/>
      <c r="B103" s="129" t="s">
        <v>295</v>
      </c>
      <c r="C103" s="67" t="s">
        <v>57</v>
      </c>
      <c r="D103" s="157">
        <f>'Dados (F)'!$D$110</f>
        <v>30.97</v>
      </c>
      <c r="E103" s="125">
        <f>IF('Dados (F)'!$D$35=1,1,IF('Dados (F)'!$D$35=2,'Dados (F)'!$C$39,1))</f>
        <v>1</v>
      </c>
      <c r="F103" s="157">
        <f>'Quantitativos (A)'!D103*$D103*$E103</f>
        <v>826.40348000000006</v>
      </c>
      <c r="G103" s="157">
        <f>'Quantitativos (A)'!E103*$D103*$E103</f>
        <v>826.40348000000006</v>
      </c>
      <c r="H103" s="157">
        <f>'Quantitativos (A)'!F103*$D103*$E103</f>
        <v>826.40348000000006</v>
      </c>
      <c r="I103" s="157">
        <f>'Quantitativos (A)'!G103*$D103*$E103</f>
        <v>3244.4791399999995</v>
      </c>
      <c r="J103" s="157">
        <f>'Quantitativos (A)'!H103*$D103*$E103</f>
        <v>3244.4791399999995</v>
      </c>
      <c r="K103" s="157">
        <f>'Quantitativos (A)'!I103*$D103*$E103</f>
        <v>3244.4791399999995</v>
      </c>
      <c r="L103" s="157">
        <f>'Quantitativos (A)'!J103*$D103*$E103</f>
        <v>826.40348000000006</v>
      </c>
      <c r="M103" s="157">
        <f>'Quantitativos (A)'!K103*$D103*$E103</f>
        <v>826.40348000000006</v>
      </c>
      <c r="N103" s="157">
        <f>'Quantitativos (A)'!L103*$D103*$E103</f>
        <v>3244.4791399999995</v>
      </c>
      <c r="O103" s="157">
        <f>'Quantitativos (A)'!M103*$D103*$E103</f>
        <v>3244.4791399999995</v>
      </c>
      <c r="P103" s="157">
        <f>'Quantitativos (A)'!N103*$D103*$E103</f>
        <v>0</v>
      </c>
      <c r="Q103" s="157">
        <f>'Quantitativos (A)'!O103*$D103*$E103</f>
        <v>0</v>
      </c>
      <c r="R103" s="157">
        <f>'Quantitativos (A)'!P103*$D103*$E103</f>
        <v>0</v>
      </c>
      <c r="S103" s="157">
        <f>'Quantitativos (A)'!Q103*$D103*$E103</f>
        <v>0</v>
      </c>
      <c r="T103" s="157">
        <f>'Quantitativos (A)'!R103*$D103*$E103</f>
        <v>0</v>
      </c>
      <c r="U103" s="157">
        <f>'Quantitativos (A)'!S103*$D103*$E103</f>
        <v>0</v>
      </c>
      <c r="V103" s="157">
        <f>'Quantitativos (A)'!T103*$D103*$E103</f>
        <v>0</v>
      </c>
      <c r="W103" s="157">
        <f>'Quantitativos (A)'!U103*$D103*$E103</f>
        <v>0</v>
      </c>
      <c r="X103" s="157">
        <f>'Quantitativos (A)'!V103*$D103*$E103</f>
        <v>0</v>
      </c>
      <c r="Y103" s="157">
        <f>'Quantitativos (A)'!W103*$D103*$E103</f>
        <v>0</v>
      </c>
      <c r="Z103" s="157">
        <f>'Quantitativos (A)'!X103*$D103*$E103</f>
        <v>0</v>
      </c>
      <c r="AA103" s="157">
        <f>'Quantitativos (A)'!Y103*$D103*$E103</f>
        <v>0</v>
      </c>
      <c r="AB103" s="157">
        <f>'Quantitativos (A)'!Z103*$D103*$E103</f>
        <v>0</v>
      </c>
      <c r="AC103" s="157">
        <f>'Quantitativos (A)'!AA103*$D103*$E103</f>
        <v>0</v>
      </c>
      <c r="AD103" s="157">
        <f>'Quantitativos (A)'!AB103*$D103*$E103</f>
        <v>0</v>
      </c>
      <c r="AE103" s="157">
        <f>'Quantitativos (A)'!AC103*$D103*$E103</f>
        <v>0</v>
      </c>
      <c r="AF103" s="157">
        <f>'Quantitativos (A)'!AD103*$D103*$E103</f>
        <v>0</v>
      </c>
      <c r="AG103" s="157">
        <f>'Quantitativos (A)'!AE103*$D103*$E103</f>
        <v>0</v>
      </c>
      <c r="AH103" s="157">
        <f>'Quantitativos (A)'!AF103*$D103*$E103</f>
        <v>0</v>
      </c>
      <c r="AI103" s="158">
        <f>'Quantitativos (A)'!AG103*$D103*$E103</f>
        <v>0</v>
      </c>
      <c r="AJ103" s="22"/>
    </row>
    <row r="104" spans="1:36" x14ac:dyDescent="0.25">
      <c r="A104" s="21"/>
      <c r="B104" s="27" t="s">
        <v>305</v>
      </c>
      <c r="C104" s="67" t="s">
        <v>63</v>
      </c>
      <c r="D104" s="157">
        <f>'Dados (F)'!$D$111</f>
        <v>6.01</v>
      </c>
      <c r="E104" s="125">
        <f>IF('Dados (F)'!$D$35=1,1,IF('Dados (F)'!$D$35=2,'Dados (F)'!$C$39,1))</f>
        <v>1</v>
      </c>
      <c r="F104" s="157">
        <f>'Quantitativos (A)'!D104*$D104*$E104</f>
        <v>4266.6336240000001</v>
      </c>
      <c r="G104" s="157">
        <f>'Quantitativos (A)'!E104*$D104*$E104</f>
        <v>4266.6336240000001</v>
      </c>
      <c r="H104" s="157">
        <f>'Quantitativos (A)'!F104*$D104*$E104</f>
        <v>4266.6336240000001</v>
      </c>
      <c r="I104" s="157">
        <f>'Quantitativos (A)'!G104*$D104*$E104</f>
        <v>2133.316812</v>
      </c>
      <c r="J104" s="157">
        <f>'Quantitativos (A)'!H104*$D104*$E104</f>
        <v>2133.316812</v>
      </c>
      <c r="K104" s="157">
        <f>'Quantitativos (A)'!I104*$D104*$E104</f>
        <v>2133.316812</v>
      </c>
      <c r="L104" s="157">
        <f>'Quantitativos (A)'!J104*$D104*$E104</f>
        <v>4266.6336240000001</v>
      </c>
      <c r="M104" s="157">
        <f>'Quantitativos (A)'!K104*$D104*$E104</f>
        <v>4266.6336240000001</v>
      </c>
      <c r="N104" s="157">
        <f>'Quantitativos (A)'!L104*$D104*$E104</f>
        <v>2133.316812</v>
      </c>
      <c r="O104" s="157">
        <f>'Quantitativos (A)'!M104*$D104*$E104</f>
        <v>2133.316812</v>
      </c>
      <c r="P104" s="157">
        <f>'Quantitativos (A)'!N104*$D104*$E104</f>
        <v>0</v>
      </c>
      <c r="Q104" s="157">
        <f>'Quantitativos (A)'!O104*$D104*$E104</f>
        <v>0</v>
      </c>
      <c r="R104" s="157">
        <f>'Quantitativos (A)'!P104*$D104*$E104</f>
        <v>0</v>
      </c>
      <c r="S104" s="157">
        <f>'Quantitativos (A)'!Q104*$D104*$E104</f>
        <v>0</v>
      </c>
      <c r="T104" s="157">
        <f>'Quantitativos (A)'!R104*$D104*$E104</f>
        <v>0</v>
      </c>
      <c r="U104" s="157">
        <f>'Quantitativos (A)'!S104*$D104*$E104</f>
        <v>0</v>
      </c>
      <c r="V104" s="157">
        <f>'Quantitativos (A)'!T104*$D104*$E104</f>
        <v>0</v>
      </c>
      <c r="W104" s="157">
        <f>'Quantitativos (A)'!U104*$D104*$E104</f>
        <v>0</v>
      </c>
      <c r="X104" s="157">
        <f>'Quantitativos (A)'!V104*$D104*$E104</f>
        <v>0</v>
      </c>
      <c r="Y104" s="157">
        <f>'Quantitativos (A)'!W104*$D104*$E104</f>
        <v>0</v>
      </c>
      <c r="Z104" s="157">
        <f>'Quantitativos (A)'!X104*$D104*$E104</f>
        <v>0</v>
      </c>
      <c r="AA104" s="157">
        <f>'Quantitativos (A)'!Y104*$D104*$E104</f>
        <v>0</v>
      </c>
      <c r="AB104" s="157">
        <f>'Quantitativos (A)'!Z104*$D104*$E104</f>
        <v>0</v>
      </c>
      <c r="AC104" s="157">
        <f>'Quantitativos (A)'!AA104*$D104*$E104</f>
        <v>0</v>
      </c>
      <c r="AD104" s="157">
        <f>'Quantitativos (A)'!AB104*$D104*$E104</f>
        <v>0</v>
      </c>
      <c r="AE104" s="157">
        <f>'Quantitativos (A)'!AC104*$D104*$E104</f>
        <v>0</v>
      </c>
      <c r="AF104" s="157">
        <f>'Quantitativos (A)'!AD104*$D104*$E104</f>
        <v>0</v>
      </c>
      <c r="AG104" s="157">
        <f>'Quantitativos (A)'!AE104*$D104*$E104</f>
        <v>0</v>
      </c>
      <c r="AH104" s="157">
        <f>'Quantitativos (A)'!AF104*$D104*$E104</f>
        <v>0</v>
      </c>
      <c r="AI104" s="158">
        <f>'Quantitativos (A)'!AG104*$D104*$E104</f>
        <v>0</v>
      </c>
      <c r="AJ104" s="22"/>
    </row>
    <row r="105" spans="1:36" x14ac:dyDescent="0.25">
      <c r="A105" s="21"/>
      <c r="B105" s="27" t="s">
        <v>465</v>
      </c>
      <c r="C105" s="67" t="s">
        <v>63</v>
      </c>
      <c r="D105" s="157">
        <f>'Dados (F)'!$D$112</f>
        <v>5.83</v>
      </c>
      <c r="E105" s="125">
        <f>IF('Dados (F)'!$D$35=1,1,IF('Dados (F)'!$D$35=2,'Dados (F)'!$C$39,1))</f>
        <v>1</v>
      </c>
      <c r="F105" s="157">
        <f>'Quantitativos (A)'!D105*$D105*$E105</f>
        <v>9689.7515000000003</v>
      </c>
      <c r="G105" s="157">
        <f>'Quantitativos (A)'!E105*$D105*$E105</f>
        <v>9689.7515000000003</v>
      </c>
      <c r="H105" s="157">
        <f>'Quantitativos (A)'!F105*$D105*$E105</f>
        <v>9689.7515000000003</v>
      </c>
      <c r="I105" s="157">
        <f>'Quantitativos (A)'!G105*$D105*$E105</f>
        <v>1789.8041700000006</v>
      </c>
      <c r="J105" s="157">
        <f>'Quantitativos (A)'!H105*$D105*$E105</f>
        <v>1789.8041700000006</v>
      </c>
      <c r="K105" s="157">
        <f>'Quantitativos (A)'!I105*$D105*$E105</f>
        <v>1789.8041700000006</v>
      </c>
      <c r="L105" s="157">
        <f>'Quantitativos (A)'!J105*$D105*$E105</f>
        <v>9689.7515000000003</v>
      </c>
      <c r="M105" s="157">
        <f>'Quantitativos (A)'!K105*$D105*$E105</f>
        <v>9689.7515000000003</v>
      </c>
      <c r="N105" s="157">
        <f>'Quantitativos (A)'!L105*$D105*$E105</f>
        <v>1789.8041700000006</v>
      </c>
      <c r="O105" s="157">
        <f>'Quantitativos (A)'!M105*$D105*$E105</f>
        <v>1789.8041700000006</v>
      </c>
      <c r="P105" s="157">
        <f>'Quantitativos (A)'!N105*$D105*$E105</f>
        <v>0</v>
      </c>
      <c r="Q105" s="157">
        <f>'Quantitativos (A)'!O105*$D105*$E105</f>
        <v>0</v>
      </c>
      <c r="R105" s="157">
        <f>'Quantitativos (A)'!P105*$D105*$E105</f>
        <v>0</v>
      </c>
      <c r="S105" s="157">
        <f>'Quantitativos (A)'!Q105*$D105*$E105</f>
        <v>0</v>
      </c>
      <c r="T105" s="157">
        <f>'Quantitativos (A)'!R105*$D105*$E105</f>
        <v>0</v>
      </c>
      <c r="U105" s="157">
        <f>'Quantitativos (A)'!S105*$D105*$E105</f>
        <v>0</v>
      </c>
      <c r="V105" s="157">
        <f>'Quantitativos (A)'!T105*$D105*$E105</f>
        <v>0</v>
      </c>
      <c r="W105" s="157">
        <f>'Quantitativos (A)'!U105*$D105*$E105</f>
        <v>0</v>
      </c>
      <c r="X105" s="157">
        <f>'Quantitativos (A)'!V105*$D105*$E105</f>
        <v>0</v>
      </c>
      <c r="Y105" s="157">
        <f>'Quantitativos (A)'!W105*$D105*$E105</f>
        <v>0</v>
      </c>
      <c r="Z105" s="157">
        <f>'Quantitativos (A)'!X105*$D105*$E105</f>
        <v>0</v>
      </c>
      <c r="AA105" s="157">
        <f>'Quantitativos (A)'!Y105*$D105*$E105</f>
        <v>0</v>
      </c>
      <c r="AB105" s="157">
        <f>'Quantitativos (A)'!Z105*$D105*$E105</f>
        <v>0</v>
      </c>
      <c r="AC105" s="157">
        <f>'Quantitativos (A)'!AA105*$D105*$E105</f>
        <v>0</v>
      </c>
      <c r="AD105" s="157">
        <f>'Quantitativos (A)'!AB105*$D105*$E105</f>
        <v>0</v>
      </c>
      <c r="AE105" s="157">
        <f>'Quantitativos (A)'!AC105*$D105*$E105</f>
        <v>0</v>
      </c>
      <c r="AF105" s="157">
        <f>'Quantitativos (A)'!AD105*$D105*$E105</f>
        <v>0</v>
      </c>
      <c r="AG105" s="157">
        <f>'Quantitativos (A)'!AE105*$D105*$E105</f>
        <v>0</v>
      </c>
      <c r="AH105" s="157">
        <f>'Quantitativos (A)'!AF105*$D105*$E105</f>
        <v>0</v>
      </c>
      <c r="AI105" s="158">
        <f>'Quantitativos (A)'!AG105*$D105*$E105</f>
        <v>0</v>
      </c>
      <c r="AJ105" s="22"/>
    </row>
    <row r="106" spans="1:36" x14ac:dyDescent="0.25">
      <c r="A106" s="21"/>
      <c r="B106" s="27" t="s">
        <v>522</v>
      </c>
      <c r="C106" s="67" t="s">
        <v>63</v>
      </c>
      <c r="D106" s="157">
        <f>'Dados (F)'!$D$135</f>
        <v>1.39</v>
      </c>
      <c r="E106" s="125">
        <f>IF('Dados (F)'!$D$35=1,1,'Dados (F)'!$C$39)</f>
        <v>1</v>
      </c>
      <c r="F106" s="157">
        <f>'Quantitativos (A)'!D106*$D106*$E106</f>
        <v>1318.8458999999996</v>
      </c>
      <c r="G106" s="157">
        <f>'Quantitativos (A)'!E106*$D106*$E106</f>
        <v>1318.8458999999996</v>
      </c>
      <c r="H106" s="157">
        <f>'Quantitativos (A)'!F106*$D106*$E106</f>
        <v>1318.8458999999996</v>
      </c>
      <c r="I106" s="157">
        <f>'Quantitativos (A)'!G106*$D106*$E106</f>
        <v>368.04142000000002</v>
      </c>
      <c r="J106" s="157">
        <f>'Quantitativos (A)'!H106*$D106*$E106</f>
        <v>368.04142000000002</v>
      </c>
      <c r="K106" s="157">
        <f>'Quantitativos (A)'!I106*$D106*$E106</f>
        <v>368.04142000000002</v>
      </c>
      <c r="L106" s="157">
        <f>'Quantitativos (A)'!J106*$D106*$E106</f>
        <v>1318.8458999999996</v>
      </c>
      <c r="M106" s="157">
        <f>'Quantitativos (A)'!K106*$D106*$E106</f>
        <v>1318.8458999999996</v>
      </c>
      <c r="N106" s="157">
        <f>'Quantitativos (A)'!L106*$D106*$E106</f>
        <v>368.04142000000002</v>
      </c>
      <c r="O106" s="157">
        <f>'Quantitativos (A)'!M106*$D106*$E106</f>
        <v>368.04142000000002</v>
      </c>
      <c r="P106" s="157">
        <f>'Quantitativos (A)'!N106*$D106*$E106</f>
        <v>0</v>
      </c>
      <c r="Q106" s="157">
        <f>'Quantitativos (A)'!O106*$D106*$E106</f>
        <v>0</v>
      </c>
      <c r="R106" s="157">
        <f>'Quantitativos (A)'!P106*$D106*$E106</f>
        <v>0</v>
      </c>
      <c r="S106" s="157">
        <f>'Quantitativos (A)'!Q106*$D106*$E106</f>
        <v>0</v>
      </c>
      <c r="T106" s="157">
        <f>'Quantitativos (A)'!R106*$D106*$E106</f>
        <v>0</v>
      </c>
      <c r="U106" s="157">
        <f>'Quantitativos (A)'!S106*$D106*$E106</f>
        <v>0</v>
      </c>
      <c r="V106" s="157">
        <f>'Quantitativos (A)'!T106*$D106*$E106</f>
        <v>0</v>
      </c>
      <c r="W106" s="157">
        <f>'Quantitativos (A)'!U106*$D106*$E106</f>
        <v>0</v>
      </c>
      <c r="X106" s="157">
        <f>'Quantitativos (A)'!V106*$D106*$E106</f>
        <v>0</v>
      </c>
      <c r="Y106" s="157">
        <f>'Quantitativos (A)'!W106*$D106*$E106</f>
        <v>0</v>
      </c>
      <c r="Z106" s="157">
        <f>'Quantitativos (A)'!X106*$D106*$E106</f>
        <v>0</v>
      </c>
      <c r="AA106" s="157">
        <f>'Quantitativos (A)'!Y106*$D106*$E106</f>
        <v>0</v>
      </c>
      <c r="AB106" s="157">
        <f>'Quantitativos (A)'!Z106*$D106*$E106</f>
        <v>0</v>
      </c>
      <c r="AC106" s="157">
        <f>'Quantitativos (A)'!AA106*$D106*$E106</f>
        <v>0</v>
      </c>
      <c r="AD106" s="157">
        <f>'Quantitativos (A)'!AB106*$D106*$E106</f>
        <v>0</v>
      </c>
      <c r="AE106" s="157">
        <f>'Quantitativos (A)'!AC106*$D106*$E106</f>
        <v>0</v>
      </c>
      <c r="AF106" s="157">
        <f>'Quantitativos (A)'!AD106*$D106*$E106</f>
        <v>0</v>
      </c>
      <c r="AG106" s="157">
        <f>'Quantitativos (A)'!AE106*$D106*$E106</f>
        <v>0</v>
      </c>
      <c r="AH106" s="157">
        <f>'Quantitativos (A)'!AF106*$D106*$E106</f>
        <v>0</v>
      </c>
      <c r="AI106" s="158">
        <f>'Quantitativos (A)'!AG106*$D106*$E106</f>
        <v>0</v>
      </c>
      <c r="AJ106" s="22"/>
    </row>
    <row r="107" spans="1:36" ht="25.5" x14ac:dyDescent="0.25">
      <c r="A107" s="21"/>
      <c r="B107" s="27" t="s">
        <v>516</v>
      </c>
      <c r="C107" s="67" t="s">
        <v>57</v>
      </c>
      <c r="D107" s="157">
        <f>'Dados (F)'!$D$136</f>
        <v>69.56</v>
      </c>
      <c r="E107" s="125">
        <f>IF('Dados (F)'!$D$35=1,1,'Dados (F)'!$C$39)</f>
        <v>1</v>
      </c>
      <c r="F107" s="157">
        <f>'Quantitativos (A)'!D107*$D107*$E107</f>
        <v>8085.0979199999992</v>
      </c>
      <c r="G107" s="157">
        <f>'Quantitativos (A)'!E107*$D107*$E107</f>
        <v>8085.0979199999992</v>
      </c>
      <c r="H107" s="157">
        <f>'Quantitativos (A)'!F107*$D107*$E107</f>
        <v>8085.0979199999992</v>
      </c>
      <c r="I107" s="157">
        <f>'Quantitativos (A)'!G107*$D107*$E107</f>
        <v>2123.7850519999997</v>
      </c>
      <c r="J107" s="157">
        <f>'Quantitativos (A)'!H107*$D107*$E107</f>
        <v>2123.7850519999997</v>
      </c>
      <c r="K107" s="157">
        <f>'Quantitativos (A)'!I107*$D107*$E107</f>
        <v>2123.7850519999997</v>
      </c>
      <c r="L107" s="157">
        <f>'Quantitativos (A)'!J107*$D107*$E107</f>
        <v>8085.0979199999992</v>
      </c>
      <c r="M107" s="157">
        <f>'Quantitativos (A)'!K107*$D107*$E107</f>
        <v>8085.0979199999992</v>
      </c>
      <c r="N107" s="157">
        <f>'Quantitativos (A)'!L107*$D107*$E107</f>
        <v>2123.7850519999997</v>
      </c>
      <c r="O107" s="157">
        <f>'Quantitativos (A)'!M107*$D107*$E107</f>
        <v>2123.7850519999997</v>
      </c>
      <c r="P107" s="157">
        <f>'Quantitativos (A)'!N107*$D107*$E107</f>
        <v>0</v>
      </c>
      <c r="Q107" s="157">
        <f>'Quantitativos (A)'!O107*$D107*$E107</f>
        <v>0</v>
      </c>
      <c r="R107" s="157">
        <f>'Quantitativos (A)'!P107*$D107*$E107</f>
        <v>0</v>
      </c>
      <c r="S107" s="157">
        <f>'Quantitativos (A)'!Q107*$D107*$E107</f>
        <v>0</v>
      </c>
      <c r="T107" s="157">
        <f>'Quantitativos (A)'!R107*$D107*$E107</f>
        <v>0</v>
      </c>
      <c r="U107" s="157">
        <f>'Quantitativos (A)'!S107*$D107*$E107</f>
        <v>0</v>
      </c>
      <c r="V107" s="157">
        <f>'Quantitativos (A)'!T107*$D107*$E107</f>
        <v>0</v>
      </c>
      <c r="W107" s="157">
        <f>'Quantitativos (A)'!U107*$D107*$E107</f>
        <v>0</v>
      </c>
      <c r="X107" s="157">
        <f>'Quantitativos (A)'!V107*$D107*$E107</f>
        <v>0</v>
      </c>
      <c r="Y107" s="157">
        <f>'Quantitativos (A)'!W107*$D107*$E107</f>
        <v>0</v>
      </c>
      <c r="Z107" s="157">
        <f>'Quantitativos (A)'!X107*$D107*$E107</f>
        <v>0</v>
      </c>
      <c r="AA107" s="157">
        <f>'Quantitativos (A)'!Y107*$D107*$E107</f>
        <v>0</v>
      </c>
      <c r="AB107" s="157">
        <f>'Quantitativos (A)'!Z107*$D107*$E107</f>
        <v>0</v>
      </c>
      <c r="AC107" s="157">
        <f>'Quantitativos (A)'!AA107*$D107*$E107</f>
        <v>0</v>
      </c>
      <c r="AD107" s="157">
        <f>'Quantitativos (A)'!AB107*$D107*$E107</f>
        <v>0</v>
      </c>
      <c r="AE107" s="157">
        <f>'Quantitativos (A)'!AC107*$D107*$E107</f>
        <v>0</v>
      </c>
      <c r="AF107" s="157">
        <f>'Quantitativos (A)'!AD107*$D107*$E107</f>
        <v>0</v>
      </c>
      <c r="AG107" s="157">
        <f>'Quantitativos (A)'!AE107*$D107*$E107</f>
        <v>0</v>
      </c>
      <c r="AH107" s="157">
        <f>'Quantitativos (A)'!AF107*$D107*$E107</f>
        <v>0</v>
      </c>
      <c r="AI107" s="158">
        <f>'Quantitativos (A)'!AG107*$D107*$E107</f>
        <v>0</v>
      </c>
      <c r="AJ107" s="22"/>
    </row>
    <row r="108" spans="1:36" ht="25.5" x14ac:dyDescent="0.25">
      <c r="A108" s="21"/>
      <c r="B108" s="27" t="s">
        <v>517</v>
      </c>
      <c r="C108" s="67" t="s">
        <v>57</v>
      </c>
      <c r="D108" s="157">
        <f>'Dados (F)'!$D$137</f>
        <v>69.56</v>
      </c>
      <c r="E108" s="125">
        <f>IF('Dados (F)'!$D$35=1,1,'Dados (F)'!$C$39)</f>
        <v>1</v>
      </c>
      <c r="F108" s="157">
        <f>'Quantitativos (A)'!D108*$D108*$E108</f>
        <v>8085.0979199999992</v>
      </c>
      <c r="G108" s="157">
        <f>'Quantitativos (A)'!E108*$D108*$E108</f>
        <v>8085.0979199999992</v>
      </c>
      <c r="H108" s="157">
        <f>'Quantitativos (A)'!F108*$D108*$E108</f>
        <v>8085.0979199999992</v>
      </c>
      <c r="I108" s="157">
        <f>'Quantitativos (A)'!G108*$D108*$E108</f>
        <v>2123.7850519999997</v>
      </c>
      <c r="J108" s="157">
        <f>'Quantitativos (A)'!H108*$D108*$E108</f>
        <v>2123.7850519999997</v>
      </c>
      <c r="K108" s="157">
        <f>'Quantitativos (A)'!I108*$D108*$E108</f>
        <v>2123.7850519999997</v>
      </c>
      <c r="L108" s="157">
        <f>'Quantitativos (A)'!J108*$D108*$E108</f>
        <v>8085.0979199999992</v>
      </c>
      <c r="M108" s="157">
        <f>'Quantitativos (A)'!K108*$D108*$E108</f>
        <v>8085.0979199999992</v>
      </c>
      <c r="N108" s="157">
        <f>'Quantitativos (A)'!L108*$D108*$E108</f>
        <v>2123.7850519999997</v>
      </c>
      <c r="O108" s="157">
        <f>'Quantitativos (A)'!M108*$D108*$E108</f>
        <v>2123.7850519999997</v>
      </c>
      <c r="P108" s="157">
        <f>'Quantitativos (A)'!N108*$D108*$E108</f>
        <v>0</v>
      </c>
      <c r="Q108" s="157">
        <f>'Quantitativos (A)'!O108*$D108*$E108</f>
        <v>0</v>
      </c>
      <c r="R108" s="157">
        <f>'Quantitativos (A)'!P108*$D108*$E108</f>
        <v>0</v>
      </c>
      <c r="S108" s="157">
        <f>'Quantitativos (A)'!Q108*$D108*$E108</f>
        <v>0</v>
      </c>
      <c r="T108" s="157">
        <f>'Quantitativos (A)'!R108*$D108*$E108</f>
        <v>0</v>
      </c>
      <c r="U108" s="157">
        <f>'Quantitativos (A)'!S108*$D108*$E108</f>
        <v>0</v>
      </c>
      <c r="V108" s="157">
        <f>'Quantitativos (A)'!T108*$D108*$E108</f>
        <v>0</v>
      </c>
      <c r="W108" s="157">
        <f>'Quantitativos (A)'!U108*$D108*$E108</f>
        <v>0</v>
      </c>
      <c r="X108" s="157">
        <f>'Quantitativos (A)'!V108*$D108*$E108</f>
        <v>0</v>
      </c>
      <c r="Y108" s="157">
        <f>'Quantitativos (A)'!W108*$D108*$E108</f>
        <v>0</v>
      </c>
      <c r="Z108" s="157">
        <f>'Quantitativos (A)'!X108*$D108*$E108</f>
        <v>0</v>
      </c>
      <c r="AA108" s="157">
        <f>'Quantitativos (A)'!Y108*$D108*$E108</f>
        <v>0</v>
      </c>
      <c r="AB108" s="157">
        <f>'Quantitativos (A)'!Z108*$D108*$E108</f>
        <v>0</v>
      </c>
      <c r="AC108" s="157">
        <f>'Quantitativos (A)'!AA108*$D108*$E108</f>
        <v>0</v>
      </c>
      <c r="AD108" s="157">
        <f>'Quantitativos (A)'!AB108*$D108*$E108</f>
        <v>0</v>
      </c>
      <c r="AE108" s="157">
        <f>'Quantitativos (A)'!AC108*$D108*$E108</f>
        <v>0</v>
      </c>
      <c r="AF108" s="157">
        <f>'Quantitativos (A)'!AD108*$D108*$E108</f>
        <v>0</v>
      </c>
      <c r="AG108" s="157">
        <f>'Quantitativos (A)'!AE108*$D108*$E108</f>
        <v>0</v>
      </c>
      <c r="AH108" s="157">
        <f>'Quantitativos (A)'!AF108*$D108*$E108</f>
        <v>0</v>
      </c>
      <c r="AI108" s="158">
        <f>'Quantitativos (A)'!AG108*$D108*$E108</f>
        <v>0</v>
      </c>
      <c r="AJ108" s="22"/>
    </row>
    <row r="109" spans="1:36" x14ac:dyDescent="0.25">
      <c r="A109" s="21"/>
      <c r="B109" s="27" t="s">
        <v>530</v>
      </c>
      <c r="C109" s="67" t="s">
        <v>65</v>
      </c>
      <c r="D109" s="157">
        <f>'Dados (F)'!$D$114</f>
        <v>633.75</v>
      </c>
      <c r="E109" s="125">
        <f>IF('Dados (F)'!$D$35=1,1,IF('Dados (F)'!$D$35=2,'Dados (F)'!$C$39,1))</f>
        <v>1</v>
      </c>
      <c r="F109" s="157">
        <f>'Quantitativos (A)'!D109*$D109*$E109</f>
        <v>455.60287500000004</v>
      </c>
      <c r="G109" s="157">
        <f>'Quantitativos (A)'!E109*$D109*$E109</f>
        <v>455.60287500000004</v>
      </c>
      <c r="H109" s="157">
        <f>'Quantitativos (A)'!F109*$D109*$E109</f>
        <v>455.60287500000004</v>
      </c>
      <c r="I109" s="157">
        <f>'Quantitativos (A)'!G109*$D109*$E109</f>
        <v>455.60287500000004</v>
      </c>
      <c r="J109" s="157">
        <f>'Quantitativos (A)'!H109*$D109*$E109</f>
        <v>455.60287500000004</v>
      </c>
      <c r="K109" s="157">
        <f>'Quantitativos (A)'!I109*$D109*$E109</f>
        <v>455.60287500000004</v>
      </c>
      <c r="L109" s="157">
        <f>'Quantitativos (A)'!J109*$D109*$E109</f>
        <v>455.60287500000004</v>
      </c>
      <c r="M109" s="157">
        <f>'Quantitativos (A)'!K109*$D109*$E109</f>
        <v>455.60287500000004</v>
      </c>
      <c r="N109" s="157">
        <f>'Quantitativos (A)'!L109*$D109*$E109</f>
        <v>455.60287500000004</v>
      </c>
      <c r="O109" s="157">
        <f>'Quantitativos (A)'!M109*$D109*$E109</f>
        <v>455.60287500000004</v>
      </c>
      <c r="P109" s="157">
        <f>'Quantitativos (A)'!N109*$D109*$E109</f>
        <v>0</v>
      </c>
      <c r="Q109" s="157">
        <f>'Quantitativos (A)'!O109*$D109*$E109</f>
        <v>0</v>
      </c>
      <c r="R109" s="157">
        <f>'Quantitativos (A)'!P109*$D109*$E109</f>
        <v>0</v>
      </c>
      <c r="S109" s="157">
        <f>'Quantitativos (A)'!Q109*$D109*$E109</f>
        <v>0</v>
      </c>
      <c r="T109" s="157">
        <f>'Quantitativos (A)'!R109*$D109*$E109</f>
        <v>0</v>
      </c>
      <c r="U109" s="157">
        <f>'Quantitativos (A)'!S109*$D109*$E109</f>
        <v>0</v>
      </c>
      <c r="V109" s="157">
        <f>'Quantitativos (A)'!T109*$D109*$E109</f>
        <v>0</v>
      </c>
      <c r="W109" s="157">
        <f>'Quantitativos (A)'!U109*$D109*$E109</f>
        <v>0</v>
      </c>
      <c r="X109" s="157">
        <f>'Quantitativos (A)'!V109*$D109*$E109</f>
        <v>0</v>
      </c>
      <c r="Y109" s="157">
        <f>'Quantitativos (A)'!W109*$D109*$E109</f>
        <v>0</v>
      </c>
      <c r="Z109" s="157">
        <f>'Quantitativos (A)'!X109*$D109*$E109</f>
        <v>0</v>
      </c>
      <c r="AA109" s="157">
        <f>'Quantitativos (A)'!Y109*$D109*$E109</f>
        <v>0</v>
      </c>
      <c r="AB109" s="157">
        <f>'Quantitativos (A)'!Z109*$D109*$E109</f>
        <v>0</v>
      </c>
      <c r="AC109" s="157">
        <f>'Quantitativos (A)'!AA109*$D109*$E109</f>
        <v>0</v>
      </c>
      <c r="AD109" s="157">
        <f>'Quantitativos (A)'!AB109*$D109*$E109</f>
        <v>0</v>
      </c>
      <c r="AE109" s="157">
        <f>'Quantitativos (A)'!AC109*$D109*$E109</f>
        <v>0</v>
      </c>
      <c r="AF109" s="157">
        <f>'Quantitativos (A)'!AD109*$D109*$E109</f>
        <v>0</v>
      </c>
      <c r="AG109" s="157">
        <f>'Quantitativos (A)'!AE109*$D109*$E109</f>
        <v>0</v>
      </c>
      <c r="AH109" s="157">
        <f>'Quantitativos (A)'!AF109*$D109*$E109</f>
        <v>0</v>
      </c>
      <c r="AI109" s="158">
        <f>'Quantitativos (A)'!AG109*$D109*$E109</f>
        <v>0</v>
      </c>
      <c r="AJ109" s="22"/>
    </row>
    <row r="110" spans="1:36" x14ac:dyDescent="0.25">
      <c r="A110" s="21"/>
      <c r="B110" s="27" t="s">
        <v>524</v>
      </c>
      <c r="C110" s="67" t="s">
        <v>65</v>
      </c>
      <c r="D110" s="157">
        <f>'Dados (F)'!$D$115</f>
        <v>621.17999999999995</v>
      </c>
      <c r="E110" s="125">
        <f>IF('Dados (F)'!$D$35=1,1,IF('Dados (F)'!$D$35=2,'Dados (F)'!$C$39,1))</f>
        <v>1</v>
      </c>
      <c r="F110" s="157">
        <f>'Quantitativos (A)'!D110*$D110*$E110</f>
        <v>446.56630200000001</v>
      </c>
      <c r="G110" s="157">
        <f>'Quantitativos (A)'!E110*$D110*$E110</f>
        <v>446.56630200000001</v>
      </c>
      <c r="H110" s="157">
        <f>'Quantitativos (A)'!F110*$D110*$E110</f>
        <v>446.56630200000001</v>
      </c>
      <c r="I110" s="157">
        <f>'Quantitativos (A)'!G110*$D110*$E110</f>
        <v>446.56630200000001</v>
      </c>
      <c r="J110" s="157">
        <f>'Quantitativos (A)'!H110*$D110*$E110</f>
        <v>446.56630200000001</v>
      </c>
      <c r="K110" s="157">
        <f>'Quantitativos (A)'!I110*$D110*$E110</f>
        <v>446.56630200000001</v>
      </c>
      <c r="L110" s="157">
        <f>'Quantitativos (A)'!J110*$D110*$E110</f>
        <v>446.56630200000001</v>
      </c>
      <c r="M110" s="157">
        <f>'Quantitativos (A)'!K110*$D110*$E110</f>
        <v>446.56630200000001</v>
      </c>
      <c r="N110" s="157">
        <f>'Quantitativos (A)'!L110*$D110*$E110</f>
        <v>446.56630200000001</v>
      </c>
      <c r="O110" s="157">
        <f>'Quantitativos (A)'!M110*$D110*$E110</f>
        <v>446.56630200000001</v>
      </c>
      <c r="P110" s="157">
        <f>'Quantitativos (A)'!N110*$D110*$E110</f>
        <v>0</v>
      </c>
      <c r="Q110" s="157">
        <f>'Quantitativos (A)'!O110*$D110*$E110</f>
        <v>0</v>
      </c>
      <c r="R110" s="157">
        <f>'Quantitativos (A)'!P110*$D110*$E110</f>
        <v>0</v>
      </c>
      <c r="S110" s="157">
        <f>'Quantitativos (A)'!Q110*$D110*$E110</f>
        <v>0</v>
      </c>
      <c r="T110" s="157">
        <f>'Quantitativos (A)'!R110*$D110*$E110</f>
        <v>0</v>
      </c>
      <c r="U110" s="157">
        <f>'Quantitativos (A)'!S110*$D110*$E110</f>
        <v>0</v>
      </c>
      <c r="V110" s="157">
        <f>'Quantitativos (A)'!T110*$D110*$E110</f>
        <v>0</v>
      </c>
      <c r="W110" s="157">
        <f>'Quantitativos (A)'!U110*$D110*$E110</f>
        <v>0</v>
      </c>
      <c r="X110" s="157">
        <f>'Quantitativos (A)'!V110*$D110*$E110</f>
        <v>0</v>
      </c>
      <c r="Y110" s="157">
        <f>'Quantitativos (A)'!W110*$D110*$E110</f>
        <v>0</v>
      </c>
      <c r="Z110" s="157">
        <f>'Quantitativos (A)'!X110*$D110*$E110</f>
        <v>0</v>
      </c>
      <c r="AA110" s="157">
        <f>'Quantitativos (A)'!Y110*$D110*$E110</f>
        <v>0</v>
      </c>
      <c r="AB110" s="157">
        <f>'Quantitativos (A)'!Z110*$D110*$E110</f>
        <v>0</v>
      </c>
      <c r="AC110" s="157">
        <f>'Quantitativos (A)'!AA110*$D110*$E110</f>
        <v>0</v>
      </c>
      <c r="AD110" s="157">
        <f>'Quantitativos (A)'!AB110*$D110*$E110</f>
        <v>0</v>
      </c>
      <c r="AE110" s="157">
        <f>'Quantitativos (A)'!AC110*$D110*$E110</f>
        <v>0</v>
      </c>
      <c r="AF110" s="157">
        <f>'Quantitativos (A)'!AD110*$D110*$E110</f>
        <v>0</v>
      </c>
      <c r="AG110" s="157">
        <f>'Quantitativos (A)'!AE110*$D110*$E110</f>
        <v>0</v>
      </c>
      <c r="AH110" s="157">
        <f>'Quantitativos (A)'!AF110*$D110*$E110</f>
        <v>0</v>
      </c>
      <c r="AI110" s="158">
        <f>'Quantitativos (A)'!AG110*$D110*$E110</f>
        <v>0</v>
      </c>
      <c r="AJ110" s="22"/>
    </row>
    <row r="111" spans="1:36" x14ac:dyDescent="0.25">
      <c r="A111" s="21"/>
      <c r="B111" s="27" t="s">
        <v>525</v>
      </c>
      <c r="C111" s="67" t="s">
        <v>65</v>
      </c>
      <c r="D111" s="157">
        <f>'Dados (F)'!$D$115</f>
        <v>621.17999999999995</v>
      </c>
      <c r="E111" s="125">
        <f>IF('Dados (F)'!$D$35=1,1,IF('Dados (F)'!$D$35=2,'Dados (F)'!$C$39,1))</f>
        <v>1</v>
      </c>
      <c r="F111" s="157">
        <f>'Quantitativos (A)'!D111*$D111*$E111</f>
        <v>893.13260400000001</v>
      </c>
      <c r="G111" s="157">
        <f>'Quantitativos (A)'!E111*$D111*$E111</f>
        <v>893.13260400000001</v>
      </c>
      <c r="H111" s="157">
        <f>'Quantitativos (A)'!F111*$D111*$E111</f>
        <v>893.13260400000001</v>
      </c>
      <c r="I111" s="157">
        <f>'Quantitativos (A)'!G111*$D111*$E111</f>
        <v>893.13260400000001</v>
      </c>
      <c r="J111" s="157">
        <f>'Quantitativos (A)'!H111*$D111*$E111</f>
        <v>893.13260400000001</v>
      </c>
      <c r="K111" s="157">
        <f>'Quantitativos (A)'!I111*$D111*$E111</f>
        <v>893.13260400000001</v>
      </c>
      <c r="L111" s="157">
        <f>'Quantitativos (A)'!J111*$D111*$E111</f>
        <v>893.13260400000001</v>
      </c>
      <c r="M111" s="157">
        <f>'Quantitativos (A)'!K111*$D111*$E111</f>
        <v>893.13260400000001</v>
      </c>
      <c r="N111" s="157">
        <f>'Quantitativos (A)'!L111*$D111*$E111</f>
        <v>893.13260400000001</v>
      </c>
      <c r="O111" s="157">
        <f>'Quantitativos (A)'!M111*$D111*$E111</f>
        <v>893.13260400000001</v>
      </c>
      <c r="P111" s="157">
        <f>'Quantitativos (A)'!N111*$D111*$E111</f>
        <v>0</v>
      </c>
      <c r="Q111" s="157">
        <f>'Quantitativos (A)'!O111*$D111*$E111</f>
        <v>0</v>
      </c>
      <c r="R111" s="157">
        <f>'Quantitativos (A)'!P111*$D111*$E111</f>
        <v>0</v>
      </c>
      <c r="S111" s="157">
        <f>'Quantitativos (A)'!Q111*$D111*$E111</f>
        <v>0</v>
      </c>
      <c r="T111" s="157">
        <f>'Quantitativos (A)'!R111*$D111*$E111</f>
        <v>0</v>
      </c>
      <c r="U111" s="157">
        <f>'Quantitativos (A)'!S111*$D111*$E111</f>
        <v>0</v>
      </c>
      <c r="V111" s="157">
        <f>'Quantitativos (A)'!T111*$D111*$E111</f>
        <v>0</v>
      </c>
      <c r="W111" s="157">
        <f>'Quantitativos (A)'!U111*$D111*$E111</f>
        <v>0</v>
      </c>
      <c r="X111" s="157">
        <f>'Quantitativos (A)'!V111*$D111*$E111</f>
        <v>0</v>
      </c>
      <c r="Y111" s="157">
        <f>'Quantitativos (A)'!W111*$D111*$E111</f>
        <v>0</v>
      </c>
      <c r="Z111" s="157">
        <f>'Quantitativos (A)'!X111*$D111*$E111</f>
        <v>0</v>
      </c>
      <c r="AA111" s="157">
        <f>'Quantitativos (A)'!Y111*$D111*$E111</f>
        <v>0</v>
      </c>
      <c r="AB111" s="157">
        <f>'Quantitativos (A)'!Z111*$D111*$E111</f>
        <v>0</v>
      </c>
      <c r="AC111" s="157">
        <f>'Quantitativos (A)'!AA111*$D111*$E111</f>
        <v>0</v>
      </c>
      <c r="AD111" s="157">
        <f>'Quantitativos (A)'!AB111*$D111*$E111</f>
        <v>0</v>
      </c>
      <c r="AE111" s="157">
        <f>'Quantitativos (A)'!AC111*$D111*$E111</f>
        <v>0</v>
      </c>
      <c r="AF111" s="157">
        <f>'Quantitativos (A)'!AD111*$D111*$E111</f>
        <v>0</v>
      </c>
      <c r="AG111" s="157">
        <f>'Quantitativos (A)'!AE111*$D111*$E111</f>
        <v>0</v>
      </c>
      <c r="AH111" s="157">
        <f>'Quantitativos (A)'!AF111*$D111*$E111</f>
        <v>0</v>
      </c>
      <c r="AI111" s="158">
        <f>'Quantitativos (A)'!AG111*$D111*$E111</f>
        <v>0</v>
      </c>
      <c r="AJ111" s="22"/>
    </row>
    <row r="112" spans="1:36" x14ac:dyDescent="0.25">
      <c r="A112" s="21"/>
      <c r="B112" s="27" t="s">
        <v>531</v>
      </c>
      <c r="C112" s="67" t="s">
        <v>65</v>
      </c>
      <c r="D112" s="157">
        <f>'Dados (F)'!$D$115</f>
        <v>621.17999999999995</v>
      </c>
      <c r="E112" s="125">
        <f>IF('Dados (F)'!$D$35=1,1,IF('Dados (F)'!$D$35=2,'Dados (F)'!$C$39,1))</f>
        <v>1</v>
      </c>
      <c r="F112" s="157">
        <f>'Quantitativos (A)'!D112*$D112*$E112</f>
        <v>1336.5308879999998</v>
      </c>
      <c r="G112" s="157">
        <f>'Quantitativos (A)'!E112*$D112*$E112</f>
        <v>1336.5308879999998</v>
      </c>
      <c r="H112" s="157">
        <f>'Quantitativos (A)'!F112*$D112*$E112</f>
        <v>1336.5308879999998</v>
      </c>
      <c r="I112" s="157">
        <f>'Quantitativos (A)'!G112*$D112*$E112</f>
        <v>1336.5308879999998</v>
      </c>
      <c r="J112" s="157">
        <f>'Quantitativos (A)'!H112*$D112*$E112</f>
        <v>1336.5308879999998</v>
      </c>
      <c r="K112" s="157">
        <f>'Quantitativos (A)'!I112*$D112*$E112</f>
        <v>1336.5308879999998</v>
      </c>
      <c r="L112" s="157">
        <f>'Quantitativos (A)'!J112*$D112*$E112</f>
        <v>1336.5308879999998</v>
      </c>
      <c r="M112" s="157">
        <f>'Quantitativos (A)'!K112*$D112*$E112</f>
        <v>1336.5308879999998</v>
      </c>
      <c r="N112" s="157">
        <f>'Quantitativos (A)'!L112*$D112*$E112</f>
        <v>1336.5308879999998</v>
      </c>
      <c r="O112" s="157">
        <f>'Quantitativos (A)'!M112*$D112*$E112</f>
        <v>1336.5308879999998</v>
      </c>
      <c r="P112" s="157">
        <f>'Quantitativos (A)'!N112*$D112*$E112</f>
        <v>0</v>
      </c>
      <c r="Q112" s="157">
        <f>'Quantitativos (A)'!O112*$D112*$E112</f>
        <v>0</v>
      </c>
      <c r="R112" s="157">
        <f>'Quantitativos (A)'!P112*$D112*$E112</f>
        <v>0</v>
      </c>
      <c r="S112" s="157">
        <f>'Quantitativos (A)'!Q112*$D112*$E112</f>
        <v>0</v>
      </c>
      <c r="T112" s="157">
        <f>'Quantitativos (A)'!R112*$D112*$E112</f>
        <v>0</v>
      </c>
      <c r="U112" s="157">
        <f>'Quantitativos (A)'!S112*$D112*$E112</f>
        <v>0</v>
      </c>
      <c r="V112" s="157">
        <f>'Quantitativos (A)'!T112*$D112*$E112</f>
        <v>0</v>
      </c>
      <c r="W112" s="157">
        <f>'Quantitativos (A)'!U112*$D112*$E112</f>
        <v>0</v>
      </c>
      <c r="X112" s="157">
        <f>'Quantitativos (A)'!V112*$D112*$E112</f>
        <v>0</v>
      </c>
      <c r="Y112" s="157">
        <f>'Quantitativos (A)'!W112*$D112*$E112</f>
        <v>0</v>
      </c>
      <c r="Z112" s="157">
        <f>'Quantitativos (A)'!X112*$D112*$E112</f>
        <v>0</v>
      </c>
      <c r="AA112" s="157">
        <f>'Quantitativos (A)'!Y112*$D112*$E112</f>
        <v>0</v>
      </c>
      <c r="AB112" s="157">
        <f>'Quantitativos (A)'!Z112*$D112*$E112</f>
        <v>0</v>
      </c>
      <c r="AC112" s="157">
        <f>'Quantitativos (A)'!AA112*$D112*$E112</f>
        <v>0</v>
      </c>
      <c r="AD112" s="157">
        <f>'Quantitativos (A)'!AB112*$D112*$E112</f>
        <v>0</v>
      </c>
      <c r="AE112" s="157">
        <f>'Quantitativos (A)'!AC112*$D112*$E112</f>
        <v>0</v>
      </c>
      <c r="AF112" s="157">
        <f>'Quantitativos (A)'!AD112*$D112*$E112</f>
        <v>0</v>
      </c>
      <c r="AG112" s="157">
        <f>'Quantitativos (A)'!AE112*$D112*$E112</f>
        <v>0</v>
      </c>
      <c r="AH112" s="157">
        <f>'Quantitativos (A)'!AF112*$D112*$E112</f>
        <v>0</v>
      </c>
      <c r="AI112" s="158">
        <f>'Quantitativos (A)'!AG112*$D112*$E112</f>
        <v>0</v>
      </c>
      <c r="AJ112" s="22"/>
    </row>
    <row r="113" spans="1:36" x14ac:dyDescent="0.25">
      <c r="A113" s="21"/>
      <c r="B113" s="27" t="s">
        <v>527</v>
      </c>
      <c r="C113" s="67" t="s">
        <v>65</v>
      </c>
      <c r="D113" s="157">
        <f>'Dados (F)'!$D$115</f>
        <v>621.17999999999995</v>
      </c>
      <c r="E113" s="125">
        <f>IF('Dados (F)'!$D$35=1,1,IF('Dados (F)'!$D$35=2,'Dados (F)'!$C$39,1))</f>
        <v>1</v>
      </c>
      <c r="F113" s="157">
        <f>'Quantitativos (A)'!D113*$D113*$E113</f>
        <v>2678.7145140000002</v>
      </c>
      <c r="G113" s="157">
        <f>'Quantitativos (A)'!E113*$D113*$E113</f>
        <v>2678.7145140000002</v>
      </c>
      <c r="H113" s="157">
        <f>'Quantitativos (A)'!F113*$D113*$E113</f>
        <v>2678.7145140000002</v>
      </c>
      <c r="I113" s="157">
        <f>'Quantitativos (A)'!G113*$D113*$E113</f>
        <v>2678.7145140000002</v>
      </c>
      <c r="J113" s="157">
        <f>'Quantitativos (A)'!H113*$D113*$E113</f>
        <v>2678.7145140000002</v>
      </c>
      <c r="K113" s="157">
        <f>'Quantitativos (A)'!I113*$D113*$E113</f>
        <v>2678.7145140000002</v>
      </c>
      <c r="L113" s="157">
        <f>'Quantitativos (A)'!J113*$D113*$E113</f>
        <v>2678.7145140000002</v>
      </c>
      <c r="M113" s="157">
        <f>'Quantitativos (A)'!K113*$D113*$E113</f>
        <v>2678.7145140000002</v>
      </c>
      <c r="N113" s="157">
        <f>'Quantitativos (A)'!L113*$D113*$E113</f>
        <v>2678.7145140000002</v>
      </c>
      <c r="O113" s="157">
        <f>'Quantitativos (A)'!M113*$D113*$E113</f>
        <v>2678.7145140000002</v>
      </c>
      <c r="P113" s="157">
        <f>'Quantitativos (A)'!N113*$D113*$E113</f>
        <v>0</v>
      </c>
      <c r="Q113" s="157">
        <f>'Quantitativos (A)'!O113*$D113*$E113</f>
        <v>0</v>
      </c>
      <c r="R113" s="157">
        <f>'Quantitativos (A)'!P113*$D113*$E113</f>
        <v>0</v>
      </c>
      <c r="S113" s="157">
        <f>'Quantitativos (A)'!Q113*$D113*$E113</f>
        <v>0</v>
      </c>
      <c r="T113" s="157">
        <f>'Quantitativos (A)'!R113*$D113*$E113</f>
        <v>0</v>
      </c>
      <c r="U113" s="157">
        <f>'Quantitativos (A)'!S113*$D113*$E113</f>
        <v>0</v>
      </c>
      <c r="V113" s="157">
        <f>'Quantitativos (A)'!T113*$D113*$E113</f>
        <v>0</v>
      </c>
      <c r="W113" s="157">
        <f>'Quantitativos (A)'!U113*$D113*$E113</f>
        <v>0</v>
      </c>
      <c r="X113" s="157">
        <f>'Quantitativos (A)'!V113*$D113*$E113</f>
        <v>0</v>
      </c>
      <c r="Y113" s="157">
        <f>'Quantitativos (A)'!W113*$D113*$E113</f>
        <v>0</v>
      </c>
      <c r="Z113" s="157">
        <f>'Quantitativos (A)'!X113*$D113*$E113</f>
        <v>0</v>
      </c>
      <c r="AA113" s="157">
        <f>'Quantitativos (A)'!Y113*$D113*$E113</f>
        <v>0</v>
      </c>
      <c r="AB113" s="157">
        <f>'Quantitativos (A)'!Z113*$D113*$E113</f>
        <v>0</v>
      </c>
      <c r="AC113" s="157">
        <f>'Quantitativos (A)'!AA113*$D113*$E113</f>
        <v>0</v>
      </c>
      <c r="AD113" s="157">
        <f>'Quantitativos (A)'!AB113*$D113*$E113</f>
        <v>0</v>
      </c>
      <c r="AE113" s="157">
        <f>'Quantitativos (A)'!AC113*$D113*$E113</f>
        <v>0</v>
      </c>
      <c r="AF113" s="157">
        <f>'Quantitativos (A)'!AD113*$D113*$E113</f>
        <v>0</v>
      </c>
      <c r="AG113" s="157">
        <f>'Quantitativos (A)'!AE113*$D113*$E113</f>
        <v>0</v>
      </c>
      <c r="AH113" s="157">
        <f>'Quantitativos (A)'!AF113*$D113*$E113</f>
        <v>0</v>
      </c>
      <c r="AI113" s="158">
        <f>'Quantitativos (A)'!AG113*$D113*$E113</f>
        <v>0</v>
      </c>
      <c r="AJ113" s="22"/>
    </row>
    <row r="114" spans="1:36" x14ac:dyDescent="0.25">
      <c r="A114" s="21"/>
      <c r="B114" s="120" t="s">
        <v>520</v>
      </c>
      <c r="C114" s="121"/>
      <c r="D114" s="155"/>
      <c r="E114" s="156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60"/>
      <c r="AJ114" s="22"/>
    </row>
    <row r="115" spans="1:36" ht="25.5" x14ac:dyDescent="0.25">
      <c r="A115" s="21"/>
      <c r="B115" s="129" t="s">
        <v>294</v>
      </c>
      <c r="C115" s="67" t="s">
        <v>65</v>
      </c>
      <c r="D115" s="157">
        <f>'Dados (F)'!$D$64</f>
        <v>296.22000000000003</v>
      </c>
      <c r="E115" s="125">
        <f>IF('Dados (F)'!$D$35=1,1,IF('Dados (F)'!$D$35=2,'Dados (F)'!$C$39,1))</f>
        <v>1</v>
      </c>
      <c r="F115" s="157">
        <f>'Quantitativos (A)'!D115*$D115*$E115</f>
        <v>1187.6348459999999</v>
      </c>
      <c r="G115" s="157">
        <f>'Quantitativos (A)'!E115*$D115*$E115</f>
        <v>1187.6348459999999</v>
      </c>
      <c r="H115" s="157">
        <f>'Quantitativos (A)'!F115*$D115*$E115</f>
        <v>1187.6348459999999</v>
      </c>
      <c r="I115" s="157">
        <f>'Quantitativos (A)'!G115*$D115*$E115</f>
        <v>4394.3348339999984</v>
      </c>
      <c r="J115" s="157">
        <f>'Quantitativos (A)'!H115*$D115*$E115</f>
        <v>4394.3348339999984</v>
      </c>
      <c r="K115" s="157">
        <f>'Quantitativos (A)'!I115*$D115*$E115</f>
        <v>4394.3348339999984</v>
      </c>
      <c r="L115" s="157">
        <f>'Quantitativos (A)'!J115*$D115*$E115</f>
        <v>1187.6348459999999</v>
      </c>
      <c r="M115" s="157">
        <f>'Quantitativos (A)'!K115*$D115*$E115</f>
        <v>1187.6348459999999</v>
      </c>
      <c r="N115" s="157">
        <f>'Quantitativos (A)'!L115*$D115*$E115</f>
        <v>4394.3348339999984</v>
      </c>
      <c r="O115" s="157">
        <f>'Quantitativos (A)'!M115*$D115*$E115</f>
        <v>4394.3348339999984</v>
      </c>
      <c r="P115" s="157">
        <f>'Quantitativos (A)'!N115*$D115*$E115</f>
        <v>0</v>
      </c>
      <c r="Q115" s="157">
        <f>'Quantitativos (A)'!O115*$D115*$E115</f>
        <v>0</v>
      </c>
      <c r="R115" s="157">
        <f>'Quantitativos (A)'!P115*$D115*$E115</f>
        <v>0</v>
      </c>
      <c r="S115" s="157">
        <f>'Quantitativos (A)'!Q115*$D115*$E115</f>
        <v>0</v>
      </c>
      <c r="T115" s="157">
        <f>'Quantitativos (A)'!R115*$D115*$E115</f>
        <v>0</v>
      </c>
      <c r="U115" s="157">
        <f>'Quantitativos (A)'!S115*$D115*$E115</f>
        <v>0</v>
      </c>
      <c r="V115" s="157">
        <f>'Quantitativos (A)'!T115*$D115*$E115</f>
        <v>0</v>
      </c>
      <c r="W115" s="157">
        <f>'Quantitativos (A)'!U115*$D115*$E115</f>
        <v>0</v>
      </c>
      <c r="X115" s="157">
        <f>'Quantitativos (A)'!V115*$D115*$E115</f>
        <v>0</v>
      </c>
      <c r="Y115" s="157">
        <f>'Quantitativos (A)'!W115*$D115*$E115</f>
        <v>0</v>
      </c>
      <c r="Z115" s="157">
        <f>'Quantitativos (A)'!X115*$D115*$E115</f>
        <v>1103.1825240000001</v>
      </c>
      <c r="AA115" s="157">
        <f>'Quantitativos (A)'!Y115*$D115*$E115</f>
        <v>1103.1825240000001</v>
      </c>
      <c r="AB115" s="157">
        <f>'Quantitativos (A)'!Z115*$D115*$E115</f>
        <v>1103.1825240000001</v>
      </c>
      <c r="AC115" s="157">
        <f>'Quantitativos (A)'!AA115*$D115*$E115</f>
        <v>4739.9643300000007</v>
      </c>
      <c r="AD115" s="157">
        <f>'Quantitativos (A)'!AB115*$D115*$E115</f>
        <v>4739.9643300000007</v>
      </c>
      <c r="AE115" s="157">
        <f>'Quantitativos (A)'!AC115*$D115*$E115</f>
        <v>4739.9643300000007</v>
      </c>
      <c r="AF115" s="157">
        <f>'Quantitativos (A)'!AD115*$D115*$E115</f>
        <v>1103.1825240000001</v>
      </c>
      <c r="AG115" s="157">
        <f>'Quantitativos (A)'!AE115*$D115*$E115</f>
        <v>1103.1825240000001</v>
      </c>
      <c r="AH115" s="157">
        <f>'Quantitativos (A)'!AF115*$D115*$E115</f>
        <v>4739.9643300000007</v>
      </c>
      <c r="AI115" s="158">
        <f>'Quantitativos (A)'!AG115*$D115*$E115</f>
        <v>4739.9643300000007</v>
      </c>
      <c r="AJ115" s="22"/>
    </row>
    <row r="116" spans="1:36" x14ac:dyDescent="0.25">
      <c r="A116" s="21"/>
      <c r="B116" s="129" t="s">
        <v>290</v>
      </c>
      <c r="C116" s="67" t="s">
        <v>63</v>
      </c>
      <c r="D116" s="157">
        <f>'Dados (F)'!$D$65</f>
        <v>6.32</v>
      </c>
      <c r="E116" s="125">
        <f>IF('Dados (F)'!$D$35=1,1,IF('Dados (F)'!$D$35=2,'Dados (F)'!$C$39,1))</f>
        <v>1</v>
      </c>
      <c r="F116" s="157">
        <f>'Quantitativos (A)'!D116*$D116*$E116</f>
        <v>10.150551999999999</v>
      </c>
      <c r="G116" s="157">
        <f>'Quantitativos (A)'!E116*$D116*$E116</f>
        <v>10.150551999999999</v>
      </c>
      <c r="H116" s="157">
        <f>'Quantitativos (A)'!F116*$D116*$E116</f>
        <v>10.150551999999999</v>
      </c>
      <c r="I116" s="157">
        <f>'Quantitativos (A)'!G116*$D116*$E116</f>
        <v>37.502247999999987</v>
      </c>
      <c r="J116" s="157">
        <f>'Quantitativos (A)'!H116*$D116*$E116</f>
        <v>37.502247999999987</v>
      </c>
      <c r="K116" s="157">
        <f>'Quantitativos (A)'!I116*$D116*$E116</f>
        <v>37.502247999999987</v>
      </c>
      <c r="L116" s="157">
        <f>'Quantitativos (A)'!J116*$D116*$E116</f>
        <v>10.150551999999999</v>
      </c>
      <c r="M116" s="157">
        <f>'Quantitativos (A)'!K116*$D116*$E116</f>
        <v>10.150551999999999</v>
      </c>
      <c r="N116" s="157">
        <f>'Quantitativos (A)'!L116*$D116*$E116</f>
        <v>37.502247999999987</v>
      </c>
      <c r="O116" s="157">
        <f>'Quantitativos (A)'!M116*$D116*$E116</f>
        <v>37.502247999999987</v>
      </c>
      <c r="P116" s="157">
        <f>'Quantitativos (A)'!N116*$D116*$E116</f>
        <v>0</v>
      </c>
      <c r="Q116" s="157">
        <f>'Quantitativos (A)'!O116*$D116*$E116</f>
        <v>0</v>
      </c>
      <c r="R116" s="157">
        <f>'Quantitativos (A)'!P116*$D116*$E116</f>
        <v>0</v>
      </c>
      <c r="S116" s="157">
        <f>'Quantitativos (A)'!Q116*$D116*$E116</f>
        <v>0</v>
      </c>
      <c r="T116" s="157">
        <f>'Quantitativos (A)'!R116*$D116*$E116</f>
        <v>0</v>
      </c>
      <c r="U116" s="157">
        <f>'Quantitativos (A)'!S116*$D116*$E116</f>
        <v>0</v>
      </c>
      <c r="V116" s="157">
        <f>'Quantitativos (A)'!T116*$D116*$E116</f>
        <v>0</v>
      </c>
      <c r="W116" s="157">
        <f>'Quantitativos (A)'!U116*$D116*$E116</f>
        <v>0</v>
      </c>
      <c r="X116" s="157">
        <f>'Quantitativos (A)'!V116*$D116*$E116</f>
        <v>0</v>
      </c>
      <c r="Y116" s="157">
        <f>'Quantitativos (A)'!W116*$D116*$E116</f>
        <v>0</v>
      </c>
      <c r="Z116" s="157">
        <f>'Quantitativos (A)'!X116*$D116*$E116</f>
        <v>9.4275439999999993</v>
      </c>
      <c r="AA116" s="157">
        <f>'Quantitativos (A)'!Y116*$D116*$E116</f>
        <v>9.4275439999999993</v>
      </c>
      <c r="AB116" s="157">
        <f>'Quantitativos (A)'!Z116*$D116*$E116</f>
        <v>9.4275439999999993</v>
      </c>
      <c r="AC116" s="157">
        <f>'Quantitativos (A)'!AA116*$D116*$E116</f>
        <v>40.475808000000008</v>
      </c>
      <c r="AD116" s="157">
        <f>'Quantitativos (A)'!AB116*$D116*$E116</f>
        <v>40.475808000000008</v>
      </c>
      <c r="AE116" s="157">
        <f>'Quantitativos (A)'!AC116*$D116*$E116</f>
        <v>40.475808000000008</v>
      </c>
      <c r="AF116" s="157">
        <f>'Quantitativos (A)'!AD116*$D116*$E116</f>
        <v>9.4275439999999993</v>
      </c>
      <c r="AG116" s="157">
        <f>'Quantitativos (A)'!AE116*$D116*$E116</f>
        <v>9.4275439999999993</v>
      </c>
      <c r="AH116" s="157">
        <f>'Quantitativos (A)'!AF116*$D116*$E116</f>
        <v>40.475808000000008</v>
      </c>
      <c r="AI116" s="158">
        <f>'Quantitativos (A)'!AG116*$D116*$E116</f>
        <v>40.475808000000008</v>
      </c>
      <c r="AJ116" s="22"/>
    </row>
    <row r="117" spans="1:36" ht="25.5" x14ac:dyDescent="0.25">
      <c r="A117" s="21"/>
      <c r="B117" s="129" t="s">
        <v>295</v>
      </c>
      <c r="C117" s="67" t="s">
        <v>57</v>
      </c>
      <c r="D117" s="157">
        <f>'Dados (F)'!$D$110</f>
        <v>30.97</v>
      </c>
      <c r="E117" s="125">
        <f>IF('Dados (F)'!$D$35=1,1,IF('Dados (F)'!$D$35=2,'Dados (F)'!$C$39,1))</f>
        <v>1</v>
      </c>
      <c r="F117" s="157">
        <f>'Quantitativos (A)'!D117*$D117*$E117</f>
        <v>175.41098300000004</v>
      </c>
      <c r="G117" s="157">
        <f>'Quantitativos (A)'!E117*$D117*$E117</f>
        <v>175.41098300000004</v>
      </c>
      <c r="H117" s="157">
        <f>'Quantitativos (A)'!F117*$D117*$E117</f>
        <v>175.41098300000004</v>
      </c>
      <c r="I117" s="157">
        <f>'Quantitativos (A)'!G117*$D117*$E117</f>
        <v>2793.6798199999998</v>
      </c>
      <c r="J117" s="157">
        <f>'Quantitativos (A)'!H117*$D117*$E117</f>
        <v>2793.6798199999998</v>
      </c>
      <c r="K117" s="157">
        <f>'Quantitativos (A)'!I117*$D117*$E117</f>
        <v>2793.6798199999998</v>
      </c>
      <c r="L117" s="157">
        <f>'Quantitativos (A)'!J117*$D117*$E117</f>
        <v>175.41098300000004</v>
      </c>
      <c r="M117" s="157">
        <f>'Quantitativos (A)'!K117*$D117*$E117</f>
        <v>175.41098300000004</v>
      </c>
      <c r="N117" s="157">
        <f>'Quantitativos (A)'!L117*$D117*$E117</f>
        <v>2793.6798199999998</v>
      </c>
      <c r="O117" s="157">
        <f>'Quantitativos (A)'!M117*$D117*$E117</f>
        <v>2793.6798199999998</v>
      </c>
      <c r="P117" s="157">
        <f>'Quantitativos (A)'!N117*$D117*$E117</f>
        <v>0</v>
      </c>
      <c r="Q117" s="157">
        <f>'Quantitativos (A)'!O117*$D117*$E117</f>
        <v>0</v>
      </c>
      <c r="R117" s="157">
        <f>'Quantitativos (A)'!P117*$D117*$E117</f>
        <v>0</v>
      </c>
      <c r="S117" s="157">
        <f>'Quantitativos (A)'!Q117*$D117*$E117</f>
        <v>0</v>
      </c>
      <c r="T117" s="157">
        <f>'Quantitativos (A)'!R117*$D117*$E117</f>
        <v>0</v>
      </c>
      <c r="U117" s="157">
        <f>'Quantitativos (A)'!S117*$D117*$E117</f>
        <v>0</v>
      </c>
      <c r="V117" s="157">
        <f>'Quantitativos (A)'!T117*$D117*$E117</f>
        <v>0</v>
      </c>
      <c r="W117" s="157">
        <f>'Quantitativos (A)'!U117*$D117*$E117</f>
        <v>0</v>
      </c>
      <c r="X117" s="157">
        <f>'Quantitativos (A)'!V117*$D117*$E117</f>
        <v>0</v>
      </c>
      <c r="Y117" s="157">
        <f>'Quantitativos (A)'!W117*$D117*$E117</f>
        <v>0</v>
      </c>
      <c r="Z117" s="157">
        <f>'Quantitativos (A)'!X117*$D117*$E117</f>
        <v>169.09619999999995</v>
      </c>
      <c r="AA117" s="157">
        <f>'Quantitativos (A)'!Y117*$D117*$E117</f>
        <v>169.09619999999995</v>
      </c>
      <c r="AB117" s="157">
        <f>'Quantitativos (A)'!Z117*$D117*$E117</f>
        <v>169.09619999999995</v>
      </c>
      <c r="AC117" s="157">
        <f>'Quantitativos (A)'!AA117*$D117*$E117</f>
        <v>3315.2765599999989</v>
      </c>
      <c r="AD117" s="157">
        <f>'Quantitativos (A)'!AB117*$D117*$E117</f>
        <v>3315.2765599999989</v>
      </c>
      <c r="AE117" s="157">
        <f>'Quantitativos (A)'!AC117*$D117*$E117</f>
        <v>3315.2765599999989</v>
      </c>
      <c r="AF117" s="157">
        <f>'Quantitativos (A)'!AD117*$D117*$E117</f>
        <v>169.09619999999995</v>
      </c>
      <c r="AG117" s="157">
        <f>'Quantitativos (A)'!AE117*$D117*$E117</f>
        <v>169.09619999999995</v>
      </c>
      <c r="AH117" s="157">
        <f>'Quantitativos (A)'!AF117*$D117*$E117</f>
        <v>3315.2765599999989</v>
      </c>
      <c r="AI117" s="158">
        <f>'Quantitativos (A)'!AG117*$D117*$E117</f>
        <v>3315.2765599999989</v>
      </c>
      <c r="AJ117" s="22"/>
    </row>
    <row r="118" spans="1:36" x14ac:dyDescent="0.25">
      <c r="A118" s="21"/>
      <c r="B118" s="27" t="s">
        <v>305</v>
      </c>
      <c r="C118" s="67" t="s">
        <v>63</v>
      </c>
      <c r="D118" s="157">
        <f>'Dados (F)'!$D$111</f>
        <v>6.01</v>
      </c>
      <c r="E118" s="125">
        <f>IF('Dados (F)'!$D$35=1,1,IF('Dados (F)'!$D$35=2,'Dados (F)'!$C$39,1))</f>
        <v>1</v>
      </c>
      <c r="F118" s="157">
        <f>'Quantitativos (A)'!D118*$D118*$E118</f>
        <v>3031.90076</v>
      </c>
      <c r="G118" s="157">
        <f>'Quantitativos (A)'!E118*$D118*$E118</f>
        <v>3031.90076</v>
      </c>
      <c r="H118" s="157">
        <f>'Quantitativos (A)'!F118*$D118*$E118</f>
        <v>3031.90076</v>
      </c>
      <c r="I118" s="157">
        <f>'Quantitativos (A)'!G118*$D118*$E118</f>
        <v>1515.95038</v>
      </c>
      <c r="J118" s="157">
        <f>'Quantitativos (A)'!H118*$D118*$E118</f>
        <v>1515.95038</v>
      </c>
      <c r="K118" s="157">
        <f>'Quantitativos (A)'!I118*$D118*$E118</f>
        <v>1515.95038</v>
      </c>
      <c r="L118" s="157">
        <f>'Quantitativos (A)'!J118*$D118*$E118</f>
        <v>3031.90076</v>
      </c>
      <c r="M118" s="157">
        <f>'Quantitativos (A)'!K118*$D118*$E118</f>
        <v>3031.90076</v>
      </c>
      <c r="N118" s="157">
        <f>'Quantitativos (A)'!L118*$D118*$E118</f>
        <v>1515.95038</v>
      </c>
      <c r="O118" s="157">
        <f>'Quantitativos (A)'!M118*$D118*$E118</f>
        <v>1515.95038</v>
      </c>
      <c r="P118" s="157">
        <f>'Quantitativos (A)'!N118*$D118*$E118</f>
        <v>0</v>
      </c>
      <c r="Q118" s="157">
        <f>'Quantitativos (A)'!O118*$D118*$E118</f>
        <v>0</v>
      </c>
      <c r="R118" s="157">
        <f>'Quantitativos (A)'!P118*$D118*$E118</f>
        <v>0</v>
      </c>
      <c r="S118" s="157">
        <f>'Quantitativos (A)'!Q118*$D118*$E118</f>
        <v>0</v>
      </c>
      <c r="T118" s="157">
        <f>'Quantitativos (A)'!R118*$D118*$E118</f>
        <v>0</v>
      </c>
      <c r="U118" s="157">
        <f>'Quantitativos (A)'!S118*$D118*$E118</f>
        <v>0</v>
      </c>
      <c r="V118" s="157">
        <f>'Quantitativos (A)'!T118*$D118*$E118</f>
        <v>0</v>
      </c>
      <c r="W118" s="157">
        <f>'Quantitativos (A)'!U118*$D118*$E118</f>
        <v>0</v>
      </c>
      <c r="X118" s="157">
        <f>'Quantitativos (A)'!V118*$D118*$E118</f>
        <v>0</v>
      </c>
      <c r="Y118" s="157">
        <f>'Quantitativos (A)'!W118*$D118*$E118</f>
        <v>0</v>
      </c>
      <c r="Z118" s="157">
        <f>'Quantitativos (A)'!X118*$D118*$E118</f>
        <v>3031.90076</v>
      </c>
      <c r="AA118" s="157">
        <f>'Quantitativos (A)'!Y118*$D118*$E118</f>
        <v>3031.90076</v>
      </c>
      <c r="AB118" s="157">
        <f>'Quantitativos (A)'!Z118*$D118*$E118</f>
        <v>3031.90076</v>
      </c>
      <c r="AC118" s="157">
        <f>'Quantitativos (A)'!AA118*$D118*$E118</f>
        <v>1515.95038</v>
      </c>
      <c r="AD118" s="157">
        <f>'Quantitativos (A)'!AB118*$D118*$E118</f>
        <v>1515.95038</v>
      </c>
      <c r="AE118" s="157">
        <f>'Quantitativos (A)'!AC118*$D118*$E118</f>
        <v>1515.95038</v>
      </c>
      <c r="AF118" s="157">
        <f>'Quantitativos (A)'!AD118*$D118*$E118</f>
        <v>3031.90076</v>
      </c>
      <c r="AG118" s="157">
        <f>'Quantitativos (A)'!AE118*$D118*$E118</f>
        <v>3031.90076</v>
      </c>
      <c r="AH118" s="157">
        <f>'Quantitativos (A)'!AF118*$D118*$E118</f>
        <v>1515.95038</v>
      </c>
      <c r="AI118" s="158">
        <f>'Quantitativos (A)'!AG118*$D118*$E118</f>
        <v>1515.95038</v>
      </c>
      <c r="AJ118" s="22"/>
    </row>
    <row r="119" spans="1:36" x14ac:dyDescent="0.25">
      <c r="A119" s="21"/>
      <c r="B119" s="27" t="s">
        <v>465</v>
      </c>
      <c r="C119" s="67" t="s">
        <v>63</v>
      </c>
      <c r="D119" s="157">
        <f>'Dados (F)'!$D$112</f>
        <v>5.83</v>
      </c>
      <c r="E119" s="125">
        <f>IF('Dados (F)'!$D$35=1,1,IF('Dados (F)'!$D$35=2,'Dados (F)'!$C$39,1))</f>
        <v>1</v>
      </c>
      <c r="F119" s="157">
        <f>'Quantitativos (A)'!D119*$D119*$E119</f>
        <v>9956.8238000000001</v>
      </c>
      <c r="G119" s="157">
        <f>'Quantitativos (A)'!E119*$D119*$E119</f>
        <v>9956.8238000000001</v>
      </c>
      <c r="H119" s="157">
        <f>'Quantitativos (A)'!F119*$D119*$E119</f>
        <v>9956.8238000000001</v>
      </c>
      <c r="I119" s="157">
        <f>'Quantitativos (A)'!G119*$D119*$E119</f>
        <v>1383.5173</v>
      </c>
      <c r="J119" s="157">
        <f>'Quantitativos (A)'!H119*$D119*$E119</f>
        <v>1383.5173</v>
      </c>
      <c r="K119" s="157">
        <f>'Quantitativos (A)'!I119*$D119*$E119</f>
        <v>1383.5173</v>
      </c>
      <c r="L119" s="157">
        <f>'Quantitativos (A)'!J119*$D119*$E119</f>
        <v>9956.8238000000001</v>
      </c>
      <c r="M119" s="157">
        <f>'Quantitativos (A)'!K119*$D119*$E119</f>
        <v>9956.8238000000001</v>
      </c>
      <c r="N119" s="157">
        <f>'Quantitativos (A)'!L119*$D119*$E119</f>
        <v>1383.5173</v>
      </c>
      <c r="O119" s="157">
        <f>'Quantitativos (A)'!M119*$D119*$E119</f>
        <v>1383.5173</v>
      </c>
      <c r="P119" s="157">
        <f>'Quantitativos (A)'!N119*$D119*$E119</f>
        <v>0</v>
      </c>
      <c r="Q119" s="157">
        <f>'Quantitativos (A)'!O119*$D119*$E119</f>
        <v>0</v>
      </c>
      <c r="R119" s="157">
        <f>'Quantitativos (A)'!P119*$D119*$E119</f>
        <v>0</v>
      </c>
      <c r="S119" s="157">
        <f>'Quantitativos (A)'!Q119*$D119*$E119</f>
        <v>0</v>
      </c>
      <c r="T119" s="157">
        <f>'Quantitativos (A)'!R119*$D119*$E119</f>
        <v>0</v>
      </c>
      <c r="U119" s="157">
        <f>'Quantitativos (A)'!S119*$D119*$E119</f>
        <v>0</v>
      </c>
      <c r="V119" s="157">
        <f>'Quantitativos (A)'!T119*$D119*$E119</f>
        <v>0</v>
      </c>
      <c r="W119" s="157">
        <f>'Quantitativos (A)'!U119*$D119*$E119</f>
        <v>0</v>
      </c>
      <c r="X119" s="157">
        <f>'Quantitativos (A)'!V119*$D119*$E119</f>
        <v>0</v>
      </c>
      <c r="Y119" s="157">
        <f>'Quantitativos (A)'!W119*$D119*$E119</f>
        <v>0</v>
      </c>
      <c r="Z119" s="157">
        <f>'Quantitativos (A)'!X119*$D119*$E119</f>
        <v>11643.967500000001</v>
      </c>
      <c r="AA119" s="157">
        <f>'Quantitativos (A)'!Y119*$D119*$E119</f>
        <v>11643.967500000001</v>
      </c>
      <c r="AB119" s="157">
        <f>'Quantitativos (A)'!Z119*$D119*$E119</f>
        <v>11643.967500000001</v>
      </c>
      <c r="AC119" s="157">
        <f>'Quantitativos (A)'!AA119*$D119*$E119</f>
        <v>1422.32178</v>
      </c>
      <c r="AD119" s="157">
        <f>'Quantitativos (A)'!AB119*$D119*$E119</f>
        <v>1422.32178</v>
      </c>
      <c r="AE119" s="157">
        <f>'Quantitativos (A)'!AC119*$D119*$E119</f>
        <v>1422.32178</v>
      </c>
      <c r="AF119" s="157">
        <f>'Quantitativos (A)'!AD119*$D119*$E119</f>
        <v>11643.967500000001</v>
      </c>
      <c r="AG119" s="157">
        <f>'Quantitativos (A)'!AE119*$D119*$E119</f>
        <v>11643.967500000001</v>
      </c>
      <c r="AH119" s="157">
        <f>'Quantitativos (A)'!AF119*$D119*$E119</f>
        <v>1422.32178</v>
      </c>
      <c r="AI119" s="158">
        <f>'Quantitativos (A)'!AG119*$D119*$E119</f>
        <v>1422.32178</v>
      </c>
      <c r="AJ119" s="22"/>
    </row>
    <row r="120" spans="1:36" x14ac:dyDescent="0.25">
      <c r="A120" s="21"/>
      <c r="B120" s="27" t="s">
        <v>522</v>
      </c>
      <c r="C120" s="67" t="s">
        <v>63</v>
      </c>
      <c r="D120" s="157">
        <f>'Dados (F)'!$D$135</f>
        <v>1.39</v>
      </c>
      <c r="E120" s="125">
        <f>IF('Dados (F)'!$D$35=1,1,'Dados (F)'!$C$39)</f>
        <v>1</v>
      </c>
      <c r="F120" s="157">
        <f>'Quantitativos (A)'!D120*$D120*$E120</f>
        <v>1229.9832000000001</v>
      </c>
      <c r="G120" s="157">
        <f>'Quantitativos (A)'!E120*$D120*$E120</f>
        <v>1229.9832000000001</v>
      </c>
      <c r="H120" s="157">
        <f>'Quantitativos (A)'!F120*$D120*$E120</f>
        <v>1229.9832000000001</v>
      </c>
      <c r="I120" s="157">
        <f>'Quantitativos (A)'!G120*$D120*$E120</f>
        <v>272.19675000000001</v>
      </c>
      <c r="J120" s="157">
        <f>'Quantitativos (A)'!H120*$D120*$E120</f>
        <v>272.19675000000001</v>
      </c>
      <c r="K120" s="157">
        <f>'Quantitativos (A)'!I120*$D120*$E120</f>
        <v>272.19675000000001</v>
      </c>
      <c r="L120" s="157">
        <f>'Quantitativos (A)'!J120*$D120*$E120</f>
        <v>1229.9832000000001</v>
      </c>
      <c r="M120" s="157">
        <f>'Quantitativos (A)'!K120*$D120*$E120</f>
        <v>1229.9832000000001</v>
      </c>
      <c r="N120" s="157">
        <f>'Quantitativos (A)'!L120*$D120*$E120</f>
        <v>272.19675000000001</v>
      </c>
      <c r="O120" s="157">
        <f>'Quantitativos (A)'!M120*$D120*$E120</f>
        <v>272.19675000000001</v>
      </c>
      <c r="P120" s="157">
        <f>'Quantitativos (A)'!N120*$D120*$E120</f>
        <v>0</v>
      </c>
      <c r="Q120" s="157">
        <f>'Quantitativos (A)'!O120*$D120*$E120</f>
        <v>0</v>
      </c>
      <c r="R120" s="157">
        <f>'Quantitativos (A)'!P120*$D120*$E120</f>
        <v>0</v>
      </c>
      <c r="S120" s="157">
        <f>'Quantitativos (A)'!Q120*$D120*$E120</f>
        <v>0</v>
      </c>
      <c r="T120" s="157">
        <f>'Quantitativos (A)'!R120*$D120*$E120</f>
        <v>0</v>
      </c>
      <c r="U120" s="157">
        <f>'Quantitativos (A)'!S120*$D120*$E120</f>
        <v>0</v>
      </c>
      <c r="V120" s="157">
        <f>'Quantitativos (A)'!T120*$D120*$E120</f>
        <v>0</v>
      </c>
      <c r="W120" s="157">
        <f>'Quantitativos (A)'!U120*$D120*$E120</f>
        <v>0</v>
      </c>
      <c r="X120" s="157">
        <f>'Quantitativos (A)'!V120*$D120*$E120</f>
        <v>0</v>
      </c>
      <c r="Y120" s="157">
        <f>'Quantitativos (A)'!W120*$D120*$E120</f>
        <v>0</v>
      </c>
      <c r="Z120" s="157">
        <f>'Quantitativos (A)'!X120*$D120*$E120</f>
        <v>1390.9312999999997</v>
      </c>
      <c r="AA120" s="157">
        <f>'Quantitativos (A)'!Y120*$D120*$E120</f>
        <v>1390.9312999999997</v>
      </c>
      <c r="AB120" s="157">
        <f>'Quantitativos (A)'!Z120*$D120*$E120</f>
        <v>1390.9312999999997</v>
      </c>
      <c r="AC120" s="157">
        <f>'Quantitativos (A)'!AA120*$D120*$E120</f>
        <v>275.88164</v>
      </c>
      <c r="AD120" s="157">
        <f>'Quantitativos (A)'!AB120*$D120*$E120</f>
        <v>275.88164</v>
      </c>
      <c r="AE120" s="157">
        <f>'Quantitativos (A)'!AC120*$D120*$E120</f>
        <v>275.88164</v>
      </c>
      <c r="AF120" s="157">
        <f>'Quantitativos (A)'!AD120*$D120*$E120</f>
        <v>1390.9312999999997</v>
      </c>
      <c r="AG120" s="157">
        <f>'Quantitativos (A)'!AE120*$D120*$E120</f>
        <v>1390.9312999999997</v>
      </c>
      <c r="AH120" s="157">
        <f>'Quantitativos (A)'!AF120*$D120*$E120</f>
        <v>275.88164</v>
      </c>
      <c r="AI120" s="158">
        <f>'Quantitativos (A)'!AG120*$D120*$E120</f>
        <v>275.88164</v>
      </c>
      <c r="AJ120" s="22"/>
    </row>
    <row r="121" spans="1:36" ht="25.5" x14ac:dyDescent="0.25">
      <c r="A121" s="21"/>
      <c r="B121" s="27" t="s">
        <v>516</v>
      </c>
      <c r="C121" s="67" t="s">
        <v>57</v>
      </c>
      <c r="D121" s="157">
        <f>'Dados (F)'!$D$136</f>
        <v>69.56</v>
      </c>
      <c r="E121" s="125">
        <f>IF('Dados (F)'!$D$35=1,1,'Dados (F)'!$C$39)</f>
        <v>1</v>
      </c>
      <c r="F121" s="157">
        <f>'Quantitativos (A)'!D121*$D121*$E121</f>
        <v>7673.7200799999991</v>
      </c>
      <c r="G121" s="157">
        <f>'Quantitativos (A)'!E121*$D121*$E121</f>
        <v>7673.7200799999991</v>
      </c>
      <c r="H121" s="157">
        <f>'Quantitativos (A)'!F121*$D121*$E121</f>
        <v>7673.7200799999991</v>
      </c>
      <c r="I121" s="157">
        <f>'Quantitativos (A)'!G121*$D121*$E121</f>
        <v>1579.5197880000003</v>
      </c>
      <c r="J121" s="157">
        <f>'Quantitativos (A)'!H121*$D121*$E121</f>
        <v>1579.5197880000003</v>
      </c>
      <c r="K121" s="157">
        <f>'Quantitativos (A)'!I121*$D121*$E121</f>
        <v>1579.5197880000003</v>
      </c>
      <c r="L121" s="157">
        <f>'Quantitativos (A)'!J121*$D121*$E121</f>
        <v>7673.7200799999991</v>
      </c>
      <c r="M121" s="157">
        <f>'Quantitativos (A)'!K121*$D121*$E121</f>
        <v>7673.7200799999991</v>
      </c>
      <c r="N121" s="157">
        <f>'Quantitativos (A)'!L121*$D121*$E121</f>
        <v>1579.5197880000003</v>
      </c>
      <c r="O121" s="157">
        <f>'Quantitativos (A)'!M121*$D121*$E121</f>
        <v>1579.5197880000003</v>
      </c>
      <c r="P121" s="157">
        <f>'Quantitativos (A)'!N121*$D121*$E121</f>
        <v>0</v>
      </c>
      <c r="Q121" s="157">
        <f>'Quantitativos (A)'!O121*$D121*$E121</f>
        <v>0</v>
      </c>
      <c r="R121" s="157">
        <f>'Quantitativos (A)'!P121*$D121*$E121</f>
        <v>0</v>
      </c>
      <c r="S121" s="157">
        <f>'Quantitativos (A)'!Q121*$D121*$E121</f>
        <v>0</v>
      </c>
      <c r="T121" s="157">
        <f>'Quantitativos (A)'!R121*$D121*$E121</f>
        <v>0</v>
      </c>
      <c r="U121" s="157">
        <f>'Quantitativos (A)'!S121*$D121*$E121</f>
        <v>0</v>
      </c>
      <c r="V121" s="157">
        <f>'Quantitativos (A)'!T121*$D121*$E121</f>
        <v>0</v>
      </c>
      <c r="W121" s="157">
        <f>'Quantitativos (A)'!U121*$D121*$E121</f>
        <v>0</v>
      </c>
      <c r="X121" s="157">
        <f>'Quantitativos (A)'!V121*$D121*$E121</f>
        <v>0</v>
      </c>
      <c r="Y121" s="157">
        <f>'Quantitativos (A)'!W121*$D121*$E121</f>
        <v>0</v>
      </c>
      <c r="Z121" s="157">
        <f>'Quantitativos (A)'!X121*$D121*$E121</f>
        <v>8732.4928400000008</v>
      </c>
      <c r="AA121" s="157">
        <f>'Quantitativos (A)'!Y121*$D121*$E121</f>
        <v>8732.4928400000008</v>
      </c>
      <c r="AB121" s="157">
        <f>'Quantitativos (A)'!Z121*$D121*$E121</f>
        <v>8732.4928400000008</v>
      </c>
      <c r="AC121" s="157">
        <f>'Quantitativos (A)'!AA121*$D121*$E121</f>
        <v>1603.4136480000002</v>
      </c>
      <c r="AD121" s="157">
        <f>'Quantitativos (A)'!AB121*$D121*$E121</f>
        <v>1603.4136480000002</v>
      </c>
      <c r="AE121" s="157">
        <f>'Quantitativos (A)'!AC121*$D121*$E121</f>
        <v>1603.4136480000002</v>
      </c>
      <c r="AF121" s="157">
        <f>'Quantitativos (A)'!AD121*$D121*$E121</f>
        <v>8732.4928400000008</v>
      </c>
      <c r="AG121" s="157">
        <f>'Quantitativos (A)'!AE121*$D121*$E121</f>
        <v>8732.4928400000008</v>
      </c>
      <c r="AH121" s="157">
        <f>'Quantitativos (A)'!AF121*$D121*$E121</f>
        <v>1603.4136480000002</v>
      </c>
      <c r="AI121" s="158">
        <f>'Quantitativos (A)'!AG121*$D121*$E121</f>
        <v>1603.4136480000002</v>
      </c>
      <c r="AJ121" s="22"/>
    </row>
    <row r="122" spans="1:36" ht="25.5" x14ac:dyDescent="0.25">
      <c r="A122" s="21"/>
      <c r="B122" s="27" t="s">
        <v>517</v>
      </c>
      <c r="C122" s="67" t="s">
        <v>57</v>
      </c>
      <c r="D122" s="157">
        <f>'Dados (F)'!$D$137</f>
        <v>69.56</v>
      </c>
      <c r="E122" s="125">
        <f>IF('Dados (F)'!$D$35=1,1,'Dados (F)'!$C$39)</f>
        <v>1</v>
      </c>
      <c r="F122" s="157">
        <f>'Quantitativos (A)'!D122*$D122*$E122</f>
        <v>7673.7200799999991</v>
      </c>
      <c r="G122" s="157">
        <f>'Quantitativos (A)'!E122*$D122*$E122</f>
        <v>7673.7200799999991</v>
      </c>
      <c r="H122" s="157">
        <f>'Quantitativos (A)'!F122*$D122*$E122</f>
        <v>7673.7200799999991</v>
      </c>
      <c r="I122" s="157">
        <f>'Quantitativos (A)'!G122*$D122*$E122</f>
        <v>1579.5197880000003</v>
      </c>
      <c r="J122" s="157">
        <f>'Quantitativos (A)'!H122*$D122*$E122</f>
        <v>1579.5197880000003</v>
      </c>
      <c r="K122" s="157">
        <f>'Quantitativos (A)'!I122*$D122*$E122</f>
        <v>1579.5197880000003</v>
      </c>
      <c r="L122" s="157">
        <f>'Quantitativos (A)'!J122*$D122*$E122</f>
        <v>7673.7200799999991</v>
      </c>
      <c r="M122" s="157">
        <f>'Quantitativos (A)'!K122*$D122*$E122</f>
        <v>7673.7200799999991</v>
      </c>
      <c r="N122" s="157">
        <f>'Quantitativos (A)'!L122*$D122*$E122</f>
        <v>1579.5197880000003</v>
      </c>
      <c r="O122" s="157">
        <f>'Quantitativos (A)'!M122*$D122*$E122</f>
        <v>1579.5197880000003</v>
      </c>
      <c r="P122" s="157">
        <f>'Quantitativos (A)'!N122*$D122*$E122</f>
        <v>0</v>
      </c>
      <c r="Q122" s="157">
        <f>'Quantitativos (A)'!O122*$D122*$E122</f>
        <v>0</v>
      </c>
      <c r="R122" s="157">
        <f>'Quantitativos (A)'!P122*$D122*$E122</f>
        <v>0</v>
      </c>
      <c r="S122" s="157">
        <f>'Quantitativos (A)'!Q122*$D122*$E122</f>
        <v>0</v>
      </c>
      <c r="T122" s="157">
        <f>'Quantitativos (A)'!R122*$D122*$E122</f>
        <v>0</v>
      </c>
      <c r="U122" s="157">
        <f>'Quantitativos (A)'!S122*$D122*$E122</f>
        <v>0</v>
      </c>
      <c r="V122" s="157">
        <f>'Quantitativos (A)'!T122*$D122*$E122</f>
        <v>0</v>
      </c>
      <c r="W122" s="157">
        <f>'Quantitativos (A)'!U122*$D122*$E122</f>
        <v>0</v>
      </c>
      <c r="X122" s="157">
        <f>'Quantitativos (A)'!V122*$D122*$E122</f>
        <v>0</v>
      </c>
      <c r="Y122" s="157">
        <f>'Quantitativos (A)'!W122*$D122*$E122</f>
        <v>0</v>
      </c>
      <c r="Z122" s="157">
        <f>'Quantitativos (A)'!X122*$D122*$E122</f>
        <v>8732.4928400000008</v>
      </c>
      <c r="AA122" s="157">
        <f>'Quantitativos (A)'!Y122*$D122*$E122</f>
        <v>8732.4928400000008</v>
      </c>
      <c r="AB122" s="157">
        <f>'Quantitativos (A)'!Z122*$D122*$E122</f>
        <v>8732.4928400000008</v>
      </c>
      <c r="AC122" s="157">
        <f>'Quantitativos (A)'!AA122*$D122*$E122</f>
        <v>1603.4136480000002</v>
      </c>
      <c r="AD122" s="157">
        <f>'Quantitativos (A)'!AB122*$D122*$E122</f>
        <v>1603.4136480000002</v>
      </c>
      <c r="AE122" s="157">
        <f>'Quantitativos (A)'!AC122*$D122*$E122</f>
        <v>1603.4136480000002</v>
      </c>
      <c r="AF122" s="157">
        <f>'Quantitativos (A)'!AD122*$D122*$E122</f>
        <v>8732.4928400000008</v>
      </c>
      <c r="AG122" s="157">
        <f>'Quantitativos (A)'!AE122*$D122*$E122</f>
        <v>8732.4928400000008</v>
      </c>
      <c r="AH122" s="157">
        <f>'Quantitativos (A)'!AF122*$D122*$E122</f>
        <v>1603.4136480000002</v>
      </c>
      <c r="AI122" s="158">
        <f>'Quantitativos (A)'!AG122*$D122*$E122</f>
        <v>1603.4136480000002</v>
      </c>
      <c r="AJ122" s="22"/>
    </row>
    <row r="123" spans="1:36" x14ac:dyDescent="0.25">
      <c r="A123" s="21"/>
      <c r="B123" s="27" t="s">
        <v>532</v>
      </c>
      <c r="C123" s="67" t="s">
        <v>65</v>
      </c>
      <c r="D123" s="157">
        <f>'Dados (F)'!$D$114</f>
        <v>633.75</v>
      </c>
      <c r="E123" s="125">
        <f>IF('Dados (F)'!$D$35=1,1,IF('Dados (F)'!$D$35=2,'Dados (F)'!$C$39,1))</f>
        <v>1</v>
      </c>
      <c r="F123" s="157">
        <f>'Quantitativos (A)'!D123*$D123*$E123</f>
        <v>244.69087500000001</v>
      </c>
      <c r="G123" s="157">
        <f>'Quantitativos (A)'!E123*$D123*$E123</f>
        <v>244.69087500000001</v>
      </c>
      <c r="H123" s="157">
        <f>'Quantitativos (A)'!F123*$D123*$E123</f>
        <v>244.69087500000001</v>
      </c>
      <c r="I123" s="157">
        <f>'Quantitativos (A)'!G123*$D123*$E123</f>
        <v>244.69087500000001</v>
      </c>
      <c r="J123" s="157">
        <f>'Quantitativos (A)'!H123*$D123*$E123</f>
        <v>244.69087500000001</v>
      </c>
      <c r="K123" s="157">
        <f>'Quantitativos (A)'!I123*$D123*$E123</f>
        <v>244.69087500000001</v>
      </c>
      <c r="L123" s="157">
        <f>'Quantitativos (A)'!J123*$D123*$E123</f>
        <v>244.69087500000001</v>
      </c>
      <c r="M123" s="157">
        <f>'Quantitativos (A)'!K123*$D123*$E123</f>
        <v>244.69087500000001</v>
      </c>
      <c r="N123" s="157">
        <f>'Quantitativos (A)'!L123*$D123*$E123</f>
        <v>244.69087500000001</v>
      </c>
      <c r="O123" s="157">
        <f>'Quantitativos (A)'!M123*$D123*$E123</f>
        <v>244.69087500000001</v>
      </c>
      <c r="P123" s="157">
        <f>'Quantitativos (A)'!N123*$D123*$E123</f>
        <v>0</v>
      </c>
      <c r="Q123" s="157">
        <f>'Quantitativos (A)'!O123*$D123*$E123</f>
        <v>0</v>
      </c>
      <c r="R123" s="157">
        <f>'Quantitativos (A)'!P123*$D123*$E123</f>
        <v>0</v>
      </c>
      <c r="S123" s="157">
        <f>'Quantitativos (A)'!Q123*$D123*$E123</f>
        <v>0</v>
      </c>
      <c r="T123" s="157">
        <f>'Quantitativos (A)'!R123*$D123*$E123</f>
        <v>0</v>
      </c>
      <c r="U123" s="157">
        <f>'Quantitativos (A)'!S123*$D123*$E123</f>
        <v>0</v>
      </c>
      <c r="V123" s="157">
        <f>'Quantitativos (A)'!T123*$D123*$E123</f>
        <v>0</v>
      </c>
      <c r="W123" s="157">
        <f>'Quantitativos (A)'!U123*$D123*$E123</f>
        <v>0</v>
      </c>
      <c r="X123" s="157">
        <f>'Quantitativos (A)'!V123*$D123*$E123</f>
        <v>0</v>
      </c>
      <c r="Y123" s="157">
        <f>'Quantitativos (A)'!W123*$D123*$E123</f>
        <v>0</v>
      </c>
      <c r="Z123" s="157">
        <f>'Quantitativos (A)'!X123*$D123*$E123</f>
        <v>244.69087500000001</v>
      </c>
      <c r="AA123" s="157">
        <f>'Quantitativos (A)'!Y123*$D123*$E123</f>
        <v>244.69087500000001</v>
      </c>
      <c r="AB123" s="157">
        <f>'Quantitativos (A)'!Z123*$D123*$E123</f>
        <v>244.69087500000001</v>
      </c>
      <c r="AC123" s="157">
        <f>'Quantitativos (A)'!AA123*$D123*$E123</f>
        <v>244.69087500000001</v>
      </c>
      <c r="AD123" s="157">
        <f>'Quantitativos (A)'!AB123*$D123*$E123</f>
        <v>244.69087500000001</v>
      </c>
      <c r="AE123" s="157">
        <f>'Quantitativos (A)'!AC123*$D123*$E123</f>
        <v>244.69087500000001</v>
      </c>
      <c r="AF123" s="157">
        <f>'Quantitativos (A)'!AD123*$D123*$E123</f>
        <v>244.69087500000001</v>
      </c>
      <c r="AG123" s="157">
        <f>'Quantitativos (A)'!AE123*$D123*$E123</f>
        <v>244.69087500000001</v>
      </c>
      <c r="AH123" s="157">
        <f>'Quantitativos (A)'!AF123*$D123*$E123</f>
        <v>244.69087500000001</v>
      </c>
      <c r="AI123" s="158">
        <f>'Quantitativos (A)'!AG123*$D123*$E123</f>
        <v>244.69087500000001</v>
      </c>
      <c r="AJ123" s="22"/>
    </row>
    <row r="124" spans="1:36" x14ac:dyDescent="0.25">
      <c r="A124" s="21"/>
      <c r="B124" s="27" t="s">
        <v>529</v>
      </c>
      <c r="C124" s="67" t="s">
        <v>65</v>
      </c>
      <c r="D124" s="157">
        <f>'Dados (F)'!$D$115</f>
        <v>621.17999999999995</v>
      </c>
      <c r="E124" s="125">
        <f>IF('Dados (F)'!$D$35=1,1,IF('Dados (F)'!$D$35=2,'Dados (F)'!$C$39,1))</f>
        <v>1</v>
      </c>
      <c r="F124" s="157">
        <f>'Quantitativos (A)'!D124*$D124*$E124</f>
        <v>474.08457599999997</v>
      </c>
      <c r="G124" s="157">
        <f>'Quantitativos (A)'!E124*$D124*$E124</f>
        <v>474.08457599999997</v>
      </c>
      <c r="H124" s="157">
        <f>'Quantitativos (A)'!F124*$D124*$E124</f>
        <v>474.08457599999997</v>
      </c>
      <c r="I124" s="157">
        <f>'Quantitativos (A)'!G124*$D124*$E124</f>
        <v>474.08457599999997</v>
      </c>
      <c r="J124" s="157">
        <f>'Quantitativos (A)'!H124*$D124*$E124</f>
        <v>474.08457599999997</v>
      </c>
      <c r="K124" s="157">
        <f>'Quantitativos (A)'!I124*$D124*$E124</f>
        <v>474.08457599999997</v>
      </c>
      <c r="L124" s="157">
        <f>'Quantitativos (A)'!J124*$D124*$E124</f>
        <v>474.08457599999997</v>
      </c>
      <c r="M124" s="157">
        <f>'Quantitativos (A)'!K124*$D124*$E124</f>
        <v>474.08457599999997</v>
      </c>
      <c r="N124" s="157">
        <f>'Quantitativos (A)'!L124*$D124*$E124</f>
        <v>474.08457599999997</v>
      </c>
      <c r="O124" s="157">
        <f>'Quantitativos (A)'!M124*$D124*$E124</f>
        <v>474.08457599999997</v>
      </c>
      <c r="P124" s="157">
        <f>'Quantitativos (A)'!N124*$D124*$E124</f>
        <v>0</v>
      </c>
      <c r="Q124" s="157">
        <f>'Quantitativos (A)'!O124*$D124*$E124</f>
        <v>0</v>
      </c>
      <c r="R124" s="157">
        <f>'Quantitativos (A)'!P124*$D124*$E124</f>
        <v>0</v>
      </c>
      <c r="S124" s="157">
        <f>'Quantitativos (A)'!Q124*$D124*$E124</f>
        <v>0</v>
      </c>
      <c r="T124" s="157">
        <f>'Quantitativos (A)'!R124*$D124*$E124</f>
        <v>0</v>
      </c>
      <c r="U124" s="157">
        <f>'Quantitativos (A)'!S124*$D124*$E124</f>
        <v>0</v>
      </c>
      <c r="V124" s="157">
        <f>'Quantitativos (A)'!T124*$D124*$E124</f>
        <v>0</v>
      </c>
      <c r="W124" s="157">
        <f>'Quantitativos (A)'!U124*$D124*$E124</f>
        <v>0</v>
      </c>
      <c r="X124" s="157">
        <f>'Quantitativos (A)'!V124*$D124*$E124</f>
        <v>0</v>
      </c>
      <c r="Y124" s="157">
        <f>'Quantitativos (A)'!W124*$D124*$E124</f>
        <v>0</v>
      </c>
      <c r="Z124" s="157">
        <f>'Quantitativos (A)'!X124*$D124*$E124</f>
        <v>474.08457599999997</v>
      </c>
      <c r="AA124" s="157">
        <f>'Quantitativos (A)'!Y124*$D124*$E124</f>
        <v>474.08457599999997</v>
      </c>
      <c r="AB124" s="157">
        <f>'Quantitativos (A)'!Z124*$D124*$E124</f>
        <v>474.08457599999997</v>
      </c>
      <c r="AC124" s="157">
        <f>'Quantitativos (A)'!AA124*$D124*$E124</f>
        <v>474.08457599999997</v>
      </c>
      <c r="AD124" s="157">
        <f>'Quantitativos (A)'!AB124*$D124*$E124</f>
        <v>474.08457599999997</v>
      </c>
      <c r="AE124" s="157">
        <f>'Quantitativos (A)'!AC124*$D124*$E124</f>
        <v>474.08457599999997</v>
      </c>
      <c r="AF124" s="157">
        <f>'Quantitativos (A)'!AD124*$D124*$E124</f>
        <v>474.08457599999997</v>
      </c>
      <c r="AG124" s="157">
        <f>'Quantitativos (A)'!AE124*$D124*$E124</f>
        <v>474.08457599999997</v>
      </c>
      <c r="AH124" s="157">
        <f>'Quantitativos (A)'!AF124*$D124*$E124</f>
        <v>474.08457599999997</v>
      </c>
      <c r="AI124" s="158">
        <f>'Quantitativos (A)'!AG124*$D124*$E124</f>
        <v>474.08457599999997</v>
      </c>
      <c r="AJ124" s="22"/>
    </row>
    <row r="125" spans="1:36" x14ac:dyDescent="0.25">
      <c r="A125" s="21"/>
      <c r="B125" s="27" t="s">
        <v>526</v>
      </c>
      <c r="C125" s="67" t="s">
        <v>65</v>
      </c>
      <c r="D125" s="157">
        <f>'Dados (F)'!$D$115</f>
        <v>621.17999999999995</v>
      </c>
      <c r="E125" s="125">
        <f>IF('Dados (F)'!$D$35=1,1,IF('Dados (F)'!$D$35=2,'Dados (F)'!$C$39,1))</f>
        <v>1</v>
      </c>
      <c r="F125" s="157">
        <f>'Quantitativos (A)'!D125*$D125*$E125</f>
        <v>474.08457599999997</v>
      </c>
      <c r="G125" s="157">
        <f>'Quantitativos (A)'!E125*$D125*$E125</f>
        <v>474.08457599999997</v>
      </c>
      <c r="H125" s="157">
        <f>'Quantitativos (A)'!F125*$D125*$E125</f>
        <v>474.08457599999997</v>
      </c>
      <c r="I125" s="157">
        <f>'Quantitativos (A)'!G125*$D125*$E125</f>
        <v>474.08457599999997</v>
      </c>
      <c r="J125" s="157">
        <f>'Quantitativos (A)'!H125*$D125*$E125</f>
        <v>474.08457599999997</v>
      </c>
      <c r="K125" s="157">
        <f>'Quantitativos (A)'!I125*$D125*$E125</f>
        <v>474.08457599999997</v>
      </c>
      <c r="L125" s="157">
        <f>'Quantitativos (A)'!J125*$D125*$E125</f>
        <v>474.08457599999997</v>
      </c>
      <c r="M125" s="157">
        <f>'Quantitativos (A)'!K125*$D125*$E125</f>
        <v>474.08457599999997</v>
      </c>
      <c r="N125" s="157">
        <f>'Quantitativos (A)'!L125*$D125*$E125</f>
        <v>474.08457599999997</v>
      </c>
      <c r="O125" s="157">
        <f>'Quantitativos (A)'!M125*$D125*$E125</f>
        <v>474.08457599999997</v>
      </c>
      <c r="P125" s="157">
        <f>'Quantitativos (A)'!N125*$D125*$E125</f>
        <v>0</v>
      </c>
      <c r="Q125" s="157">
        <f>'Quantitativos (A)'!O125*$D125*$E125</f>
        <v>0</v>
      </c>
      <c r="R125" s="157">
        <f>'Quantitativos (A)'!P125*$D125*$E125</f>
        <v>0</v>
      </c>
      <c r="S125" s="157">
        <f>'Quantitativos (A)'!Q125*$D125*$E125</f>
        <v>0</v>
      </c>
      <c r="T125" s="157">
        <f>'Quantitativos (A)'!R125*$D125*$E125</f>
        <v>0</v>
      </c>
      <c r="U125" s="157">
        <f>'Quantitativos (A)'!S125*$D125*$E125</f>
        <v>0</v>
      </c>
      <c r="V125" s="157">
        <f>'Quantitativos (A)'!T125*$D125*$E125</f>
        <v>0</v>
      </c>
      <c r="W125" s="157">
        <f>'Quantitativos (A)'!U125*$D125*$E125</f>
        <v>0</v>
      </c>
      <c r="X125" s="157">
        <f>'Quantitativos (A)'!V125*$D125*$E125</f>
        <v>0</v>
      </c>
      <c r="Y125" s="157">
        <f>'Quantitativos (A)'!W125*$D125*$E125</f>
        <v>0</v>
      </c>
      <c r="Z125" s="157">
        <f>'Quantitativos (A)'!X125*$D125*$E125</f>
        <v>474.08457599999997</v>
      </c>
      <c r="AA125" s="157">
        <f>'Quantitativos (A)'!Y125*$D125*$E125</f>
        <v>474.08457599999997</v>
      </c>
      <c r="AB125" s="157">
        <f>'Quantitativos (A)'!Z125*$D125*$E125</f>
        <v>474.08457599999997</v>
      </c>
      <c r="AC125" s="157">
        <f>'Quantitativos (A)'!AA125*$D125*$E125</f>
        <v>474.08457599999997</v>
      </c>
      <c r="AD125" s="157">
        <f>'Quantitativos (A)'!AB125*$D125*$E125</f>
        <v>474.08457599999997</v>
      </c>
      <c r="AE125" s="157">
        <f>'Quantitativos (A)'!AC125*$D125*$E125</f>
        <v>474.08457599999997</v>
      </c>
      <c r="AF125" s="157">
        <f>'Quantitativos (A)'!AD125*$D125*$E125</f>
        <v>474.08457599999997</v>
      </c>
      <c r="AG125" s="157">
        <f>'Quantitativos (A)'!AE125*$D125*$E125</f>
        <v>474.08457599999997</v>
      </c>
      <c r="AH125" s="157">
        <f>'Quantitativos (A)'!AF125*$D125*$E125</f>
        <v>474.08457599999997</v>
      </c>
      <c r="AI125" s="158">
        <f>'Quantitativos (A)'!AG125*$D125*$E125</f>
        <v>474.08457599999997</v>
      </c>
      <c r="AJ125" s="22"/>
    </row>
    <row r="126" spans="1:36" x14ac:dyDescent="0.25">
      <c r="A126" s="21"/>
      <c r="B126" s="27" t="s">
        <v>533</v>
      </c>
      <c r="C126" s="67" t="s">
        <v>65</v>
      </c>
      <c r="D126" s="157">
        <f>'Dados (F)'!$D$115</f>
        <v>621.17999999999995</v>
      </c>
      <c r="E126" s="125">
        <f>IF('Dados (F)'!$D$35=1,1,IF('Dados (F)'!$D$35=2,'Dados (F)'!$C$39,1))</f>
        <v>1</v>
      </c>
      <c r="F126" s="157">
        <f>'Quantitativos (A)'!D126*$D126*$E126</f>
        <v>239.83759799999999</v>
      </c>
      <c r="G126" s="157">
        <f>'Quantitativos (A)'!E126*$D126*$E126</f>
        <v>239.83759799999999</v>
      </c>
      <c r="H126" s="157">
        <f>'Quantitativos (A)'!F126*$D126*$E126</f>
        <v>239.83759799999999</v>
      </c>
      <c r="I126" s="157">
        <f>'Quantitativos (A)'!G126*$D126*$E126</f>
        <v>239.83759799999999</v>
      </c>
      <c r="J126" s="157">
        <f>'Quantitativos (A)'!H126*$D126*$E126</f>
        <v>239.83759799999999</v>
      </c>
      <c r="K126" s="157">
        <f>'Quantitativos (A)'!I126*$D126*$E126</f>
        <v>239.83759799999999</v>
      </c>
      <c r="L126" s="157">
        <f>'Quantitativos (A)'!J126*$D126*$E126</f>
        <v>239.83759799999999</v>
      </c>
      <c r="M126" s="157">
        <f>'Quantitativos (A)'!K126*$D126*$E126</f>
        <v>239.83759799999999</v>
      </c>
      <c r="N126" s="157">
        <f>'Quantitativos (A)'!L126*$D126*$E126</f>
        <v>239.83759799999999</v>
      </c>
      <c r="O126" s="157">
        <f>'Quantitativos (A)'!M126*$D126*$E126</f>
        <v>239.83759799999999</v>
      </c>
      <c r="P126" s="157">
        <f>'Quantitativos (A)'!N126*$D126*$E126</f>
        <v>0</v>
      </c>
      <c r="Q126" s="157">
        <f>'Quantitativos (A)'!O126*$D126*$E126</f>
        <v>0</v>
      </c>
      <c r="R126" s="157">
        <f>'Quantitativos (A)'!P126*$D126*$E126</f>
        <v>0</v>
      </c>
      <c r="S126" s="157">
        <f>'Quantitativos (A)'!Q126*$D126*$E126</f>
        <v>0</v>
      </c>
      <c r="T126" s="157">
        <f>'Quantitativos (A)'!R126*$D126*$E126</f>
        <v>0</v>
      </c>
      <c r="U126" s="157">
        <f>'Quantitativos (A)'!S126*$D126*$E126</f>
        <v>0</v>
      </c>
      <c r="V126" s="157">
        <f>'Quantitativos (A)'!T126*$D126*$E126</f>
        <v>0</v>
      </c>
      <c r="W126" s="157">
        <f>'Quantitativos (A)'!U126*$D126*$E126</f>
        <v>0</v>
      </c>
      <c r="X126" s="157">
        <f>'Quantitativos (A)'!V126*$D126*$E126</f>
        <v>0</v>
      </c>
      <c r="Y126" s="157">
        <f>'Quantitativos (A)'!W126*$D126*$E126</f>
        <v>0</v>
      </c>
      <c r="Z126" s="157">
        <f>'Quantitativos (A)'!X126*$D126*$E126</f>
        <v>239.83759799999999</v>
      </c>
      <c r="AA126" s="157">
        <f>'Quantitativos (A)'!Y126*$D126*$E126</f>
        <v>239.83759799999999</v>
      </c>
      <c r="AB126" s="157">
        <f>'Quantitativos (A)'!Z126*$D126*$E126</f>
        <v>239.83759799999999</v>
      </c>
      <c r="AC126" s="157">
        <f>'Quantitativos (A)'!AA126*$D126*$E126</f>
        <v>239.83759799999999</v>
      </c>
      <c r="AD126" s="157">
        <f>'Quantitativos (A)'!AB126*$D126*$E126</f>
        <v>239.83759799999999</v>
      </c>
      <c r="AE126" s="157">
        <f>'Quantitativos (A)'!AC126*$D126*$E126</f>
        <v>239.83759799999999</v>
      </c>
      <c r="AF126" s="157">
        <f>'Quantitativos (A)'!AD126*$D126*$E126</f>
        <v>239.83759799999999</v>
      </c>
      <c r="AG126" s="157">
        <f>'Quantitativos (A)'!AE126*$D126*$E126</f>
        <v>239.83759799999999</v>
      </c>
      <c r="AH126" s="157">
        <f>'Quantitativos (A)'!AF126*$D126*$E126</f>
        <v>239.83759799999999</v>
      </c>
      <c r="AI126" s="158">
        <f>'Quantitativos (A)'!AG126*$D126*$E126</f>
        <v>239.83759799999999</v>
      </c>
      <c r="AJ126" s="22"/>
    </row>
    <row r="127" spans="1:36" x14ac:dyDescent="0.25">
      <c r="A127" s="21"/>
      <c r="B127" s="27" t="s">
        <v>534</v>
      </c>
      <c r="C127" s="67" t="s">
        <v>65</v>
      </c>
      <c r="D127" s="157">
        <f>'Dados (F)'!$D$116</f>
        <v>1031.6199999999999</v>
      </c>
      <c r="E127" s="125">
        <f>IF('Dados (F)'!$D$35=1,1,IF('Dados (F)'!$D$35=2,'Dados (F)'!$C$39,1))</f>
        <v>1</v>
      </c>
      <c r="F127" s="157">
        <f>'Quantitativos (A)'!D127*$D127*$E127</f>
        <v>3158.6141160000002</v>
      </c>
      <c r="G127" s="157">
        <f>'Quantitativos (A)'!E127*$D127*$E127</f>
        <v>3158.6141160000002</v>
      </c>
      <c r="H127" s="157">
        <f>'Quantitativos (A)'!F127*$D127*$E127</f>
        <v>3158.6141160000002</v>
      </c>
      <c r="I127" s="157">
        <f>'Quantitativos (A)'!G127*$D127*$E127</f>
        <v>3158.6141160000002</v>
      </c>
      <c r="J127" s="157">
        <f>'Quantitativos (A)'!H127*$D127*$E127</f>
        <v>3158.6141160000002</v>
      </c>
      <c r="K127" s="157">
        <f>'Quantitativos (A)'!I127*$D127*$E127</f>
        <v>3158.6141160000002</v>
      </c>
      <c r="L127" s="157">
        <f>'Quantitativos (A)'!J127*$D127*$E127</f>
        <v>3158.6141160000002</v>
      </c>
      <c r="M127" s="157">
        <f>'Quantitativos (A)'!K127*$D127*$E127</f>
        <v>3158.6141160000002</v>
      </c>
      <c r="N127" s="157">
        <f>'Quantitativos (A)'!L127*$D127*$E127</f>
        <v>3158.6141160000002</v>
      </c>
      <c r="O127" s="157">
        <f>'Quantitativos (A)'!M127*$D127*$E127</f>
        <v>3158.6141160000002</v>
      </c>
      <c r="P127" s="157">
        <f>'Quantitativos (A)'!N127*$D127*$E127</f>
        <v>0</v>
      </c>
      <c r="Q127" s="157">
        <f>'Quantitativos (A)'!O127*$D127*$E127</f>
        <v>0</v>
      </c>
      <c r="R127" s="157">
        <f>'Quantitativos (A)'!P127*$D127*$E127</f>
        <v>0</v>
      </c>
      <c r="S127" s="157">
        <f>'Quantitativos (A)'!Q127*$D127*$E127</f>
        <v>0</v>
      </c>
      <c r="T127" s="157">
        <f>'Quantitativos (A)'!R127*$D127*$E127</f>
        <v>0</v>
      </c>
      <c r="U127" s="157">
        <f>'Quantitativos (A)'!S127*$D127*$E127</f>
        <v>0</v>
      </c>
      <c r="V127" s="157">
        <f>'Quantitativos (A)'!T127*$D127*$E127</f>
        <v>0</v>
      </c>
      <c r="W127" s="157">
        <f>'Quantitativos (A)'!U127*$D127*$E127</f>
        <v>0</v>
      </c>
      <c r="X127" s="157">
        <f>'Quantitativos (A)'!V127*$D127*$E127</f>
        <v>0</v>
      </c>
      <c r="Y127" s="157">
        <f>'Quantitativos (A)'!W127*$D127*$E127</f>
        <v>0</v>
      </c>
      <c r="Z127" s="157">
        <f>'Quantitativos (A)'!X127*$D127*$E127</f>
        <v>5267.8643679999996</v>
      </c>
      <c r="AA127" s="157">
        <f>'Quantitativos (A)'!Y127*$D127*$E127</f>
        <v>5267.8643679999996</v>
      </c>
      <c r="AB127" s="157">
        <f>'Quantitativos (A)'!Z127*$D127*$E127</f>
        <v>5267.8643679999996</v>
      </c>
      <c r="AC127" s="157">
        <f>'Quantitativos (A)'!AA127*$D127*$E127</f>
        <v>5267.8643679999996</v>
      </c>
      <c r="AD127" s="157">
        <f>'Quantitativos (A)'!AB127*$D127*$E127</f>
        <v>5267.8643679999996</v>
      </c>
      <c r="AE127" s="157">
        <f>'Quantitativos (A)'!AC127*$D127*$E127</f>
        <v>5267.8643679999996</v>
      </c>
      <c r="AF127" s="157">
        <f>'Quantitativos (A)'!AD127*$D127*$E127</f>
        <v>5267.8643679999996</v>
      </c>
      <c r="AG127" s="157">
        <f>'Quantitativos (A)'!AE127*$D127*$E127</f>
        <v>5267.8643679999996</v>
      </c>
      <c r="AH127" s="157">
        <f>'Quantitativos (A)'!AF127*$D127*$E127</f>
        <v>5267.8643679999996</v>
      </c>
      <c r="AI127" s="158">
        <f>'Quantitativos (A)'!AG127*$D127*$E127</f>
        <v>5267.8643679999996</v>
      </c>
      <c r="AJ127" s="22"/>
    </row>
    <row r="128" spans="1:36" x14ac:dyDescent="0.25">
      <c r="A128" s="21"/>
      <c r="B128" s="120" t="s">
        <v>536</v>
      </c>
      <c r="C128" s="121"/>
      <c r="D128" s="155"/>
      <c r="E128" s="156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60"/>
      <c r="AJ128" s="130"/>
    </row>
    <row r="129" spans="1:36" x14ac:dyDescent="0.25">
      <c r="A129" s="112"/>
      <c r="B129" s="27" t="s">
        <v>514</v>
      </c>
      <c r="C129" s="67" t="s">
        <v>57</v>
      </c>
      <c r="D129" s="157">
        <f>'Dados (F)'!$D$138</f>
        <v>111.3</v>
      </c>
      <c r="E129" s="125">
        <f>IF('Dados (F)'!$D$35=1,1,'Dados (F)'!$C$39)</f>
        <v>1</v>
      </c>
      <c r="F129" s="157">
        <f>'Quantitativos (A)'!D129*$D129*$E129</f>
        <v>1235.79729</v>
      </c>
      <c r="G129" s="157">
        <f>'Quantitativos (A)'!E129*$D129*$E129</f>
        <v>1235.79729</v>
      </c>
      <c r="H129" s="157">
        <f>'Quantitativos (A)'!F129*$D129*$E129</f>
        <v>1235.79729</v>
      </c>
      <c r="I129" s="157">
        <f>'Quantitativos (A)'!G129*$D129*$E129</f>
        <v>1335.9672899999998</v>
      </c>
      <c r="J129" s="157">
        <f>'Quantitativos (A)'!H129*$D129*$E129</f>
        <v>1335.9672899999998</v>
      </c>
      <c r="K129" s="157">
        <f>'Quantitativos (A)'!I129*$D129*$E129</f>
        <v>1335.9672899999998</v>
      </c>
      <c r="L129" s="157">
        <f>'Quantitativos (A)'!J129*$D129*$E129</f>
        <v>1235.79729</v>
      </c>
      <c r="M129" s="157">
        <f>'Quantitativos (A)'!K129*$D129*$E129</f>
        <v>1235.79729</v>
      </c>
      <c r="N129" s="157">
        <f>'Quantitativos (A)'!L129*$D129*$E129</f>
        <v>1335.9672899999998</v>
      </c>
      <c r="O129" s="157">
        <f>'Quantitativos (A)'!M129*$D129*$E129</f>
        <v>1335.9672899999998</v>
      </c>
      <c r="P129" s="157">
        <f>'Quantitativos (A)'!N129*$D129*$E129</f>
        <v>846.99299999999994</v>
      </c>
      <c r="Q129" s="157">
        <f>'Quantitativos (A)'!O129*$D129*$E129</f>
        <v>846.99299999999994</v>
      </c>
      <c r="R129" s="157">
        <f>'Quantitativos (A)'!P129*$D129*$E129</f>
        <v>846.99299999999994</v>
      </c>
      <c r="S129" s="157">
        <f>'Quantitativos (A)'!Q129*$D129*$E129</f>
        <v>897.07799999999986</v>
      </c>
      <c r="T129" s="157">
        <f>'Quantitativos (A)'!R129*$D129*$E129</f>
        <v>897.07799999999986</v>
      </c>
      <c r="U129" s="157">
        <f>'Quantitativos (A)'!S129*$D129*$E129</f>
        <v>897.07799999999986</v>
      </c>
      <c r="V129" s="157">
        <f>'Quantitativos (A)'!T129*$D129*$E129</f>
        <v>846.99299999999994</v>
      </c>
      <c r="W129" s="157">
        <f>'Quantitativos (A)'!U129*$D129*$E129</f>
        <v>846.99299999999994</v>
      </c>
      <c r="X129" s="157">
        <f>'Quantitativos (A)'!V129*$D129*$E129</f>
        <v>897.07799999999986</v>
      </c>
      <c r="Y129" s="157">
        <f>'Quantitativos (A)'!W129*$D129*$E129</f>
        <v>897.07799999999986</v>
      </c>
      <c r="Z129" s="157">
        <f>'Quantitativos (A)'!X129*$D129*$E129</f>
        <v>790.78650000000005</v>
      </c>
      <c r="AA129" s="157">
        <f>'Quantitativos (A)'!Y129*$D129*$E129</f>
        <v>790.78650000000005</v>
      </c>
      <c r="AB129" s="157">
        <f>'Quantitativos (A)'!Z129*$D129*$E129</f>
        <v>790.78650000000005</v>
      </c>
      <c r="AC129" s="157">
        <f>'Quantitativos (A)'!AA129*$D129*$E129</f>
        <v>865.35749999999996</v>
      </c>
      <c r="AD129" s="157">
        <f>'Quantitativos (A)'!AB129*$D129*$E129</f>
        <v>865.35749999999996</v>
      </c>
      <c r="AE129" s="157">
        <f>'Quantitativos (A)'!AC129*$D129*$E129</f>
        <v>865.35749999999996</v>
      </c>
      <c r="AF129" s="157">
        <f>'Quantitativos (A)'!AD129*$D129*$E129</f>
        <v>790.78650000000005</v>
      </c>
      <c r="AG129" s="157">
        <f>'Quantitativos (A)'!AE129*$D129*$E129</f>
        <v>790.78650000000005</v>
      </c>
      <c r="AH129" s="157">
        <f>'Quantitativos (A)'!AF129*$D129*$E129</f>
        <v>865.35749999999996</v>
      </c>
      <c r="AI129" s="158">
        <f>'Quantitativos (A)'!AG129*$D129*$E129</f>
        <v>865.35749999999996</v>
      </c>
      <c r="AJ129" s="130"/>
    </row>
    <row r="130" spans="1:36" x14ac:dyDescent="0.25">
      <c r="A130" s="112"/>
      <c r="B130" s="27" t="s">
        <v>458</v>
      </c>
      <c r="C130" s="67" t="s">
        <v>64</v>
      </c>
      <c r="D130" s="157">
        <f>'Dados (F)'!$D$91</f>
        <v>263.83</v>
      </c>
      <c r="E130" s="125">
        <f>IF('Dados (F)'!$D$35=1,1,IF('Dados (F)'!$D$35=2,'Dados (F)'!$C$39,1))</f>
        <v>1</v>
      </c>
      <c r="F130" s="157">
        <f>'Quantitativos (A)'!D130*$D130*$E130</f>
        <v>1398.299</v>
      </c>
      <c r="G130" s="157">
        <f>'Quantitativos (A)'!E130*$D130*$E130</f>
        <v>1398.299</v>
      </c>
      <c r="H130" s="157">
        <f>'Quantitativos (A)'!F130*$D130*$E130</f>
        <v>1398.299</v>
      </c>
      <c r="I130" s="157">
        <f>'Quantitativos (A)'!G130*$D130*$E130</f>
        <v>1398.299</v>
      </c>
      <c r="J130" s="157">
        <f>'Quantitativos (A)'!H130*$D130*$E130</f>
        <v>1398.299</v>
      </c>
      <c r="K130" s="157">
        <f>'Quantitativos (A)'!I130*$D130*$E130</f>
        <v>1398.299</v>
      </c>
      <c r="L130" s="157">
        <f>'Quantitativos (A)'!J130*$D130*$E130</f>
        <v>1398.299</v>
      </c>
      <c r="M130" s="157">
        <f>'Quantitativos (A)'!K130*$D130*$E130</f>
        <v>1398.299</v>
      </c>
      <c r="N130" s="157">
        <f>'Quantitativos (A)'!L130*$D130*$E130</f>
        <v>1398.299</v>
      </c>
      <c r="O130" s="157">
        <f>'Quantitativos (A)'!M130*$D130*$E130</f>
        <v>1398.299</v>
      </c>
      <c r="P130" s="157">
        <f>'Quantitativos (A)'!N130*$D130*$E130</f>
        <v>1398.299</v>
      </c>
      <c r="Q130" s="157">
        <f>'Quantitativos (A)'!O130*$D130*$E130</f>
        <v>1398.299</v>
      </c>
      <c r="R130" s="157">
        <f>'Quantitativos (A)'!P130*$D130*$E130</f>
        <v>1398.299</v>
      </c>
      <c r="S130" s="157">
        <f>'Quantitativos (A)'!Q130*$D130*$E130</f>
        <v>1398.299</v>
      </c>
      <c r="T130" s="157">
        <f>'Quantitativos (A)'!R130*$D130*$E130</f>
        <v>1398.299</v>
      </c>
      <c r="U130" s="157">
        <f>'Quantitativos (A)'!S130*$D130*$E130</f>
        <v>1398.299</v>
      </c>
      <c r="V130" s="157">
        <f>'Quantitativos (A)'!T130*$D130*$E130</f>
        <v>1398.299</v>
      </c>
      <c r="W130" s="157">
        <f>'Quantitativos (A)'!U130*$D130*$E130</f>
        <v>1398.299</v>
      </c>
      <c r="X130" s="157">
        <f>'Quantitativos (A)'!V130*$D130*$E130</f>
        <v>1398.299</v>
      </c>
      <c r="Y130" s="157">
        <f>'Quantitativos (A)'!W130*$D130*$E130</f>
        <v>1398.299</v>
      </c>
      <c r="Z130" s="157">
        <f>'Quantitativos (A)'!X130*$D130*$E130</f>
        <v>1398.299</v>
      </c>
      <c r="AA130" s="157">
        <f>'Quantitativos (A)'!Y130*$D130*$E130</f>
        <v>1398.299</v>
      </c>
      <c r="AB130" s="157">
        <f>'Quantitativos (A)'!Z130*$D130*$E130</f>
        <v>1398.299</v>
      </c>
      <c r="AC130" s="157">
        <f>'Quantitativos (A)'!AA130*$D130*$E130</f>
        <v>1398.299</v>
      </c>
      <c r="AD130" s="157">
        <f>'Quantitativos (A)'!AB130*$D130*$E130</f>
        <v>1398.299</v>
      </c>
      <c r="AE130" s="157">
        <f>'Quantitativos (A)'!AC130*$D130*$E130</f>
        <v>1398.299</v>
      </c>
      <c r="AF130" s="157">
        <f>'Quantitativos (A)'!AD130*$D130*$E130</f>
        <v>1398.299</v>
      </c>
      <c r="AG130" s="157">
        <f>'Quantitativos (A)'!AE130*$D130*$E130</f>
        <v>1398.299</v>
      </c>
      <c r="AH130" s="157">
        <f>'Quantitativos (A)'!AF130*$D130*$E130</f>
        <v>1398.299</v>
      </c>
      <c r="AI130" s="158">
        <f>'Quantitativos (A)'!AG130*$D130*$E130</f>
        <v>1398.299</v>
      </c>
      <c r="AJ130" s="130"/>
    </row>
    <row r="131" spans="1:36" x14ac:dyDescent="0.25">
      <c r="A131" s="112"/>
      <c r="B131" s="27" t="s">
        <v>535</v>
      </c>
      <c r="C131" s="67" t="s">
        <v>57</v>
      </c>
      <c r="D131" s="157">
        <f>'Dados (F)'!$D$92</f>
        <v>363.1</v>
      </c>
      <c r="E131" s="125">
        <f>IF('Dados (F)'!$D$35=1,1,IF('Dados (F)'!$D$35=2,'Dados (F)'!$C$39,1))</f>
        <v>1</v>
      </c>
      <c r="F131" s="157">
        <f>'Quantitativos (A)'!D131*$D131*$E131</f>
        <v>8997.6180000000004</v>
      </c>
      <c r="G131" s="157">
        <f>'Quantitativos (A)'!E131*$D131*$E131</f>
        <v>8997.6180000000004</v>
      </c>
      <c r="H131" s="157">
        <f>'Quantitativos (A)'!F131*$D131*$E131</f>
        <v>8997.6180000000004</v>
      </c>
      <c r="I131" s="157">
        <f>'Quantitativos (A)'!G131*$D131*$E131</f>
        <v>9724.9073000000008</v>
      </c>
      <c r="J131" s="157">
        <f>'Quantitativos (A)'!H131*$D131*$E131</f>
        <v>9724.9073000000008</v>
      </c>
      <c r="K131" s="157">
        <f>'Quantitativos (A)'!I131*$D131*$E131</f>
        <v>9724.9073000000008</v>
      </c>
      <c r="L131" s="157">
        <f>'Quantitativos (A)'!J131*$D131*$E131</f>
        <v>8997.6180000000004</v>
      </c>
      <c r="M131" s="157">
        <f>'Quantitativos (A)'!K131*$D131*$E131</f>
        <v>8997.6180000000004</v>
      </c>
      <c r="N131" s="157">
        <f>'Quantitativos (A)'!L131*$D131*$E131</f>
        <v>9724.9073000000008</v>
      </c>
      <c r="O131" s="157">
        <f>'Quantitativos (A)'!M131*$D131*$E131</f>
        <v>9724.9073000000008</v>
      </c>
      <c r="P131" s="157">
        <f>'Quantitativos (A)'!N131*$D131*$E131</f>
        <v>6112.7885000000006</v>
      </c>
      <c r="Q131" s="157">
        <f>'Quantitativos (A)'!O131*$D131*$E131</f>
        <v>6112.7885000000006</v>
      </c>
      <c r="R131" s="157">
        <f>'Quantitativos (A)'!P131*$D131*$E131</f>
        <v>6112.7885000000006</v>
      </c>
      <c r="S131" s="157">
        <f>'Quantitativos (A)'!Q131*$D131*$E131</f>
        <v>6477.0867299999991</v>
      </c>
      <c r="T131" s="157">
        <f>'Quantitativos (A)'!R131*$D131*$E131</f>
        <v>6477.0867299999991</v>
      </c>
      <c r="U131" s="157">
        <f>'Quantitativos (A)'!S131*$D131*$E131</f>
        <v>6477.0867299999991</v>
      </c>
      <c r="V131" s="157">
        <f>'Quantitativos (A)'!T131*$D131*$E131</f>
        <v>6112.7885000000006</v>
      </c>
      <c r="W131" s="157">
        <f>'Quantitativos (A)'!U131*$D131*$E131</f>
        <v>6112.7885000000006</v>
      </c>
      <c r="X131" s="157">
        <f>'Quantitativos (A)'!V131*$D131*$E131</f>
        <v>6477.0867299999991</v>
      </c>
      <c r="Y131" s="157">
        <f>'Quantitativos (A)'!W131*$D131*$E131</f>
        <v>6477.0867299999991</v>
      </c>
      <c r="Z131" s="157">
        <f>'Quantitativos (A)'!X131*$D131*$E131</f>
        <v>5713.3784999999998</v>
      </c>
      <c r="AA131" s="157">
        <f>'Quantitativos (A)'!Y131*$D131*$E131</f>
        <v>5713.3784999999998</v>
      </c>
      <c r="AB131" s="157">
        <f>'Quantitativos (A)'!Z131*$D131*$E131</f>
        <v>5713.3784999999998</v>
      </c>
      <c r="AC131" s="157">
        <f>'Quantitativos (A)'!AA131*$D131*$E131</f>
        <v>6261.6595000000007</v>
      </c>
      <c r="AD131" s="157">
        <f>'Quantitativos (A)'!AB131*$D131*$E131</f>
        <v>6261.6595000000007</v>
      </c>
      <c r="AE131" s="157">
        <f>'Quantitativos (A)'!AC131*$D131*$E131</f>
        <v>6261.6595000000007</v>
      </c>
      <c r="AF131" s="157">
        <f>'Quantitativos (A)'!AD131*$D131*$E131</f>
        <v>5713.3784999999998</v>
      </c>
      <c r="AG131" s="157">
        <f>'Quantitativos (A)'!AE131*$D131*$E131</f>
        <v>5713.3784999999998</v>
      </c>
      <c r="AH131" s="157">
        <f>'Quantitativos (A)'!AF131*$D131*$E131</f>
        <v>6261.6595000000007</v>
      </c>
      <c r="AI131" s="158">
        <f>'Quantitativos (A)'!AG131*$D131*$E131</f>
        <v>6261.6595000000007</v>
      </c>
      <c r="AJ131" s="130"/>
    </row>
    <row r="132" spans="1:36" ht="25.5" x14ac:dyDescent="0.25">
      <c r="A132" s="112"/>
      <c r="B132" s="27" t="s">
        <v>416</v>
      </c>
      <c r="C132" s="67" t="s">
        <v>64</v>
      </c>
      <c r="D132" s="157">
        <f>'Dados (F)'!$D$139</f>
        <v>69.56</v>
      </c>
      <c r="E132" s="125">
        <f>IF('Dados (F)'!$D$35=1,1,'Dados (F)'!$C$39)</f>
        <v>1</v>
      </c>
      <c r="F132" s="157">
        <f>'Quantitativos (A)'!D132*$D132*$E132</f>
        <v>368.66800000000001</v>
      </c>
      <c r="G132" s="157">
        <f>'Quantitativos (A)'!E132*$D132*$E132</f>
        <v>368.66800000000001</v>
      </c>
      <c r="H132" s="157">
        <f>'Quantitativos (A)'!F132*$D132*$E132</f>
        <v>368.66800000000001</v>
      </c>
      <c r="I132" s="157">
        <f>'Quantitativos (A)'!G132*$D132*$E132</f>
        <v>368.66800000000001</v>
      </c>
      <c r="J132" s="157">
        <f>'Quantitativos (A)'!H132*$D132*$E132</f>
        <v>368.66800000000001</v>
      </c>
      <c r="K132" s="157">
        <f>'Quantitativos (A)'!I132*$D132*$E132</f>
        <v>368.66800000000001</v>
      </c>
      <c r="L132" s="157">
        <f>'Quantitativos (A)'!J132*$D132*$E132</f>
        <v>368.66800000000001</v>
      </c>
      <c r="M132" s="157">
        <f>'Quantitativos (A)'!K132*$D132*$E132</f>
        <v>368.66800000000001</v>
      </c>
      <c r="N132" s="157">
        <f>'Quantitativos (A)'!L132*$D132*$E132</f>
        <v>368.66800000000001</v>
      </c>
      <c r="O132" s="157">
        <f>'Quantitativos (A)'!M132*$D132*$E132</f>
        <v>368.66800000000001</v>
      </c>
      <c r="P132" s="157">
        <f>'Quantitativos (A)'!N132*$D132*$E132</f>
        <v>368.66800000000001</v>
      </c>
      <c r="Q132" s="157">
        <f>'Quantitativos (A)'!O132*$D132*$E132</f>
        <v>368.66800000000001</v>
      </c>
      <c r="R132" s="157">
        <f>'Quantitativos (A)'!P132*$D132*$E132</f>
        <v>368.66800000000001</v>
      </c>
      <c r="S132" s="157">
        <f>'Quantitativos (A)'!Q132*$D132*$E132</f>
        <v>368.66800000000001</v>
      </c>
      <c r="T132" s="157">
        <f>'Quantitativos (A)'!R132*$D132*$E132</f>
        <v>368.66800000000001</v>
      </c>
      <c r="U132" s="157">
        <f>'Quantitativos (A)'!S132*$D132*$E132</f>
        <v>368.66800000000001</v>
      </c>
      <c r="V132" s="157">
        <f>'Quantitativos (A)'!T132*$D132*$E132</f>
        <v>368.66800000000001</v>
      </c>
      <c r="W132" s="157">
        <f>'Quantitativos (A)'!U132*$D132*$E132</f>
        <v>368.66800000000001</v>
      </c>
      <c r="X132" s="157">
        <f>'Quantitativos (A)'!V132*$D132*$E132</f>
        <v>368.66800000000001</v>
      </c>
      <c r="Y132" s="157">
        <f>'Quantitativos (A)'!W132*$D132*$E132</f>
        <v>368.66800000000001</v>
      </c>
      <c r="Z132" s="157">
        <f>'Quantitativos (A)'!X132*$D132*$E132</f>
        <v>368.66800000000001</v>
      </c>
      <c r="AA132" s="157">
        <f>'Quantitativos (A)'!Y132*$D132*$E132</f>
        <v>368.66800000000001</v>
      </c>
      <c r="AB132" s="157">
        <f>'Quantitativos (A)'!Z132*$D132*$E132</f>
        <v>368.66800000000001</v>
      </c>
      <c r="AC132" s="157">
        <f>'Quantitativos (A)'!AA132*$D132*$E132</f>
        <v>368.66800000000001</v>
      </c>
      <c r="AD132" s="157">
        <f>'Quantitativos (A)'!AB132*$D132*$E132</f>
        <v>368.66800000000001</v>
      </c>
      <c r="AE132" s="157">
        <f>'Quantitativos (A)'!AC132*$D132*$E132</f>
        <v>368.66800000000001</v>
      </c>
      <c r="AF132" s="157">
        <f>'Quantitativos (A)'!AD132*$D132*$E132</f>
        <v>368.66800000000001</v>
      </c>
      <c r="AG132" s="157">
        <f>'Quantitativos (A)'!AE132*$D132*$E132</f>
        <v>368.66800000000001</v>
      </c>
      <c r="AH132" s="157">
        <f>'Quantitativos (A)'!AF132*$D132*$E132</f>
        <v>368.66800000000001</v>
      </c>
      <c r="AI132" s="158">
        <f>'Quantitativos (A)'!AG132*$D132*$E132</f>
        <v>368.66800000000001</v>
      </c>
      <c r="AJ132" s="130"/>
    </row>
    <row r="133" spans="1:36" x14ac:dyDescent="0.25">
      <c r="A133" s="112"/>
      <c r="B133" s="120" t="s">
        <v>537</v>
      </c>
      <c r="C133" s="121"/>
      <c r="D133" s="155"/>
      <c r="E133" s="156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60"/>
      <c r="AJ133" s="130"/>
    </row>
    <row r="134" spans="1:36" ht="51" x14ac:dyDescent="0.25">
      <c r="A134" s="112"/>
      <c r="B134" s="27" t="s">
        <v>296</v>
      </c>
      <c r="C134" s="67" t="s">
        <v>65</v>
      </c>
      <c r="D134" s="157">
        <f>'Dados (F)'!$D$66</f>
        <v>4.7699999999999996</v>
      </c>
      <c r="E134" s="125">
        <f>IF('Dados (F)'!$D$35=1,1,IF('Dados (F)'!$D$35=2,'Dados (F)'!$C$39,1))</f>
        <v>1</v>
      </c>
      <c r="F134" s="157">
        <f>'Quantitativos (A)'!D134*$D134*$E134</f>
        <v>278.47736999999995</v>
      </c>
      <c r="G134" s="157">
        <f>'Quantitativos (A)'!E134*$D134*$E134</f>
        <v>278.47736999999995</v>
      </c>
      <c r="H134" s="157">
        <f>'Quantitativos (A)'!F134*$D134*$E134</f>
        <v>278.47736999999995</v>
      </c>
      <c r="I134" s="157">
        <f>'Quantitativos (A)'!G134*$D134*$E134</f>
        <v>330.91874999999999</v>
      </c>
      <c r="J134" s="157">
        <f>'Quantitativos (A)'!H134*$D134*$E134</f>
        <v>330.91874999999999</v>
      </c>
      <c r="K134" s="157">
        <f>'Quantitativos (A)'!I134*$D134*$E134</f>
        <v>330.91874999999999</v>
      </c>
      <c r="L134" s="157">
        <f>'Quantitativos (A)'!J134*$D134*$E134</f>
        <v>278.47736999999995</v>
      </c>
      <c r="M134" s="157">
        <f>'Quantitativos (A)'!K134*$D134*$E134</f>
        <v>278.47736999999995</v>
      </c>
      <c r="N134" s="157">
        <f>'Quantitativos (A)'!L134*$D134*$E134</f>
        <v>330.91874999999999</v>
      </c>
      <c r="O134" s="157">
        <f>'Quantitativos (A)'!M134*$D134*$E134</f>
        <v>330.91874999999999</v>
      </c>
      <c r="P134" s="157">
        <f>'Quantitativos (A)'!N134*$D134*$E134</f>
        <v>38.604564000000003</v>
      </c>
      <c r="Q134" s="157">
        <f>'Quantitativos (A)'!O134*$D134*$E134</f>
        <v>38.604564000000003</v>
      </c>
      <c r="R134" s="157">
        <f>'Quantitativos (A)'!P134*$D134*$E134</f>
        <v>38.604564000000003</v>
      </c>
      <c r="S134" s="157">
        <f>'Quantitativos (A)'!Q134*$D134*$E134</f>
        <v>47.747699999999995</v>
      </c>
      <c r="T134" s="157">
        <f>'Quantitativos (A)'!R134*$D134*$E134</f>
        <v>47.747699999999995</v>
      </c>
      <c r="U134" s="157">
        <f>'Quantitativos (A)'!S134*$D134*$E134</f>
        <v>47.747699999999995</v>
      </c>
      <c r="V134" s="157">
        <f>'Quantitativos (A)'!T134*$D134*$E134</f>
        <v>38.604564000000003</v>
      </c>
      <c r="W134" s="157">
        <f>'Quantitativos (A)'!U134*$D134*$E134</f>
        <v>38.604564000000003</v>
      </c>
      <c r="X134" s="157">
        <f>'Quantitativos (A)'!V134*$D134*$E134</f>
        <v>47.747699999999995</v>
      </c>
      <c r="Y134" s="157">
        <f>'Quantitativos (A)'!W134*$D134*$E134</f>
        <v>47.747699999999995</v>
      </c>
      <c r="Z134" s="157">
        <f>'Quantitativos (A)'!X134*$D134*$E134</f>
        <v>217.20195000000001</v>
      </c>
      <c r="AA134" s="157">
        <f>'Quantitativos (A)'!Y134*$D134*$E134</f>
        <v>217.20195000000001</v>
      </c>
      <c r="AB134" s="157">
        <f>'Quantitativos (A)'!Z134*$D134*$E134</f>
        <v>217.20195000000001</v>
      </c>
      <c r="AC134" s="157">
        <f>'Quantitativos (A)'!AA134*$D134*$E134</f>
        <v>258.76772999999997</v>
      </c>
      <c r="AD134" s="157">
        <f>'Quantitativos (A)'!AB134*$D134*$E134</f>
        <v>258.76772999999997</v>
      </c>
      <c r="AE134" s="157">
        <f>'Quantitativos (A)'!AC134*$D134*$E134</f>
        <v>258.76772999999997</v>
      </c>
      <c r="AF134" s="157">
        <f>'Quantitativos (A)'!AD134*$D134*$E134</f>
        <v>217.20195000000001</v>
      </c>
      <c r="AG134" s="157">
        <f>'Quantitativos (A)'!AE134*$D134*$E134</f>
        <v>217.20195000000001</v>
      </c>
      <c r="AH134" s="157">
        <f>'Quantitativos (A)'!AF134*$D134*$E134</f>
        <v>258.76772999999997</v>
      </c>
      <c r="AI134" s="158">
        <f>'Quantitativos (A)'!AG134*$D134*$E134</f>
        <v>258.76772999999997</v>
      </c>
      <c r="AJ134" s="130"/>
    </row>
    <row r="135" spans="1:36" ht="25.5" x14ac:dyDescent="0.25">
      <c r="A135" s="112"/>
      <c r="B135" s="129" t="s">
        <v>294</v>
      </c>
      <c r="C135" s="67" t="s">
        <v>65</v>
      </c>
      <c r="D135" s="157">
        <f>'Dados (F)'!$D$64</f>
        <v>296.22000000000003</v>
      </c>
      <c r="E135" s="125">
        <f>IF('Dados (F)'!$D$35=1,1,IF('Dados (F)'!$D$35=2,'Dados (F)'!$C$39,1))</f>
        <v>1</v>
      </c>
      <c r="F135" s="157">
        <f>'Quantitativos (A)'!D135*$D135*$E135</f>
        <v>1909.8784500000002</v>
      </c>
      <c r="G135" s="157">
        <f>'Quantitativos (A)'!E135*$D135*$E135</f>
        <v>1909.8784500000002</v>
      </c>
      <c r="H135" s="157">
        <f>'Quantitativos (A)'!F135*$D135*$E135</f>
        <v>1909.8784500000002</v>
      </c>
      <c r="I135" s="157">
        <f>'Quantitativos (A)'!G135*$D135*$E135</f>
        <v>12621.045540000003</v>
      </c>
      <c r="J135" s="157">
        <f>'Quantitativos (A)'!H135*$D135*$E135</f>
        <v>12621.045540000003</v>
      </c>
      <c r="K135" s="157">
        <f>'Quantitativos (A)'!I135*$D135*$E135</f>
        <v>12621.045540000003</v>
      </c>
      <c r="L135" s="157">
        <f>'Quantitativos (A)'!J135*$D135*$E135</f>
        <v>1909.8784500000002</v>
      </c>
      <c r="M135" s="157">
        <f>'Quantitativos (A)'!K135*$D135*$E135</f>
        <v>1909.8784500000002</v>
      </c>
      <c r="N135" s="157">
        <f>'Quantitativos (A)'!L135*$D135*$E135</f>
        <v>12621.045540000003</v>
      </c>
      <c r="O135" s="157">
        <f>'Quantitativos (A)'!M135*$D135*$E135</f>
        <v>12621.045540000003</v>
      </c>
      <c r="P135" s="157">
        <f>'Quantitativos (A)'!N135*$D135*$E135</f>
        <v>2130.2661300000004</v>
      </c>
      <c r="Q135" s="157">
        <f>'Quantitativos (A)'!O135*$D135*$E135</f>
        <v>2130.2661300000004</v>
      </c>
      <c r="R135" s="157">
        <f>'Quantitativos (A)'!P135*$D135*$E135</f>
        <v>2130.2661300000004</v>
      </c>
      <c r="S135" s="157">
        <f>'Quantitativos (A)'!Q135*$D135*$E135</f>
        <v>13321.309620000002</v>
      </c>
      <c r="T135" s="157">
        <f>'Quantitativos (A)'!R135*$D135*$E135</f>
        <v>13321.309620000002</v>
      </c>
      <c r="U135" s="157">
        <f>'Quantitativos (A)'!S135*$D135*$E135</f>
        <v>13321.309620000002</v>
      </c>
      <c r="V135" s="157">
        <f>'Quantitativos (A)'!T135*$D135*$E135</f>
        <v>2130.2661300000004</v>
      </c>
      <c r="W135" s="157">
        <f>'Quantitativos (A)'!U135*$D135*$E135</f>
        <v>2130.2661300000004</v>
      </c>
      <c r="X135" s="157">
        <f>'Quantitativos (A)'!V135*$D135*$E135</f>
        <v>13321.309620000002</v>
      </c>
      <c r="Y135" s="157">
        <f>'Quantitativos (A)'!W135*$D135*$E135</f>
        <v>13321.309620000002</v>
      </c>
      <c r="Z135" s="157">
        <f>'Quantitativos (A)'!X135*$D135*$E135</f>
        <v>1910.8559760000003</v>
      </c>
      <c r="AA135" s="157">
        <f>'Quantitativos (A)'!Y135*$D135*$E135</f>
        <v>1910.8559760000003</v>
      </c>
      <c r="AB135" s="157">
        <f>'Quantitativos (A)'!Z135*$D135*$E135</f>
        <v>1910.8559760000003</v>
      </c>
      <c r="AC135" s="157">
        <f>'Quantitativos (A)'!AA135*$D135*$E135</f>
        <v>12154.499040000002</v>
      </c>
      <c r="AD135" s="157">
        <f>'Quantitativos (A)'!AB135*$D135*$E135</f>
        <v>12154.499040000002</v>
      </c>
      <c r="AE135" s="157">
        <f>'Quantitativos (A)'!AC135*$D135*$E135</f>
        <v>12154.499040000002</v>
      </c>
      <c r="AF135" s="157">
        <f>'Quantitativos (A)'!AD135*$D135*$E135</f>
        <v>1910.8559760000003</v>
      </c>
      <c r="AG135" s="157">
        <f>'Quantitativos (A)'!AE135*$D135*$E135</f>
        <v>1910.8559760000003</v>
      </c>
      <c r="AH135" s="157">
        <f>'Quantitativos (A)'!AF135*$D135*$E135</f>
        <v>12154.499040000002</v>
      </c>
      <c r="AI135" s="158">
        <f>'Quantitativos (A)'!AG135*$D135*$E135</f>
        <v>12154.499040000002</v>
      </c>
      <c r="AJ135" s="130"/>
    </row>
    <row r="136" spans="1:36" x14ac:dyDescent="0.25">
      <c r="A136" s="112"/>
      <c r="B136" s="129" t="s">
        <v>290</v>
      </c>
      <c r="C136" s="67" t="s">
        <v>63</v>
      </c>
      <c r="D136" s="157">
        <f>'Dados (F)'!$D$65</f>
        <v>6.32</v>
      </c>
      <c r="E136" s="125">
        <f>IF('Dados (F)'!$D$35=1,1,IF('Dados (F)'!$D$35=2,'Dados (F)'!$C$39,1))</f>
        <v>1</v>
      </c>
      <c r="F136" s="157">
        <f>'Quantitativos (A)'!D136*$D136*$E136</f>
        <v>16.285375999999999</v>
      </c>
      <c r="G136" s="157">
        <f>'Quantitativos (A)'!E136*$D136*$E136</f>
        <v>16.285375999999999</v>
      </c>
      <c r="H136" s="157">
        <f>'Quantitativos (A)'!F136*$D136*$E136</f>
        <v>16.285375999999999</v>
      </c>
      <c r="I136" s="157">
        <f>'Quantitativos (A)'!G136*$D136*$E136</f>
        <v>107.71176</v>
      </c>
      <c r="J136" s="157">
        <f>'Quantitativos (A)'!H136*$D136*$E136</f>
        <v>107.71176</v>
      </c>
      <c r="K136" s="157">
        <f>'Quantitativos (A)'!I136*$D136*$E136</f>
        <v>107.71176</v>
      </c>
      <c r="L136" s="157">
        <f>'Quantitativos (A)'!J136*$D136*$E136</f>
        <v>16.285375999999999</v>
      </c>
      <c r="M136" s="157">
        <f>'Quantitativos (A)'!K136*$D136*$E136</f>
        <v>16.285375999999999</v>
      </c>
      <c r="N136" s="157">
        <f>'Quantitativos (A)'!L136*$D136*$E136</f>
        <v>107.71176</v>
      </c>
      <c r="O136" s="157">
        <f>'Quantitativos (A)'!M136*$D136*$E136</f>
        <v>107.71176</v>
      </c>
      <c r="P136" s="157">
        <f>'Quantitativos (A)'!N136*$D136*$E136</f>
        <v>18.14472</v>
      </c>
      <c r="Q136" s="157">
        <f>'Quantitativos (A)'!O136*$D136*$E136</f>
        <v>18.14472</v>
      </c>
      <c r="R136" s="157">
        <f>'Quantitativos (A)'!P136*$D136*$E136</f>
        <v>18.14472</v>
      </c>
      <c r="S136" s="157">
        <f>'Quantitativos (A)'!Q136*$D136*$E136</f>
        <v>113.71576000000002</v>
      </c>
      <c r="T136" s="157">
        <f>'Quantitativos (A)'!R136*$D136*$E136</f>
        <v>113.71576000000002</v>
      </c>
      <c r="U136" s="157">
        <f>'Quantitativos (A)'!S136*$D136*$E136</f>
        <v>113.71576000000002</v>
      </c>
      <c r="V136" s="157">
        <f>'Quantitativos (A)'!T136*$D136*$E136</f>
        <v>18.14472</v>
      </c>
      <c r="W136" s="157">
        <f>'Quantitativos (A)'!U136*$D136*$E136</f>
        <v>18.14472</v>
      </c>
      <c r="X136" s="157">
        <f>'Quantitativos (A)'!V136*$D136*$E136</f>
        <v>113.71576000000002</v>
      </c>
      <c r="Y136" s="157">
        <f>'Quantitativos (A)'!W136*$D136*$E136</f>
        <v>113.71576000000002</v>
      </c>
      <c r="Z136" s="157">
        <f>'Quantitativos (A)'!X136*$D136*$E136</f>
        <v>16.318872000000002</v>
      </c>
      <c r="AA136" s="157">
        <f>'Quantitativos (A)'!Y136*$D136*$E136</f>
        <v>16.318872000000002</v>
      </c>
      <c r="AB136" s="157">
        <f>'Quantitativos (A)'!Z136*$D136*$E136</f>
        <v>16.318872000000002</v>
      </c>
      <c r="AC136" s="157">
        <f>'Quantitativos (A)'!AA136*$D136*$E136</f>
        <v>103.75544000000002</v>
      </c>
      <c r="AD136" s="157">
        <f>'Quantitativos (A)'!AB136*$D136*$E136</f>
        <v>103.75544000000002</v>
      </c>
      <c r="AE136" s="157">
        <f>'Quantitativos (A)'!AC136*$D136*$E136</f>
        <v>103.75544000000002</v>
      </c>
      <c r="AF136" s="157">
        <f>'Quantitativos (A)'!AD136*$D136*$E136</f>
        <v>16.318872000000002</v>
      </c>
      <c r="AG136" s="157">
        <f>'Quantitativos (A)'!AE136*$D136*$E136</f>
        <v>16.318872000000002</v>
      </c>
      <c r="AH136" s="157">
        <f>'Quantitativos (A)'!AF136*$D136*$E136</f>
        <v>103.75544000000002</v>
      </c>
      <c r="AI136" s="158">
        <f>'Quantitativos (A)'!AG136*$D136*$E136</f>
        <v>103.75544000000002</v>
      </c>
      <c r="AJ136" s="130"/>
    </row>
    <row r="137" spans="1:36" ht="25.5" x14ac:dyDescent="0.25">
      <c r="A137" s="112"/>
      <c r="B137" s="129" t="s">
        <v>295</v>
      </c>
      <c r="C137" s="67" t="s">
        <v>57</v>
      </c>
      <c r="D137" s="157">
        <f>'Dados (F)'!$D$110</f>
        <v>30.97</v>
      </c>
      <c r="E137" s="125">
        <f>IF('Dados (F)'!$D$35=1,1,IF('Dados (F)'!$D$35=2,'Dados (F)'!$C$39,1))</f>
        <v>1</v>
      </c>
      <c r="F137" s="157">
        <f>'Quantitativos (A)'!D137*$D137*$E137</f>
        <v>156.324172</v>
      </c>
      <c r="G137" s="157">
        <f>'Quantitativos (A)'!E137*$D137*$E137</f>
        <v>156.324172</v>
      </c>
      <c r="H137" s="157">
        <f>'Quantitativos (A)'!F137*$D137*$E137</f>
        <v>156.324172</v>
      </c>
      <c r="I137" s="157">
        <f>'Quantitativos (A)'!G137*$D137*$E137</f>
        <v>11744.4434</v>
      </c>
      <c r="J137" s="157">
        <f>'Quantitativos (A)'!H137*$D137*$E137</f>
        <v>11744.4434</v>
      </c>
      <c r="K137" s="157">
        <f>'Quantitativos (A)'!I137*$D137*$E137</f>
        <v>11744.4434</v>
      </c>
      <c r="L137" s="157">
        <f>'Quantitativos (A)'!J137*$D137*$E137</f>
        <v>156.324172</v>
      </c>
      <c r="M137" s="157">
        <f>'Quantitativos (A)'!K137*$D137*$E137</f>
        <v>156.324172</v>
      </c>
      <c r="N137" s="157">
        <f>'Quantitativos (A)'!L137*$D137*$E137</f>
        <v>11744.4434</v>
      </c>
      <c r="O137" s="157">
        <f>'Quantitativos (A)'!M137*$D137*$E137</f>
        <v>11744.4434</v>
      </c>
      <c r="P137" s="157">
        <f>'Quantitativos (A)'!N137*$D137*$E137</f>
        <v>171.57999399999997</v>
      </c>
      <c r="Q137" s="157">
        <f>'Quantitativos (A)'!O137*$D137*$E137</f>
        <v>171.57999399999997</v>
      </c>
      <c r="R137" s="157">
        <f>'Quantitativos (A)'!P137*$D137*$E137</f>
        <v>171.57999399999997</v>
      </c>
      <c r="S137" s="157">
        <f>'Quantitativos (A)'!Q137*$D137*$E137</f>
        <v>12237.857440000002</v>
      </c>
      <c r="T137" s="157">
        <f>'Quantitativos (A)'!R137*$D137*$E137</f>
        <v>12237.857440000002</v>
      </c>
      <c r="U137" s="157">
        <f>'Quantitativos (A)'!S137*$D137*$E137</f>
        <v>12237.857440000002</v>
      </c>
      <c r="V137" s="157">
        <f>'Quantitativos (A)'!T137*$D137*$E137</f>
        <v>171.57999399999997</v>
      </c>
      <c r="W137" s="157">
        <f>'Quantitativos (A)'!U137*$D137*$E137</f>
        <v>171.57999399999997</v>
      </c>
      <c r="X137" s="157">
        <f>'Quantitativos (A)'!V137*$D137*$E137</f>
        <v>12237.857440000002</v>
      </c>
      <c r="Y137" s="157">
        <f>'Quantitativos (A)'!W137*$D137*$E137</f>
        <v>12237.857440000002</v>
      </c>
      <c r="Z137" s="157">
        <f>'Quantitativos (A)'!X137*$D137*$E137</f>
        <v>156.27462</v>
      </c>
      <c r="AA137" s="157">
        <f>'Quantitativos (A)'!Y137*$D137*$E137</f>
        <v>156.27462</v>
      </c>
      <c r="AB137" s="157">
        <f>'Quantitativos (A)'!Z137*$D137*$E137</f>
        <v>156.27462</v>
      </c>
      <c r="AC137" s="157">
        <f>'Quantitativos (A)'!AA137*$D137*$E137</f>
        <v>11266.731149999998</v>
      </c>
      <c r="AD137" s="157">
        <f>'Quantitativos (A)'!AB137*$D137*$E137</f>
        <v>11266.731149999998</v>
      </c>
      <c r="AE137" s="157">
        <f>'Quantitativos (A)'!AC137*$D137*$E137</f>
        <v>11266.731149999998</v>
      </c>
      <c r="AF137" s="157">
        <f>'Quantitativos (A)'!AD137*$D137*$E137</f>
        <v>156.27462</v>
      </c>
      <c r="AG137" s="157">
        <f>'Quantitativos (A)'!AE137*$D137*$E137</f>
        <v>156.27462</v>
      </c>
      <c r="AH137" s="157">
        <f>'Quantitativos (A)'!AF137*$D137*$E137</f>
        <v>11266.731149999998</v>
      </c>
      <c r="AI137" s="158">
        <f>'Quantitativos (A)'!AG137*$D137*$E137</f>
        <v>11266.731149999998</v>
      </c>
      <c r="AJ137" s="130"/>
    </row>
    <row r="138" spans="1:36" x14ac:dyDescent="0.25">
      <c r="A138" s="112"/>
      <c r="B138" s="27" t="s">
        <v>305</v>
      </c>
      <c r="C138" s="67" t="s">
        <v>63</v>
      </c>
      <c r="D138" s="157">
        <f>'Dados (F)'!$D$111</f>
        <v>6.01</v>
      </c>
      <c r="E138" s="125">
        <f>IF('Dados (F)'!$D$35=1,1,IF('Dados (F)'!$D$35=2,'Dados (F)'!$C$39,1))</f>
        <v>1</v>
      </c>
      <c r="F138" s="157">
        <f>'Quantitativos (A)'!D138*$D138*$E138</f>
        <v>7654.3961000000008</v>
      </c>
      <c r="G138" s="157">
        <f>'Quantitativos (A)'!E138*$D138*$E138</f>
        <v>7654.3961000000008</v>
      </c>
      <c r="H138" s="157">
        <f>'Quantitativos (A)'!F138*$D138*$E138</f>
        <v>7654.3961000000008</v>
      </c>
      <c r="I138" s="157">
        <f>'Quantitativos (A)'!G138*$D138*$E138</f>
        <v>0</v>
      </c>
      <c r="J138" s="157">
        <f>'Quantitativos (A)'!H138*$D138*$E138</f>
        <v>0</v>
      </c>
      <c r="K138" s="157">
        <f>'Quantitativos (A)'!I138*$D138*$E138</f>
        <v>0</v>
      </c>
      <c r="L138" s="157">
        <f>'Quantitativos (A)'!J138*$D138*$E138</f>
        <v>7654.3961000000008</v>
      </c>
      <c r="M138" s="157">
        <f>'Quantitativos (A)'!K138*$D138*$E138</f>
        <v>7654.3961000000008</v>
      </c>
      <c r="N138" s="157">
        <f>'Quantitativos (A)'!L138*$D138*$E138</f>
        <v>0</v>
      </c>
      <c r="O138" s="157">
        <f>'Quantitativos (A)'!M138*$D138*$E138</f>
        <v>0</v>
      </c>
      <c r="P138" s="157">
        <f>'Quantitativos (A)'!N138*$D138*$E138</f>
        <v>8533.2383999999984</v>
      </c>
      <c r="Q138" s="157">
        <f>'Quantitativos (A)'!O138*$D138*$E138</f>
        <v>8533.2383999999984</v>
      </c>
      <c r="R138" s="157">
        <f>'Quantitativos (A)'!P138*$D138*$E138</f>
        <v>8533.2383999999984</v>
      </c>
      <c r="S138" s="157">
        <f>'Quantitativos (A)'!Q138*$D138*$E138</f>
        <v>0</v>
      </c>
      <c r="T138" s="157">
        <f>'Quantitativos (A)'!R138*$D138*$E138</f>
        <v>0</v>
      </c>
      <c r="U138" s="157">
        <f>'Quantitativos (A)'!S138*$D138*$E138</f>
        <v>0</v>
      </c>
      <c r="V138" s="157">
        <f>'Quantitativos (A)'!T138*$D138*$E138</f>
        <v>8533.2383999999984</v>
      </c>
      <c r="W138" s="157">
        <f>'Quantitativos (A)'!U138*$D138*$E138</f>
        <v>8533.2383999999984</v>
      </c>
      <c r="X138" s="157">
        <f>'Quantitativos (A)'!V138*$D138*$E138</f>
        <v>0</v>
      </c>
      <c r="Y138" s="157">
        <f>'Quantitativos (A)'!W138*$D138*$E138</f>
        <v>0</v>
      </c>
      <c r="Z138" s="157">
        <f>'Quantitativos (A)'!X138*$D138*$E138</f>
        <v>7654.6966000000002</v>
      </c>
      <c r="AA138" s="157">
        <f>'Quantitativos (A)'!Y138*$D138*$E138</f>
        <v>7654.6966000000002</v>
      </c>
      <c r="AB138" s="157">
        <f>'Quantitativos (A)'!Z138*$D138*$E138</f>
        <v>7654.6966000000002</v>
      </c>
      <c r="AC138" s="157">
        <f>'Quantitativos (A)'!AA138*$D138*$E138</f>
        <v>0</v>
      </c>
      <c r="AD138" s="157">
        <f>'Quantitativos (A)'!AB138*$D138*$E138</f>
        <v>0</v>
      </c>
      <c r="AE138" s="157">
        <f>'Quantitativos (A)'!AC138*$D138*$E138</f>
        <v>0</v>
      </c>
      <c r="AF138" s="157">
        <f>'Quantitativos (A)'!AD138*$D138*$E138</f>
        <v>7654.6966000000002</v>
      </c>
      <c r="AG138" s="157">
        <f>'Quantitativos (A)'!AE138*$D138*$E138</f>
        <v>7654.6966000000002</v>
      </c>
      <c r="AH138" s="157">
        <f>'Quantitativos (A)'!AF138*$D138*$E138</f>
        <v>0</v>
      </c>
      <c r="AI138" s="158">
        <f>'Quantitativos (A)'!AG138*$D138*$E138</f>
        <v>0</v>
      </c>
      <c r="AJ138" s="130"/>
    </row>
    <row r="139" spans="1:36" x14ac:dyDescent="0.25">
      <c r="A139" s="112"/>
      <c r="B139" s="27" t="s">
        <v>465</v>
      </c>
      <c r="C139" s="67" t="s">
        <v>63</v>
      </c>
      <c r="D139" s="157">
        <f>'Dados (F)'!$D$112</f>
        <v>5.83</v>
      </c>
      <c r="E139" s="125">
        <f>IF('Dados (F)'!$D$35=1,1,IF('Dados (F)'!$D$35=2,'Dados (F)'!$C$39,1))</f>
        <v>1</v>
      </c>
      <c r="F139" s="157">
        <f>'Quantitativos (A)'!D139*$D139*$E139</f>
        <v>36023.861499999999</v>
      </c>
      <c r="G139" s="157">
        <f>'Quantitativos (A)'!E139*$D139*$E139</f>
        <v>36023.861499999999</v>
      </c>
      <c r="H139" s="157">
        <f>'Quantitativos (A)'!F139*$D139*$E139</f>
        <v>36023.861499999999</v>
      </c>
      <c r="I139" s="157">
        <f>'Quantitativos (A)'!G139*$D139*$E139</f>
        <v>0</v>
      </c>
      <c r="J139" s="157">
        <f>'Quantitativos (A)'!H139*$D139*$E139</f>
        <v>0</v>
      </c>
      <c r="K139" s="157">
        <f>'Quantitativos (A)'!I139*$D139*$E139</f>
        <v>0</v>
      </c>
      <c r="L139" s="157">
        <f>'Quantitativos (A)'!J139*$D139*$E139</f>
        <v>36023.861499999999</v>
      </c>
      <c r="M139" s="157">
        <f>'Quantitativos (A)'!K139*$D139*$E139</f>
        <v>36023.861499999999</v>
      </c>
      <c r="N139" s="157">
        <f>'Quantitativos (A)'!L139*$D139*$E139</f>
        <v>0</v>
      </c>
      <c r="O139" s="157">
        <f>'Quantitativos (A)'!M139*$D139*$E139</f>
        <v>0</v>
      </c>
      <c r="P139" s="157">
        <f>'Quantitativos (A)'!N139*$D139*$E139</f>
        <v>37310.076099999998</v>
      </c>
      <c r="Q139" s="157">
        <f>'Quantitativos (A)'!O139*$D139*$E139</f>
        <v>37310.076099999998</v>
      </c>
      <c r="R139" s="157">
        <f>'Quantitativos (A)'!P139*$D139*$E139</f>
        <v>37310.076099999998</v>
      </c>
      <c r="S139" s="157">
        <f>'Quantitativos (A)'!Q139*$D139*$E139</f>
        <v>0</v>
      </c>
      <c r="T139" s="157">
        <f>'Quantitativos (A)'!R139*$D139*$E139</f>
        <v>0</v>
      </c>
      <c r="U139" s="157">
        <f>'Quantitativos (A)'!S139*$D139*$E139</f>
        <v>0</v>
      </c>
      <c r="V139" s="157">
        <f>'Quantitativos (A)'!T139*$D139*$E139</f>
        <v>37310.076099999998</v>
      </c>
      <c r="W139" s="157">
        <f>'Quantitativos (A)'!U139*$D139*$E139</f>
        <v>37310.076099999998</v>
      </c>
      <c r="X139" s="157">
        <f>'Quantitativos (A)'!V139*$D139*$E139</f>
        <v>0</v>
      </c>
      <c r="Y139" s="157">
        <f>'Quantitativos (A)'!W139*$D139*$E139</f>
        <v>0</v>
      </c>
      <c r="Z139" s="157">
        <f>'Quantitativos (A)'!X139*$D139*$E139</f>
        <v>34425.800200000005</v>
      </c>
      <c r="AA139" s="157">
        <f>'Quantitativos (A)'!Y139*$D139*$E139</f>
        <v>34425.800200000005</v>
      </c>
      <c r="AB139" s="157">
        <f>'Quantitativos (A)'!Z139*$D139*$E139</f>
        <v>34425.800200000005</v>
      </c>
      <c r="AC139" s="157">
        <f>'Quantitativos (A)'!AA139*$D139*$E139</f>
        <v>0</v>
      </c>
      <c r="AD139" s="157">
        <f>'Quantitativos (A)'!AB139*$D139*$E139</f>
        <v>0</v>
      </c>
      <c r="AE139" s="157">
        <f>'Quantitativos (A)'!AC139*$D139*$E139</f>
        <v>0</v>
      </c>
      <c r="AF139" s="157">
        <f>'Quantitativos (A)'!AD139*$D139*$E139</f>
        <v>34425.800200000005</v>
      </c>
      <c r="AG139" s="157">
        <f>'Quantitativos (A)'!AE139*$D139*$E139</f>
        <v>34425.800200000005</v>
      </c>
      <c r="AH139" s="157">
        <f>'Quantitativos (A)'!AF139*$D139*$E139</f>
        <v>0</v>
      </c>
      <c r="AI139" s="158">
        <f>'Quantitativos (A)'!AG139*$D139*$E139</f>
        <v>0</v>
      </c>
      <c r="AJ139" s="130"/>
    </row>
    <row r="140" spans="1:36" x14ac:dyDescent="0.25">
      <c r="A140" s="112"/>
      <c r="B140" s="27" t="s">
        <v>522</v>
      </c>
      <c r="C140" s="67" t="s">
        <v>63</v>
      </c>
      <c r="D140" s="157">
        <f>'Dados (F)'!$D$135</f>
        <v>1.39</v>
      </c>
      <c r="E140" s="125">
        <f>IF('Dados (F)'!$D$35=1,1,'Dados (F)'!$C$39)</f>
        <v>1</v>
      </c>
      <c r="F140" s="157">
        <f>'Quantitativos (A)'!D140*$D140*$E140</f>
        <v>4143.6594999999998</v>
      </c>
      <c r="G140" s="157">
        <f>'Quantitativos (A)'!E140*$D140*$E140</f>
        <v>4143.6594999999998</v>
      </c>
      <c r="H140" s="157">
        <f>'Quantitativos (A)'!F140*$D140*$E140</f>
        <v>4143.6594999999998</v>
      </c>
      <c r="I140" s="157">
        <f>'Quantitativos (A)'!G140*$D140*$E140</f>
        <v>0</v>
      </c>
      <c r="J140" s="157">
        <f>'Quantitativos (A)'!H140*$D140*$E140</f>
        <v>0</v>
      </c>
      <c r="K140" s="157">
        <f>'Quantitativos (A)'!I140*$D140*$E140</f>
        <v>0</v>
      </c>
      <c r="L140" s="157">
        <f>'Quantitativos (A)'!J140*$D140*$E140</f>
        <v>4143.6594999999998</v>
      </c>
      <c r="M140" s="157">
        <f>'Quantitativos (A)'!K140*$D140*$E140</f>
        <v>4143.6594999999998</v>
      </c>
      <c r="N140" s="157">
        <f>'Quantitativos (A)'!L140*$D140*$E140</f>
        <v>0</v>
      </c>
      <c r="O140" s="157">
        <f>'Quantitativos (A)'!M140*$D140*$E140</f>
        <v>0</v>
      </c>
      <c r="P140" s="157">
        <f>'Quantitativos (A)'!N140*$D140*$E140</f>
        <v>4347.7392999999993</v>
      </c>
      <c r="Q140" s="157">
        <f>'Quantitativos (A)'!O140*$D140*$E140</f>
        <v>4347.7392999999993</v>
      </c>
      <c r="R140" s="157">
        <f>'Quantitativos (A)'!P140*$D140*$E140</f>
        <v>4347.7392999999993</v>
      </c>
      <c r="S140" s="157">
        <f>'Quantitativos (A)'!Q140*$D140*$E140</f>
        <v>0</v>
      </c>
      <c r="T140" s="157">
        <f>'Quantitativos (A)'!R140*$D140*$E140</f>
        <v>0</v>
      </c>
      <c r="U140" s="157">
        <f>'Quantitativos (A)'!S140*$D140*$E140</f>
        <v>0</v>
      </c>
      <c r="V140" s="157">
        <f>'Quantitativos (A)'!T140*$D140*$E140</f>
        <v>4347.7392999999993</v>
      </c>
      <c r="W140" s="157">
        <f>'Quantitativos (A)'!U140*$D140*$E140</f>
        <v>4347.7392999999993</v>
      </c>
      <c r="X140" s="157">
        <f>'Quantitativos (A)'!V140*$D140*$E140</f>
        <v>0</v>
      </c>
      <c r="Y140" s="157">
        <f>'Quantitativos (A)'!W140*$D140*$E140</f>
        <v>0</v>
      </c>
      <c r="Z140" s="157">
        <f>'Quantitativos (A)'!X140*$D140*$E140</f>
        <v>3991.3015999999998</v>
      </c>
      <c r="AA140" s="157">
        <f>'Quantitativos (A)'!Y140*$D140*$E140</f>
        <v>3991.3015999999998</v>
      </c>
      <c r="AB140" s="157">
        <f>'Quantitativos (A)'!Z140*$D140*$E140</f>
        <v>3991.3015999999998</v>
      </c>
      <c r="AC140" s="157">
        <f>'Quantitativos (A)'!AA140*$D140*$E140</f>
        <v>0</v>
      </c>
      <c r="AD140" s="157">
        <f>'Quantitativos (A)'!AB140*$D140*$E140</f>
        <v>0</v>
      </c>
      <c r="AE140" s="157">
        <f>'Quantitativos (A)'!AC140*$D140*$E140</f>
        <v>0</v>
      </c>
      <c r="AF140" s="157">
        <f>'Quantitativos (A)'!AD140*$D140*$E140</f>
        <v>3991.3015999999998</v>
      </c>
      <c r="AG140" s="157">
        <f>'Quantitativos (A)'!AE140*$D140*$E140</f>
        <v>3991.3015999999998</v>
      </c>
      <c r="AH140" s="157">
        <f>'Quantitativos (A)'!AF140*$D140*$E140</f>
        <v>0</v>
      </c>
      <c r="AI140" s="158">
        <f>'Quantitativos (A)'!AG140*$D140*$E140</f>
        <v>0</v>
      </c>
      <c r="AJ140" s="130"/>
    </row>
    <row r="141" spans="1:36" ht="25.5" x14ac:dyDescent="0.25">
      <c r="A141" s="112"/>
      <c r="B141" s="27" t="s">
        <v>516</v>
      </c>
      <c r="C141" s="67" t="s">
        <v>57</v>
      </c>
      <c r="D141" s="157">
        <f>'Dados (F)'!$D$136</f>
        <v>69.56</v>
      </c>
      <c r="E141" s="125">
        <f>IF('Dados (F)'!$D$35=1,1,'Dados (F)'!$C$39)</f>
        <v>1</v>
      </c>
      <c r="F141" s="157">
        <f>'Quantitativos (A)'!D141*$D141*$E141</f>
        <v>26209.442840000003</v>
      </c>
      <c r="G141" s="157">
        <f>'Quantitativos (A)'!E141*$D141*$E141</f>
        <v>26209.442840000003</v>
      </c>
      <c r="H141" s="157">
        <f>'Quantitativos (A)'!F141*$D141*$E141</f>
        <v>26209.442840000003</v>
      </c>
      <c r="I141" s="157">
        <f>'Quantitativos (A)'!G141*$D141*$E141</f>
        <v>0</v>
      </c>
      <c r="J141" s="157">
        <f>'Quantitativos (A)'!H141*$D141*$E141</f>
        <v>0</v>
      </c>
      <c r="K141" s="157">
        <f>'Quantitativos (A)'!I141*$D141*$E141</f>
        <v>0</v>
      </c>
      <c r="L141" s="157">
        <f>'Quantitativos (A)'!J141*$D141*$E141</f>
        <v>26209.442840000003</v>
      </c>
      <c r="M141" s="157">
        <f>'Quantitativos (A)'!K141*$D141*$E141</f>
        <v>26209.442840000003</v>
      </c>
      <c r="N141" s="157">
        <f>'Quantitativos (A)'!L141*$D141*$E141</f>
        <v>0</v>
      </c>
      <c r="O141" s="157">
        <f>'Quantitativos (A)'!M141*$D141*$E141</f>
        <v>0</v>
      </c>
      <c r="P141" s="157">
        <f>'Quantitativos (A)'!N141*$D141*$E141</f>
        <v>27429.316559999999</v>
      </c>
      <c r="Q141" s="157">
        <f>'Quantitativos (A)'!O141*$D141*$E141</f>
        <v>27429.316559999999</v>
      </c>
      <c r="R141" s="157">
        <f>'Quantitativos (A)'!P141*$D141*$E141</f>
        <v>27429.316559999999</v>
      </c>
      <c r="S141" s="157">
        <f>'Quantitativos (A)'!Q141*$D141*$E141</f>
        <v>0</v>
      </c>
      <c r="T141" s="157">
        <f>'Quantitativos (A)'!R141*$D141*$E141</f>
        <v>0</v>
      </c>
      <c r="U141" s="157">
        <f>'Quantitativos (A)'!S141*$D141*$E141</f>
        <v>0</v>
      </c>
      <c r="V141" s="157">
        <f>'Quantitativos (A)'!T141*$D141*$E141</f>
        <v>27429.316559999999</v>
      </c>
      <c r="W141" s="157">
        <f>'Quantitativos (A)'!U141*$D141*$E141</f>
        <v>27429.316559999999</v>
      </c>
      <c r="X141" s="157">
        <f>'Quantitativos (A)'!V141*$D141*$E141</f>
        <v>0</v>
      </c>
      <c r="Y141" s="157">
        <f>'Quantitativos (A)'!W141*$D141*$E141</f>
        <v>0</v>
      </c>
      <c r="Z141" s="157">
        <f>'Quantitativos (A)'!X141*$D141*$E141</f>
        <v>25205.831160000005</v>
      </c>
      <c r="AA141" s="157">
        <f>'Quantitativos (A)'!Y141*$D141*$E141</f>
        <v>25205.831160000005</v>
      </c>
      <c r="AB141" s="157">
        <f>'Quantitativos (A)'!Z141*$D141*$E141</f>
        <v>25205.831160000005</v>
      </c>
      <c r="AC141" s="157">
        <f>'Quantitativos (A)'!AA141*$D141*$E141</f>
        <v>0</v>
      </c>
      <c r="AD141" s="157">
        <f>'Quantitativos (A)'!AB141*$D141*$E141</f>
        <v>0</v>
      </c>
      <c r="AE141" s="157">
        <f>'Quantitativos (A)'!AC141*$D141*$E141</f>
        <v>0</v>
      </c>
      <c r="AF141" s="157">
        <f>'Quantitativos (A)'!AD141*$D141*$E141</f>
        <v>25205.831160000005</v>
      </c>
      <c r="AG141" s="157">
        <f>'Quantitativos (A)'!AE141*$D141*$E141</f>
        <v>25205.831160000005</v>
      </c>
      <c r="AH141" s="157">
        <f>'Quantitativos (A)'!AF141*$D141*$E141</f>
        <v>0</v>
      </c>
      <c r="AI141" s="158">
        <f>'Quantitativos (A)'!AG141*$D141*$E141</f>
        <v>0</v>
      </c>
      <c r="AJ141" s="130"/>
    </row>
    <row r="142" spans="1:36" ht="25.5" x14ac:dyDescent="0.25">
      <c r="A142" s="112"/>
      <c r="B142" s="27" t="s">
        <v>517</v>
      </c>
      <c r="C142" s="67" t="s">
        <v>57</v>
      </c>
      <c r="D142" s="157">
        <f>'Dados (F)'!$D$137</f>
        <v>69.56</v>
      </c>
      <c r="E142" s="125">
        <f>IF('Dados (F)'!$D$35=1,1,'Dados (F)'!$C$39)</f>
        <v>1</v>
      </c>
      <c r="F142" s="157">
        <f>'Quantitativos (A)'!D142*$D142*$E142</f>
        <v>26209.442840000003</v>
      </c>
      <c r="G142" s="157">
        <f>'Quantitativos (A)'!E142*$D142*$E142</f>
        <v>26209.442840000003</v>
      </c>
      <c r="H142" s="157">
        <f>'Quantitativos (A)'!F142*$D142*$E142</f>
        <v>26209.442840000003</v>
      </c>
      <c r="I142" s="157">
        <f>'Quantitativos (A)'!G142*$D142*$E142</f>
        <v>0</v>
      </c>
      <c r="J142" s="157">
        <f>'Quantitativos (A)'!H142*$D142*$E142</f>
        <v>0</v>
      </c>
      <c r="K142" s="157">
        <f>'Quantitativos (A)'!I142*$D142*$E142</f>
        <v>0</v>
      </c>
      <c r="L142" s="157">
        <f>'Quantitativos (A)'!J142*$D142*$E142</f>
        <v>26209.442840000003</v>
      </c>
      <c r="M142" s="157">
        <f>'Quantitativos (A)'!K142*$D142*$E142</f>
        <v>26209.442840000003</v>
      </c>
      <c r="N142" s="157">
        <f>'Quantitativos (A)'!L142*$D142*$E142</f>
        <v>0</v>
      </c>
      <c r="O142" s="157">
        <f>'Quantitativos (A)'!M142*$D142*$E142</f>
        <v>0</v>
      </c>
      <c r="P142" s="157">
        <f>'Quantitativos (A)'!N142*$D142*$E142</f>
        <v>27429.316559999999</v>
      </c>
      <c r="Q142" s="157">
        <f>'Quantitativos (A)'!O142*$D142*$E142</f>
        <v>27429.316559999999</v>
      </c>
      <c r="R142" s="157">
        <f>'Quantitativos (A)'!P142*$D142*$E142</f>
        <v>27429.316559999999</v>
      </c>
      <c r="S142" s="157">
        <f>'Quantitativos (A)'!Q142*$D142*$E142</f>
        <v>0</v>
      </c>
      <c r="T142" s="157">
        <f>'Quantitativos (A)'!R142*$D142*$E142</f>
        <v>0</v>
      </c>
      <c r="U142" s="157">
        <f>'Quantitativos (A)'!S142*$D142*$E142</f>
        <v>0</v>
      </c>
      <c r="V142" s="157">
        <f>'Quantitativos (A)'!T142*$D142*$E142</f>
        <v>27429.316559999999</v>
      </c>
      <c r="W142" s="157">
        <f>'Quantitativos (A)'!U142*$D142*$E142</f>
        <v>27429.316559999999</v>
      </c>
      <c r="X142" s="157">
        <f>'Quantitativos (A)'!V142*$D142*$E142</f>
        <v>0</v>
      </c>
      <c r="Y142" s="157">
        <f>'Quantitativos (A)'!W142*$D142*$E142</f>
        <v>0</v>
      </c>
      <c r="Z142" s="157">
        <f>'Quantitativos (A)'!X142*$D142*$E142</f>
        <v>25205.831160000005</v>
      </c>
      <c r="AA142" s="157">
        <f>'Quantitativos (A)'!Y142*$D142*$E142</f>
        <v>25205.831160000005</v>
      </c>
      <c r="AB142" s="157">
        <f>'Quantitativos (A)'!Z142*$D142*$E142</f>
        <v>25205.831160000005</v>
      </c>
      <c r="AC142" s="157">
        <f>'Quantitativos (A)'!AA142*$D142*$E142</f>
        <v>0</v>
      </c>
      <c r="AD142" s="157">
        <f>'Quantitativos (A)'!AB142*$D142*$E142</f>
        <v>0</v>
      </c>
      <c r="AE142" s="157">
        <f>'Quantitativos (A)'!AC142*$D142*$E142</f>
        <v>0</v>
      </c>
      <c r="AF142" s="157">
        <f>'Quantitativos (A)'!AD142*$D142*$E142</f>
        <v>25205.831160000005</v>
      </c>
      <c r="AG142" s="157">
        <f>'Quantitativos (A)'!AE142*$D142*$E142</f>
        <v>25205.831160000005</v>
      </c>
      <c r="AH142" s="157">
        <f>'Quantitativos (A)'!AF142*$D142*$E142</f>
        <v>0</v>
      </c>
      <c r="AI142" s="158">
        <f>'Quantitativos (A)'!AG142*$D142*$E142</f>
        <v>0</v>
      </c>
      <c r="AJ142" s="130"/>
    </row>
    <row r="143" spans="1:36" x14ac:dyDescent="0.25">
      <c r="A143" s="112"/>
      <c r="B143" s="120" t="s">
        <v>538</v>
      </c>
      <c r="C143" s="121"/>
      <c r="D143" s="155"/>
      <c r="E143" s="156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60"/>
      <c r="AJ143" s="130"/>
    </row>
    <row r="144" spans="1:36" ht="51" x14ac:dyDescent="0.25">
      <c r="B144" s="131" t="s">
        <v>440</v>
      </c>
      <c r="C144" s="125" t="s">
        <v>65</v>
      </c>
      <c r="D144" s="157">
        <f>'Dados (F)'!$D$69</f>
        <v>7.93</v>
      </c>
      <c r="E144" s="125">
        <f>IF('Dados (F)'!$D$35=1,1,IF('Dados (F)'!$D$35=2,'Dados (F)'!$C$39,1))</f>
        <v>1</v>
      </c>
      <c r="F144" s="157">
        <f>'Quantitativos (A)'!D144*$D144*$E144</f>
        <v>1879.8858</v>
      </c>
      <c r="G144" s="157">
        <f>'Quantitativos (A)'!E144*$D144*$E144</f>
        <v>0</v>
      </c>
      <c r="H144" s="157">
        <f>'Quantitativos (A)'!F144*$D144*$E144</f>
        <v>0</v>
      </c>
      <c r="I144" s="157">
        <f>'Quantitativos (A)'!G144*$D144*$E144</f>
        <v>1879.8858</v>
      </c>
      <c r="J144" s="157">
        <f>'Quantitativos (A)'!H144*$D144*$E144</f>
        <v>0</v>
      </c>
      <c r="K144" s="157">
        <f>'Quantitativos (A)'!I144*$D144*$E144</f>
        <v>0</v>
      </c>
      <c r="L144" s="157">
        <f>'Quantitativos (A)'!J144*$D144*$E144</f>
        <v>1879.8858</v>
      </c>
      <c r="M144" s="157">
        <f>'Quantitativos (A)'!K144*$D144*$E144</f>
        <v>0</v>
      </c>
      <c r="N144" s="157">
        <f>'Quantitativos (A)'!L144*$D144*$E144</f>
        <v>1879.8858</v>
      </c>
      <c r="O144" s="157">
        <f>'Quantitativos (A)'!M144*$D144*$E144</f>
        <v>0</v>
      </c>
      <c r="P144" s="157">
        <f>'Quantitativos (A)'!N144*$D144*$E144</f>
        <v>1700.5171299999997</v>
      </c>
      <c r="Q144" s="157">
        <f>'Quantitativos (A)'!O144*$D144*$E144</f>
        <v>0</v>
      </c>
      <c r="R144" s="157">
        <f>'Quantitativos (A)'!P144*$D144*$E144</f>
        <v>0</v>
      </c>
      <c r="S144" s="157">
        <f>'Quantitativos (A)'!Q144*$D144*$E144</f>
        <v>1700.5171299999997</v>
      </c>
      <c r="T144" s="157">
        <f>'Quantitativos (A)'!R144*$D144*$E144</f>
        <v>0</v>
      </c>
      <c r="U144" s="157">
        <f>'Quantitativos (A)'!S144*$D144*$E144</f>
        <v>0</v>
      </c>
      <c r="V144" s="157">
        <f>'Quantitativos (A)'!T144*$D144*$E144</f>
        <v>1700.5171299999997</v>
      </c>
      <c r="W144" s="157">
        <f>'Quantitativos (A)'!U144*$D144*$E144</f>
        <v>0</v>
      </c>
      <c r="X144" s="157">
        <f>'Quantitativos (A)'!V144*$D144*$E144</f>
        <v>1700.5171299999997</v>
      </c>
      <c r="Y144" s="157">
        <f>'Quantitativos (A)'!W144*$D144*$E144</f>
        <v>0</v>
      </c>
      <c r="Z144" s="157">
        <f>'Quantitativos (A)'!X144*$D144*$E144</f>
        <v>1431.4601599999999</v>
      </c>
      <c r="AA144" s="157">
        <f>'Quantitativos (A)'!Y144*$D144*$E144</f>
        <v>0</v>
      </c>
      <c r="AB144" s="157">
        <f>'Quantitativos (A)'!Z144*$D144*$E144</f>
        <v>0</v>
      </c>
      <c r="AC144" s="157">
        <f>'Quantitativos (A)'!AA144*$D144*$E144</f>
        <v>1431.4601599999999</v>
      </c>
      <c r="AD144" s="157">
        <f>'Quantitativos (A)'!AB144*$D144*$E144</f>
        <v>0</v>
      </c>
      <c r="AE144" s="157">
        <f>'Quantitativos (A)'!AC144*$D144*$E144</f>
        <v>0</v>
      </c>
      <c r="AF144" s="157">
        <f>'Quantitativos (A)'!AD144*$D144*$E144</f>
        <v>1431.4601599999999</v>
      </c>
      <c r="AG144" s="157">
        <f>'Quantitativos (A)'!AE144*$D144*$E144</f>
        <v>0</v>
      </c>
      <c r="AH144" s="157">
        <f>'Quantitativos (A)'!AF144*$D144*$E144</f>
        <v>1431.4601599999999</v>
      </c>
      <c r="AI144" s="158">
        <f>'Quantitativos (A)'!AG144*$D144*$E144</f>
        <v>0</v>
      </c>
      <c r="AJ144" s="22"/>
    </row>
    <row r="145" spans="1:36" ht="25.5" x14ac:dyDescent="0.25">
      <c r="A145" s="112"/>
      <c r="B145" s="129" t="s">
        <v>294</v>
      </c>
      <c r="C145" s="125" t="s">
        <v>65</v>
      </c>
      <c r="D145" s="157">
        <f>'Dados (F)'!$D$64</f>
        <v>296.22000000000003</v>
      </c>
      <c r="E145" s="125">
        <f>IF('Dados (F)'!$D$35=1,1,IF('Dados (F)'!$D$35=2,'Dados (F)'!$C$39,1))</f>
        <v>1</v>
      </c>
      <c r="F145" s="157">
        <f>'Quantitativos (A)'!D145*$D145*$E145</f>
        <v>15644.859299999998</v>
      </c>
      <c r="G145" s="157">
        <f>'Quantitativos (A)'!E145*$D145*$E145</f>
        <v>0</v>
      </c>
      <c r="H145" s="157">
        <f>'Quantitativos (A)'!F145*$D145*$E145</f>
        <v>0</v>
      </c>
      <c r="I145" s="157">
        <f>'Quantitativos (A)'!G145*$D145*$E145</f>
        <v>15644.859299999998</v>
      </c>
      <c r="J145" s="157">
        <f>'Quantitativos (A)'!H145*$D145*$E145</f>
        <v>0</v>
      </c>
      <c r="K145" s="157">
        <f>'Quantitativos (A)'!I145*$D145*$E145</f>
        <v>0</v>
      </c>
      <c r="L145" s="157">
        <f>'Quantitativos (A)'!J145*$D145*$E145</f>
        <v>15644.859299999998</v>
      </c>
      <c r="M145" s="157">
        <f>'Quantitativos (A)'!K145*$D145*$E145</f>
        <v>0</v>
      </c>
      <c r="N145" s="157">
        <f>'Quantitativos (A)'!L145*$D145*$E145</f>
        <v>15644.859299999998</v>
      </c>
      <c r="O145" s="157">
        <f>'Quantitativos (A)'!M145*$D145*$E145</f>
        <v>0</v>
      </c>
      <c r="P145" s="157">
        <f>'Quantitativos (A)'!N145*$D145*$E145</f>
        <v>14574.616440000002</v>
      </c>
      <c r="Q145" s="157">
        <f>'Quantitativos (A)'!O145*$D145*$E145</f>
        <v>0</v>
      </c>
      <c r="R145" s="157">
        <f>'Quantitativos (A)'!P145*$D145*$E145</f>
        <v>0</v>
      </c>
      <c r="S145" s="157">
        <f>'Quantitativos (A)'!Q145*$D145*$E145</f>
        <v>14574.616440000002</v>
      </c>
      <c r="T145" s="157">
        <f>'Quantitativos (A)'!R145*$D145*$E145</f>
        <v>0</v>
      </c>
      <c r="U145" s="157">
        <f>'Quantitativos (A)'!S145*$D145*$E145</f>
        <v>0</v>
      </c>
      <c r="V145" s="157">
        <f>'Quantitativos (A)'!T145*$D145*$E145</f>
        <v>14574.616440000002</v>
      </c>
      <c r="W145" s="157">
        <f>'Quantitativos (A)'!U145*$D145*$E145</f>
        <v>0</v>
      </c>
      <c r="X145" s="157">
        <f>'Quantitativos (A)'!V145*$D145*$E145</f>
        <v>14574.616440000002</v>
      </c>
      <c r="Y145" s="157">
        <f>'Quantitativos (A)'!W145*$D145*$E145</f>
        <v>0</v>
      </c>
      <c r="Z145" s="157">
        <f>'Quantitativos (A)'!X145*$D145*$E145</f>
        <v>12968.511600000002</v>
      </c>
      <c r="AA145" s="157">
        <f>'Quantitativos (A)'!Y145*$D145*$E145</f>
        <v>0</v>
      </c>
      <c r="AB145" s="157">
        <f>'Quantitativos (A)'!Z145*$D145*$E145</f>
        <v>0</v>
      </c>
      <c r="AC145" s="157">
        <f>'Quantitativos (A)'!AA145*$D145*$E145</f>
        <v>12968.511600000002</v>
      </c>
      <c r="AD145" s="157">
        <f>'Quantitativos (A)'!AB145*$D145*$E145</f>
        <v>0</v>
      </c>
      <c r="AE145" s="157">
        <f>'Quantitativos (A)'!AC145*$D145*$E145</f>
        <v>0</v>
      </c>
      <c r="AF145" s="157">
        <f>'Quantitativos (A)'!AD145*$D145*$E145</f>
        <v>12968.511600000002</v>
      </c>
      <c r="AG145" s="157">
        <f>'Quantitativos (A)'!AE145*$D145*$E145</f>
        <v>0</v>
      </c>
      <c r="AH145" s="157">
        <f>'Quantitativos (A)'!AF145*$D145*$E145</f>
        <v>12968.511600000002</v>
      </c>
      <c r="AI145" s="158">
        <f>'Quantitativos (A)'!AG145*$D145*$E145</f>
        <v>0</v>
      </c>
      <c r="AJ145" s="22"/>
    </row>
    <row r="146" spans="1:36" x14ac:dyDescent="0.25">
      <c r="A146" s="112"/>
      <c r="B146" s="129" t="s">
        <v>290</v>
      </c>
      <c r="C146" s="125" t="s">
        <v>63</v>
      </c>
      <c r="D146" s="157">
        <f>'Dados (F)'!$D$65</f>
        <v>6.32</v>
      </c>
      <c r="E146" s="125">
        <f>IF('Dados (F)'!$D$35=1,1,IF('Dados (F)'!$D$35=2,'Dados (F)'!$C$39,1))</f>
        <v>1</v>
      </c>
      <c r="F146" s="157">
        <f>'Quantitativos (A)'!D146*$D146*$E146</f>
        <v>133.54160000000005</v>
      </c>
      <c r="G146" s="157">
        <f>'Quantitativos (A)'!E146*$D146*$E146</f>
        <v>0</v>
      </c>
      <c r="H146" s="157">
        <f>'Quantitativos (A)'!F146*$D146*$E146</f>
        <v>0</v>
      </c>
      <c r="I146" s="157">
        <f>'Quantitativos (A)'!G146*$D146*$E146</f>
        <v>133.54160000000005</v>
      </c>
      <c r="J146" s="157">
        <f>'Quantitativos (A)'!H146*$D146*$E146</f>
        <v>0</v>
      </c>
      <c r="K146" s="157">
        <f>'Quantitativos (A)'!I146*$D146*$E146</f>
        <v>0</v>
      </c>
      <c r="L146" s="157">
        <f>'Quantitativos (A)'!J146*$D146*$E146</f>
        <v>133.54160000000005</v>
      </c>
      <c r="M146" s="157">
        <f>'Quantitativos (A)'!K146*$D146*$E146</f>
        <v>0</v>
      </c>
      <c r="N146" s="157">
        <f>'Quantitativos (A)'!L146*$D146*$E146</f>
        <v>133.54160000000005</v>
      </c>
      <c r="O146" s="157">
        <f>'Quantitativos (A)'!M146*$D146*$E146</f>
        <v>0</v>
      </c>
      <c r="P146" s="157">
        <f>'Quantitativos (A)'!N146*$D146*$E146</f>
        <v>124.380128</v>
      </c>
      <c r="Q146" s="157">
        <f>'Quantitativos (A)'!O146*$D146*$E146</f>
        <v>0</v>
      </c>
      <c r="R146" s="157">
        <f>'Quantitativos (A)'!P146*$D146*$E146</f>
        <v>0</v>
      </c>
      <c r="S146" s="157">
        <f>'Quantitativos (A)'!Q146*$D146*$E146</f>
        <v>124.380128</v>
      </c>
      <c r="T146" s="157">
        <f>'Quantitativos (A)'!R146*$D146*$E146</f>
        <v>0</v>
      </c>
      <c r="U146" s="157">
        <f>'Quantitativos (A)'!S146*$D146*$E146</f>
        <v>0</v>
      </c>
      <c r="V146" s="157">
        <f>'Quantitativos (A)'!T146*$D146*$E146</f>
        <v>124.380128</v>
      </c>
      <c r="W146" s="157">
        <f>'Quantitativos (A)'!U146*$D146*$E146</f>
        <v>0</v>
      </c>
      <c r="X146" s="157">
        <f>'Quantitativos (A)'!V146*$D146*$E146</f>
        <v>124.380128</v>
      </c>
      <c r="Y146" s="157">
        <f>'Quantitativos (A)'!W146*$D146*$E146</f>
        <v>0</v>
      </c>
      <c r="Z146" s="157">
        <f>'Quantitativos (A)'!X146*$D146*$E146</f>
        <v>110.67836800000001</v>
      </c>
      <c r="AA146" s="157">
        <f>'Quantitativos (A)'!Y146*$D146*$E146</f>
        <v>0</v>
      </c>
      <c r="AB146" s="157">
        <f>'Quantitativos (A)'!Z146*$D146*$E146</f>
        <v>0</v>
      </c>
      <c r="AC146" s="157">
        <f>'Quantitativos (A)'!AA146*$D146*$E146</f>
        <v>110.67836800000001</v>
      </c>
      <c r="AD146" s="157">
        <f>'Quantitativos (A)'!AB146*$D146*$E146</f>
        <v>0</v>
      </c>
      <c r="AE146" s="157">
        <f>'Quantitativos (A)'!AC146*$D146*$E146</f>
        <v>0</v>
      </c>
      <c r="AF146" s="157">
        <f>'Quantitativos (A)'!AD146*$D146*$E146</f>
        <v>110.67836800000001</v>
      </c>
      <c r="AG146" s="157">
        <f>'Quantitativos (A)'!AE146*$D146*$E146</f>
        <v>0</v>
      </c>
      <c r="AH146" s="157">
        <f>'Quantitativos (A)'!AF146*$D146*$E146</f>
        <v>110.67836800000001</v>
      </c>
      <c r="AI146" s="158">
        <f>'Quantitativos (A)'!AG146*$D146*$E146</f>
        <v>0</v>
      </c>
      <c r="AJ146" s="22"/>
    </row>
    <row r="147" spans="1:36" ht="25.5" x14ac:dyDescent="0.25">
      <c r="A147" s="112"/>
      <c r="B147" s="129" t="s">
        <v>295</v>
      </c>
      <c r="C147" s="125" t="s">
        <v>57</v>
      </c>
      <c r="D147" s="157">
        <f>'Dados (F)'!$D$110</f>
        <v>30.97</v>
      </c>
      <c r="E147" s="125">
        <f>IF('Dados (F)'!$D$35=1,1,IF('Dados (F)'!$D$35=2,'Dados (F)'!$C$39,1))</f>
        <v>1</v>
      </c>
      <c r="F147" s="157">
        <f>'Quantitativos (A)'!D147*$D147*$E147</f>
        <v>13976.451300000002</v>
      </c>
      <c r="G147" s="157">
        <f>'Quantitativos (A)'!E147*$D147*$E147</f>
        <v>0</v>
      </c>
      <c r="H147" s="157">
        <f>'Quantitativos (A)'!F147*$D147*$E147</f>
        <v>0</v>
      </c>
      <c r="I147" s="157">
        <f>'Quantitativos (A)'!G147*$D147*$E147</f>
        <v>13976.451300000002</v>
      </c>
      <c r="J147" s="157">
        <f>'Quantitativos (A)'!H147*$D147*$E147</f>
        <v>0</v>
      </c>
      <c r="K147" s="157">
        <f>'Quantitativos (A)'!I147*$D147*$E147</f>
        <v>0</v>
      </c>
      <c r="L147" s="157">
        <f>'Quantitativos (A)'!J147*$D147*$E147</f>
        <v>13976.451300000002</v>
      </c>
      <c r="M147" s="157">
        <f>'Quantitativos (A)'!K147*$D147*$E147</f>
        <v>0</v>
      </c>
      <c r="N147" s="157">
        <f>'Quantitativos (A)'!L147*$D147*$E147</f>
        <v>13976.451300000002</v>
      </c>
      <c r="O147" s="157">
        <f>'Quantitativos (A)'!M147*$D147*$E147</f>
        <v>0</v>
      </c>
      <c r="P147" s="157">
        <f>'Quantitativos (A)'!N147*$D147*$E147</f>
        <v>13081.418300000001</v>
      </c>
      <c r="Q147" s="157">
        <f>'Quantitativos (A)'!O147*$D147*$E147</f>
        <v>0</v>
      </c>
      <c r="R147" s="157">
        <f>'Quantitativos (A)'!P147*$D147*$E147</f>
        <v>0</v>
      </c>
      <c r="S147" s="157">
        <f>'Quantitativos (A)'!Q147*$D147*$E147</f>
        <v>13081.418300000001</v>
      </c>
      <c r="T147" s="157">
        <f>'Quantitativos (A)'!R147*$D147*$E147</f>
        <v>0</v>
      </c>
      <c r="U147" s="157">
        <f>'Quantitativos (A)'!S147*$D147*$E147</f>
        <v>0</v>
      </c>
      <c r="V147" s="157">
        <f>'Quantitativos (A)'!T147*$D147*$E147</f>
        <v>13081.418300000001</v>
      </c>
      <c r="W147" s="157">
        <f>'Quantitativos (A)'!U147*$D147*$E147</f>
        <v>0</v>
      </c>
      <c r="X147" s="157">
        <f>'Quantitativos (A)'!V147*$D147*$E147</f>
        <v>13081.418300000001</v>
      </c>
      <c r="Y147" s="157">
        <f>'Quantitativos (A)'!W147*$D147*$E147</f>
        <v>0</v>
      </c>
      <c r="Z147" s="157">
        <f>'Quantitativos (A)'!X147*$D147*$E147</f>
        <v>11738.559099999999</v>
      </c>
      <c r="AA147" s="157">
        <f>'Quantitativos (A)'!Y147*$D147*$E147</f>
        <v>0</v>
      </c>
      <c r="AB147" s="157">
        <f>'Quantitativos (A)'!Z147*$D147*$E147</f>
        <v>0</v>
      </c>
      <c r="AC147" s="157">
        <f>'Quantitativos (A)'!AA147*$D147*$E147</f>
        <v>11738.559099999999</v>
      </c>
      <c r="AD147" s="157">
        <f>'Quantitativos (A)'!AB147*$D147*$E147</f>
        <v>0</v>
      </c>
      <c r="AE147" s="157">
        <f>'Quantitativos (A)'!AC147*$D147*$E147</f>
        <v>0</v>
      </c>
      <c r="AF147" s="157">
        <f>'Quantitativos (A)'!AD147*$D147*$E147</f>
        <v>11738.559099999999</v>
      </c>
      <c r="AG147" s="157">
        <f>'Quantitativos (A)'!AE147*$D147*$E147</f>
        <v>0</v>
      </c>
      <c r="AH147" s="157">
        <f>'Quantitativos (A)'!AF147*$D147*$E147</f>
        <v>11738.559099999999</v>
      </c>
      <c r="AI147" s="158">
        <f>'Quantitativos (A)'!AG147*$D147*$E147</f>
        <v>0</v>
      </c>
      <c r="AJ147" s="22"/>
    </row>
    <row r="148" spans="1:36" x14ac:dyDescent="0.25">
      <c r="A148" s="112"/>
      <c r="B148" s="27" t="s">
        <v>535</v>
      </c>
      <c r="C148" s="125" t="s">
        <v>57</v>
      </c>
      <c r="D148" s="157">
        <f>'Dados (F)'!$D$92</f>
        <v>363.1</v>
      </c>
      <c r="E148" s="125">
        <f>IF('Dados (F)'!$D$35=1,1,IF('Dados (F)'!$D$35=2,'Dados (F)'!$C$39,1))</f>
        <v>1</v>
      </c>
      <c r="F148" s="157">
        <f>'Quantitativos (A)'!D148*$D148*$E148</f>
        <v>14144.5605</v>
      </c>
      <c r="G148" s="157">
        <f>'Quantitativos (A)'!E148*$D148*$E148</f>
        <v>0</v>
      </c>
      <c r="H148" s="157">
        <f>'Quantitativos (A)'!F148*$D148*$E148</f>
        <v>0</v>
      </c>
      <c r="I148" s="157">
        <f>'Quantitativos (A)'!G148*$D148*$E148</f>
        <v>14144.5605</v>
      </c>
      <c r="J148" s="157">
        <f>'Quantitativos (A)'!H148*$D148*$E148</f>
        <v>0</v>
      </c>
      <c r="K148" s="157">
        <f>'Quantitativos (A)'!I148*$D148*$E148</f>
        <v>0</v>
      </c>
      <c r="L148" s="157">
        <f>'Quantitativos (A)'!J148*$D148*$E148</f>
        <v>14144.5605</v>
      </c>
      <c r="M148" s="157">
        <f>'Quantitativos (A)'!K148*$D148*$E148</f>
        <v>0</v>
      </c>
      <c r="N148" s="157">
        <f>'Quantitativos (A)'!L148*$D148*$E148</f>
        <v>14144.5605</v>
      </c>
      <c r="O148" s="157">
        <f>'Quantitativos (A)'!M148*$D148*$E148</f>
        <v>0</v>
      </c>
      <c r="P148" s="157">
        <f>'Quantitativos (A)'!N148*$D148*$E148</f>
        <v>14144.5605</v>
      </c>
      <c r="Q148" s="157">
        <f>'Quantitativos (A)'!O148*$D148*$E148</f>
        <v>0</v>
      </c>
      <c r="R148" s="157">
        <f>'Quantitativos (A)'!P148*$D148*$E148</f>
        <v>0</v>
      </c>
      <c r="S148" s="157">
        <f>'Quantitativos (A)'!Q148*$D148*$E148</f>
        <v>14144.5605</v>
      </c>
      <c r="T148" s="157">
        <f>'Quantitativos (A)'!R148*$D148*$E148</f>
        <v>0</v>
      </c>
      <c r="U148" s="157">
        <f>'Quantitativos (A)'!S148*$D148*$E148</f>
        <v>0</v>
      </c>
      <c r="V148" s="157">
        <f>'Quantitativos (A)'!T148*$D148*$E148</f>
        <v>14144.5605</v>
      </c>
      <c r="W148" s="157">
        <f>'Quantitativos (A)'!U148*$D148*$E148</f>
        <v>0</v>
      </c>
      <c r="X148" s="157">
        <f>'Quantitativos (A)'!V148*$D148*$E148</f>
        <v>14144.5605</v>
      </c>
      <c r="Y148" s="157">
        <f>'Quantitativos (A)'!W148*$D148*$E148</f>
        <v>0</v>
      </c>
      <c r="Z148" s="157">
        <f>'Quantitativos (A)'!X148*$D148*$E148</f>
        <v>14143.108100000001</v>
      </c>
      <c r="AA148" s="157">
        <f>'Quantitativos (A)'!Y148*$D148*$E148</f>
        <v>0</v>
      </c>
      <c r="AB148" s="157">
        <f>'Quantitativos (A)'!Z148*$D148*$E148</f>
        <v>0</v>
      </c>
      <c r="AC148" s="157">
        <f>'Quantitativos (A)'!AA148*$D148*$E148</f>
        <v>14143.108100000001</v>
      </c>
      <c r="AD148" s="157">
        <f>'Quantitativos (A)'!AB148*$D148*$E148</f>
        <v>0</v>
      </c>
      <c r="AE148" s="157">
        <f>'Quantitativos (A)'!AC148*$D148*$E148</f>
        <v>0</v>
      </c>
      <c r="AF148" s="157">
        <f>'Quantitativos (A)'!AD148*$D148*$E148</f>
        <v>14143.108100000001</v>
      </c>
      <c r="AG148" s="157">
        <f>'Quantitativos (A)'!AE148*$D148*$E148</f>
        <v>0</v>
      </c>
      <c r="AH148" s="157">
        <f>'Quantitativos (A)'!AF148*$D148*$E148</f>
        <v>14143.108100000001</v>
      </c>
      <c r="AI148" s="158">
        <f>'Quantitativos (A)'!AG148*$D148*$E148</f>
        <v>0</v>
      </c>
      <c r="AJ148" s="22"/>
    </row>
    <row r="149" spans="1:36" x14ac:dyDescent="0.25">
      <c r="A149" s="112"/>
      <c r="B149" s="27" t="s">
        <v>445</v>
      </c>
      <c r="C149" s="125" t="s">
        <v>59</v>
      </c>
      <c r="D149" s="157">
        <f>'Dados (F)'!$D$140</f>
        <v>4.79</v>
      </c>
      <c r="E149" s="125">
        <f>IF('Dados (F)'!$D$35=1,1,'Dados (F)'!$C$39)</f>
        <v>1</v>
      </c>
      <c r="F149" s="157">
        <f>'Quantitativos (A)'!D149*$D149*$E149</f>
        <v>9.58</v>
      </c>
      <c r="G149" s="157">
        <f>'Quantitativos (A)'!E149*$D149*$E149</f>
        <v>0</v>
      </c>
      <c r="H149" s="157">
        <f>'Quantitativos (A)'!F149*$D149*$E149</f>
        <v>0</v>
      </c>
      <c r="I149" s="157">
        <f>'Quantitativos (A)'!G149*$D149*$E149</f>
        <v>9.58</v>
      </c>
      <c r="J149" s="157">
        <f>'Quantitativos (A)'!H149*$D149*$E149</f>
        <v>0</v>
      </c>
      <c r="K149" s="157">
        <f>'Quantitativos (A)'!I149*$D149*$E149</f>
        <v>0</v>
      </c>
      <c r="L149" s="157">
        <f>'Quantitativos (A)'!J149*$D149*$E149</f>
        <v>9.58</v>
      </c>
      <c r="M149" s="157">
        <f>'Quantitativos (A)'!K149*$D149*$E149</f>
        <v>0</v>
      </c>
      <c r="N149" s="157">
        <f>'Quantitativos (A)'!L149*$D149*$E149</f>
        <v>9.58</v>
      </c>
      <c r="O149" s="157">
        <f>'Quantitativos (A)'!M149*$D149*$E149</f>
        <v>0</v>
      </c>
      <c r="P149" s="157">
        <f>'Quantitativos (A)'!N149*$D149*$E149</f>
        <v>9.58</v>
      </c>
      <c r="Q149" s="157">
        <f>'Quantitativos (A)'!O149*$D149*$E149</f>
        <v>0</v>
      </c>
      <c r="R149" s="157">
        <f>'Quantitativos (A)'!P149*$D149*$E149</f>
        <v>0</v>
      </c>
      <c r="S149" s="157">
        <f>'Quantitativos (A)'!Q149*$D149*$E149</f>
        <v>9.58</v>
      </c>
      <c r="T149" s="157">
        <f>'Quantitativos (A)'!R149*$D149*$E149</f>
        <v>0</v>
      </c>
      <c r="U149" s="157">
        <f>'Quantitativos (A)'!S149*$D149*$E149</f>
        <v>0</v>
      </c>
      <c r="V149" s="157">
        <f>'Quantitativos (A)'!T149*$D149*$E149</f>
        <v>9.58</v>
      </c>
      <c r="W149" s="157">
        <f>'Quantitativos (A)'!U149*$D149*$E149</f>
        <v>0</v>
      </c>
      <c r="X149" s="157">
        <f>'Quantitativos (A)'!V149*$D149*$E149</f>
        <v>9.58</v>
      </c>
      <c r="Y149" s="157">
        <f>'Quantitativos (A)'!W149*$D149*$E149</f>
        <v>0</v>
      </c>
      <c r="Z149" s="157">
        <f>'Quantitativos (A)'!X149*$D149*$E149</f>
        <v>9.58</v>
      </c>
      <c r="AA149" s="157">
        <f>'Quantitativos (A)'!Y149*$D149*$E149</f>
        <v>0</v>
      </c>
      <c r="AB149" s="157">
        <f>'Quantitativos (A)'!Z149*$D149*$E149</f>
        <v>0</v>
      </c>
      <c r="AC149" s="157">
        <f>'Quantitativos (A)'!AA149*$D149*$E149</f>
        <v>9.58</v>
      </c>
      <c r="AD149" s="157">
        <f>'Quantitativos (A)'!AB149*$D149*$E149</f>
        <v>0</v>
      </c>
      <c r="AE149" s="157">
        <f>'Quantitativos (A)'!AC149*$D149*$E149</f>
        <v>0</v>
      </c>
      <c r="AF149" s="157">
        <f>'Quantitativos (A)'!AD149*$D149*$E149</f>
        <v>9.58</v>
      </c>
      <c r="AG149" s="157">
        <f>'Quantitativos (A)'!AE149*$D149*$E149</f>
        <v>0</v>
      </c>
      <c r="AH149" s="157">
        <f>'Quantitativos (A)'!AF149*$D149*$E149</f>
        <v>9.58</v>
      </c>
      <c r="AI149" s="158">
        <f>'Quantitativos (A)'!AG149*$D149*$E149</f>
        <v>0</v>
      </c>
      <c r="AJ149" s="22"/>
    </row>
    <row r="150" spans="1:36" x14ac:dyDescent="0.25">
      <c r="A150" s="112"/>
      <c r="B150" s="120" t="s">
        <v>539</v>
      </c>
      <c r="C150" s="121"/>
      <c r="D150" s="155"/>
      <c r="E150" s="156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60"/>
      <c r="AJ150" s="22"/>
    </row>
    <row r="151" spans="1:36" ht="51" x14ac:dyDescent="0.25">
      <c r="A151" s="112"/>
      <c r="B151" s="131" t="s">
        <v>440</v>
      </c>
      <c r="C151" s="125" t="s">
        <v>65</v>
      </c>
      <c r="D151" s="157">
        <f>'Dados (F)'!$D$69</f>
        <v>7.93</v>
      </c>
      <c r="E151" s="125">
        <f>IF('Dados (F)'!$D$35=1,1,IF('Dados (F)'!$D$35=2,'Dados (F)'!$C$39,1))</f>
        <v>1</v>
      </c>
      <c r="F151" s="157">
        <f>'Quantitativos (A)'!D151*$D151*$E151</f>
        <v>1158.7316000000001</v>
      </c>
      <c r="G151" s="157">
        <f>'Quantitativos (A)'!E151*$D151*$E151</f>
        <v>0</v>
      </c>
      <c r="H151" s="157">
        <f>'Quantitativos (A)'!F151*$D151*$E151</f>
        <v>0</v>
      </c>
      <c r="I151" s="157">
        <f>'Quantitativos (A)'!G151*$D151*$E151</f>
        <v>1158.7316000000001</v>
      </c>
      <c r="J151" s="157">
        <f>'Quantitativos (A)'!H151*$D151*$E151</f>
        <v>0</v>
      </c>
      <c r="K151" s="157">
        <f>'Quantitativos (A)'!I151*$D151*$E151</f>
        <v>0</v>
      </c>
      <c r="L151" s="157">
        <f>'Quantitativos (A)'!J151*$D151*$E151</f>
        <v>1158.7316000000001</v>
      </c>
      <c r="M151" s="157">
        <f>'Quantitativos (A)'!K151*$D151*$E151</f>
        <v>0</v>
      </c>
      <c r="N151" s="157">
        <f>'Quantitativos (A)'!L151*$D151*$E151</f>
        <v>1158.7316000000001</v>
      </c>
      <c r="O151" s="157">
        <f>'Quantitativos (A)'!M151*$D151*$E151</f>
        <v>0</v>
      </c>
      <c r="P151" s="157">
        <f>'Quantitativos (A)'!N151*$D151*$E151</f>
        <v>1070.36761</v>
      </c>
      <c r="Q151" s="157">
        <f>'Quantitativos (A)'!O151*$D151*$E151</f>
        <v>0</v>
      </c>
      <c r="R151" s="157">
        <f>'Quantitativos (A)'!P151*$D151*$E151</f>
        <v>0</v>
      </c>
      <c r="S151" s="157">
        <f>'Quantitativos (A)'!Q151*$D151*$E151</f>
        <v>1070.36761</v>
      </c>
      <c r="T151" s="157">
        <f>'Quantitativos (A)'!R151*$D151*$E151</f>
        <v>0</v>
      </c>
      <c r="U151" s="157">
        <f>'Quantitativos (A)'!S151*$D151*$E151</f>
        <v>0</v>
      </c>
      <c r="V151" s="157">
        <f>'Quantitativos (A)'!T151*$D151*$E151</f>
        <v>1070.36761</v>
      </c>
      <c r="W151" s="157">
        <f>'Quantitativos (A)'!U151*$D151*$E151</f>
        <v>0</v>
      </c>
      <c r="X151" s="157">
        <f>'Quantitativos (A)'!V151*$D151*$E151</f>
        <v>1070.36761</v>
      </c>
      <c r="Y151" s="157">
        <f>'Quantitativos (A)'!W151*$D151*$E151</f>
        <v>0</v>
      </c>
      <c r="Z151" s="157">
        <f>'Quantitativos (A)'!X151*$D151*$E151</f>
        <v>952.59124999999995</v>
      </c>
      <c r="AA151" s="157">
        <f>'Quantitativos (A)'!Y151*$D151*$E151</f>
        <v>0</v>
      </c>
      <c r="AB151" s="157">
        <f>'Quantitativos (A)'!Z151*$D151*$E151</f>
        <v>0</v>
      </c>
      <c r="AC151" s="157">
        <f>'Quantitativos (A)'!AA151*$D151*$E151</f>
        <v>952.59124999999995</v>
      </c>
      <c r="AD151" s="157">
        <f>'Quantitativos (A)'!AB151*$D151*$E151</f>
        <v>0</v>
      </c>
      <c r="AE151" s="157">
        <f>'Quantitativos (A)'!AC151*$D151*$E151</f>
        <v>0</v>
      </c>
      <c r="AF151" s="157">
        <f>'Quantitativos (A)'!AD151*$D151*$E151</f>
        <v>952.59124999999995</v>
      </c>
      <c r="AG151" s="157">
        <f>'Quantitativos (A)'!AE151*$D151*$E151</f>
        <v>0</v>
      </c>
      <c r="AH151" s="157">
        <f>'Quantitativos (A)'!AF151*$D151*$E151</f>
        <v>952.59124999999995</v>
      </c>
      <c r="AI151" s="158">
        <f>'Quantitativos (A)'!AG151*$D151*$E151</f>
        <v>0</v>
      </c>
      <c r="AJ151" s="22"/>
    </row>
    <row r="152" spans="1:36" ht="25.5" x14ac:dyDescent="0.25">
      <c r="A152" s="112"/>
      <c r="B152" s="129" t="s">
        <v>294</v>
      </c>
      <c r="C152" s="125" t="s">
        <v>65</v>
      </c>
      <c r="D152" s="157">
        <f>'Dados (F)'!$D$64</f>
        <v>296.22000000000003</v>
      </c>
      <c r="E152" s="125">
        <f>IF('Dados (F)'!$D$35=1,1,IF('Dados (F)'!$D$35=2,'Dados (F)'!$C$39,1))</f>
        <v>1</v>
      </c>
      <c r="F152" s="157">
        <f>'Quantitativos (A)'!D152*$D152*$E152</f>
        <v>10897.933800000001</v>
      </c>
      <c r="G152" s="157">
        <f>'Quantitativos (A)'!E152*$D152*$E152</f>
        <v>0</v>
      </c>
      <c r="H152" s="157">
        <f>'Quantitativos (A)'!F152*$D152*$E152</f>
        <v>0</v>
      </c>
      <c r="I152" s="157">
        <f>'Quantitativos (A)'!G152*$D152*$E152</f>
        <v>10897.933800000001</v>
      </c>
      <c r="J152" s="157">
        <f>'Quantitativos (A)'!H152*$D152*$E152</f>
        <v>0</v>
      </c>
      <c r="K152" s="157">
        <f>'Quantitativos (A)'!I152*$D152*$E152</f>
        <v>0</v>
      </c>
      <c r="L152" s="157">
        <f>'Quantitativos (A)'!J152*$D152*$E152</f>
        <v>10897.933800000001</v>
      </c>
      <c r="M152" s="157">
        <f>'Quantitativos (A)'!K152*$D152*$E152</f>
        <v>0</v>
      </c>
      <c r="N152" s="157">
        <f>'Quantitativos (A)'!L152*$D152*$E152</f>
        <v>10897.933800000001</v>
      </c>
      <c r="O152" s="157">
        <f>'Quantitativos (A)'!M152*$D152*$E152</f>
        <v>0</v>
      </c>
      <c r="P152" s="157">
        <f>'Quantitativos (A)'!N152*$D152*$E152</f>
        <v>10265.80032</v>
      </c>
      <c r="Q152" s="157">
        <f>'Quantitativos (A)'!O152*$D152*$E152</f>
        <v>0</v>
      </c>
      <c r="R152" s="157">
        <f>'Quantitativos (A)'!P152*$D152*$E152</f>
        <v>0</v>
      </c>
      <c r="S152" s="157">
        <f>'Quantitativos (A)'!Q152*$D152*$E152</f>
        <v>10265.80032</v>
      </c>
      <c r="T152" s="157">
        <f>'Quantitativos (A)'!R152*$D152*$E152</f>
        <v>0</v>
      </c>
      <c r="U152" s="157">
        <f>'Quantitativos (A)'!S152*$D152*$E152</f>
        <v>0</v>
      </c>
      <c r="V152" s="157">
        <f>'Quantitativos (A)'!T152*$D152*$E152</f>
        <v>10265.80032</v>
      </c>
      <c r="W152" s="157">
        <f>'Quantitativos (A)'!U152*$D152*$E152</f>
        <v>0</v>
      </c>
      <c r="X152" s="157">
        <f>'Quantitativos (A)'!V152*$D152*$E152</f>
        <v>10265.80032</v>
      </c>
      <c r="Y152" s="157">
        <f>'Quantitativos (A)'!W152*$D152*$E152</f>
        <v>0</v>
      </c>
      <c r="Z152" s="157">
        <f>'Quantitativos (A)'!X152*$D152*$E152</f>
        <v>9420.0922200000005</v>
      </c>
      <c r="AA152" s="157">
        <f>'Quantitativos (A)'!Y152*$D152*$E152</f>
        <v>0</v>
      </c>
      <c r="AB152" s="157">
        <f>'Quantitativos (A)'!Z152*$D152*$E152</f>
        <v>0</v>
      </c>
      <c r="AC152" s="157">
        <f>'Quantitativos (A)'!AA152*$D152*$E152</f>
        <v>9420.0922200000005</v>
      </c>
      <c r="AD152" s="157">
        <f>'Quantitativos (A)'!AB152*$D152*$E152</f>
        <v>0</v>
      </c>
      <c r="AE152" s="157">
        <f>'Quantitativos (A)'!AC152*$D152*$E152</f>
        <v>0</v>
      </c>
      <c r="AF152" s="157">
        <f>'Quantitativos (A)'!AD152*$D152*$E152</f>
        <v>9420.0922200000005</v>
      </c>
      <c r="AG152" s="157">
        <f>'Quantitativos (A)'!AE152*$D152*$E152</f>
        <v>0</v>
      </c>
      <c r="AH152" s="157">
        <f>'Quantitativos (A)'!AF152*$D152*$E152</f>
        <v>9420.0922200000005</v>
      </c>
      <c r="AI152" s="158">
        <f>'Quantitativos (A)'!AG152*$D152*$E152</f>
        <v>0</v>
      </c>
      <c r="AJ152" s="22"/>
    </row>
    <row r="153" spans="1:36" x14ac:dyDescent="0.25">
      <c r="A153" s="112"/>
      <c r="B153" s="129" t="s">
        <v>290</v>
      </c>
      <c r="C153" s="125" t="s">
        <v>63</v>
      </c>
      <c r="D153" s="157">
        <f>'Dados (F)'!$D$65</f>
        <v>6.32</v>
      </c>
      <c r="E153" s="125">
        <f>IF('Dados (F)'!$D$35=1,1,IF('Dados (F)'!$D$35=2,'Dados (F)'!$C$39,1))</f>
        <v>1</v>
      </c>
      <c r="F153" s="157">
        <f>'Quantitativos (A)'!D153*$D153*$E153</f>
        <v>93.01776000000001</v>
      </c>
      <c r="G153" s="157">
        <f>'Quantitativos (A)'!E153*$D153*$E153</f>
        <v>0</v>
      </c>
      <c r="H153" s="157">
        <f>'Quantitativos (A)'!F153*$D153*$E153</f>
        <v>0</v>
      </c>
      <c r="I153" s="157">
        <f>'Quantitativos (A)'!G153*$D153*$E153</f>
        <v>93.01776000000001</v>
      </c>
      <c r="J153" s="157">
        <f>'Quantitativos (A)'!H153*$D153*$E153</f>
        <v>0</v>
      </c>
      <c r="K153" s="157">
        <f>'Quantitativos (A)'!I153*$D153*$E153</f>
        <v>0</v>
      </c>
      <c r="L153" s="157">
        <f>'Quantitativos (A)'!J153*$D153*$E153</f>
        <v>93.01776000000001</v>
      </c>
      <c r="M153" s="157">
        <f>'Quantitativos (A)'!K153*$D153*$E153</f>
        <v>0</v>
      </c>
      <c r="N153" s="157">
        <f>'Quantitativos (A)'!L153*$D153*$E153</f>
        <v>93.01776000000001</v>
      </c>
      <c r="O153" s="157">
        <f>'Quantitativos (A)'!M153*$D153*$E153</f>
        <v>0</v>
      </c>
      <c r="P153" s="157">
        <f>'Quantitativos (A)'!N153*$D153*$E153</f>
        <v>87.595200000000006</v>
      </c>
      <c r="Q153" s="157">
        <f>'Quantitativos (A)'!O153*$D153*$E153</f>
        <v>0</v>
      </c>
      <c r="R153" s="157">
        <f>'Quantitativos (A)'!P153*$D153*$E153</f>
        <v>0</v>
      </c>
      <c r="S153" s="157">
        <f>'Quantitativos (A)'!Q153*$D153*$E153</f>
        <v>87.595200000000006</v>
      </c>
      <c r="T153" s="157">
        <f>'Quantitativos (A)'!R153*$D153*$E153</f>
        <v>0</v>
      </c>
      <c r="U153" s="157">
        <f>'Quantitativos (A)'!S153*$D153*$E153</f>
        <v>0</v>
      </c>
      <c r="V153" s="157">
        <f>'Quantitativos (A)'!T153*$D153*$E153</f>
        <v>87.595200000000006</v>
      </c>
      <c r="W153" s="157">
        <f>'Quantitativos (A)'!U153*$D153*$E153</f>
        <v>0</v>
      </c>
      <c r="X153" s="157">
        <f>'Quantitativos (A)'!V153*$D153*$E153</f>
        <v>87.595200000000006</v>
      </c>
      <c r="Y153" s="157">
        <f>'Quantitativos (A)'!W153*$D153*$E153</f>
        <v>0</v>
      </c>
      <c r="Z153" s="157">
        <f>'Quantitativos (A)'!X153*$D153*$E153</f>
        <v>80.367648000000003</v>
      </c>
      <c r="AA153" s="157">
        <f>'Quantitativos (A)'!Y153*$D153*$E153</f>
        <v>0</v>
      </c>
      <c r="AB153" s="157">
        <f>'Quantitativos (A)'!Z153*$D153*$E153</f>
        <v>0</v>
      </c>
      <c r="AC153" s="157">
        <f>'Quantitativos (A)'!AA153*$D153*$E153</f>
        <v>80.367648000000003</v>
      </c>
      <c r="AD153" s="157">
        <f>'Quantitativos (A)'!AB153*$D153*$E153</f>
        <v>0</v>
      </c>
      <c r="AE153" s="157">
        <f>'Quantitativos (A)'!AC153*$D153*$E153</f>
        <v>0</v>
      </c>
      <c r="AF153" s="157">
        <f>'Quantitativos (A)'!AD153*$D153*$E153</f>
        <v>80.367648000000003</v>
      </c>
      <c r="AG153" s="157">
        <f>'Quantitativos (A)'!AE153*$D153*$E153</f>
        <v>0</v>
      </c>
      <c r="AH153" s="157">
        <f>'Quantitativos (A)'!AF153*$D153*$E153</f>
        <v>80.367648000000003</v>
      </c>
      <c r="AI153" s="158">
        <f>'Quantitativos (A)'!AG153*$D153*$E153</f>
        <v>0</v>
      </c>
      <c r="AJ153" s="22"/>
    </row>
    <row r="154" spans="1:36" ht="25.5" x14ac:dyDescent="0.25">
      <c r="A154" s="112"/>
      <c r="B154" s="129" t="s">
        <v>295</v>
      </c>
      <c r="C154" s="125" t="s">
        <v>57</v>
      </c>
      <c r="D154" s="157">
        <f>'Dados (F)'!$D$110</f>
        <v>30.97</v>
      </c>
      <c r="E154" s="125">
        <f>IF('Dados (F)'!$D$35=1,1,IF('Dados (F)'!$D$35=2,'Dados (F)'!$C$39,1))</f>
        <v>1</v>
      </c>
      <c r="F154" s="157">
        <f>'Quantitativos (A)'!D154*$D154*$E154</f>
        <v>8129.625</v>
      </c>
      <c r="G154" s="157">
        <f>'Quantitativos (A)'!E154*$D154*$E154</f>
        <v>0</v>
      </c>
      <c r="H154" s="157">
        <f>'Quantitativos (A)'!F154*$D154*$E154</f>
        <v>0</v>
      </c>
      <c r="I154" s="157">
        <f>'Quantitativos (A)'!G154*$D154*$E154</f>
        <v>8129.625</v>
      </c>
      <c r="J154" s="157">
        <f>'Quantitativos (A)'!H154*$D154*$E154</f>
        <v>0</v>
      </c>
      <c r="K154" s="157">
        <f>'Quantitativos (A)'!I154*$D154*$E154</f>
        <v>0</v>
      </c>
      <c r="L154" s="157">
        <f>'Quantitativos (A)'!J154*$D154*$E154</f>
        <v>8129.625</v>
      </c>
      <c r="M154" s="157">
        <f>'Quantitativos (A)'!K154*$D154*$E154</f>
        <v>0</v>
      </c>
      <c r="N154" s="157">
        <f>'Quantitativos (A)'!L154*$D154*$E154</f>
        <v>8129.625</v>
      </c>
      <c r="O154" s="157">
        <f>'Quantitativos (A)'!M154*$D154*$E154</f>
        <v>0</v>
      </c>
      <c r="P154" s="157">
        <f>'Quantitativos (A)'!N154*$D154*$E154</f>
        <v>7600.0379999999986</v>
      </c>
      <c r="Q154" s="157">
        <f>'Quantitativos (A)'!O154*$D154*$E154</f>
        <v>0</v>
      </c>
      <c r="R154" s="157">
        <f>'Quantitativos (A)'!P154*$D154*$E154</f>
        <v>0</v>
      </c>
      <c r="S154" s="157">
        <f>'Quantitativos (A)'!Q154*$D154*$E154</f>
        <v>7600.0379999999986</v>
      </c>
      <c r="T154" s="157">
        <f>'Quantitativos (A)'!R154*$D154*$E154</f>
        <v>0</v>
      </c>
      <c r="U154" s="157">
        <f>'Quantitativos (A)'!S154*$D154*$E154</f>
        <v>0</v>
      </c>
      <c r="V154" s="157">
        <f>'Quantitativos (A)'!T154*$D154*$E154</f>
        <v>7600.0379999999986</v>
      </c>
      <c r="W154" s="157">
        <f>'Quantitativos (A)'!U154*$D154*$E154</f>
        <v>0</v>
      </c>
      <c r="X154" s="157">
        <f>'Quantitativos (A)'!V154*$D154*$E154</f>
        <v>7600.0379999999986</v>
      </c>
      <c r="Y154" s="157">
        <f>'Quantitativos (A)'!W154*$D154*$E154</f>
        <v>0</v>
      </c>
      <c r="Z154" s="157">
        <f>'Quantitativos (A)'!X154*$D154*$E154</f>
        <v>6893.9219999999996</v>
      </c>
      <c r="AA154" s="157">
        <f>'Quantitativos (A)'!Y154*$D154*$E154</f>
        <v>0</v>
      </c>
      <c r="AB154" s="157">
        <f>'Quantitativos (A)'!Z154*$D154*$E154</f>
        <v>0</v>
      </c>
      <c r="AC154" s="157">
        <f>'Quantitativos (A)'!AA154*$D154*$E154</f>
        <v>6893.9219999999996</v>
      </c>
      <c r="AD154" s="157">
        <f>'Quantitativos (A)'!AB154*$D154*$E154</f>
        <v>0</v>
      </c>
      <c r="AE154" s="157">
        <f>'Quantitativos (A)'!AC154*$D154*$E154</f>
        <v>0</v>
      </c>
      <c r="AF154" s="157">
        <f>'Quantitativos (A)'!AD154*$D154*$E154</f>
        <v>6893.9219999999996</v>
      </c>
      <c r="AG154" s="157">
        <f>'Quantitativos (A)'!AE154*$D154*$E154</f>
        <v>0</v>
      </c>
      <c r="AH154" s="157">
        <f>'Quantitativos (A)'!AF154*$D154*$E154</f>
        <v>6893.9219999999996</v>
      </c>
      <c r="AI154" s="158">
        <f>'Quantitativos (A)'!AG154*$D154*$E154</f>
        <v>0</v>
      </c>
      <c r="AJ154" s="22"/>
    </row>
    <row r="155" spans="1:36" ht="38.25" x14ac:dyDescent="0.25">
      <c r="A155" s="112"/>
      <c r="B155" s="27" t="s">
        <v>297</v>
      </c>
      <c r="C155" s="125" t="s">
        <v>57</v>
      </c>
      <c r="D155" s="157">
        <f>'Dados (F)'!$D$70</f>
        <v>46.57</v>
      </c>
      <c r="E155" s="125">
        <f>IF('Dados (F)'!$D$35=1,1,IF('Dados (F)'!$D$35=2,'Dados (F)'!$C$39,1))</f>
        <v>1</v>
      </c>
      <c r="F155" s="157">
        <f>'Quantitativos (A)'!D155*$D155*$E155</f>
        <v>2092.3901000000001</v>
      </c>
      <c r="G155" s="157">
        <f>'Quantitativos (A)'!E155*$D155*$E155</f>
        <v>0</v>
      </c>
      <c r="H155" s="157">
        <f>'Quantitativos (A)'!F155*$D155*$E155</f>
        <v>0</v>
      </c>
      <c r="I155" s="157">
        <f>'Quantitativos (A)'!G155*$D155*$E155</f>
        <v>2092.3901000000001</v>
      </c>
      <c r="J155" s="157">
        <f>'Quantitativos (A)'!H155*$D155*$E155</f>
        <v>0</v>
      </c>
      <c r="K155" s="157">
        <f>'Quantitativos (A)'!I155*$D155*$E155</f>
        <v>0</v>
      </c>
      <c r="L155" s="157">
        <f>'Quantitativos (A)'!J155*$D155*$E155</f>
        <v>2092.3901000000001</v>
      </c>
      <c r="M155" s="157">
        <f>'Quantitativos (A)'!K155*$D155*$E155</f>
        <v>0</v>
      </c>
      <c r="N155" s="157">
        <f>'Quantitativos (A)'!L155*$D155*$E155</f>
        <v>2092.3901000000001</v>
      </c>
      <c r="O155" s="157">
        <f>'Quantitativos (A)'!M155*$D155*$E155</f>
        <v>0</v>
      </c>
      <c r="P155" s="157">
        <f>'Quantitativos (A)'!N155*$D155*$E155</f>
        <v>2092.3901000000001</v>
      </c>
      <c r="Q155" s="157">
        <f>'Quantitativos (A)'!O155*$D155*$E155</f>
        <v>0</v>
      </c>
      <c r="R155" s="157">
        <f>'Quantitativos (A)'!P155*$D155*$E155</f>
        <v>0</v>
      </c>
      <c r="S155" s="157">
        <f>'Quantitativos (A)'!Q155*$D155*$E155</f>
        <v>2092.3901000000001</v>
      </c>
      <c r="T155" s="157">
        <f>'Quantitativos (A)'!R155*$D155*$E155</f>
        <v>0</v>
      </c>
      <c r="U155" s="157">
        <f>'Quantitativos (A)'!S155*$D155*$E155</f>
        <v>0</v>
      </c>
      <c r="V155" s="157">
        <f>'Quantitativos (A)'!T155*$D155*$E155</f>
        <v>2092.3901000000001</v>
      </c>
      <c r="W155" s="157">
        <f>'Quantitativos (A)'!U155*$D155*$E155</f>
        <v>0</v>
      </c>
      <c r="X155" s="157">
        <f>'Quantitativos (A)'!V155*$D155*$E155</f>
        <v>2092.3901000000001</v>
      </c>
      <c r="Y155" s="157">
        <f>'Quantitativos (A)'!W155*$D155*$E155</f>
        <v>0</v>
      </c>
      <c r="Z155" s="157">
        <f>'Quantitativos (A)'!X155*$D155*$E155</f>
        <v>2092.3901000000001</v>
      </c>
      <c r="AA155" s="157">
        <f>'Quantitativos (A)'!Y155*$D155*$E155</f>
        <v>0</v>
      </c>
      <c r="AB155" s="157">
        <f>'Quantitativos (A)'!Z155*$D155*$E155</f>
        <v>0</v>
      </c>
      <c r="AC155" s="157">
        <f>'Quantitativos (A)'!AA155*$D155*$E155</f>
        <v>2092.3901000000001</v>
      </c>
      <c r="AD155" s="157">
        <f>'Quantitativos (A)'!AB155*$D155*$E155</f>
        <v>0</v>
      </c>
      <c r="AE155" s="157">
        <f>'Quantitativos (A)'!AC155*$D155*$E155</f>
        <v>0</v>
      </c>
      <c r="AF155" s="157">
        <f>'Quantitativos (A)'!AD155*$D155*$E155</f>
        <v>2092.3901000000001</v>
      </c>
      <c r="AG155" s="157">
        <f>'Quantitativos (A)'!AE155*$D155*$E155</f>
        <v>0</v>
      </c>
      <c r="AH155" s="157">
        <f>'Quantitativos (A)'!AF155*$D155*$E155</f>
        <v>2092.3901000000001</v>
      </c>
      <c r="AI155" s="158">
        <f>'Quantitativos (A)'!AG155*$D155*$E155</f>
        <v>0</v>
      </c>
      <c r="AJ155" s="22"/>
    </row>
    <row r="156" spans="1:36" ht="38.25" x14ac:dyDescent="0.25">
      <c r="A156" s="112"/>
      <c r="B156" s="27" t="s">
        <v>540</v>
      </c>
      <c r="C156" s="125" t="s">
        <v>57</v>
      </c>
      <c r="D156" s="157">
        <f>'Dados (F)'!$D$72</f>
        <v>51.29</v>
      </c>
      <c r="E156" s="125">
        <f>IF('Dados (F)'!$D$35=1,1,IF('Dados (F)'!$D$35=2,'Dados (F)'!$C$39,1))</f>
        <v>1</v>
      </c>
      <c r="F156" s="157">
        <f>'Quantitativos (A)'!D156*$D156*$E156</f>
        <v>1833.6175000000001</v>
      </c>
      <c r="G156" s="157">
        <f>'Quantitativos (A)'!E156*$D156*$E156</f>
        <v>0</v>
      </c>
      <c r="H156" s="157">
        <f>'Quantitativos (A)'!F156*$D156*$E156</f>
        <v>0</v>
      </c>
      <c r="I156" s="157">
        <f>'Quantitativos (A)'!G156*$D156*$E156</f>
        <v>1833.6175000000001</v>
      </c>
      <c r="J156" s="157">
        <f>'Quantitativos (A)'!H156*$D156*$E156</f>
        <v>0</v>
      </c>
      <c r="K156" s="157">
        <f>'Quantitativos (A)'!I156*$D156*$E156</f>
        <v>0</v>
      </c>
      <c r="L156" s="157">
        <f>'Quantitativos (A)'!J156*$D156*$E156</f>
        <v>1833.6175000000001</v>
      </c>
      <c r="M156" s="157">
        <f>'Quantitativos (A)'!K156*$D156*$E156</f>
        <v>0</v>
      </c>
      <c r="N156" s="157">
        <f>'Quantitativos (A)'!L156*$D156*$E156</f>
        <v>1833.6175000000001</v>
      </c>
      <c r="O156" s="157">
        <f>'Quantitativos (A)'!M156*$D156*$E156</f>
        <v>0</v>
      </c>
      <c r="P156" s="157">
        <f>'Quantitativos (A)'!N156*$D156*$E156</f>
        <v>1833.6175000000001</v>
      </c>
      <c r="Q156" s="157">
        <f>'Quantitativos (A)'!O156*$D156*$E156</f>
        <v>0</v>
      </c>
      <c r="R156" s="157">
        <f>'Quantitativos (A)'!P156*$D156*$E156</f>
        <v>0</v>
      </c>
      <c r="S156" s="157">
        <f>'Quantitativos (A)'!Q156*$D156*$E156</f>
        <v>1833.6175000000001</v>
      </c>
      <c r="T156" s="157">
        <f>'Quantitativos (A)'!R156*$D156*$E156</f>
        <v>0</v>
      </c>
      <c r="U156" s="157">
        <f>'Quantitativos (A)'!S156*$D156*$E156</f>
        <v>0</v>
      </c>
      <c r="V156" s="157">
        <f>'Quantitativos (A)'!T156*$D156*$E156</f>
        <v>1833.6175000000001</v>
      </c>
      <c r="W156" s="157">
        <f>'Quantitativos (A)'!U156*$D156*$E156</f>
        <v>0</v>
      </c>
      <c r="X156" s="157">
        <f>'Quantitativos (A)'!V156*$D156*$E156</f>
        <v>1833.6175000000001</v>
      </c>
      <c r="Y156" s="157">
        <f>'Quantitativos (A)'!W156*$D156*$E156</f>
        <v>0</v>
      </c>
      <c r="Z156" s="157">
        <f>'Quantitativos (A)'!X156*$D156*$E156</f>
        <v>1833.6175000000001</v>
      </c>
      <c r="AA156" s="157">
        <f>'Quantitativos (A)'!Y156*$D156*$E156</f>
        <v>0</v>
      </c>
      <c r="AB156" s="157">
        <f>'Quantitativos (A)'!Z156*$D156*$E156</f>
        <v>0</v>
      </c>
      <c r="AC156" s="157">
        <f>'Quantitativos (A)'!AA156*$D156*$E156</f>
        <v>1833.6175000000001</v>
      </c>
      <c r="AD156" s="157">
        <f>'Quantitativos (A)'!AB156*$D156*$E156</f>
        <v>0</v>
      </c>
      <c r="AE156" s="157">
        <f>'Quantitativos (A)'!AC156*$D156*$E156</f>
        <v>0</v>
      </c>
      <c r="AF156" s="157">
        <f>'Quantitativos (A)'!AD156*$D156*$E156</f>
        <v>1833.6175000000001</v>
      </c>
      <c r="AG156" s="157">
        <f>'Quantitativos (A)'!AE156*$D156*$E156</f>
        <v>0</v>
      </c>
      <c r="AH156" s="157">
        <f>'Quantitativos (A)'!AF156*$D156*$E156</f>
        <v>1833.6175000000001</v>
      </c>
      <c r="AI156" s="158">
        <f>'Quantitativos (A)'!AG156*$D156*$E156</f>
        <v>0</v>
      </c>
      <c r="AJ156" s="22"/>
    </row>
    <row r="157" spans="1:36" ht="25.5" x14ac:dyDescent="0.25">
      <c r="A157" s="112"/>
      <c r="B157" s="27" t="s">
        <v>541</v>
      </c>
      <c r="C157" s="125" t="s">
        <v>57</v>
      </c>
      <c r="D157" s="157">
        <f>'Dados (F)'!$D$74</f>
        <v>30.67</v>
      </c>
      <c r="E157" s="125">
        <f>IF('Dados (F)'!$D$35=1,1,IF('Dados (F)'!$D$35=2,'Dados (F)'!$C$39,1))</f>
        <v>1</v>
      </c>
      <c r="F157" s="157">
        <f>'Quantitativos (A)'!D157*$D157*$E157</f>
        <v>1096.4525000000001</v>
      </c>
      <c r="G157" s="157">
        <f>'Quantitativos (A)'!E157*$D157*$E157</f>
        <v>0</v>
      </c>
      <c r="H157" s="157">
        <f>'Quantitativos (A)'!F157*$D157*$E157</f>
        <v>0</v>
      </c>
      <c r="I157" s="157">
        <f>'Quantitativos (A)'!G157*$D157*$E157</f>
        <v>1096.4525000000001</v>
      </c>
      <c r="J157" s="157">
        <f>'Quantitativos (A)'!H157*$D157*$E157</f>
        <v>0</v>
      </c>
      <c r="K157" s="157">
        <f>'Quantitativos (A)'!I157*$D157*$E157</f>
        <v>0</v>
      </c>
      <c r="L157" s="157">
        <f>'Quantitativos (A)'!J157*$D157*$E157</f>
        <v>1096.4525000000001</v>
      </c>
      <c r="M157" s="157">
        <f>'Quantitativos (A)'!K157*$D157*$E157</f>
        <v>0</v>
      </c>
      <c r="N157" s="157">
        <f>'Quantitativos (A)'!L157*$D157*$E157</f>
        <v>1096.4525000000001</v>
      </c>
      <c r="O157" s="157">
        <f>'Quantitativos (A)'!M157*$D157*$E157</f>
        <v>0</v>
      </c>
      <c r="P157" s="157">
        <f>'Quantitativos (A)'!N157*$D157*$E157</f>
        <v>1096.4525000000001</v>
      </c>
      <c r="Q157" s="157">
        <f>'Quantitativos (A)'!O157*$D157*$E157</f>
        <v>0</v>
      </c>
      <c r="R157" s="157">
        <f>'Quantitativos (A)'!P157*$D157*$E157</f>
        <v>0</v>
      </c>
      <c r="S157" s="157">
        <f>'Quantitativos (A)'!Q157*$D157*$E157</f>
        <v>1096.4525000000001</v>
      </c>
      <c r="T157" s="157">
        <f>'Quantitativos (A)'!R157*$D157*$E157</f>
        <v>0</v>
      </c>
      <c r="U157" s="157">
        <f>'Quantitativos (A)'!S157*$D157*$E157</f>
        <v>0</v>
      </c>
      <c r="V157" s="157">
        <f>'Quantitativos (A)'!T157*$D157*$E157</f>
        <v>1096.4525000000001</v>
      </c>
      <c r="W157" s="157">
        <f>'Quantitativos (A)'!U157*$D157*$E157</f>
        <v>0</v>
      </c>
      <c r="X157" s="157">
        <f>'Quantitativos (A)'!V157*$D157*$E157</f>
        <v>1096.4525000000001</v>
      </c>
      <c r="Y157" s="157">
        <f>'Quantitativos (A)'!W157*$D157*$E157</f>
        <v>0</v>
      </c>
      <c r="Z157" s="157">
        <f>'Quantitativos (A)'!X157*$D157*$E157</f>
        <v>1096.4525000000001</v>
      </c>
      <c r="AA157" s="157">
        <f>'Quantitativos (A)'!Y157*$D157*$E157</f>
        <v>0</v>
      </c>
      <c r="AB157" s="157">
        <f>'Quantitativos (A)'!Z157*$D157*$E157</f>
        <v>0</v>
      </c>
      <c r="AC157" s="157">
        <f>'Quantitativos (A)'!AA157*$D157*$E157</f>
        <v>1096.4525000000001</v>
      </c>
      <c r="AD157" s="157">
        <f>'Quantitativos (A)'!AB157*$D157*$E157</f>
        <v>0</v>
      </c>
      <c r="AE157" s="157">
        <f>'Quantitativos (A)'!AC157*$D157*$E157</f>
        <v>0</v>
      </c>
      <c r="AF157" s="157">
        <f>'Quantitativos (A)'!AD157*$D157*$E157</f>
        <v>1096.4525000000001</v>
      </c>
      <c r="AG157" s="157">
        <f>'Quantitativos (A)'!AE157*$D157*$E157</f>
        <v>0</v>
      </c>
      <c r="AH157" s="157">
        <f>'Quantitativos (A)'!AF157*$D157*$E157</f>
        <v>1096.4525000000001</v>
      </c>
      <c r="AI157" s="158">
        <f>'Quantitativos (A)'!AG157*$D157*$E157</f>
        <v>0</v>
      </c>
      <c r="AJ157" s="22"/>
    </row>
    <row r="158" spans="1:36" x14ac:dyDescent="0.25">
      <c r="A158" s="112"/>
      <c r="B158" s="27" t="s">
        <v>68</v>
      </c>
      <c r="C158" s="125" t="s">
        <v>64</v>
      </c>
      <c r="D158" s="157">
        <f>'Dados (F)'!$D$76</f>
        <v>38.93</v>
      </c>
      <c r="E158" s="125">
        <f>IF('Dados (F)'!$D$35=1,1,IF('Dados (F)'!$D$35=2,'Dados (F)'!$C$39,1))</f>
        <v>1</v>
      </c>
      <c r="F158" s="157">
        <f>'Quantitativos (A)'!D158*$D158*$E158</f>
        <v>945.99900000000002</v>
      </c>
      <c r="G158" s="157">
        <f>'Quantitativos (A)'!E158*$D158*$E158</f>
        <v>0</v>
      </c>
      <c r="H158" s="157">
        <f>'Quantitativos (A)'!F158*$D158*$E158</f>
        <v>0</v>
      </c>
      <c r="I158" s="157">
        <f>'Quantitativos (A)'!G158*$D158*$E158</f>
        <v>945.99900000000002</v>
      </c>
      <c r="J158" s="157">
        <f>'Quantitativos (A)'!H158*$D158*$E158</f>
        <v>0</v>
      </c>
      <c r="K158" s="157">
        <f>'Quantitativos (A)'!I158*$D158*$E158</f>
        <v>0</v>
      </c>
      <c r="L158" s="157">
        <f>'Quantitativos (A)'!J158*$D158*$E158</f>
        <v>945.99900000000002</v>
      </c>
      <c r="M158" s="157">
        <f>'Quantitativos (A)'!K158*$D158*$E158</f>
        <v>0</v>
      </c>
      <c r="N158" s="157">
        <f>'Quantitativos (A)'!L158*$D158*$E158</f>
        <v>945.99900000000002</v>
      </c>
      <c r="O158" s="157">
        <f>'Quantitativos (A)'!M158*$D158*$E158</f>
        <v>0</v>
      </c>
      <c r="P158" s="157">
        <f>'Quantitativos (A)'!N158*$D158*$E158</f>
        <v>945.99900000000002</v>
      </c>
      <c r="Q158" s="157">
        <f>'Quantitativos (A)'!O158*$D158*$E158</f>
        <v>0</v>
      </c>
      <c r="R158" s="157">
        <f>'Quantitativos (A)'!P158*$D158*$E158</f>
        <v>0</v>
      </c>
      <c r="S158" s="157">
        <f>'Quantitativos (A)'!Q158*$D158*$E158</f>
        <v>945.99900000000002</v>
      </c>
      <c r="T158" s="157">
        <f>'Quantitativos (A)'!R158*$D158*$E158</f>
        <v>0</v>
      </c>
      <c r="U158" s="157">
        <f>'Quantitativos (A)'!S158*$D158*$E158</f>
        <v>0</v>
      </c>
      <c r="V158" s="157">
        <f>'Quantitativos (A)'!T158*$D158*$E158</f>
        <v>945.99900000000002</v>
      </c>
      <c r="W158" s="157">
        <f>'Quantitativos (A)'!U158*$D158*$E158</f>
        <v>0</v>
      </c>
      <c r="X158" s="157">
        <f>'Quantitativos (A)'!V158*$D158*$E158</f>
        <v>945.99900000000002</v>
      </c>
      <c r="Y158" s="157">
        <f>'Quantitativos (A)'!W158*$D158*$E158</f>
        <v>0</v>
      </c>
      <c r="Z158" s="157">
        <f>'Quantitativos (A)'!X158*$D158*$E158</f>
        <v>945.99900000000002</v>
      </c>
      <c r="AA158" s="157">
        <f>'Quantitativos (A)'!Y158*$D158*$E158</f>
        <v>0</v>
      </c>
      <c r="AB158" s="157">
        <f>'Quantitativos (A)'!Z158*$D158*$E158</f>
        <v>0</v>
      </c>
      <c r="AC158" s="157">
        <f>'Quantitativos (A)'!AA158*$D158*$E158</f>
        <v>945.99900000000002</v>
      </c>
      <c r="AD158" s="157">
        <f>'Quantitativos (A)'!AB158*$D158*$E158</f>
        <v>0</v>
      </c>
      <c r="AE158" s="157">
        <f>'Quantitativos (A)'!AC158*$D158*$E158</f>
        <v>0</v>
      </c>
      <c r="AF158" s="157">
        <f>'Quantitativos (A)'!AD158*$D158*$E158</f>
        <v>945.99900000000002</v>
      </c>
      <c r="AG158" s="157">
        <f>'Quantitativos (A)'!AE158*$D158*$E158</f>
        <v>0</v>
      </c>
      <c r="AH158" s="157">
        <f>'Quantitativos (A)'!AF158*$D158*$E158</f>
        <v>945.99900000000002</v>
      </c>
      <c r="AI158" s="158">
        <f>'Quantitativos (A)'!AG158*$D158*$E158</f>
        <v>0</v>
      </c>
      <c r="AJ158" s="22"/>
    </row>
    <row r="159" spans="1:36" ht="25.5" x14ac:dyDescent="0.25">
      <c r="A159" s="112"/>
      <c r="B159" s="69" t="s">
        <v>902</v>
      </c>
      <c r="C159" s="125" t="s">
        <v>57</v>
      </c>
      <c r="D159" s="157">
        <f>'Dados (F)'!$D$77</f>
        <v>273.13</v>
      </c>
      <c r="E159" s="125">
        <f>IF('Dados (F)'!$D$35=1,1,IF('Dados (F)'!$D$35=2,'Dados (F)'!$C$39,1))</f>
        <v>1</v>
      </c>
      <c r="F159" s="157">
        <f>'Quantitativos (A)'!D159*$D159*$E159</f>
        <v>524.40959999999995</v>
      </c>
      <c r="G159" s="157">
        <f>'Quantitativos (A)'!E159*$D159*$E159</f>
        <v>0</v>
      </c>
      <c r="H159" s="157">
        <f>'Quantitativos (A)'!F159*$D159*$E159</f>
        <v>0</v>
      </c>
      <c r="I159" s="157">
        <f>'Quantitativos (A)'!G159*$D159*$E159</f>
        <v>524.40959999999995</v>
      </c>
      <c r="J159" s="157">
        <f>'Quantitativos (A)'!H159*$D159*$E159</f>
        <v>0</v>
      </c>
      <c r="K159" s="157">
        <f>'Quantitativos (A)'!I159*$D159*$E159</f>
        <v>0</v>
      </c>
      <c r="L159" s="157">
        <f>'Quantitativos (A)'!J159*$D159*$E159</f>
        <v>524.40959999999995</v>
      </c>
      <c r="M159" s="157">
        <f>'Quantitativos (A)'!K159*$D159*$E159</f>
        <v>0</v>
      </c>
      <c r="N159" s="157">
        <f>'Quantitativos (A)'!L159*$D159*$E159</f>
        <v>524.40959999999995</v>
      </c>
      <c r="O159" s="157">
        <f>'Quantitativos (A)'!M159*$D159*$E159</f>
        <v>0</v>
      </c>
      <c r="P159" s="157">
        <f>'Quantitativos (A)'!N159*$D159*$E159</f>
        <v>524.40959999999995</v>
      </c>
      <c r="Q159" s="157">
        <f>'Quantitativos (A)'!O159*$D159*$E159</f>
        <v>0</v>
      </c>
      <c r="R159" s="157">
        <f>'Quantitativos (A)'!P159*$D159*$E159</f>
        <v>0</v>
      </c>
      <c r="S159" s="157">
        <f>'Quantitativos (A)'!Q159*$D159*$E159</f>
        <v>524.40959999999995</v>
      </c>
      <c r="T159" s="157">
        <f>'Quantitativos (A)'!R159*$D159*$E159</f>
        <v>0</v>
      </c>
      <c r="U159" s="157">
        <f>'Quantitativos (A)'!S159*$D159*$E159</f>
        <v>0</v>
      </c>
      <c r="V159" s="157">
        <f>'Quantitativos (A)'!T159*$D159*$E159</f>
        <v>524.40959999999995</v>
      </c>
      <c r="W159" s="157">
        <f>'Quantitativos (A)'!U159*$D159*$E159</f>
        <v>0</v>
      </c>
      <c r="X159" s="157">
        <f>'Quantitativos (A)'!V159*$D159*$E159</f>
        <v>524.40959999999995</v>
      </c>
      <c r="Y159" s="157">
        <f>'Quantitativos (A)'!W159*$D159*$E159</f>
        <v>0</v>
      </c>
      <c r="Z159" s="157">
        <f>'Quantitativos (A)'!X159*$D159*$E159</f>
        <v>524.40959999999995</v>
      </c>
      <c r="AA159" s="157">
        <f>'Quantitativos (A)'!Y159*$D159*$E159</f>
        <v>0</v>
      </c>
      <c r="AB159" s="157">
        <f>'Quantitativos (A)'!Z159*$D159*$E159</f>
        <v>0</v>
      </c>
      <c r="AC159" s="157">
        <f>'Quantitativos (A)'!AA159*$D159*$E159</f>
        <v>524.40959999999995</v>
      </c>
      <c r="AD159" s="157">
        <f>'Quantitativos (A)'!AB159*$D159*$E159</f>
        <v>0</v>
      </c>
      <c r="AE159" s="157">
        <f>'Quantitativos (A)'!AC159*$D159*$E159</f>
        <v>0</v>
      </c>
      <c r="AF159" s="157">
        <f>'Quantitativos (A)'!AD159*$D159*$E159</f>
        <v>524.40959999999995</v>
      </c>
      <c r="AG159" s="157">
        <f>'Quantitativos (A)'!AE159*$D159*$E159</f>
        <v>0</v>
      </c>
      <c r="AH159" s="157">
        <f>'Quantitativos (A)'!AF159*$D159*$E159</f>
        <v>524.40959999999995</v>
      </c>
      <c r="AI159" s="158">
        <f>'Quantitativos (A)'!AG159*$D159*$E159</f>
        <v>0</v>
      </c>
      <c r="AJ159" s="22"/>
    </row>
    <row r="160" spans="1:36" ht="25.5" x14ac:dyDescent="0.25">
      <c r="A160" s="112"/>
      <c r="B160" s="27" t="s">
        <v>77</v>
      </c>
      <c r="C160" s="125" t="s">
        <v>57</v>
      </c>
      <c r="D160" s="157">
        <f>'Dados (F)'!$D$78</f>
        <v>503.65</v>
      </c>
      <c r="E160" s="125">
        <f>IF('Dados (F)'!$D$35=1,1,IF('Dados (F)'!$D$35=2,'Dados (F)'!$C$39,1))</f>
        <v>1</v>
      </c>
      <c r="F160" s="157">
        <f>'Quantitativos (A)'!D160*$D160*$E160</f>
        <v>846.13199999999995</v>
      </c>
      <c r="G160" s="157">
        <f>'Quantitativos (A)'!E160*$D160*$E160</f>
        <v>0</v>
      </c>
      <c r="H160" s="157">
        <f>'Quantitativos (A)'!F160*$D160*$E160</f>
        <v>0</v>
      </c>
      <c r="I160" s="157">
        <f>'Quantitativos (A)'!G160*$D160*$E160</f>
        <v>846.13199999999995</v>
      </c>
      <c r="J160" s="157">
        <f>'Quantitativos (A)'!H160*$D160*$E160</f>
        <v>0</v>
      </c>
      <c r="K160" s="157">
        <f>'Quantitativos (A)'!I160*$D160*$E160</f>
        <v>0</v>
      </c>
      <c r="L160" s="157">
        <f>'Quantitativos (A)'!J160*$D160*$E160</f>
        <v>846.13199999999995</v>
      </c>
      <c r="M160" s="157">
        <f>'Quantitativos (A)'!K160*$D160*$E160</f>
        <v>0</v>
      </c>
      <c r="N160" s="157">
        <f>'Quantitativos (A)'!L160*$D160*$E160</f>
        <v>846.13199999999995</v>
      </c>
      <c r="O160" s="157">
        <f>'Quantitativos (A)'!M160*$D160*$E160</f>
        <v>0</v>
      </c>
      <c r="P160" s="157">
        <f>'Quantitativos (A)'!N160*$D160*$E160</f>
        <v>846.13199999999995</v>
      </c>
      <c r="Q160" s="157">
        <f>'Quantitativos (A)'!O160*$D160*$E160</f>
        <v>0</v>
      </c>
      <c r="R160" s="157">
        <f>'Quantitativos (A)'!P160*$D160*$E160</f>
        <v>0</v>
      </c>
      <c r="S160" s="157">
        <f>'Quantitativos (A)'!Q160*$D160*$E160</f>
        <v>846.13199999999995</v>
      </c>
      <c r="T160" s="157">
        <f>'Quantitativos (A)'!R160*$D160*$E160</f>
        <v>0</v>
      </c>
      <c r="U160" s="157">
        <f>'Quantitativos (A)'!S160*$D160*$E160</f>
        <v>0</v>
      </c>
      <c r="V160" s="157">
        <f>'Quantitativos (A)'!T160*$D160*$E160</f>
        <v>846.13199999999995</v>
      </c>
      <c r="W160" s="157">
        <f>'Quantitativos (A)'!U160*$D160*$E160</f>
        <v>0</v>
      </c>
      <c r="X160" s="157">
        <f>'Quantitativos (A)'!V160*$D160*$E160</f>
        <v>846.13199999999995</v>
      </c>
      <c r="Y160" s="157">
        <f>'Quantitativos (A)'!W160*$D160*$E160</f>
        <v>0</v>
      </c>
      <c r="Z160" s="157">
        <f>'Quantitativos (A)'!X160*$D160*$E160</f>
        <v>846.13199999999995</v>
      </c>
      <c r="AA160" s="157">
        <f>'Quantitativos (A)'!Y160*$D160*$E160</f>
        <v>0</v>
      </c>
      <c r="AB160" s="157">
        <f>'Quantitativos (A)'!Z160*$D160*$E160</f>
        <v>0</v>
      </c>
      <c r="AC160" s="157">
        <f>'Quantitativos (A)'!AA160*$D160*$E160</f>
        <v>846.13199999999995</v>
      </c>
      <c r="AD160" s="157">
        <f>'Quantitativos (A)'!AB160*$D160*$E160</f>
        <v>0</v>
      </c>
      <c r="AE160" s="157">
        <f>'Quantitativos (A)'!AC160*$D160*$E160</f>
        <v>0</v>
      </c>
      <c r="AF160" s="157">
        <f>'Quantitativos (A)'!AD160*$D160*$E160</f>
        <v>846.13199999999995</v>
      </c>
      <c r="AG160" s="157">
        <f>'Quantitativos (A)'!AE160*$D160*$E160</f>
        <v>0</v>
      </c>
      <c r="AH160" s="157">
        <f>'Quantitativos (A)'!AF160*$D160*$E160</f>
        <v>846.13199999999995</v>
      </c>
      <c r="AI160" s="158">
        <f>'Quantitativos (A)'!AG160*$D160*$E160</f>
        <v>0</v>
      </c>
      <c r="AJ160" s="22"/>
    </row>
    <row r="161" spans="1:36" ht="25.5" x14ac:dyDescent="0.25">
      <c r="A161" s="112"/>
      <c r="B161" s="131" t="s">
        <v>710</v>
      </c>
      <c r="C161" s="125" t="s">
        <v>57</v>
      </c>
      <c r="D161" s="157">
        <f>'Dados (F)'!$D$94</f>
        <v>362.27</v>
      </c>
      <c r="E161" s="125">
        <f>IF('Dados (F)'!$D$35=1,1,IF('Dados (F)'!$D$35=2,'Dados (F)'!$C$39,1))</f>
        <v>1</v>
      </c>
      <c r="F161" s="157">
        <f>'Quantitativos (A)'!D161*$D161*$E161</f>
        <v>2282.3009999999999</v>
      </c>
      <c r="G161" s="157">
        <f>'Quantitativos (A)'!E161*$D161*$E161</f>
        <v>0</v>
      </c>
      <c r="H161" s="157">
        <f>'Quantitativos (A)'!F161*$D161*$E161</f>
        <v>0</v>
      </c>
      <c r="I161" s="157">
        <f>'Quantitativos (A)'!G161*$D161*$E161</f>
        <v>2282.3009999999999</v>
      </c>
      <c r="J161" s="157">
        <f>'Quantitativos (A)'!H161*$D161*$E161</f>
        <v>0</v>
      </c>
      <c r="K161" s="157">
        <f>'Quantitativos (A)'!I161*$D161*$E161</f>
        <v>0</v>
      </c>
      <c r="L161" s="157">
        <f>'Quantitativos (A)'!J161*$D161*$E161</f>
        <v>2282.3009999999999</v>
      </c>
      <c r="M161" s="157">
        <f>'Quantitativos (A)'!K161*$D161*$E161</f>
        <v>0</v>
      </c>
      <c r="N161" s="157">
        <f>'Quantitativos (A)'!L161*$D161*$E161</f>
        <v>2282.3009999999999</v>
      </c>
      <c r="O161" s="157">
        <f>'Quantitativos (A)'!M161*$D161*$E161</f>
        <v>0</v>
      </c>
      <c r="P161" s="157">
        <f>'Quantitativos (A)'!N161*$D161*$E161</f>
        <v>2282.3009999999999</v>
      </c>
      <c r="Q161" s="157">
        <f>'Quantitativos (A)'!O161*$D161*$E161</f>
        <v>0</v>
      </c>
      <c r="R161" s="157">
        <f>'Quantitativos (A)'!P161*$D161*$E161</f>
        <v>0</v>
      </c>
      <c r="S161" s="157">
        <f>'Quantitativos (A)'!Q161*$D161*$E161</f>
        <v>2282.3009999999999</v>
      </c>
      <c r="T161" s="157">
        <f>'Quantitativos (A)'!R161*$D161*$E161</f>
        <v>0</v>
      </c>
      <c r="U161" s="157">
        <f>'Quantitativos (A)'!S161*$D161*$E161</f>
        <v>0</v>
      </c>
      <c r="V161" s="157">
        <f>'Quantitativos (A)'!T161*$D161*$E161</f>
        <v>2282.3009999999999</v>
      </c>
      <c r="W161" s="157">
        <f>'Quantitativos (A)'!U161*$D161*$E161</f>
        <v>0</v>
      </c>
      <c r="X161" s="157">
        <f>'Quantitativos (A)'!V161*$D161*$E161</f>
        <v>2282.3009999999999</v>
      </c>
      <c r="Y161" s="157">
        <f>'Quantitativos (A)'!W161*$D161*$E161</f>
        <v>0</v>
      </c>
      <c r="Z161" s="157">
        <f>'Quantitativos (A)'!X161*$D161*$E161</f>
        <v>2282.3009999999999</v>
      </c>
      <c r="AA161" s="157">
        <f>'Quantitativos (A)'!Y161*$D161*$E161</f>
        <v>0</v>
      </c>
      <c r="AB161" s="157">
        <f>'Quantitativos (A)'!Z161*$D161*$E161</f>
        <v>0</v>
      </c>
      <c r="AC161" s="157">
        <f>'Quantitativos (A)'!AA161*$D161*$E161</f>
        <v>2282.3009999999999</v>
      </c>
      <c r="AD161" s="157">
        <f>'Quantitativos (A)'!AB161*$D161*$E161</f>
        <v>0</v>
      </c>
      <c r="AE161" s="157">
        <f>'Quantitativos (A)'!AC161*$D161*$E161</f>
        <v>0</v>
      </c>
      <c r="AF161" s="157">
        <f>'Quantitativos (A)'!AD161*$D161*$E161</f>
        <v>2282.3009999999999</v>
      </c>
      <c r="AG161" s="157">
        <f>'Quantitativos (A)'!AE161*$D161*$E161</f>
        <v>0</v>
      </c>
      <c r="AH161" s="157">
        <f>'Quantitativos (A)'!AF161*$D161*$E161</f>
        <v>2282.3009999999999</v>
      </c>
      <c r="AI161" s="158">
        <f>'Quantitativos (A)'!AG161*$D161*$E161</f>
        <v>0</v>
      </c>
      <c r="AJ161" s="22"/>
    </row>
    <row r="162" spans="1:36" ht="38.25" x14ac:dyDescent="0.25">
      <c r="A162" s="112"/>
      <c r="B162" s="131" t="s">
        <v>302</v>
      </c>
      <c r="C162" s="125" t="s">
        <v>57</v>
      </c>
      <c r="D162" s="157">
        <f>'Dados (F)'!$D$80</f>
        <v>26.15</v>
      </c>
      <c r="E162" s="125">
        <f>IF('Dados (F)'!$D$35=1,1,IF('Dados (F)'!$D$35=2,'Dados (F)'!$C$39,1))</f>
        <v>1</v>
      </c>
      <c r="F162" s="157">
        <f>'Quantitativos (A)'!D162*$D162*$E162</f>
        <v>142.779</v>
      </c>
      <c r="G162" s="157">
        <f>'Quantitativos (A)'!E162*$D162*$E162</f>
        <v>0</v>
      </c>
      <c r="H162" s="157">
        <f>'Quantitativos (A)'!F162*$D162*$E162</f>
        <v>0</v>
      </c>
      <c r="I162" s="157">
        <f>'Quantitativos (A)'!G162*$D162*$E162</f>
        <v>142.779</v>
      </c>
      <c r="J162" s="157">
        <f>'Quantitativos (A)'!H162*$D162*$E162</f>
        <v>0</v>
      </c>
      <c r="K162" s="157">
        <f>'Quantitativos (A)'!I162*$D162*$E162</f>
        <v>0</v>
      </c>
      <c r="L162" s="157">
        <f>'Quantitativos (A)'!J162*$D162*$E162</f>
        <v>142.779</v>
      </c>
      <c r="M162" s="157">
        <f>'Quantitativos (A)'!K162*$D162*$E162</f>
        <v>0</v>
      </c>
      <c r="N162" s="157">
        <f>'Quantitativos (A)'!L162*$D162*$E162</f>
        <v>142.779</v>
      </c>
      <c r="O162" s="157">
        <f>'Quantitativos (A)'!M162*$D162*$E162</f>
        <v>0</v>
      </c>
      <c r="P162" s="157">
        <f>'Quantitativos (A)'!N162*$D162*$E162</f>
        <v>142.779</v>
      </c>
      <c r="Q162" s="157">
        <f>'Quantitativos (A)'!O162*$D162*$E162</f>
        <v>0</v>
      </c>
      <c r="R162" s="157">
        <f>'Quantitativos (A)'!P162*$D162*$E162</f>
        <v>0</v>
      </c>
      <c r="S162" s="157">
        <f>'Quantitativos (A)'!Q162*$D162*$E162</f>
        <v>142.779</v>
      </c>
      <c r="T162" s="157">
        <f>'Quantitativos (A)'!R162*$D162*$E162</f>
        <v>0</v>
      </c>
      <c r="U162" s="157">
        <f>'Quantitativos (A)'!S162*$D162*$E162</f>
        <v>0</v>
      </c>
      <c r="V162" s="157">
        <f>'Quantitativos (A)'!T162*$D162*$E162</f>
        <v>142.779</v>
      </c>
      <c r="W162" s="157">
        <f>'Quantitativos (A)'!U162*$D162*$E162</f>
        <v>0</v>
      </c>
      <c r="X162" s="157">
        <f>'Quantitativos (A)'!V162*$D162*$E162</f>
        <v>142.779</v>
      </c>
      <c r="Y162" s="157">
        <f>'Quantitativos (A)'!W162*$D162*$E162</f>
        <v>0</v>
      </c>
      <c r="Z162" s="157">
        <f>'Quantitativos (A)'!X162*$D162*$E162</f>
        <v>142.779</v>
      </c>
      <c r="AA162" s="157">
        <f>'Quantitativos (A)'!Y162*$D162*$E162</f>
        <v>0</v>
      </c>
      <c r="AB162" s="157">
        <f>'Quantitativos (A)'!Z162*$D162*$E162</f>
        <v>0</v>
      </c>
      <c r="AC162" s="157">
        <f>'Quantitativos (A)'!AA162*$D162*$E162</f>
        <v>142.779</v>
      </c>
      <c r="AD162" s="157">
        <f>'Quantitativos (A)'!AB162*$D162*$E162</f>
        <v>0</v>
      </c>
      <c r="AE162" s="157">
        <f>'Quantitativos (A)'!AC162*$D162*$E162</f>
        <v>0</v>
      </c>
      <c r="AF162" s="157">
        <f>'Quantitativos (A)'!AD162*$D162*$E162</f>
        <v>142.779</v>
      </c>
      <c r="AG162" s="157">
        <f>'Quantitativos (A)'!AE162*$D162*$E162</f>
        <v>0</v>
      </c>
      <c r="AH162" s="157">
        <f>'Quantitativos (A)'!AF162*$D162*$E162</f>
        <v>142.779</v>
      </c>
      <c r="AI162" s="158">
        <f>'Quantitativos (A)'!AG162*$D162*$E162</f>
        <v>0</v>
      </c>
      <c r="AJ162" s="22"/>
    </row>
    <row r="163" spans="1:36" ht="38.25" x14ac:dyDescent="0.25">
      <c r="A163" s="112"/>
      <c r="B163" s="131" t="s">
        <v>298</v>
      </c>
      <c r="C163" s="125" t="s">
        <v>57</v>
      </c>
      <c r="D163" s="157">
        <f>'Dados (F)'!$D$81</f>
        <v>38.14</v>
      </c>
      <c r="E163" s="125">
        <f>IF('Dados (F)'!$D$35=1,1,IF('Dados (F)'!$D$35=2,'Dados (F)'!$C$39,1))</f>
        <v>1</v>
      </c>
      <c r="F163" s="157">
        <f>'Quantitativos (A)'!D163*$D163*$E163</f>
        <v>971.0444</v>
      </c>
      <c r="G163" s="157">
        <f>'Quantitativos (A)'!E163*$D163*$E163</f>
        <v>0</v>
      </c>
      <c r="H163" s="157">
        <f>'Quantitativos (A)'!F163*$D163*$E163</f>
        <v>0</v>
      </c>
      <c r="I163" s="157">
        <f>'Quantitativos (A)'!G163*$D163*$E163</f>
        <v>971.0444</v>
      </c>
      <c r="J163" s="157">
        <f>'Quantitativos (A)'!H163*$D163*$E163</f>
        <v>0</v>
      </c>
      <c r="K163" s="157">
        <f>'Quantitativos (A)'!I163*$D163*$E163</f>
        <v>0</v>
      </c>
      <c r="L163" s="157">
        <f>'Quantitativos (A)'!J163*$D163*$E163</f>
        <v>971.0444</v>
      </c>
      <c r="M163" s="157">
        <f>'Quantitativos (A)'!K163*$D163*$E163</f>
        <v>0</v>
      </c>
      <c r="N163" s="157">
        <f>'Quantitativos (A)'!L163*$D163*$E163</f>
        <v>971.0444</v>
      </c>
      <c r="O163" s="157">
        <f>'Quantitativos (A)'!M163*$D163*$E163</f>
        <v>0</v>
      </c>
      <c r="P163" s="157">
        <f>'Quantitativos (A)'!N163*$D163*$E163</f>
        <v>971.0444</v>
      </c>
      <c r="Q163" s="157">
        <f>'Quantitativos (A)'!O163*$D163*$E163</f>
        <v>0</v>
      </c>
      <c r="R163" s="157">
        <f>'Quantitativos (A)'!P163*$D163*$E163</f>
        <v>0</v>
      </c>
      <c r="S163" s="157">
        <f>'Quantitativos (A)'!Q163*$D163*$E163</f>
        <v>971.0444</v>
      </c>
      <c r="T163" s="157">
        <f>'Quantitativos (A)'!R163*$D163*$E163</f>
        <v>0</v>
      </c>
      <c r="U163" s="157">
        <f>'Quantitativos (A)'!S163*$D163*$E163</f>
        <v>0</v>
      </c>
      <c r="V163" s="157">
        <f>'Quantitativos (A)'!T163*$D163*$E163</f>
        <v>971.0444</v>
      </c>
      <c r="W163" s="157">
        <f>'Quantitativos (A)'!U163*$D163*$E163</f>
        <v>0</v>
      </c>
      <c r="X163" s="157">
        <f>'Quantitativos (A)'!V163*$D163*$E163</f>
        <v>971.0444</v>
      </c>
      <c r="Y163" s="157">
        <f>'Quantitativos (A)'!W163*$D163*$E163</f>
        <v>0</v>
      </c>
      <c r="Z163" s="157">
        <f>'Quantitativos (A)'!X163*$D163*$E163</f>
        <v>971.0444</v>
      </c>
      <c r="AA163" s="157">
        <f>'Quantitativos (A)'!Y163*$D163*$E163</f>
        <v>0</v>
      </c>
      <c r="AB163" s="157">
        <f>'Quantitativos (A)'!Z163*$D163*$E163</f>
        <v>0</v>
      </c>
      <c r="AC163" s="157">
        <f>'Quantitativos (A)'!AA163*$D163*$E163</f>
        <v>971.0444</v>
      </c>
      <c r="AD163" s="157">
        <f>'Quantitativos (A)'!AB163*$D163*$E163</f>
        <v>0</v>
      </c>
      <c r="AE163" s="157">
        <f>'Quantitativos (A)'!AC163*$D163*$E163</f>
        <v>0</v>
      </c>
      <c r="AF163" s="157">
        <f>'Quantitativos (A)'!AD163*$D163*$E163</f>
        <v>971.0444</v>
      </c>
      <c r="AG163" s="157">
        <f>'Quantitativos (A)'!AE163*$D163*$E163</f>
        <v>0</v>
      </c>
      <c r="AH163" s="157">
        <f>'Quantitativos (A)'!AF163*$D163*$E163</f>
        <v>971.0444</v>
      </c>
      <c r="AI163" s="158">
        <f>'Quantitativos (A)'!AG163*$D163*$E163</f>
        <v>0</v>
      </c>
      <c r="AJ163" s="22"/>
    </row>
    <row r="164" spans="1:36" ht="38.25" x14ac:dyDescent="0.25">
      <c r="A164" s="112"/>
      <c r="B164" s="131" t="s">
        <v>299</v>
      </c>
      <c r="C164" s="125" t="s">
        <v>57</v>
      </c>
      <c r="D164" s="157">
        <f>'Dados (F)'!$D$83</f>
        <v>46.76</v>
      </c>
      <c r="E164" s="125">
        <f>IF('Dados (F)'!$D$35=1,1,IF('Dados (F)'!$D$35=2,'Dados (F)'!$C$39,1))</f>
        <v>1</v>
      </c>
      <c r="F164" s="157">
        <f>'Quantitativos (A)'!D164*$D164*$E164</f>
        <v>2100.9267999999997</v>
      </c>
      <c r="G164" s="157">
        <f>'Quantitativos (A)'!E164*$D164*$E164</f>
        <v>0</v>
      </c>
      <c r="H164" s="157">
        <f>'Quantitativos (A)'!F164*$D164*$E164</f>
        <v>0</v>
      </c>
      <c r="I164" s="157">
        <f>'Quantitativos (A)'!G164*$D164*$E164</f>
        <v>2100.9267999999997</v>
      </c>
      <c r="J164" s="157">
        <f>'Quantitativos (A)'!H164*$D164*$E164</f>
        <v>0</v>
      </c>
      <c r="K164" s="157">
        <f>'Quantitativos (A)'!I164*$D164*$E164</f>
        <v>0</v>
      </c>
      <c r="L164" s="157">
        <f>'Quantitativos (A)'!J164*$D164*$E164</f>
        <v>2100.9267999999997</v>
      </c>
      <c r="M164" s="157">
        <f>'Quantitativos (A)'!K164*$D164*$E164</f>
        <v>0</v>
      </c>
      <c r="N164" s="157">
        <f>'Quantitativos (A)'!L164*$D164*$E164</f>
        <v>2100.9267999999997</v>
      </c>
      <c r="O164" s="157">
        <f>'Quantitativos (A)'!M164*$D164*$E164</f>
        <v>0</v>
      </c>
      <c r="P164" s="157">
        <f>'Quantitativos (A)'!N164*$D164*$E164</f>
        <v>2100.9267999999997</v>
      </c>
      <c r="Q164" s="157">
        <f>'Quantitativos (A)'!O164*$D164*$E164</f>
        <v>0</v>
      </c>
      <c r="R164" s="157">
        <f>'Quantitativos (A)'!P164*$D164*$E164</f>
        <v>0</v>
      </c>
      <c r="S164" s="157">
        <f>'Quantitativos (A)'!Q164*$D164*$E164</f>
        <v>2100.9267999999997</v>
      </c>
      <c r="T164" s="157">
        <f>'Quantitativos (A)'!R164*$D164*$E164</f>
        <v>0</v>
      </c>
      <c r="U164" s="157">
        <f>'Quantitativos (A)'!S164*$D164*$E164</f>
        <v>0</v>
      </c>
      <c r="V164" s="157">
        <f>'Quantitativos (A)'!T164*$D164*$E164</f>
        <v>2100.9267999999997</v>
      </c>
      <c r="W164" s="157">
        <f>'Quantitativos (A)'!U164*$D164*$E164</f>
        <v>0</v>
      </c>
      <c r="X164" s="157">
        <f>'Quantitativos (A)'!V164*$D164*$E164</f>
        <v>2100.9267999999997</v>
      </c>
      <c r="Y164" s="157">
        <f>'Quantitativos (A)'!W164*$D164*$E164</f>
        <v>0</v>
      </c>
      <c r="Z164" s="157">
        <f>'Quantitativos (A)'!X164*$D164*$E164</f>
        <v>2100.9267999999997</v>
      </c>
      <c r="AA164" s="157">
        <f>'Quantitativos (A)'!Y164*$D164*$E164</f>
        <v>0</v>
      </c>
      <c r="AB164" s="157">
        <f>'Quantitativos (A)'!Z164*$D164*$E164</f>
        <v>0</v>
      </c>
      <c r="AC164" s="157">
        <f>'Quantitativos (A)'!AA164*$D164*$E164</f>
        <v>2100.9267999999997</v>
      </c>
      <c r="AD164" s="157">
        <f>'Quantitativos (A)'!AB164*$D164*$E164</f>
        <v>0</v>
      </c>
      <c r="AE164" s="157">
        <f>'Quantitativos (A)'!AC164*$D164*$E164</f>
        <v>0</v>
      </c>
      <c r="AF164" s="157">
        <f>'Quantitativos (A)'!AD164*$D164*$E164</f>
        <v>2100.9267999999997</v>
      </c>
      <c r="AG164" s="157">
        <f>'Quantitativos (A)'!AE164*$D164*$E164</f>
        <v>0</v>
      </c>
      <c r="AH164" s="157">
        <f>'Quantitativos (A)'!AF164*$D164*$E164</f>
        <v>2100.9267999999997</v>
      </c>
      <c r="AI164" s="158">
        <f>'Quantitativos (A)'!AG164*$D164*$E164</f>
        <v>0</v>
      </c>
      <c r="AJ164" s="22"/>
    </row>
    <row r="165" spans="1:36" ht="38.25" x14ac:dyDescent="0.25">
      <c r="A165" s="112"/>
      <c r="B165" s="131" t="s">
        <v>300</v>
      </c>
      <c r="C165" s="125" t="s">
        <v>57</v>
      </c>
      <c r="D165" s="157">
        <f>'Dados (F)'!$D$85</f>
        <v>18.55</v>
      </c>
      <c r="E165" s="125">
        <f>IF('Dados (F)'!$D$35=1,1,IF('Dados (F)'!$D$35=2,'Dados (F)'!$C$39,1))</f>
        <v>1</v>
      </c>
      <c r="F165" s="157">
        <f>'Quantitativos (A)'!D165*$D165*$E165</f>
        <v>833.45150000000001</v>
      </c>
      <c r="G165" s="157">
        <f>'Quantitativos (A)'!E165*$D165*$E165</f>
        <v>0</v>
      </c>
      <c r="H165" s="157">
        <f>'Quantitativos (A)'!F165*$D165*$E165</f>
        <v>0</v>
      </c>
      <c r="I165" s="157">
        <f>'Quantitativos (A)'!G165*$D165*$E165</f>
        <v>833.45150000000001</v>
      </c>
      <c r="J165" s="157">
        <f>'Quantitativos (A)'!H165*$D165*$E165</f>
        <v>0</v>
      </c>
      <c r="K165" s="157">
        <f>'Quantitativos (A)'!I165*$D165*$E165</f>
        <v>0</v>
      </c>
      <c r="L165" s="157">
        <f>'Quantitativos (A)'!J165*$D165*$E165</f>
        <v>833.45150000000001</v>
      </c>
      <c r="M165" s="157">
        <f>'Quantitativos (A)'!K165*$D165*$E165</f>
        <v>0</v>
      </c>
      <c r="N165" s="157">
        <f>'Quantitativos (A)'!L165*$D165*$E165</f>
        <v>833.45150000000001</v>
      </c>
      <c r="O165" s="157">
        <f>'Quantitativos (A)'!M165*$D165*$E165</f>
        <v>0</v>
      </c>
      <c r="P165" s="157">
        <f>'Quantitativos (A)'!N165*$D165*$E165</f>
        <v>833.45150000000001</v>
      </c>
      <c r="Q165" s="157">
        <f>'Quantitativos (A)'!O165*$D165*$E165</f>
        <v>0</v>
      </c>
      <c r="R165" s="157">
        <f>'Quantitativos (A)'!P165*$D165*$E165</f>
        <v>0</v>
      </c>
      <c r="S165" s="157">
        <f>'Quantitativos (A)'!Q165*$D165*$E165</f>
        <v>833.45150000000001</v>
      </c>
      <c r="T165" s="157">
        <f>'Quantitativos (A)'!R165*$D165*$E165</f>
        <v>0</v>
      </c>
      <c r="U165" s="157">
        <f>'Quantitativos (A)'!S165*$D165*$E165</f>
        <v>0</v>
      </c>
      <c r="V165" s="157">
        <f>'Quantitativos (A)'!T165*$D165*$E165</f>
        <v>833.45150000000001</v>
      </c>
      <c r="W165" s="157">
        <f>'Quantitativos (A)'!U165*$D165*$E165</f>
        <v>0</v>
      </c>
      <c r="X165" s="157">
        <f>'Quantitativos (A)'!V165*$D165*$E165</f>
        <v>833.45150000000001</v>
      </c>
      <c r="Y165" s="157">
        <f>'Quantitativos (A)'!W165*$D165*$E165</f>
        <v>0</v>
      </c>
      <c r="Z165" s="157">
        <f>'Quantitativos (A)'!X165*$D165*$E165</f>
        <v>833.45150000000001</v>
      </c>
      <c r="AA165" s="157">
        <f>'Quantitativos (A)'!Y165*$D165*$E165</f>
        <v>0</v>
      </c>
      <c r="AB165" s="157">
        <f>'Quantitativos (A)'!Z165*$D165*$E165</f>
        <v>0</v>
      </c>
      <c r="AC165" s="157">
        <f>'Quantitativos (A)'!AA165*$D165*$E165</f>
        <v>833.45150000000001</v>
      </c>
      <c r="AD165" s="157">
        <f>'Quantitativos (A)'!AB165*$D165*$E165</f>
        <v>0</v>
      </c>
      <c r="AE165" s="157">
        <f>'Quantitativos (A)'!AC165*$D165*$E165</f>
        <v>0</v>
      </c>
      <c r="AF165" s="157">
        <f>'Quantitativos (A)'!AD165*$D165*$E165</f>
        <v>833.45150000000001</v>
      </c>
      <c r="AG165" s="157">
        <f>'Quantitativos (A)'!AE165*$D165*$E165</f>
        <v>0</v>
      </c>
      <c r="AH165" s="157">
        <f>'Quantitativos (A)'!AF165*$D165*$E165</f>
        <v>833.45150000000001</v>
      </c>
      <c r="AI165" s="158">
        <f>'Quantitativos (A)'!AG165*$D165*$E165</f>
        <v>0</v>
      </c>
      <c r="AJ165" s="22"/>
    </row>
    <row r="166" spans="1:36" ht="25.5" x14ac:dyDescent="0.25">
      <c r="A166" s="112"/>
      <c r="B166" s="27" t="s">
        <v>303</v>
      </c>
      <c r="C166" s="125" t="s">
        <v>57</v>
      </c>
      <c r="D166" s="157">
        <f>'Dados (F)'!$D$86</f>
        <v>34.26</v>
      </c>
      <c r="E166" s="125">
        <f>IF('Dados (F)'!$D$35=1,1,IF('Dados (F)'!$D$35=2,'Dados (F)'!$C$39,1))</f>
        <v>1</v>
      </c>
      <c r="F166" s="157">
        <f>'Quantitativos (A)'!D166*$D166*$E166</f>
        <v>187.05959999999999</v>
      </c>
      <c r="G166" s="157">
        <f>'Quantitativos (A)'!E166*$D166*$E166</f>
        <v>0</v>
      </c>
      <c r="H166" s="157">
        <f>'Quantitativos (A)'!F166*$D166*$E166</f>
        <v>0</v>
      </c>
      <c r="I166" s="157">
        <f>'Quantitativos (A)'!G166*$D166*$E166</f>
        <v>187.05959999999999</v>
      </c>
      <c r="J166" s="157">
        <f>'Quantitativos (A)'!H166*$D166*$E166</f>
        <v>0</v>
      </c>
      <c r="K166" s="157">
        <f>'Quantitativos (A)'!I166*$D166*$E166</f>
        <v>0</v>
      </c>
      <c r="L166" s="157">
        <f>'Quantitativos (A)'!J166*$D166*$E166</f>
        <v>187.05959999999999</v>
      </c>
      <c r="M166" s="157">
        <f>'Quantitativos (A)'!K166*$D166*$E166</f>
        <v>0</v>
      </c>
      <c r="N166" s="157">
        <f>'Quantitativos (A)'!L166*$D166*$E166</f>
        <v>187.05959999999999</v>
      </c>
      <c r="O166" s="157">
        <f>'Quantitativos (A)'!M166*$D166*$E166</f>
        <v>0</v>
      </c>
      <c r="P166" s="157">
        <f>'Quantitativos (A)'!N166*$D166*$E166</f>
        <v>187.05959999999999</v>
      </c>
      <c r="Q166" s="157">
        <f>'Quantitativos (A)'!O166*$D166*$E166</f>
        <v>0</v>
      </c>
      <c r="R166" s="157">
        <f>'Quantitativos (A)'!P166*$D166*$E166</f>
        <v>0</v>
      </c>
      <c r="S166" s="157">
        <f>'Quantitativos (A)'!Q166*$D166*$E166</f>
        <v>187.05959999999999</v>
      </c>
      <c r="T166" s="157">
        <f>'Quantitativos (A)'!R166*$D166*$E166</f>
        <v>0</v>
      </c>
      <c r="U166" s="157">
        <f>'Quantitativos (A)'!S166*$D166*$E166</f>
        <v>0</v>
      </c>
      <c r="V166" s="157">
        <f>'Quantitativos (A)'!T166*$D166*$E166</f>
        <v>187.05959999999999</v>
      </c>
      <c r="W166" s="157">
        <f>'Quantitativos (A)'!U166*$D166*$E166</f>
        <v>0</v>
      </c>
      <c r="X166" s="157">
        <f>'Quantitativos (A)'!V166*$D166*$E166</f>
        <v>187.05959999999999</v>
      </c>
      <c r="Y166" s="157">
        <f>'Quantitativos (A)'!W166*$D166*$E166</f>
        <v>0</v>
      </c>
      <c r="Z166" s="157">
        <f>'Quantitativos (A)'!X166*$D166*$E166</f>
        <v>187.05959999999999</v>
      </c>
      <c r="AA166" s="157">
        <f>'Quantitativos (A)'!Y166*$D166*$E166</f>
        <v>0</v>
      </c>
      <c r="AB166" s="157">
        <f>'Quantitativos (A)'!Z166*$D166*$E166</f>
        <v>0</v>
      </c>
      <c r="AC166" s="157">
        <f>'Quantitativos (A)'!AA166*$D166*$E166</f>
        <v>187.05959999999999</v>
      </c>
      <c r="AD166" s="157">
        <f>'Quantitativos (A)'!AB166*$D166*$E166</f>
        <v>0</v>
      </c>
      <c r="AE166" s="157">
        <f>'Quantitativos (A)'!AC166*$D166*$E166</f>
        <v>0</v>
      </c>
      <c r="AF166" s="157">
        <f>'Quantitativos (A)'!AD166*$D166*$E166</f>
        <v>187.05959999999999</v>
      </c>
      <c r="AG166" s="157">
        <f>'Quantitativos (A)'!AE166*$D166*$E166</f>
        <v>0</v>
      </c>
      <c r="AH166" s="157">
        <f>'Quantitativos (A)'!AF166*$D166*$E166</f>
        <v>187.05959999999999</v>
      </c>
      <c r="AI166" s="158">
        <f>'Quantitativos (A)'!AG166*$D166*$E166</f>
        <v>0</v>
      </c>
      <c r="AJ166" s="22"/>
    </row>
    <row r="167" spans="1:36" x14ac:dyDescent="0.25">
      <c r="A167" s="112"/>
      <c r="B167" s="27" t="s">
        <v>309</v>
      </c>
      <c r="C167" s="125" t="s">
        <v>57</v>
      </c>
      <c r="D167" s="157">
        <f>'Dados (F)'!$D$88</f>
        <v>13.41</v>
      </c>
      <c r="E167" s="125">
        <f>IF('Dados (F)'!$D$35=1,1,IF('Dados (F)'!$D$35=2,'Dados (F)'!$C$39,1))</f>
        <v>1</v>
      </c>
      <c r="F167" s="157">
        <f>'Quantitativos (A)'!D167*$D167*$E167</f>
        <v>341.41860000000003</v>
      </c>
      <c r="G167" s="157">
        <f>'Quantitativos (A)'!E167*$D167*$E167</f>
        <v>0</v>
      </c>
      <c r="H167" s="157">
        <f>'Quantitativos (A)'!F167*$D167*$E167</f>
        <v>0</v>
      </c>
      <c r="I167" s="157">
        <f>'Quantitativos (A)'!G167*$D167*$E167</f>
        <v>341.41860000000003</v>
      </c>
      <c r="J167" s="157">
        <f>'Quantitativos (A)'!H167*$D167*$E167</f>
        <v>0</v>
      </c>
      <c r="K167" s="157">
        <f>'Quantitativos (A)'!I167*$D167*$E167</f>
        <v>0</v>
      </c>
      <c r="L167" s="157">
        <f>'Quantitativos (A)'!J167*$D167*$E167</f>
        <v>341.41860000000003</v>
      </c>
      <c r="M167" s="157">
        <f>'Quantitativos (A)'!K167*$D167*$E167</f>
        <v>0</v>
      </c>
      <c r="N167" s="157">
        <f>'Quantitativos (A)'!L167*$D167*$E167</f>
        <v>341.41860000000003</v>
      </c>
      <c r="O167" s="157">
        <f>'Quantitativos (A)'!M167*$D167*$E167</f>
        <v>0</v>
      </c>
      <c r="P167" s="157">
        <f>'Quantitativos (A)'!N167*$D167*$E167</f>
        <v>341.41860000000003</v>
      </c>
      <c r="Q167" s="157">
        <f>'Quantitativos (A)'!O167*$D167*$E167</f>
        <v>0</v>
      </c>
      <c r="R167" s="157">
        <f>'Quantitativos (A)'!P167*$D167*$E167</f>
        <v>0</v>
      </c>
      <c r="S167" s="157">
        <f>'Quantitativos (A)'!Q167*$D167*$E167</f>
        <v>341.41860000000003</v>
      </c>
      <c r="T167" s="157">
        <f>'Quantitativos (A)'!R167*$D167*$E167</f>
        <v>0</v>
      </c>
      <c r="U167" s="157">
        <f>'Quantitativos (A)'!S167*$D167*$E167</f>
        <v>0</v>
      </c>
      <c r="V167" s="157">
        <f>'Quantitativos (A)'!T167*$D167*$E167</f>
        <v>341.41860000000003</v>
      </c>
      <c r="W167" s="157">
        <f>'Quantitativos (A)'!U167*$D167*$E167</f>
        <v>0</v>
      </c>
      <c r="X167" s="157">
        <f>'Quantitativos (A)'!V167*$D167*$E167</f>
        <v>341.41860000000003</v>
      </c>
      <c r="Y167" s="157">
        <f>'Quantitativos (A)'!W167*$D167*$E167</f>
        <v>0</v>
      </c>
      <c r="Z167" s="157">
        <f>'Quantitativos (A)'!X167*$D167*$E167</f>
        <v>341.41860000000003</v>
      </c>
      <c r="AA167" s="157">
        <f>'Quantitativos (A)'!Y167*$D167*$E167</f>
        <v>0</v>
      </c>
      <c r="AB167" s="157">
        <f>'Quantitativos (A)'!Z167*$D167*$E167</f>
        <v>0</v>
      </c>
      <c r="AC167" s="157">
        <f>'Quantitativos (A)'!AA167*$D167*$E167</f>
        <v>341.41860000000003</v>
      </c>
      <c r="AD167" s="157">
        <f>'Quantitativos (A)'!AB167*$D167*$E167</f>
        <v>0</v>
      </c>
      <c r="AE167" s="157">
        <f>'Quantitativos (A)'!AC167*$D167*$E167</f>
        <v>0</v>
      </c>
      <c r="AF167" s="157">
        <f>'Quantitativos (A)'!AD167*$D167*$E167</f>
        <v>341.41860000000003</v>
      </c>
      <c r="AG167" s="157">
        <f>'Quantitativos (A)'!AE167*$D167*$E167</f>
        <v>0</v>
      </c>
      <c r="AH167" s="157">
        <f>'Quantitativos (A)'!AF167*$D167*$E167</f>
        <v>341.41860000000003</v>
      </c>
      <c r="AI167" s="158">
        <f>'Quantitativos (A)'!AG167*$D167*$E167</f>
        <v>0</v>
      </c>
      <c r="AJ167" s="22"/>
    </row>
    <row r="168" spans="1:36" ht="25.5" x14ac:dyDescent="0.25">
      <c r="A168" s="112"/>
      <c r="B168" s="27" t="s">
        <v>71</v>
      </c>
      <c r="C168" s="125" t="s">
        <v>57</v>
      </c>
      <c r="D168" s="157">
        <f>'Dados (F)'!$D$89</f>
        <v>11.6</v>
      </c>
      <c r="E168" s="125">
        <f>IF('Dados (F)'!$D$35=1,1,IF('Dados (F)'!$D$35=2,'Dados (F)'!$C$39,1))</f>
        <v>1</v>
      </c>
      <c r="F168" s="157">
        <f>'Quantitativos (A)'!D168*$D168*$E168</f>
        <v>521.18799999999999</v>
      </c>
      <c r="G168" s="157">
        <f>'Quantitativos (A)'!E168*$D168*$E168</f>
        <v>0</v>
      </c>
      <c r="H168" s="157">
        <f>'Quantitativos (A)'!F168*$D168*$E168</f>
        <v>0</v>
      </c>
      <c r="I168" s="157">
        <f>'Quantitativos (A)'!G168*$D168*$E168</f>
        <v>521.18799999999999</v>
      </c>
      <c r="J168" s="157">
        <f>'Quantitativos (A)'!H168*$D168*$E168</f>
        <v>0</v>
      </c>
      <c r="K168" s="157">
        <f>'Quantitativos (A)'!I168*$D168*$E168</f>
        <v>0</v>
      </c>
      <c r="L168" s="157">
        <f>'Quantitativos (A)'!J168*$D168*$E168</f>
        <v>521.18799999999999</v>
      </c>
      <c r="M168" s="157">
        <f>'Quantitativos (A)'!K168*$D168*$E168</f>
        <v>0</v>
      </c>
      <c r="N168" s="157">
        <f>'Quantitativos (A)'!L168*$D168*$E168</f>
        <v>521.18799999999999</v>
      </c>
      <c r="O168" s="157">
        <f>'Quantitativos (A)'!M168*$D168*$E168</f>
        <v>0</v>
      </c>
      <c r="P168" s="157">
        <f>'Quantitativos (A)'!N168*$D168*$E168</f>
        <v>521.18799999999999</v>
      </c>
      <c r="Q168" s="157">
        <f>'Quantitativos (A)'!O168*$D168*$E168</f>
        <v>0</v>
      </c>
      <c r="R168" s="157">
        <f>'Quantitativos (A)'!P168*$D168*$E168</f>
        <v>0</v>
      </c>
      <c r="S168" s="157">
        <f>'Quantitativos (A)'!Q168*$D168*$E168</f>
        <v>521.18799999999999</v>
      </c>
      <c r="T168" s="157">
        <f>'Quantitativos (A)'!R168*$D168*$E168</f>
        <v>0</v>
      </c>
      <c r="U168" s="157">
        <f>'Quantitativos (A)'!S168*$D168*$E168</f>
        <v>0</v>
      </c>
      <c r="V168" s="157">
        <f>'Quantitativos (A)'!T168*$D168*$E168</f>
        <v>521.18799999999999</v>
      </c>
      <c r="W168" s="157">
        <f>'Quantitativos (A)'!U168*$D168*$E168</f>
        <v>0</v>
      </c>
      <c r="X168" s="157">
        <f>'Quantitativos (A)'!V168*$D168*$E168</f>
        <v>521.18799999999999</v>
      </c>
      <c r="Y168" s="157">
        <f>'Quantitativos (A)'!W168*$D168*$E168</f>
        <v>0</v>
      </c>
      <c r="Z168" s="157">
        <f>'Quantitativos (A)'!X168*$D168*$E168</f>
        <v>521.18799999999999</v>
      </c>
      <c r="AA168" s="157">
        <f>'Quantitativos (A)'!Y168*$D168*$E168</f>
        <v>0</v>
      </c>
      <c r="AB168" s="157">
        <f>'Quantitativos (A)'!Z168*$D168*$E168</f>
        <v>0</v>
      </c>
      <c r="AC168" s="157">
        <f>'Quantitativos (A)'!AA168*$D168*$E168</f>
        <v>521.18799999999999</v>
      </c>
      <c r="AD168" s="157">
        <f>'Quantitativos (A)'!AB168*$D168*$E168</f>
        <v>0</v>
      </c>
      <c r="AE168" s="157">
        <f>'Quantitativos (A)'!AC168*$D168*$E168</f>
        <v>0</v>
      </c>
      <c r="AF168" s="157">
        <f>'Quantitativos (A)'!AD168*$D168*$E168</f>
        <v>521.18799999999999</v>
      </c>
      <c r="AG168" s="157">
        <f>'Quantitativos (A)'!AE168*$D168*$E168</f>
        <v>0</v>
      </c>
      <c r="AH168" s="157">
        <f>'Quantitativos (A)'!AF168*$D168*$E168</f>
        <v>521.18799999999999</v>
      </c>
      <c r="AI168" s="158">
        <f>'Quantitativos (A)'!AG168*$D168*$E168</f>
        <v>0</v>
      </c>
      <c r="AJ168" s="22"/>
    </row>
    <row r="169" spans="1:36" ht="25.5" x14ac:dyDescent="0.25">
      <c r="A169" s="112"/>
      <c r="B169" s="27" t="s">
        <v>70</v>
      </c>
      <c r="C169" s="125" t="s">
        <v>57</v>
      </c>
      <c r="D169" s="157">
        <f>'Dados (F)'!$D$90</f>
        <v>9.02</v>
      </c>
      <c r="E169" s="125">
        <f>IF('Dados (F)'!$D$35=1,1,IF('Dados (F)'!$D$35=2,'Dados (F)'!$C$39,1))</f>
        <v>1</v>
      </c>
      <c r="F169" s="157">
        <f>'Quantitativos (A)'!D169*$D169*$E169</f>
        <v>405.26859999999999</v>
      </c>
      <c r="G169" s="157">
        <f>'Quantitativos (A)'!E169*$D169*$E169</f>
        <v>0</v>
      </c>
      <c r="H169" s="157">
        <f>'Quantitativos (A)'!F169*$D169*$E169</f>
        <v>0</v>
      </c>
      <c r="I169" s="157">
        <f>'Quantitativos (A)'!G169*$D169*$E169</f>
        <v>405.26859999999999</v>
      </c>
      <c r="J169" s="157">
        <f>'Quantitativos (A)'!H169*$D169*$E169</f>
        <v>0</v>
      </c>
      <c r="K169" s="157">
        <f>'Quantitativos (A)'!I169*$D169*$E169</f>
        <v>0</v>
      </c>
      <c r="L169" s="157">
        <f>'Quantitativos (A)'!J169*$D169*$E169</f>
        <v>405.26859999999999</v>
      </c>
      <c r="M169" s="157">
        <f>'Quantitativos (A)'!K169*$D169*$E169</f>
        <v>0</v>
      </c>
      <c r="N169" s="157">
        <f>'Quantitativos (A)'!L169*$D169*$E169</f>
        <v>405.26859999999999</v>
      </c>
      <c r="O169" s="157">
        <f>'Quantitativos (A)'!M169*$D169*$E169</f>
        <v>0</v>
      </c>
      <c r="P169" s="157">
        <f>'Quantitativos (A)'!N169*$D169*$E169</f>
        <v>405.26859999999999</v>
      </c>
      <c r="Q169" s="157">
        <f>'Quantitativos (A)'!O169*$D169*$E169</f>
        <v>0</v>
      </c>
      <c r="R169" s="157">
        <f>'Quantitativos (A)'!P169*$D169*$E169</f>
        <v>0</v>
      </c>
      <c r="S169" s="157">
        <f>'Quantitativos (A)'!Q169*$D169*$E169</f>
        <v>405.26859999999999</v>
      </c>
      <c r="T169" s="157">
        <f>'Quantitativos (A)'!R169*$D169*$E169</f>
        <v>0</v>
      </c>
      <c r="U169" s="157">
        <f>'Quantitativos (A)'!S169*$D169*$E169</f>
        <v>0</v>
      </c>
      <c r="V169" s="157">
        <f>'Quantitativos (A)'!T169*$D169*$E169</f>
        <v>405.26859999999999</v>
      </c>
      <c r="W169" s="157">
        <f>'Quantitativos (A)'!U169*$D169*$E169</f>
        <v>0</v>
      </c>
      <c r="X169" s="157">
        <f>'Quantitativos (A)'!V169*$D169*$E169</f>
        <v>405.26859999999999</v>
      </c>
      <c r="Y169" s="157">
        <f>'Quantitativos (A)'!W169*$D169*$E169</f>
        <v>0</v>
      </c>
      <c r="Z169" s="157">
        <f>'Quantitativos (A)'!X169*$D169*$E169</f>
        <v>405.26859999999999</v>
      </c>
      <c r="AA169" s="157">
        <f>'Quantitativos (A)'!Y169*$D169*$E169</f>
        <v>0</v>
      </c>
      <c r="AB169" s="157">
        <f>'Quantitativos (A)'!Z169*$D169*$E169</f>
        <v>0</v>
      </c>
      <c r="AC169" s="157">
        <f>'Quantitativos (A)'!AA169*$D169*$E169</f>
        <v>405.26859999999999</v>
      </c>
      <c r="AD169" s="157">
        <f>'Quantitativos (A)'!AB169*$D169*$E169</f>
        <v>0</v>
      </c>
      <c r="AE169" s="157">
        <f>'Quantitativos (A)'!AC169*$D169*$E169</f>
        <v>0</v>
      </c>
      <c r="AF169" s="157">
        <f>'Quantitativos (A)'!AD169*$D169*$E169</f>
        <v>405.26859999999999</v>
      </c>
      <c r="AG169" s="157">
        <f>'Quantitativos (A)'!AE169*$D169*$E169</f>
        <v>0</v>
      </c>
      <c r="AH169" s="157">
        <f>'Quantitativos (A)'!AF169*$D169*$E169</f>
        <v>405.26859999999999</v>
      </c>
      <c r="AI169" s="158">
        <f>'Quantitativos (A)'!AG169*$D169*$E169</f>
        <v>0</v>
      </c>
      <c r="AJ169" s="22"/>
    </row>
    <row r="170" spans="1:36" x14ac:dyDescent="0.25">
      <c r="A170" s="112"/>
      <c r="B170" s="131" t="s">
        <v>75</v>
      </c>
      <c r="C170" s="125" t="s">
        <v>59</v>
      </c>
      <c r="D170" s="157">
        <f>'Dados (F)'!$D$134</f>
        <v>13912.32</v>
      </c>
      <c r="E170" s="125">
        <f>IF('Dados (F)'!$D$35=1,1,'Dados (F)'!$C$39)</f>
        <v>1</v>
      </c>
      <c r="F170" s="157">
        <f>'Quantitativos (A)'!D170*$D170*$E170</f>
        <v>13912.32</v>
      </c>
      <c r="G170" s="157">
        <f>'Quantitativos (A)'!E170*$D170*$E170</f>
        <v>0</v>
      </c>
      <c r="H170" s="157">
        <f>'Quantitativos (A)'!F170*$D170*$E170</f>
        <v>0</v>
      </c>
      <c r="I170" s="157">
        <f>'Quantitativos (A)'!G170*$D170*$E170</f>
        <v>13912.32</v>
      </c>
      <c r="J170" s="157">
        <f>'Quantitativos (A)'!H170*$D170*$E170</f>
        <v>0</v>
      </c>
      <c r="K170" s="157">
        <f>'Quantitativos (A)'!I170*$D170*$E170</f>
        <v>0</v>
      </c>
      <c r="L170" s="157">
        <f>'Quantitativos (A)'!J170*$D170*$E170</f>
        <v>13912.32</v>
      </c>
      <c r="M170" s="157">
        <f>'Quantitativos (A)'!K170*$D170*$E170</f>
        <v>0</v>
      </c>
      <c r="N170" s="157">
        <f>'Quantitativos (A)'!L170*$D170*$E170</f>
        <v>13912.32</v>
      </c>
      <c r="O170" s="157">
        <f>'Quantitativos (A)'!M170*$D170*$E170</f>
        <v>0</v>
      </c>
      <c r="P170" s="157">
        <f>'Quantitativos (A)'!N170*$D170*$E170</f>
        <v>13912.32</v>
      </c>
      <c r="Q170" s="157">
        <f>'Quantitativos (A)'!O170*$D170*$E170</f>
        <v>0</v>
      </c>
      <c r="R170" s="157">
        <f>'Quantitativos (A)'!P170*$D170*$E170</f>
        <v>0</v>
      </c>
      <c r="S170" s="157">
        <f>'Quantitativos (A)'!Q170*$D170*$E170</f>
        <v>13912.32</v>
      </c>
      <c r="T170" s="157">
        <f>'Quantitativos (A)'!R170*$D170*$E170</f>
        <v>0</v>
      </c>
      <c r="U170" s="157">
        <f>'Quantitativos (A)'!S170*$D170*$E170</f>
        <v>0</v>
      </c>
      <c r="V170" s="157">
        <f>'Quantitativos (A)'!T170*$D170*$E170</f>
        <v>13912.32</v>
      </c>
      <c r="W170" s="157">
        <f>'Quantitativos (A)'!U170*$D170*$E170</f>
        <v>0</v>
      </c>
      <c r="X170" s="157">
        <f>'Quantitativos (A)'!V170*$D170*$E170</f>
        <v>13912.32</v>
      </c>
      <c r="Y170" s="157">
        <f>'Quantitativos (A)'!W170*$D170*$E170</f>
        <v>0</v>
      </c>
      <c r="Z170" s="157">
        <f>'Quantitativos (A)'!X170*$D170*$E170</f>
        <v>13912.32</v>
      </c>
      <c r="AA170" s="157">
        <f>'Quantitativos (A)'!Y170*$D170*$E170</f>
        <v>0</v>
      </c>
      <c r="AB170" s="157">
        <f>'Quantitativos (A)'!Z170*$D170*$E170</f>
        <v>0</v>
      </c>
      <c r="AC170" s="157">
        <f>'Quantitativos (A)'!AA170*$D170*$E170</f>
        <v>13912.32</v>
      </c>
      <c r="AD170" s="157">
        <f>'Quantitativos (A)'!AB170*$D170*$E170</f>
        <v>0</v>
      </c>
      <c r="AE170" s="157">
        <f>'Quantitativos (A)'!AC170*$D170*$E170</f>
        <v>0</v>
      </c>
      <c r="AF170" s="157">
        <f>'Quantitativos (A)'!AD170*$D170*$E170</f>
        <v>13912.32</v>
      </c>
      <c r="AG170" s="157">
        <f>'Quantitativos (A)'!AE170*$D170*$E170</f>
        <v>0</v>
      </c>
      <c r="AH170" s="157">
        <f>'Quantitativos (A)'!AF170*$D170*$E170</f>
        <v>13912.32</v>
      </c>
      <c r="AI170" s="158">
        <f>'Quantitativos (A)'!AG170*$D170*$E170</f>
        <v>0</v>
      </c>
      <c r="AJ170" s="22"/>
    </row>
    <row r="171" spans="1:36" x14ac:dyDescent="0.25">
      <c r="A171" s="112"/>
      <c r="B171" s="27" t="s">
        <v>535</v>
      </c>
      <c r="C171" s="125" t="s">
        <v>57</v>
      </c>
      <c r="D171" s="157">
        <f>'Dados (F)'!$D$92</f>
        <v>363.1</v>
      </c>
      <c r="E171" s="125">
        <f>IF('Dados (F)'!$D$35=1,1,IF('Dados (F)'!$D$35=2,'Dados (F)'!$C$39,1))</f>
        <v>1</v>
      </c>
      <c r="F171" s="157">
        <f>'Quantitativos (A)'!D171*$D171*$E171</f>
        <v>1899.0130000000004</v>
      </c>
      <c r="G171" s="157">
        <f>'Quantitativos (A)'!E171*$D171*$E171</f>
        <v>0</v>
      </c>
      <c r="H171" s="157">
        <f>'Quantitativos (A)'!F171*$D171*$E171</f>
        <v>0</v>
      </c>
      <c r="I171" s="157">
        <f>'Quantitativos (A)'!G171*$D171*$E171</f>
        <v>1899.0130000000004</v>
      </c>
      <c r="J171" s="157">
        <f>'Quantitativos (A)'!H171*$D171*$E171</f>
        <v>0</v>
      </c>
      <c r="K171" s="157">
        <f>'Quantitativos (A)'!I171*$D171*$E171</f>
        <v>0</v>
      </c>
      <c r="L171" s="157">
        <f>'Quantitativos (A)'!J171*$D171*$E171</f>
        <v>1899.0130000000004</v>
      </c>
      <c r="M171" s="157">
        <f>'Quantitativos (A)'!K171*$D171*$E171</f>
        <v>0</v>
      </c>
      <c r="N171" s="157">
        <f>'Quantitativos (A)'!L171*$D171*$E171</f>
        <v>1899.0130000000004</v>
      </c>
      <c r="O171" s="157">
        <f>'Quantitativos (A)'!M171*$D171*$E171</f>
        <v>0</v>
      </c>
      <c r="P171" s="157">
        <f>'Quantitativos (A)'!N171*$D171*$E171</f>
        <v>1899.0130000000004</v>
      </c>
      <c r="Q171" s="157">
        <f>'Quantitativos (A)'!O171*$D171*$E171</f>
        <v>0</v>
      </c>
      <c r="R171" s="157">
        <f>'Quantitativos (A)'!P171*$D171*$E171</f>
        <v>0</v>
      </c>
      <c r="S171" s="157">
        <f>'Quantitativos (A)'!Q171*$D171*$E171</f>
        <v>1899.0130000000004</v>
      </c>
      <c r="T171" s="157">
        <f>'Quantitativos (A)'!R171*$D171*$E171</f>
        <v>0</v>
      </c>
      <c r="U171" s="157">
        <f>'Quantitativos (A)'!S171*$D171*$E171</f>
        <v>0</v>
      </c>
      <c r="V171" s="157">
        <f>'Quantitativos (A)'!T171*$D171*$E171</f>
        <v>1899.0130000000004</v>
      </c>
      <c r="W171" s="157">
        <f>'Quantitativos (A)'!U171*$D171*$E171</f>
        <v>0</v>
      </c>
      <c r="X171" s="157">
        <f>'Quantitativos (A)'!V171*$D171*$E171</f>
        <v>1899.0130000000004</v>
      </c>
      <c r="Y171" s="157">
        <f>'Quantitativos (A)'!W171*$D171*$E171</f>
        <v>0</v>
      </c>
      <c r="Z171" s="157">
        <f>'Quantitativos (A)'!X171*$D171*$E171</f>
        <v>1899.0130000000004</v>
      </c>
      <c r="AA171" s="157">
        <f>'Quantitativos (A)'!Y171*$D171*$E171</f>
        <v>0</v>
      </c>
      <c r="AB171" s="157">
        <f>'Quantitativos (A)'!Z171*$D171*$E171</f>
        <v>0</v>
      </c>
      <c r="AC171" s="157">
        <f>'Quantitativos (A)'!AA171*$D171*$E171</f>
        <v>1899.0130000000004</v>
      </c>
      <c r="AD171" s="157">
        <f>'Quantitativos (A)'!AB171*$D171*$E171</f>
        <v>0</v>
      </c>
      <c r="AE171" s="157">
        <f>'Quantitativos (A)'!AC171*$D171*$E171</f>
        <v>0</v>
      </c>
      <c r="AF171" s="157">
        <f>'Quantitativos (A)'!AD171*$D171*$E171</f>
        <v>1899.0130000000004</v>
      </c>
      <c r="AG171" s="157">
        <f>'Quantitativos (A)'!AE171*$D171*$E171</f>
        <v>0</v>
      </c>
      <c r="AH171" s="157">
        <f>'Quantitativos (A)'!AF171*$D171*$E171</f>
        <v>1899.0130000000004</v>
      </c>
      <c r="AI171" s="158">
        <f>'Quantitativos (A)'!AG171*$D171*$E171</f>
        <v>0</v>
      </c>
      <c r="AJ171" s="22"/>
    </row>
    <row r="172" spans="1:36" x14ac:dyDescent="0.25">
      <c r="A172" s="132"/>
      <c r="B172" s="120" t="s">
        <v>549</v>
      </c>
      <c r="C172" s="121"/>
      <c r="D172" s="155"/>
      <c r="E172" s="156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60"/>
      <c r="AJ172" s="22"/>
    </row>
    <row r="173" spans="1:36" ht="25.5" x14ac:dyDescent="0.25">
      <c r="A173" s="112"/>
      <c r="B173" s="129" t="s">
        <v>294</v>
      </c>
      <c r="C173" s="133" t="s">
        <v>65</v>
      </c>
      <c r="D173" s="157">
        <f>'Dados (F)'!$D$64</f>
        <v>296.22000000000003</v>
      </c>
      <c r="E173" s="133">
        <f>IF('Dados (F)'!$D$35=1,1,IF('Dados (F)'!$D$35=2,'Dados (F)'!$C$39,1))</f>
        <v>1</v>
      </c>
      <c r="F173" s="157">
        <f>'Quantitativos (A)'!D173*$D173*$E173</f>
        <v>3670.0769339999997</v>
      </c>
      <c r="G173" s="157">
        <f>'Quantitativos (A)'!E173*$D173*$E173</f>
        <v>0</v>
      </c>
      <c r="H173" s="157">
        <f>'Quantitativos (A)'!F173*$D173*$E173</f>
        <v>0</v>
      </c>
      <c r="I173" s="157">
        <f>'Quantitativos (A)'!G173*$D173*$E173</f>
        <v>3670.0769339999997</v>
      </c>
      <c r="J173" s="157">
        <f>'Quantitativos (A)'!H173*$D173*$E173</f>
        <v>0</v>
      </c>
      <c r="K173" s="157">
        <f>'Quantitativos (A)'!I173*$D173*$E173</f>
        <v>0</v>
      </c>
      <c r="L173" s="157">
        <f>'Quantitativos (A)'!J173*$D173*$E173</f>
        <v>2009.0232840000001</v>
      </c>
      <c r="M173" s="157">
        <f>'Quantitativos (A)'!K173*$D173*$E173</f>
        <v>0</v>
      </c>
      <c r="N173" s="157">
        <f>'Quantitativos (A)'!L173*$D173*$E173</f>
        <v>2009.0232840000001</v>
      </c>
      <c r="O173" s="157">
        <f>'Quantitativos (A)'!M173*$D173*$E173</f>
        <v>0</v>
      </c>
      <c r="P173" s="157">
        <f>'Quantitativos (A)'!N173*$D173*$E173</f>
        <v>2168.7747300000001</v>
      </c>
      <c r="Q173" s="157">
        <f>'Quantitativos (A)'!O173*$D173*$E173</f>
        <v>0</v>
      </c>
      <c r="R173" s="157">
        <f>'Quantitativos (A)'!P173*$D173*$E173</f>
        <v>0</v>
      </c>
      <c r="S173" s="157">
        <f>'Quantitativos (A)'!Q173*$D173*$E173</f>
        <v>2168.7747300000001</v>
      </c>
      <c r="T173" s="157">
        <f>'Quantitativos (A)'!R173*$D173*$E173</f>
        <v>0</v>
      </c>
      <c r="U173" s="157">
        <f>'Quantitativos (A)'!S173*$D173*$E173</f>
        <v>0</v>
      </c>
      <c r="V173" s="157">
        <f>'Quantitativos (A)'!T173*$D173*$E173</f>
        <v>1106.97414</v>
      </c>
      <c r="W173" s="157">
        <f>'Quantitativos (A)'!U173*$D173*$E173</f>
        <v>0</v>
      </c>
      <c r="X173" s="157">
        <f>'Quantitativos (A)'!V173*$D173*$E173</f>
        <v>1106.97414</v>
      </c>
      <c r="Y173" s="157">
        <f>'Quantitativos (A)'!W173*$D173*$E173</f>
        <v>0</v>
      </c>
      <c r="Z173" s="157">
        <f>'Quantitativos (A)'!X173*$D173*$E173</f>
        <v>2170.3150740000005</v>
      </c>
      <c r="AA173" s="157">
        <f>'Quantitativos (A)'!Y173*$D173*$E173</f>
        <v>0</v>
      </c>
      <c r="AB173" s="157">
        <f>'Quantitativos (A)'!Z173*$D173*$E173</f>
        <v>0</v>
      </c>
      <c r="AC173" s="157">
        <f>'Quantitativos (A)'!AA173*$D173*$E173</f>
        <v>2170.3150740000005</v>
      </c>
      <c r="AD173" s="157">
        <f>'Quantitativos (A)'!AB173*$D173*$E173</f>
        <v>0</v>
      </c>
      <c r="AE173" s="157">
        <f>'Quantitativos (A)'!AC173*$D173*$E173</f>
        <v>0</v>
      </c>
      <c r="AF173" s="157">
        <f>'Quantitativos (A)'!AD173*$D173*$E173</f>
        <v>1111.2397079999998</v>
      </c>
      <c r="AG173" s="157">
        <f>'Quantitativos (A)'!AE173*$D173*$E173</f>
        <v>0</v>
      </c>
      <c r="AH173" s="157">
        <f>'Quantitativos (A)'!AF173*$D173*$E173</f>
        <v>1111.2397079999998</v>
      </c>
      <c r="AI173" s="158">
        <f>'Quantitativos (A)'!AG173*$D173*$E173</f>
        <v>0</v>
      </c>
      <c r="AJ173" s="22"/>
    </row>
    <row r="174" spans="1:36" x14ac:dyDescent="0.25">
      <c r="A174" s="112"/>
      <c r="B174" s="129" t="s">
        <v>290</v>
      </c>
      <c r="C174" s="133" t="s">
        <v>63</v>
      </c>
      <c r="D174" s="157">
        <f>'Dados (F)'!$D$65</f>
        <v>6.32</v>
      </c>
      <c r="E174" s="133">
        <f>IF('Dados (F)'!$D$35=1,1,IF('Dados (F)'!$D$35=2,'Dados (F)'!$C$39,1))</f>
        <v>1</v>
      </c>
      <c r="F174" s="157">
        <f>'Quantitativos (A)'!D174*$D174*$E174</f>
        <v>31.294744000000001</v>
      </c>
      <c r="G174" s="157">
        <f>'Quantitativos (A)'!E174*$D174*$E174</f>
        <v>0</v>
      </c>
      <c r="H174" s="157">
        <f>'Quantitativos (A)'!F174*$D174*$E174</f>
        <v>0</v>
      </c>
      <c r="I174" s="157">
        <f>'Quantitativos (A)'!G174*$D174*$E174</f>
        <v>31.294744000000001</v>
      </c>
      <c r="J174" s="157">
        <f>'Quantitativos (A)'!H174*$D174*$E174</f>
        <v>0</v>
      </c>
      <c r="K174" s="157">
        <f>'Quantitativos (A)'!I174*$D174*$E174</f>
        <v>0</v>
      </c>
      <c r="L174" s="157">
        <f>'Quantitativos (A)'!J174*$D174*$E174</f>
        <v>17.169544000000002</v>
      </c>
      <c r="M174" s="157">
        <f>'Quantitativos (A)'!K174*$D174*$E174</f>
        <v>0</v>
      </c>
      <c r="N174" s="157">
        <f>'Quantitativos (A)'!L174*$D174*$E174</f>
        <v>17.169544000000002</v>
      </c>
      <c r="O174" s="157">
        <f>'Quantitativos (A)'!M174*$D174*$E174</f>
        <v>0</v>
      </c>
      <c r="P174" s="157">
        <f>'Quantitativos (A)'!N174*$D174*$E174</f>
        <v>18.522656000000001</v>
      </c>
      <c r="Q174" s="157">
        <f>'Quantitativos (A)'!O174*$D174*$E174</f>
        <v>0</v>
      </c>
      <c r="R174" s="157">
        <f>'Quantitativos (A)'!P174*$D174*$E174</f>
        <v>0</v>
      </c>
      <c r="S174" s="157">
        <f>'Quantitativos (A)'!Q174*$D174*$E174</f>
        <v>18.522656000000001</v>
      </c>
      <c r="T174" s="157">
        <f>'Quantitativos (A)'!R174*$D174*$E174</f>
        <v>0</v>
      </c>
      <c r="U174" s="157">
        <f>'Quantitativos (A)'!S174*$D174*$E174</f>
        <v>0</v>
      </c>
      <c r="V174" s="157">
        <f>'Quantitativos (A)'!T174*$D174*$E174</f>
        <v>9.4344959999999993</v>
      </c>
      <c r="W174" s="157">
        <f>'Quantitativos (A)'!U174*$D174*$E174</f>
        <v>0</v>
      </c>
      <c r="X174" s="157">
        <f>'Quantitativos (A)'!V174*$D174*$E174</f>
        <v>9.4344959999999993</v>
      </c>
      <c r="Y174" s="157">
        <f>'Quantitativos (A)'!W174*$D174*$E174</f>
        <v>0</v>
      </c>
      <c r="Z174" s="157">
        <f>'Quantitativos (A)'!X174*$D174*$E174</f>
        <v>18.5334</v>
      </c>
      <c r="AA174" s="157">
        <f>'Quantitativos (A)'!Y174*$D174*$E174</f>
        <v>0</v>
      </c>
      <c r="AB174" s="157">
        <f>'Quantitativos (A)'!Z174*$D174*$E174</f>
        <v>0</v>
      </c>
      <c r="AC174" s="157">
        <f>'Quantitativos (A)'!AA174*$D174*$E174</f>
        <v>18.5334</v>
      </c>
      <c r="AD174" s="157">
        <f>'Quantitativos (A)'!AB174*$D174*$E174</f>
        <v>0</v>
      </c>
      <c r="AE174" s="157">
        <f>'Quantitativos (A)'!AC174*$D174*$E174</f>
        <v>0</v>
      </c>
      <c r="AF174" s="157">
        <f>'Quantitativos (A)'!AD174*$D174*$E174</f>
        <v>9.4496640000000003</v>
      </c>
      <c r="AG174" s="157">
        <f>'Quantitativos (A)'!AE174*$D174*$E174</f>
        <v>0</v>
      </c>
      <c r="AH174" s="157">
        <f>'Quantitativos (A)'!AF174*$D174*$E174</f>
        <v>9.4496640000000003</v>
      </c>
      <c r="AI174" s="158">
        <f>'Quantitativos (A)'!AG174*$D174*$E174</f>
        <v>0</v>
      </c>
      <c r="AJ174" s="22"/>
    </row>
    <row r="175" spans="1:36" ht="25.5" x14ac:dyDescent="0.25">
      <c r="A175" s="112"/>
      <c r="B175" s="129" t="s">
        <v>295</v>
      </c>
      <c r="C175" s="133" t="s">
        <v>57</v>
      </c>
      <c r="D175" s="157">
        <f>'Dados (F)'!$D$110</f>
        <v>30.97</v>
      </c>
      <c r="E175" s="133">
        <f>IF('Dados (F)'!$D$35=1,1,IF('Dados (F)'!$D$35=2,'Dados (F)'!$C$39,1))</f>
        <v>1</v>
      </c>
      <c r="F175" s="157">
        <f>'Quantitativos (A)'!D175*$D175*$E175</f>
        <v>8637.8427000000011</v>
      </c>
      <c r="G175" s="157">
        <f>'Quantitativos (A)'!E175*$D175*$E175</f>
        <v>0</v>
      </c>
      <c r="H175" s="157">
        <f>'Quantitativos (A)'!F175*$D175*$E175</f>
        <v>0</v>
      </c>
      <c r="I175" s="157">
        <f>'Quantitativos (A)'!G175*$D175*$E175</f>
        <v>8637.8427000000011</v>
      </c>
      <c r="J175" s="157">
        <f>'Quantitativos (A)'!H175*$D175*$E175</f>
        <v>0</v>
      </c>
      <c r="K175" s="157">
        <f>'Quantitativos (A)'!I175*$D175*$E175</f>
        <v>0</v>
      </c>
      <c r="L175" s="157">
        <f>'Quantitativos (A)'!J175*$D175*$E175</f>
        <v>2697.7967000000003</v>
      </c>
      <c r="M175" s="157">
        <f>'Quantitativos (A)'!K175*$D175*$E175</f>
        <v>0</v>
      </c>
      <c r="N175" s="157">
        <f>'Quantitativos (A)'!L175*$D175*$E175</f>
        <v>2697.7967000000003</v>
      </c>
      <c r="O175" s="157">
        <f>'Quantitativos (A)'!M175*$D175*$E175</f>
        <v>0</v>
      </c>
      <c r="P175" s="157">
        <f>'Quantitativos (A)'!N175*$D175*$E175</f>
        <v>5417.9537399999999</v>
      </c>
      <c r="Q175" s="157">
        <f>'Quantitativos (A)'!O175*$D175*$E175</f>
        <v>0</v>
      </c>
      <c r="R175" s="157">
        <f>'Quantitativos (A)'!P175*$D175*$E175</f>
        <v>0</v>
      </c>
      <c r="S175" s="157">
        <f>'Quantitativos (A)'!Q175*$D175*$E175</f>
        <v>5417.9537399999999</v>
      </c>
      <c r="T175" s="157">
        <f>'Quantitativos (A)'!R175*$D175*$E175</f>
        <v>0</v>
      </c>
      <c r="U175" s="157">
        <f>'Quantitativos (A)'!S175*$D175*$E175</f>
        <v>0</v>
      </c>
      <c r="V175" s="157">
        <f>'Quantitativos (A)'!T175*$D175*$E175</f>
        <v>1787.71228</v>
      </c>
      <c r="W175" s="157">
        <f>'Quantitativos (A)'!U175*$D175*$E175</f>
        <v>0</v>
      </c>
      <c r="X175" s="157">
        <f>'Quantitativos (A)'!V175*$D175*$E175</f>
        <v>1787.71228</v>
      </c>
      <c r="Y175" s="157">
        <f>'Quantitativos (A)'!W175*$D175*$E175</f>
        <v>0</v>
      </c>
      <c r="Z175" s="157">
        <f>'Quantitativos (A)'!X175*$D175*$E175</f>
        <v>5419.9977600000002</v>
      </c>
      <c r="AA175" s="157">
        <f>'Quantitativos (A)'!Y175*$D175*$E175</f>
        <v>0</v>
      </c>
      <c r="AB175" s="157">
        <f>'Quantitativos (A)'!Z175*$D175*$E175</f>
        <v>0</v>
      </c>
      <c r="AC175" s="157">
        <f>'Quantitativos (A)'!AA175*$D175*$E175</f>
        <v>5419.9977600000002</v>
      </c>
      <c r="AD175" s="157">
        <f>'Quantitativos (A)'!AB175*$D175*$E175</f>
        <v>0</v>
      </c>
      <c r="AE175" s="157">
        <f>'Quantitativos (A)'!AC175*$D175*$E175</f>
        <v>0</v>
      </c>
      <c r="AF175" s="157">
        <f>'Quantitativos (A)'!AD175*$D175*$E175</f>
        <v>1790.00406</v>
      </c>
      <c r="AG175" s="157">
        <f>'Quantitativos (A)'!AE175*$D175*$E175</f>
        <v>0</v>
      </c>
      <c r="AH175" s="157">
        <f>'Quantitativos (A)'!AF175*$D175*$E175</f>
        <v>1790.00406</v>
      </c>
      <c r="AI175" s="158">
        <f>'Quantitativos (A)'!AG175*$D175*$E175</f>
        <v>0</v>
      </c>
      <c r="AJ175" s="22"/>
    </row>
    <row r="176" spans="1:36" ht="51" x14ac:dyDescent="0.25">
      <c r="A176" s="112"/>
      <c r="B176" s="69" t="s">
        <v>462</v>
      </c>
      <c r="C176" s="133" t="s">
        <v>57</v>
      </c>
      <c r="D176" s="157">
        <f>'Dados (F)'!$D$71</f>
        <v>116.3</v>
      </c>
      <c r="E176" s="133">
        <f>IF('Dados (F)'!$D$35=1,1,IF('Dados (F)'!$D$35=2,'Dados (F)'!$C$39,1))</f>
        <v>1</v>
      </c>
      <c r="F176" s="157">
        <f>'Quantitativos (A)'!D176*$D176*$E176</f>
        <v>0</v>
      </c>
      <c r="G176" s="157">
        <f>'Quantitativos (A)'!E176*$D176*$E176</f>
        <v>0</v>
      </c>
      <c r="H176" s="157">
        <f>'Quantitativos (A)'!F176*$D176*$E176</f>
        <v>0</v>
      </c>
      <c r="I176" s="157">
        <f>'Quantitativos (A)'!G176*$D176*$E176</f>
        <v>0</v>
      </c>
      <c r="J176" s="157">
        <f>'Quantitativos (A)'!H176*$D176*$E176</f>
        <v>0</v>
      </c>
      <c r="K176" s="157">
        <f>'Quantitativos (A)'!I176*$D176*$E176</f>
        <v>0</v>
      </c>
      <c r="L176" s="157">
        <f>'Quantitativos (A)'!J176*$D176*$E176</f>
        <v>4343.8050000000003</v>
      </c>
      <c r="M176" s="157">
        <f>'Quantitativos (A)'!K176*$D176*$E176</f>
        <v>0</v>
      </c>
      <c r="N176" s="157">
        <f>'Quantitativos (A)'!L176*$D176*$E176</f>
        <v>4343.8050000000003</v>
      </c>
      <c r="O176" s="157">
        <f>'Quantitativos (A)'!M176*$D176*$E176</f>
        <v>0</v>
      </c>
      <c r="P176" s="157">
        <f>'Quantitativos (A)'!N176*$D176*$E176</f>
        <v>0</v>
      </c>
      <c r="Q176" s="157">
        <f>'Quantitativos (A)'!O176*$D176*$E176</f>
        <v>0</v>
      </c>
      <c r="R176" s="157">
        <f>'Quantitativos (A)'!P176*$D176*$E176</f>
        <v>0</v>
      </c>
      <c r="S176" s="157">
        <f>'Quantitativos (A)'!Q176*$D176*$E176</f>
        <v>0</v>
      </c>
      <c r="T176" s="157">
        <f>'Quantitativos (A)'!R176*$D176*$E176</f>
        <v>0</v>
      </c>
      <c r="U176" s="157">
        <f>'Quantitativos (A)'!S176*$D176*$E176</f>
        <v>0</v>
      </c>
      <c r="V176" s="157">
        <f>'Quantitativos (A)'!T176*$D176*$E176</f>
        <v>2773.7550000000001</v>
      </c>
      <c r="W176" s="157">
        <f>'Quantitativos (A)'!U176*$D176*$E176</f>
        <v>0</v>
      </c>
      <c r="X176" s="157">
        <f>'Quantitativos (A)'!V176*$D176*$E176</f>
        <v>2773.7550000000001</v>
      </c>
      <c r="Y176" s="157">
        <f>'Quantitativos (A)'!W176*$D176*$E176</f>
        <v>0</v>
      </c>
      <c r="Z176" s="157">
        <f>'Quantitativos (A)'!X176*$D176*$E176</f>
        <v>0</v>
      </c>
      <c r="AA176" s="157">
        <f>'Quantitativos (A)'!Y176*$D176*$E176</f>
        <v>0</v>
      </c>
      <c r="AB176" s="157">
        <f>'Quantitativos (A)'!Z176*$D176*$E176</f>
        <v>0</v>
      </c>
      <c r="AC176" s="157">
        <f>'Quantitativos (A)'!AA176*$D176*$E176</f>
        <v>0</v>
      </c>
      <c r="AD176" s="157">
        <f>'Quantitativos (A)'!AB176*$D176*$E176</f>
        <v>0</v>
      </c>
      <c r="AE176" s="157">
        <f>'Quantitativos (A)'!AC176*$D176*$E176</f>
        <v>0</v>
      </c>
      <c r="AF176" s="157">
        <f>'Quantitativos (A)'!AD176*$D176*$E176</f>
        <v>2773.7550000000001</v>
      </c>
      <c r="AG176" s="157">
        <f>'Quantitativos (A)'!AE176*$D176*$E176</f>
        <v>0</v>
      </c>
      <c r="AH176" s="157">
        <f>'Quantitativos (A)'!AF176*$D176*$E176</f>
        <v>2773.7550000000001</v>
      </c>
      <c r="AI176" s="158">
        <f>'Quantitativos (A)'!AG176*$D176*$E176</f>
        <v>0</v>
      </c>
      <c r="AJ176" s="22"/>
    </row>
    <row r="177" spans="1:36" ht="25.5" x14ac:dyDescent="0.25">
      <c r="A177" s="112"/>
      <c r="B177" s="69" t="s">
        <v>459</v>
      </c>
      <c r="C177" s="133" t="s">
        <v>57</v>
      </c>
      <c r="D177" s="157">
        <f>'Dados (F)'!$D$93</f>
        <v>63.38</v>
      </c>
      <c r="E177" s="133">
        <f>IF('Dados (F)'!$D$35=1,1,IF('Dados (F)'!$D$35=2,'Dados (F)'!$C$39,1))</f>
        <v>1</v>
      </c>
      <c r="F177" s="157">
        <f>'Quantitativos (A)'!D177*$D177*$E177</f>
        <v>0</v>
      </c>
      <c r="G177" s="157">
        <f>'Quantitativos (A)'!E177*$D177*$E177</f>
        <v>0</v>
      </c>
      <c r="H177" s="157">
        <f>'Quantitativos (A)'!F177*$D177*$E177</f>
        <v>0</v>
      </c>
      <c r="I177" s="157">
        <f>'Quantitativos (A)'!G177*$D177*$E177</f>
        <v>0</v>
      </c>
      <c r="J177" s="157">
        <f>'Quantitativos (A)'!H177*$D177*$E177</f>
        <v>0</v>
      </c>
      <c r="K177" s="157">
        <f>'Quantitativos (A)'!I177*$D177*$E177</f>
        <v>0</v>
      </c>
      <c r="L177" s="157">
        <f>'Quantitativos (A)'!J177*$D177*$E177</f>
        <v>4679.9792000000007</v>
      </c>
      <c r="M177" s="157">
        <f>'Quantitativos (A)'!K177*$D177*$E177</f>
        <v>0</v>
      </c>
      <c r="N177" s="157">
        <f>'Quantitativos (A)'!L177*$D177*$E177</f>
        <v>4679.9792000000007</v>
      </c>
      <c r="O177" s="157">
        <f>'Quantitativos (A)'!M177*$D177*$E177</f>
        <v>0</v>
      </c>
      <c r="P177" s="157">
        <f>'Quantitativos (A)'!N177*$D177*$E177</f>
        <v>0</v>
      </c>
      <c r="Q177" s="157">
        <f>'Quantitativos (A)'!O177*$D177*$E177</f>
        <v>0</v>
      </c>
      <c r="R177" s="157">
        <f>'Quantitativos (A)'!P177*$D177*$E177</f>
        <v>0</v>
      </c>
      <c r="S177" s="157">
        <f>'Quantitativos (A)'!Q177*$D177*$E177</f>
        <v>0</v>
      </c>
      <c r="T177" s="157">
        <f>'Quantitativos (A)'!R177*$D177*$E177</f>
        <v>0</v>
      </c>
      <c r="U177" s="157">
        <f>'Quantitativos (A)'!S177*$D177*$E177</f>
        <v>0</v>
      </c>
      <c r="V177" s="157">
        <f>'Quantitativos (A)'!T177*$D177*$E177</f>
        <v>2474.3552</v>
      </c>
      <c r="W177" s="157">
        <f>'Quantitativos (A)'!U177*$D177*$E177</f>
        <v>0</v>
      </c>
      <c r="X177" s="157">
        <f>'Quantitativos (A)'!V177*$D177*$E177</f>
        <v>2474.3552</v>
      </c>
      <c r="Y177" s="157">
        <f>'Quantitativos (A)'!W177*$D177*$E177</f>
        <v>0</v>
      </c>
      <c r="Z177" s="157">
        <f>'Quantitativos (A)'!X177*$D177*$E177</f>
        <v>0</v>
      </c>
      <c r="AA177" s="157">
        <f>'Quantitativos (A)'!Y177*$D177*$E177</f>
        <v>0</v>
      </c>
      <c r="AB177" s="157">
        <f>'Quantitativos (A)'!Z177*$D177*$E177</f>
        <v>0</v>
      </c>
      <c r="AC177" s="157">
        <f>'Quantitativos (A)'!AA177*$D177*$E177</f>
        <v>0</v>
      </c>
      <c r="AD177" s="157">
        <f>'Quantitativos (A)'!AB177*$D177*$E177</f>
        <v>0</v>
      </c>
      <c r="AE177" s="157">
        <f>'Quantitativos (A)'!AC177*$D177*$E177</f>
        <v>0</v>
      </c>
      <c r="AF177" s="157">
        <f>'Quantitativos (A)'!AD177*$D177*$E177</f>
        <v>2474.3552</v>
      </c>
      <c r="AG177" s="157">
        <f>'Quantitativos (A)'!AE177*$D177*$E177</f>
        <v>0</v>
      </c>
      <c r="AH177" s="157">
        <f>'Quantitativos (A)'!AF177*$D177*$E177</f>
        <v>2474.3552</v>
      </c>
      <c r="AI177" s="158">
        <f>'Quantitativos (A)'!AG177*$D177*$E177</f>
        <v>0</v>
      </c>
      <c r="AJ177" s="22"/>
    </row>
    <row r="178" spans="1:36" ht="38.25" x14ac:dyDescent="0.25">
      <c r="A178" s="112"/>
      <c r="B178" s="69" t="s">
        <v>544</v>
      </c>
      <c r="C178" s="133" t="s">
        <v>57</v>
      </c>
      <c r="D178" s="157">
        <f>'Dados (F)'!$D$82</f>
        <v>29.62</v>
      </c>
      <c r="E178" s="133">
        <f>IF('Dados (F)'!$D$35=1,1,IF('Dados (F)'!$D$35=2,'Dados (F)'!$C$39,1))</f>
        <v>1</v>
      </c>
      <c r="F178" s="157">
        <f>'Quantitativos (A)'!D178*$D178*$E178</f>
        <v>0</v>
      </c>
      <c r="G178" s="157">
        <f>'Quantitativos (A)'!E178*$D178*$E178</f>
        <v>0</v>
      </c>
      <c r="H178" s="157">
        <f>'Quantitativos (A)'!F178*$D178*$E178</f>
        <v>0</v>
      </c>
      <c r="I178" s="157">
        <f>'Quantitativos (A)'!G178*$D178*$E178</f>
        <v>0</v>
      </c>
      <c r="J178" s="157">
        <f>'Quantitativos (A)'!H178*$D178*$E178</f>
        <v>0</v>
      </c>
      <c r="K178" s="157">
        <f>'Quantitativos (A)'!I178*$D178*$E178</f>
        <v>0</v>
      </c>
      <c r="L178" s="157">
        <f>'Quantitativos (A)'!J178*$D178*$E178</f>
        <v>1007.6724000000002</v>
      </c>
      <c r="M178" s="157">
        <f>'Quantitativos (A)'!K178*$D178*$E178</f>
        <v>0</v>
      </c>
      <c r="N178" s="157">
        <f>'Quantitativos (A)'!L178*$D178*$E178</f>
        <v>1007.6724000000002</v>
      </c>
      <c r="O178" s="157">
        <f>'Quantitativos (A)'!M178*$D178*$E178</f>
        <v>0</v>
      </c>
      <c r="P178" s="157">
        <f>'Quantitativos (A)'!N178*$D178*$E178</f>
        <v>0</v>
      </c>
      <c r="Q178" s="157">
        <f>'Quantitativos (A)'!O178*$D178*$E178</f>
        <v>0</v>
      </c>
      <c r="R178" s="157">
        <f>'Quantitativos (A)'!P178*$D178*$E178</f>
        <v>0</v>
      </c>
      <c r="S178" s="157">
        <f>'Quantitativos (A)'!Q178*$D178*$E178</f>
        <v>0</v>
      </c>
      <c r="T178" s="157">
        <f>'Quantitativos (A)'!R178*$D178*$E178</f>
        <v>0</v>
      </c>
      <c r="U178" s="157">
        <f>'Quantitativos (A)'!S178*$D178*$E178</f>
        <v>0</v>
      </c>
      <c r="V178" s="157">
        <f>'Quantitativos (A)'!T178*$D178*$E178</f>
        <v>661.11840000000007</v>
      </c>
      <c r="W178" s="157">
        <f>'Quantitativos (A)'!U178*$D178*$E178</f>
        <v>0</v>
      </c>
      <c r="X178" s="157">
        <f>'Quantitativos (A)'!V178*$D178*$E178</f>
        <v>661.11840000000007</v>
      </c>
      <c r="Y178" s="157">
        <f>'Quantitativos (A)'!W178*$D178*$E178</f>
        <v>0</v>
      </c>
      <c r="Z178" s="157">
        <f>'Quantitativos (A)'!X178*$D178*$E178</f>
        <v>0</v>
      </c>
      <c r="AA178" s="157">
        <f>'Quantitativos (A)'!Y178*$D178*$E178</f>
        <v>0</v>
      </c>
      <c r="AB178" s="157">
        <f>'Quantitativos (A)'!Z178*$D178*$E178</f>
        <v>0</v>
      </c>
      <c r="AC178" s="157">
        <f>'Quantitativos (A)'!AA178*$D178*$E178</f>
        <v>0</v>
      </c>
      <c r="AD178" s="157">
        <f>'Quantitativos (A)'!AB178*$D178*$E178</f>
        <v>0</v>
      </c>
      <c r="AE178" s="157">
        <f>'Quantitativos (A)'!AC178*$D178*$E178</f>
        <v>0</v>
      </c>
      <c r="AF178" s="157">
        <f>'Quantitativos (A)'!AD178*$D178*$E178</f>
        <v>661.11840000000007</v>
      </c>
      <c r="AG178" s="157">
        <f>'Quantitativos (A)'!AE178*$D178*$E178</f>
        <v>0</v>
      </c>
      <c r="AH178" s="157">
        <f>'Quantitativos (A)'!AF178*$D178*$E178</f>
        <v>661.11840000000007</v>
      </c>
      <c r="AI178" s="158">
        <f>'Quantitativos (A)'!AG178*$D178*$E178</f>
        <v>0</v>
      </c>
      <c r="AJ178" s="22"/>
    </row>
    <row r="179" spans="1:36" ht="25.5" x14ac:dyDescent="0.25">
      <c r="A179" s="112"/>
      <c r="B179" s="69" t="s">
        <v>71</v>
      </c>
      <c r="C179" s="133" t="s">
        <v>57</v>
      </c>
      <c r="D179" s="157">
        <f>'Dados (F)'!$D$89</f>
        <v>11.6</v>
      </c>
      <c r="E179" s="133">
        <f>IF('Dados (F)'!$D$35=1,1,IF('Dados (F)'!$D$35=2,'Dados (F)'!$C$39,1))</f>
        <v>1</v>
      </c>
      <c r="F179" s="157">
        <f>'Quantitativos (A)'!D179*$D179*$E179</f>
        <v>0</v>
      </c>
      <c r="G179" s="157">
        <f>'Quantitativos (A)'!E179*$D179*$E179</f>
        <v>0</v>
      </c>
      <c r="H179" s="157">
        <f>'Quantitativos (A)'!F179*$D179*$E179</f>
        <v>0</v>
      </c>
      <c r="I179" s="157">
        <f>'Quantitativos (A)'!G179*$D179*$E179</f>
        <v>0</v>
      </c>
      <c r="J179" s="157">
        <f>'Quantitativos (A)'!H179*$D179*$E179</f>
        <v>0</v>
      </c>
      <c r="K179" s="157">
        <f>'Quantitativos (A)'!I179*$D179*$E179</f>
        <v>0</v>
      </c>
      <c r="L179" s="157">
        <f>'Quantitativos (A)'!J179*$D179*$E179</f>
        <v>394.63200000000001</v>
      </c>
      <c r="M179" s="157">
        <f>'Quantitativos (A)'!K179*$D179*$E179</f>
        <v>0</v>
      </c>
      <c r="N179" s="157">
        <f>'Quantitativos (A)'!L179*$D179*$E179</f>
        <v>394.63200000000001</v>
      </c>
      <c r="O179" s="157">
        <f>'Quantitativos (A)'!M179*$D179*$E179</f>
        <v>0</v>
      </c>
      <c r="P179" s="157">
        <f>'Quantitativos (A)'!N179*$D179*$E179</f>
        <v>0</v>
      </c>
      <c r="Q179" s="157">
        <f>'Quantitativos (A)'!O179*$D179*$E179</f>
        <v>0</v>
      </c>
      <c r="R179" s="157">
        <f>'Quantitativos (A)'!P179*$D179*$E179</f>
        <v>0</v>
      </c>
      <c r="S179" s="157">
        <f>'Quantitativos (A)'!Q179*$D179*$E179</f>
        <v>0</v>
      </c>
      <c r="T179" s="157">
        <f>'Quantitativos (A)'!R179*$D179*$E179</f>
        <v>0</v>
      </c>
      <c r="U179" s="157">
        <f>'Quantitativos (A)'!S179*$D179*$E179</f>
        <v>0</v>
      </c>
      <c r="V179" s="157">
        <f>'Quantitativos (A)'!T179*$D179*$E179</f>
        <v>258.91199999999998</v>
      </c>
      <c r="W179" s="157">
        <f>'Quantitativos (A)'!U179*$D179*$E179</f>
        <v>0</v>
      </c>
      <c r="X179" s="157">
        <f>'Quantitativos (A)'!V179*$D179*$E179</f>
        <v>258.91199999999998</v>
      </c>
      <c r="Y179" s="157">
        <f>'Quantitativos (A)'!W179*$D179*$E179</f>
        <v>0</v>
      </c>
      <c r="Z179" s="157">
        <f>'Quantitativos (A)'!X179*$D179*$E179</f>
        <v>0</v>
      </c>
      <c r="AA179" s="157">
        <f>'Quantitativos (A)'!Y179*$D179*$E179</f>
        <v>0</v>
      </c>
      <c r="AB179" s="157">
        <f>'Quantitativos (A)'!Z179*$D179*$E179</f>
        <v>0</v>
      </c>
      <c r="AC179" s="157">
        <f>'Quantitativos (A)'!AA179*$D179*$E179</f>
        <v>0</v>
      </c>
      <c r="AD179" s="157">
        <f>'Quantitativos (A)'!AB179*$D179*$E179</f>
        <v>0</v>
      </c>
      <c r="AE179" s="157">
        <f>'Quantitativos (A)'!AC179*$D179*$E179</f>
        <v>0</v>
      </c>
      <c r="AF179" s="157">
        <f>'Quantitativos (A)'!AD179*$D179*$E179</f>
        <v>258.91199999999998</v>
      </c>
      <c r="AG179" s="157">
        <f>'Quantitativos (A)'!AE179*$D179*$E179</f>
        <v>0</v>
      </c>
      <c r="AH179" s="157">
        <f>'Quantitativos (A)'!AF179*$D179*$E179</f>
        <v>258.91199999999998</v>
      </c>
      <c r="AI179" s="158">
        <f>'Quantitativos (A)'!AG179*$D179*$E179</f>
        <v>0</v>
      </c>
      <c r="AJ179" s="22"/>
    </row>
    <row r="180" spans="1:36" ht="25.5" x14ac:dyDescent="0.25">
      <c r="A180" s="112"/>
      <c r="B180" s="134" t="s">
        <v>73</v>
      </c>
      <c r="C180" s="133" t="s">
        <v>57</v>
      </c>
      <c r="D180" s="157">
        <f>'Dados (F)'!$D$117</f>
        <v>15.47</v>
      </c>
      <c r="E180" s="133">
        <f>IF('Dados (F)'!$D$35=1,1,IF('Dados (F)'!$D$35=2,'Dados (F)'!$C$39,1))</f>
        <v>1</v>
      </c>
      <c r="F180" s="157">
        <f>'Quantitativos (A)'!D180*$D180*$E180</f>
        <v>2027.1887999999999</v>
      </c>
      <c r="G180" s="157">
        <f>'Quantitativos (A)'!E180*$D180*$E180</f>
        <v>0</v>
      </c>
      <c r="H180" s="157">
        <f>'Quantitativos (A)'!F180*$D180*$E180</f>
        <v>0</v>
      </c>
      <c r="I180" s="157">
        <f>'Quantitativos (A)'!G180*$D180*$E180</f>
        <v>2027.1887999999999</v>
      </c>
      <c r="J180" s="157">
        <f>'Quantitativos (A)'!H180*$D180*$E180</f>
        <v>0</v>
      </c>
      <c r="K180" s="157">
        <f>'Quantitativos (A)'!I180*$D180*$E180</f>
        <v>0</v>
      </c>
      <c r="L180" s="157">
        <f>'Quantitativos (A)'!J180*$D180*$E180</f>
        <v>2027.1887999999999</v>
      </c>
      <c r="M180" s="157">
        <f>'Quantitativos (A)'!K180*$D180*$E180</f>
        <v>0</v>
      </c>
      <c r="N180" s="157">
        <f>'Quantitativos (A)'!L180*$D180*$E180</f>
        <v>2027.1887999999999</v>
      </c>
      <c r="O180" s="157">
        <f>'Quantitativos (A)'!M180*$D180*$E180</f>
        <v>0</v>
      </c>
      <c r="P180" s="157">
        <f>'Quantitativos (A)'!N180*$D180*$E180</f>
        <v>1173.2448000000002</v>
      </c>
      <c r="Q180" s="157">
        <f>'Quantitativos (A)'!O180*$D180*$E180</f>
        <v>0</v>
      </c>
      <c r="R180" s="157">
        <f>'Quantitativos (A)'!P180*$D180*$E180</f>
        <v>0</v>
      </c>
      <c r="S180" s="157">
        <f>'Quantitativos (A)'!Q180*$D180*$E180</f>
        <v>1173.2448000000002</v>
      </c>
      <c r="T180" s="157">
        <f>'Quantitativos (A)'!R180*$D180*$E180</f>
        <v>0</v>
      </c>
      <c r="U180" s="157">
        <f>'Quantitativos (A)'!S180*$D180*$E180</f>
        <v>0</v>
      </c>
      <c r="V180" s="157">
        <f>'Quantitativos (A)'!T180*$D180*$E180</f>
        <v>1173.2448000000002</v>
      </c>
      <c r="W180" s="157">
        <f>'Quantitativos (A)'!U180*$D180*$E180</f>
        <v>0</v>
      </c>
      <c r="X180" s="157">
        <f>'Quantitativos (A)'!V180*$D180*$E180</f>
        <v>1173.2448000000002</v>
      </c>
      <c r="Y180" s="157">
        <f>'Quantitativos (A)'!W180*$D180*$E180</f>
        <v>0</v>
      </c>
      <c r="Z180" s="157">
        <f>'Quantitativos (A)'!X180*$D180*$E180</f>
        <v>1173.2448000000002</v>
      </c>
      <c r="AA180" s="157">
        <f>'Quantitativos (A)'!Y180*$D180*$E180</f>
        <v>0</v>
      </c>
      <c r="AB180" s="157">
        <f>'Quantitativos (A)'!Z180*$D180*$E180</f>
        <v>0</v>
      </c>
      <c r="AC180" s="157">
        <f>'Quantitativos (A)'!AA180*$D180*$E180</f>
        <v>1173.2448000000002</v>
      </c>
      <c r="AD180" s="157">
        <f>'Quantitativos (A)'!AB180*$D180*$E180</f>
        <v>0</v>
      </c>
      <c r="AE180" s="157">
        <f>'Quantitativos (A)'!AC180*$D180*$E180</f>
        <v>0</v>
      </c>
      <c r="AF180" s="157">
        <f>'Quantitativos (A)'!AD180*$D180*$E180</f>
        <v>1173.2448000000002</v>
      </c>
      <c r="AG180" s="157">
        <f>'Quantitativos (A)'!AE180*$D180*$E180</f>
        <v>0</v>
      </c>
      <c r="AH180" s="157">
        <f>'Quantitativos (A)'!AF180*$D180*$E180</f>
        <v>1173.2448000000002</v>
      </c>
      <c r="AI180" s="158">
        <f>'Quantitativos (A)'!AG180*$D180*$E180</f>
        <v>0</v>
      </c>
      <c r="AJ180" s="22"/>
    </row>
    <row r="181" spans="1:36" x14ac:dyDescent="0.25">
      <c r="A181" s="112"/>
      <c r="B181" s="69" t="s">
        <v>545</v>
      </c>
      <c r="C181" s="133" t="s">
        <v>64</v>
      </c>
      <c r="D181" s="157">
        <f>'Dados (F)'!$D$118</f>
        <v>18.29</v>
      </c>
      <c r="E181" s="133">
        <f>IF('Dados (F)'!$D$35=1,1,IF('Dados (F)'!$D$35=2,'Dados (F)'!$C$39,1))</f>
        <v>1</v>
      </c>
      <c r="F181" s="157">
        <f>'Quantitativos (A)'!D181*$D181*$E181</f>
        <v>2331.6640699999998</v>
      </c>
      <c r="G181" s="157">
        <f>'Quantitativos (A)'!E181*$D181*$E181</f>
        <v>0</v>
      </c>
      <c r="H181" s="157">
        <f>'Quantitativos (A)'!F181*$D181*$E181</f>
        <v>0</v>
      </c>
      <c r="I181" s="157">
        <f>'Quantitativos (A)'!G181*$D181*$E181</f>
        <v>2331.6640699999998</v>
      </c>
      <c r="J181" s="157">
        <f>'Quantitativos (A)'!H181*$D181*$E181</f>
        <v>0</v>
      </c>
      <c r="K181" s="157">
        <f>'Quantitativos (A)'!I181*$D181*$E181</f>
        <v>0</v>
      </c>
      <c r="L181" s="157">
        <f>'Quantitativos (A)'!J181*$D181*$E181</f>
        <v>2331.6640699999998</v>
      </c>
      <c r="M181" s="157">
        <f>'Quantitativos (A)'!K181*$D181*$E181</f>
        <v>0</v>
      </c>
      <c r="N181" s="157">
        <f>'Quantitativos (A)'!L181*$D181*$E181</f>
        <v>2331.6640699999998</v>
      </c>
      <c r="O181" s="157">
        <f>'Quantitativos (A)'!M181*$D181*$E181</f>
        <v>0</v>
      </c>
      <c r="P181" s="157">
        <f>'Quantitativos (A)'!N181*$D181*$E181</f>
        <v>1741.88473</v>
      </c>
      <c r="Q181" s="157">
        <f>'Quantitativos (A)'!O181*$D181*$E181</f>
        <v>0</v>
      </c>
      <c r="R181" s="157">
        <f>'Quantitativos (A)'!P181*$D181*$E181</f>
        <v>0</v>
      </c>
      <c r="S181" s="157">
        <f>'Quantitativos (A)'!Q181*$D181*$E181</f>
        <v>1741.88473</v>
      </c>
      <c r="T181" s="157">
        <f>'Quantitativos (A)'!R181*$D181*$E181</f>
        <v>0</v>
      </c>
      <c r="U181" s="157">
        <f>'Quantitativos (A)'!S181*$D181*$E181</f>
        <v>0</v>
      </c>
      <c r="V181" s="157">
        <f>'Quantitativos (A)'!T181*$D181*$E181</f>
        <v>1741.88473</v>
      </c>
      <c r="W181" s="157">
        <f>'Quantitativos (A)'!U181*$D181*$E181</f>
        <v>0</v>
      </c>
      <c r="X181" s="157">
        <f>'Quantitativos (A)'!V181*$D181*$E181</f>
        <v>1741.88473</v>
      </c>
      <c r="Y181" s="157">
        <f>'Quantitativos (A)'!W181*$D181*$E181</f>
        <v>0</v>
      </c>
      <c r="Z181" s="157">
        <f>'Quantitativos (A)'!X181*$D181*$E181</f>
        <v>1741.88473</v>
      </c>
      <c r="AA181" s="157">
        <f>'Quantitativos (A)'!Y181*$D181*$E181</f>
        <v>0</v>
      </c>
      <c r="AB181" s="157">
        <f>'Quantitativos (A)'!Z181*$D181*$E181</f>
        <v>0</v>
      </c>
      <c r="AC181" s="157">
        <f>'Quantitativos (A)'!AA181*$D181*$E181</f>
        <v>1741.88473</v>
      </c>
      <c r="AD181" s="157">
        <f>'Quantitativos (A)'!AB181*$D181*$E181</f>
        <v>0</v>
      </c>
      <c r="AE181" s="157">
        <f>'Quantitativos (A)'!AC181*$D181*$E181</f>
        <v>0</v>
      </c>
      <c r="AF181" s="157">
        <f>'Quantitativos (A)'!AD181*$D181*$E181</f>
        <v>1741.88473</v>
      </c>
      <c r="AG181" s="157">
        <f>'Quantitativos (A)'!AE181*$D181*$E181</f>
        <v>0</v>
      </c>
      <c r="AH181" s="157">
        <f>'Quantitativos (A)'!AF181*$D181*$E181</f>
        <v>1741.88473</v>
      </c>
      <c r="AI181" s="158">
        <f>'Quantitativos (A)'!AG181*$D181*$E181</f>
        <v>0</v>
      </c>
      <c r="AJ181" s="22"/>
    </row>
    <row r="182" spans="1:36" x14ac:dyDescent="0.25">
      <c r="A182" s="112"/>
      <c r="B182" s="69" t="s">
        <v>463</v>
      </c>
      <c r="C182" s="133" t="s">
        <v>60</v>
      </c>
      <c r="D182" s="157">
        <f>'Dados (F)'!$D$141</f>
        <v>35.659999999999997</v>
      </c>
      <c r="E182" s="133">
        <f>IF('Dados (F)'!$D$35=1,1,'Dados (F)'!$C$39)</f>
        <v>1</v>
      </c>
      <c r="F182" s="157">
        <f>'Quantitativos (A)'!D182*$D182*$E182</f>
        <v>249.61999999999998</v>
      </c>
      <c r="G182" s="157">
        <f>'Quantitativos (A)'!E182*$D182*$E182</f>
        <v>0</v>
      </c>
      <c r="H182" s="157">
        <f>'Quantitativos (A)'!F182*$D182*$E182</f>
        <v>0</v>
      </c>
      <c r="I182" s="157">
        <f>'Quantitativos (A)'!G182*$D182*$E182</f>
        <v>249.61999999999998</v>
      </c>
      <c r="J182" s="157">
        <f>'Quantitativos (A)'!H182*$D182*$E182</f>
        <v>0</v>
      </c>
      <c r="K182" s="157">
        <f>'Quantitativos (A)'!I182*$D182*$E182</f>
        <v>0</v>
      </c>
      <c r="L182" s="157">
        <f>'Quantitativos (A)'!J182*$D182*$E182</f>
        <v>249.61999999999998</v>
      </c>
      <c r="M182" s="157">
        <f>'Quantitativos (A)'!K182*$D182*$E182</f>
        <v>0</v>
      </c>
      <c r="N182" s="157">
        <f>'Quantitativos (A)'!L182*$D182*$E182</f>
        <v>249.61999999999998</v>
      </c>
      <c r="O182" s="157">
        <f>'Quantitativos (A)'!M182*$D182*$E182</f>
        <v>0</v>
      </c>
      <c r="P182" s="157">
        <f>'Quantitativos (A)'!N182*$D182*$E182</f>
        <v>142.63999999999999</v>
      </c>
      <c r="Q182" s="157">
        <f>'Quantitativos (A)'!O182*$D182*$E182</f>
        <v>0</v>
      </c>
      <c r="R182" s="157">
        <f>'Quantitativos (A)'!P182*$D182*$E182</f>
        <v>0</v>
      </c>
      <c r="S182" s="157">
        <f>'Quantitativos (A)'!Q182*$D182*$E182</f>
        <v>142.63999999999999</v>
      </c>
      <c r="T182" s="157">
        <f>'Quantitativos (A)'!R182*$D182*$E182</f>
        <v>0</v>
      </c>
      <c r="U182" s="157">
        <f>'Quantitativos (A)'!S182*$D182*$E182</f>
        <v>0</v>
      </c>
      <c r="V182" s="157">
        <f>'Quantitativos (A)'!T182*$D182*$E182</f>
        <v>142.63999999999999</v>
      </c>
      <c r="W182" s="157">
        <f>'Quantitativos (A)'!U182*$D182*$E182</f>
        <v>0</v>
      </c>
      <c r="X182" s="157">
        <f>'Quantitativos (A)'!V182*$D182*$E182</f>
        <v>142.63999999999999</v>
      </c>
      <c r="Y182" s="157">
        <f>'Quantitativos (A)'!W182*$D182*$E182</f>
        <v>0</v>
      </c>
      <c r="Z182" s="157">
        <f>'Quantitativos (A)'!X182*$D182*$E182</f>
        <v>142.63999999999999</v>
      </c>
      <c r="AA182" s="157">
        <f>'Quantitativos (A)'!Y182*$D182*$E182</f>
        <v>0</v>
      </c>
      <c r="AB182" s="157">
        <f>'Quantitativos (A)'!Z182*$D182*$E182</f>
        <v>0</v>
      </c>
      <c r="AC182" s="157">
        <f>'Quantitativos (A)'!AA182*$D182*$E182</f>
        <v>142.63999999999999</v>
      </c>
      <c r="AD182" s="157">
        <f>'Quantitativos (A)'!AB182*$D182*$E182</f>
        <v>0</v>
      </c>
      <c r="AE182" s="157">
        <f>'Quantitativos (A)'!AC182*$D182*$E182</f>
        <v>0</v>
      </c>
      <c r="AF182" s="157">
        <f>'Quantitativos (A)'!AD182*$D182*$E182</f>
        <v>142.63999999999999</v>
      </c>
      <c r="AG182" s="157">
        <f>'Quantitativos (A)'!AE182*$D182*$E182</f>
        <v>0</v>
      </c>
      <c r="AH182" s="157">
        <f>'Quantitativos (A)'!AF182*$D182*$E182</f>
        <v>142.63999999999999</v>
      </c>
      <c r="AI182" s="158">
        <f>'Quantitativos (A)'!AG182*$D182*$E182</f>
        <v>0</v>
      </c>
      <c r="AJ182" s="22"/>
    </row>
    <row r="183" spans="1:36" x14ac:dyDescent="0.25">
      <c r="A183" s="112"/>
      <c r="B183" s="69" t="s">
        <v>546</v>
      </c>
      <c r="C183" s="133" t="s">
        <v>63</v>
      </c>
      <c r="D183" s="157">
        <f>'Dados (F)'!$D$113</f>
        <v>6.11</v>
      </c>
      <c r="E183" s="133">
        <f>IF('Dados (F)'!$D$35=1,1,IF('Dados (F)'!$D$35=2,'Dados (F)'!$C$39,1))</f>
        <v>1</v>
      </c>
      <c r="F183" s="157">
        <f>'Quantitativos (A)'!D183*$D183*$E183</f>
        <v>246.35520000000002</v>
      </c>
      <c r="G183" s="157">
        <f>'Quantitativos (A)'!E183*$D183*$E183</f>
        <v>0</v>
      </c>
      <c r="H183" s="157">
        <f>'Quantitativos (A)'!F183*$D183*$E183</f>
        <v>0</v>
      </c>
      <c r="I183" s="157">
        <f>'Quantitativos (A)'!G183*$D183*$E183</f>
        <v>246.35520000000002</v>
      </c>
      <c r="J183" s="157">
        <f>'Quantitativos (A)'!H183*$D183*$E183</f>
        <v>0</v>
      </c>
      <c r="K183" s="157">
        <f>'Quantitativos (A)'!I183*$D183*$E183</f>
        <v>0</v>
      </c>
      <c r="L183" s="157">
        <f>'Quantitativos (A)'!J183*$D183*$E183</f>
        <v>246.35520000000002</v>
      </c>
      <c r="M183" s="157">
        <f>'Quantitativos (A)'!K183*$D183*$E183</f>
        <v>0</v>
      </c>
      <c r="N183" s="157">
        <f>'Quantitativos (A)'!L183*$D183*$E183</f>
        <v>246.35520000000002</v>
      </c>
      <c r="O183" s="157">
        <f>'Quantitativos (A)'!M183*$D183*$E183</f>
        <v>0</v>
      </c>
      <c r="P183" s="157">
        <f>'Quantitativos (A)'!N183*$D183*$E183</f>
        <v>158.37120000000002</v>
      </c>
      <c r="Q183" s="157">
        <f>'Quantitativos (A)'!O183*$D183*$E183</f>
        <v>0</v>
      </c>
      <c r="R183" s="157">
        <f>'Quantitativos (A)'!P183*$D183*$E183</f>
        <v>0</v>
      </c>
      <c r="S183" s="157">
        <f>'Quantitativos (A)'!Q183*$D183*$E183</f>
        <v>158.37120000000002</v>
      </c>
      <c r="T183" s="157">
        <f>'Quantitativos (A)'!R183*$D183*$E183</f>
        <v>0</v>
      </c>
      <c r="U183" s="157">
        <f>'Quantitativos (A)'!S183*$D183*$E183</f>
        <v>0</v>
      </c>
      <c r="V183" s="157">
        <f>'Quantitativos (A)'!T183*$D183*$E183</f>
        <v>158.37120000000002</v>
      </c>
      <c r="W183" s="157">
        <f>'Quantitativos (A)'!U183*$D183*$E183</f>
        <v>0</v>
      </c>
      <c r="X183" s="157">
        <f>'Quantitativos (A)'!V183*$D183*$E183</f>
        <v>158.37120000000002</v>
      </c>
      <c r="Y183" s="157">
        <f>'Quantitativos (A)'!W183*$D183*$E183</f>
        <v>0</v>
      </c>
      <c r="Z183" s="157">
        <f>'Quantitativos (A)'!X183*$D183*$E183</f>
        <v>158.37120000000002</v>
      </c>
      <c r="AA183" s="157">
        <f>'Quantitativos (A)'!Y183*$D183*$E183</f>
        <v>0</v>
      </c>
      <c r="AB183" s="157">
        <f>'Quantitativos (A)'!Z183*$D183*$E183</f>
        <v>0</v>
      </c>
      <c r="AC183" s="157">
        <f>'Quantitativos (A)'!AA183*$D183*$E183</f>
        <v>158.37120000000002</v>
      </c>
      <c r="AD183" s="157">
        <f>'Quantitativos (A)'!AB183*$D183*$E183</f>
        <v>0</v>
      </c>
      <c r="AE183" s="157">
        <f>'Quantitativos (A)'!AC183*$D183*$E183</f>
        <v>0</v>
      </c>
      <c r="AF183" s="157">
        <f>'Quantitativos (A)'!AD183*$D183*$E183</f>
        <v>158.37120000000002</v>
      </c>
      <c r="AG183" s="157">
        <f>'Quantitativos (A)'!AE183*$D183*$E183</f>
        <v>0</v>
      </c>
      <c r="AH183" s="157">
        <f>'Quantitativos (A)'!AF183*$D183*$E183</f>
        <v>158.37120000000002</v>
      </c>
      <c r="AI183" s="158">
        <f>'Quantitativos (A)'!AG183*$D183*$E183</f>
        <v>0</v>
      </c>
      <c r="AJ183" s="22"/>
    </row>
    <row r="184" spans="1:36" x14ac:dyDescent="0.25">
      <c r="A184" s="112"/>
      <c r="B184" s="69" t="s">
        <v>547</v>
      </c>
      <c r="C184" s="133" t="s">
        <v>65</v>
      </c>
      <c r="D184" s="157">
        <f>'Dados (F)'!$D$119</f>
        <v>49.79</v>
      </c>
      <c r="E184" s="133">
        <f>IF('Dados (F)'!$D$35=1,1,IF('Dados (F)'!$D$35=2,'Dados (F)'!$C$39,1))</f>
        <v>1</v>
      </c>
      <c r="F184" s="157">
        <f>'Quantitativos (A)'!D184*$D184*$E184</f>
        <v>95.188521999999992</v>
      </c>
      <c r="G184" s="157">
        <f>'Quantitativos (A)'!E184*$D184*$E184</f>
        <v>0</v>
      </c>
      <c r="H184" s="157">
        <f>'Quantitativos (A)'!F184*$D184*$E184</f>
        <v>0</v>
      </c>
      <c r="I184" s="157">
        <f>'Quantitativos (A)'!G184*$D184*$E184</f>
        <v>95.188521999999992</v>
      </c>
      <c r="J184" s="157">
        <f>'Quantitativos (A)'!H184*$D184*$E184</f>
        <v>0</v>
      </c>
      <c r="K184" s="157">
        <f>'Quantitativos (A)'!I184*$D184*$E184</f>
        <v>0</v>
      </c>
      <c r="L184" s="157">
        <f>'Quantitativos (A)'!J184*$D184*$E184</f>
        <v>95.188521999999992</v>
      </c>
      <c r="M184" s="157">
        <f>'Quantitativos (A)'!K184*$D184*$E184</f>
        <v>0</v>
      </c>
      <c r="N184" s="157">
        <f>'Quantitativos (A)'!L184*$D184*$E184</f>
        <v>95.188521999999992</v>
      </c>
      <c r="O184" s="157">
        <f>'Quantitativos (A)'!M184*$D184*$E184</f>
        <v>0</v>
      </c>
      <c r="P184" s="157">
        <f>'Quantitativos (A)'!N184*$D184*$E184</f>
        <v>42.650114000000002</v>
      </c>
      <c r="Q184" s="157">
        <f>'Quantitativos (A)'!O184*$D184*$E184</f>
        <v>0</v>
      </c>
      <c r="R184" s="157">
        <f>'Quantitativos (A)'!P184*$D184*$E184</f>
        <v>0</v>
      </c>
      <c r="S184" s="157">
        <f>'Quantitativos (A)'!Q184*$D184*$E184</f>
        <v>42.650114000000002</v>
      </c>
      <c r="T184" s="157">
        <f>'Quantitativos (A)'!R184*$D184*$E184</f>
        <v>0</v>
      </c>
      <c r="U184" s="157">
        <f>'Quantitativos (A)'!S184*$D184*$E184</f>
        <v>0</v>
      </c>
      <c r="V184" s="157">
        <f>'Quantitativos (A)'!T184*$D184*$E184</f>
        <v>42.650114000000002</v>
      </c>
      <c r="W184" s="157">
        <f>'Quantitativos (A)'!U184*$D184*$E184</f>
        <v>0</v>
      </c>
      <c r="X184" s="157">
        <f>'Quantitativos (A)'!V184*$D184*$E184</f>
        <v>42.650114000000002</v>
      </c>
      <c r="Y184" s="157">
        <f>'Quantitativos (A)'!W184*$D184*$E184</f>
        <v>0</v>
      </c>
      <c r="Z184" s="157">
        <f>'Quantitativos (A)'!X184*$D184*$E184</f>
        <v>42.650114000000002</v>
      </c>
      <c r="AA184" s="157">
        <f>'Quantitativos (A)'!Y184*$D184*$E184</f>
        <v>0</v>
      </c>
      <c r="AB184" s="157">
        <f>'Quantitativos (A)'!Z184*$D184*$E184</f>
        <v>0</v>
      </c>
      <c r="AC184" s="157">
        <f>'Quantitativos (A)'!AA184*$D184*$E184</f>
        <v>42.650114000000002</v>
      </c>
      <c r="AD184" s="157">
        <f>'Quantitativos (A)'!AB184*$D184*$E184</f>
        <v>0</v>
      </c>
      <c r="AE184" s="157">
        <f>'Quantitativos (A)'!AC184*$D184*$E184</f>
        <v>0</v>
      </c>
      <c r="AF184" s="157">
        <f>'Quantitativos (A)'!AD184*$D184*$E184</f>
        <v>42.650114000000002</v>
      </c>
      <c r="AG184" s="157">
        <f>'Quantitativos (A)'!AE184*$D184*$E184</f>
        <v>0</v>
      </c>
      <c r="AH184" s="157">
        <f>'Quantitativos (A)'!AF184*$D184*$E184</f>
        <v>42.650114000000002</v>
      </c>
      <c r="AI184" s="158">
        <f>'Quantitativos (A)'!AG184*$D184*$E184</f>
        <v>0</v>
      </c>
      <c r="AJ184" s="22"/>
    </row>
    <row r="185" spans="1:36" x14ac:dyDescent="0.25">
      <c r="A185" s="112"/>
      <c r="B185" s="69" t="s">
        <v>548</v>
      </c>
      <c r="C185" s="133" t="s">
        <v>60</v>
      </c>
      <c r="D185" s="157">
        <f>'Dados (F)'!$D$142</f>
        <v>27.8</v>
      </c>
      <c r="E185" s="133">
        <f>IF('Dados (F)'!$D$35=1,1,'Dados (F)'!$C$39)</f>
        <v>1</v>
      </c>
      <c r="F185" s="157">
        <f>'Quantitativos (A)'!D185*$D185*$E185</f>
        <v>1167.6000000000001</v>
      </c>
      <c r="G185" s="157">
        <f>'Quantitativos (A)'!E185*$D185*$E185</f>
        <v>0</v>
      </c>
      <c r="H185" s="157">
        <f>'Quantitativos (A)'!F185*$D185*$E185</f>
        <v>0</v>
      </c>
      <c r="I185" s="157">
        <f>'Quantitativos (A)'!G185*$D185*$E185</f>
        <v>1167.6000000000001</v>
      </c>
      <c r="J185" s="157">
        <f>'Quantitativos (A)'!H185*$D185*$E185</f>
        <v>0</v>
      </c>
      <c r="K185" s="157">
        <f>'Quantitativos (A)'!I185*$D185*$E185</f>
        <v>0</v>
      </c>
      <c r="L185" s="157">
        <f>'Quantitativos (A)'!J185*$D185*$E185</f>
        <v>1167.6000000000001</v>
      </c>
      <c r="M185" s="157">
        <f>'Quantitativos (A)'!K185*$D185*$E185</f>
        <v>0</v>
      </c>
      <c r="N185" s="157">
        <f>'Quantitativos (A)'!L185*$D185*$E185</f>
        <v>1167.6000000000001</v>
      </c>
      <c r="O185" s="157">
        <f>'Quantitativos (A)'!M185*$D185*$E185</f>
        <v>0</v>
      </c>
      <c r="P185" s="157">
        <f>'Quantitativos (A)'!N185*$D185*$E185</f>
        <v>722.80000000000007</v>
      </c>
      <c r="Q185" s="157">
        <f>'Quantitativos (A)'!O185*$D185*$E185</f>
        <v>0</v>
      </c>
      <c r="R185" s="157">
        <f>'Quantitativos (A)'!P185*$D185*$E185</f>
        <v>0</v>
      </c>
      <c r="S185" s="157">
        <f>'Quantitativos (A)'!Q185*$D185*$E185</f>
        <v>722.80000000000007</v>
      </c>
      <c r="T185" s="157">
        <f>'Quantitativos (A)'!R185*$D185*$E185</f>
        <v>0</v>
      </c>
      <c r="U185" s="157">
        <f>'Quantitativos (A)'!S185*$D185*$E185</f>
        <v>0</v>
      </c>
      <c r="V185" s="157">
        <f>'Quantitativos (A)'!T185*$D185*$E185</f>
        <v>722.80000000000007</v>
      </c>
      <c r="W185" s="157">
        <f>'Quantitativos (A)'!U185*$D185*$E185</f>
        <v>0</v>
      </c>
      <c r="X185" s="157">
        <f>'Quantitativos (A)'!V185*$D185*$E185</f>
        <v>722.80000000000007</v>
      </c>
      <c r="Y185" s="157">
        <f>'Quantitativos (A)'!W185*$D185*$E185</f>
        <v>0</v>
      </c>
      <c r="Z185" s="157">
        <f>'Quantitativos (A)'!X185*$D185*$E185</f>
        <v>722.80000000000007</v>
      </c>
      <c r="AA185" s="157">
        <f>'Quantitativos (A)'!Y185*$D185*$E185</f>
        <v>0</v>
      </c>
      <c r="AB185" s="157">
        <f>'Quantitativos (A)'!Z185*$D185*$E185</f>
        <v>0</v>
      </c>
      <c r="AC185" s="157">
        <f>'Quantitativos (A)'!AA185*$D185*$E185</f>
        <v>722.80000000000007</v>
      </c>
      <c r="AD185" s="157">
        <f>'Quantitativos (A)'!AB185*$D185*$E185</f>
        <v>0</v>
      </c>
      <c r="AE185" s="157">
        <f>'Quantitativos (A)'!AC185*$D185*$E185</f>
        <v>0</v>
      </c>
      <c r="AF185" s="157">
        <f>'Quantitativos (A)'!AD185*$D185*$E185</f>
        <v>722.80000000000007</v>
      </c>
      <c r="AG185" s="157">
        <f>'Quantitativos (A)'!AE185*$D185*$E185</f>
        <v>0</v>
      </c>
      <c r="AH185" s="157">
        <f>'Quantitativos (A)'!AF185*$D185*$E185</f>
        <v>722.80000000000007</v>
      </c>
      <c r="AI185" s="158">
        <f>'Quantitativos (A)'!AG185*$D185*$E185</f>
        <v>0</v>
      </c>
      <c r="AJ185" s="22"/>
    </row>
    <row r="186" spans="1:36" x14ac:dyDescent="0.25">
      <c r="A186" s="112"/>
      <c r="B186" s="120" t="s">
        <v>550</v>
      </c>
      <c r="C186" s="121"/>
      <c r="D186" s="155"/>
      <c r="E186" s="156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60"/>
      <c r="AJ186" s="22"/>
    </row>
    <row r="187" spans="1:36" ht="51" x14ac:dyDescent="0.25">
      <c r="A187" s="112"/>
      <c r="B187" s="135" t="s">
        <v>441</v>
      </c>
      <c r="C187" s="133" t="s">
        <v>65</v>
      </c>
      <c r="D187" s="157">
        <f>'Dados (F)'!$D$67</f>
        <v>4.13</v>
      </c>
      <c r="E187" s="133">
        <f>IF('Dados (F)'!$D$35=1,1,IF('Dados (F)'!$D$35=2,'Dados (F)'!$C$39,1))</f>
        <v>1</v>
      </c>
      <c r="F187" s="157">
        <f>'Quantitativos (A)'!D187*$D187*$E187</f>
        <v>0</v>
      </c>
      <c r="G187" s="157">
        <f>'Quantitativos (A)'!E187*$D187*$E187</f>
        <v>3274.6769999999997</v>
      </c>
      <c r="H187" s="157">
        <f>'Quantitativos (A)'!F187*$D187*$E187</f>
        <v>0</v>
      </c>
      <c r="I187" s="157">
        <f>'Quantitativos (A)'!G187*$D187*$E187</f>
        <v>0</v>
      </c>
      <c r="J187" s="157">
        <f>'Quantitativos (A)'!H187*$D187*$E187</f>
        <v>3274.6769999999997</v>
      </c>
      <c r="K187" s="157">
        <f>'Quantitativos (A)'!I187*$D187*$E187</f>
        <v>0</v>
      </c>
      <c r="L187" s="157">
        <f>'Quantitativos (A)'!J187*$D187*$E187</f>
        <v>0</v>
      </c>
      <c r="M187" s="157">
        <f>'Quantitativos (A)'!K187*$D187*$E187</f>
        <v>0</v>
      </c>
      <c r="N187" s="157">
        <f>'Quantitativos (A)'!L187*$D187*$E187</f>
        <v>0</v>
      </c>
      <c r="O187" s="157">
        <f>'Quantitativos (A)'!M187*$D187*$E187</f>
        <v>0</v>
      </c>
      <c r="P187" s="157">
        <f>'Quantitativos (A)'!N187*$D187*$E187</f>
        <v>0</v>
      </c>
      <c r="Q187" s="157">
        <f>'Quantitativos (A)'!O187*$D187*$E187</f>
        <v>1677.3994999999998</v>
      </c>
      <c r="R187" s="157">
        <f>'Quantitativos (A)'!P187*$D187*$E187</f>
        <v>0</v>
      </c>
      <c r="S187" s="157">
        <f>'Quantitativos (A)'!Q187*$D187*$E187</f>
        <v>0</v>
      </c>
      <c r="T187" s="157">
        <f>'Quantitativos (A)'!R187*$D187*$E187</f>
        <v>1677.3994999999998</v>
      </c>
      <c r="U187" s="157">
        <f>'Quantitativos (A)'!S187*$D187*$E187</f>
        <v>0</v>
      </c>
      <c r="V187" s="157">
        <f>'Quantitativos (A)'!T187*$D187*$E187</f>
        <v>0</v>
      </c>
      <c r="W187" s="157">
        <f>'Quantitativos (A)'!U187*$D187*$E187</f>
        <v>0</v>
      </c>
      <c r="X187" s="157">
        <f>'Quantitativos (A)'!V187*$D187*$E187</f>
        <v>0</v>
      </c>
      <c r="Y187" s="157">
        <f>'Quantitativos (A)'!W187*$D187*$E187</f>
        <v>0</v>
      </c>
      <c r="Z187" s="157">
        <f>'Quantitativos (A)'!X187*$D187*$E187</f>
        <v>0</v>
      </c>
      <c r="AA187" s="157">
        <f>'Quantitativos (A)'!Y187*$D187*$E187</f>
        <v>1677.3994999999998</v>
      </c>
      <c r="AB187" s="157">
        <f>'Quantitativos (A)'!Z187*$D187*$E187</f>
        <v>0</v>
      </c>
      <c r="AC187" s="157">
        <f>'Quantitativos (A)'!AA187*$D187*$E187</f>
        <v>0</v>
      </c>
      <c r="AD187" s="157">
        <f>'Quantitativos (A)'!AB187*$D187*$E187</f>
        <v>1677.3994999999998</v>
      </c>
      <c r="AE187" s="157">
        <f>'Quantitativos (A)'!AC187*$D187*$E187</f>
        <v>0</v>
      </c>
      <c r="AF187" s="157">
        <f>'Quantitativos (A)'!AD187*$D187*$E187</f>
        <v>0</v>
      </c>
      <c r="AG187" s="157">
        <f>'Quantitativos (A)'!AE187*$D187*$E187</f>
        <v>0</v>
      </c>
      <c r="AH187" s="157">
        <f>'Quantitativos (A)'!AF187*$D187*$E187</f>
        <v>0</v>
      </c>
      <c r="AI187" s="158">
        <f>'Quantitativos (A)'!AG187*$D187*$E187</f>
        <v>0</v>
      </c>
      <c r="AJ187" s="22"/>
    </row>
    <row r="188" spans="1:36" ht="25.5" x14ac:dyDescent="0.25">
      <c r="A188" s="112"/>
      <c r="B188" s="129" t="s">
        <v>294</v>
      </c>
      <c r="C188" s="133" t="s">
        <v>65</v>
      </c>
      <c r="D188" s="157">
        <f>'Dados (F)'!$D$64</f>
        <v>296.22000000000003</v>
      </c>
      <c r="E188" s="133">
        <f>IF('Dados (F)'!$D$35=1,1,IF('Dados (F)'!$D$35=2,'Dados (F)'!$C$39,1))</f>
        <v>1</v>
      </c>
      <c r="F188" s="157">
        <f>'Quantitativos (A)'!D188*$D188*$E188</f>
        <v>0</v>
      </c>
      <c r="G188" s="157">
        <f>'Quantitativos (A)'!E188*$D188*$E188</f>
        <v>7011.5274000000009</v>
      </c>
      <c r="H188" s="157">
        <f>'Quantitativos (A)'!F188*$D188*$E188</f>
        <v>0</v>
      </c>
      <c r="I188" s="157">
        <f>'Quantitativos (A)'!G188*$D188*$E188</f>
        <v>0</v>
      </c>
      <c r="J188" s="157">
        <f>'Quantitativos (A)'!H188*$D188*$E188</f>
        <v>7011.5274000000009</v>
      </c>
      <c r="K188" s="157">
        <f>'Quantitativos (A)'!I188*$D188*$E188</f>
        <v>0</v>
      </c>
      <c r="L188" s="157">
        <f>'Quantitativos (A)'!J188*$D188*$E188</f>
        <v>0</v>
      </c>
      <c r="M188" s="157">
        <f>'Quantitativos (A)'!K188*$D188*$E188</f>
        <v>0</v>
      </c>
      <c r="N188" s="157">
        <f>'Quantitativos (A)'!L188*$D188*$E188</f>
        <v>0</v>
      </c>
      <c r="O188" s="157">
        <f>'Quantitativos (A)'!M188*$D188*$E188</f>
        <v>0</v>
      </c>
      <c r="P188" s="157">
        <f>'Quantitativos (A)'!N188*$D188*$E188</f>
        <v>0</v>
      </c>
      <c r="Q188" s="157">
        <f>'Quantitativos (A)'!O188*$D188*$E188</f>
        <v>5818.6494600000005</v>
      </c>
      <c r="R188" s="157">
        <f>'Quantitativos (A)'!P188*$D188*$E188</f>
        <v>0</v>
      </c>
      <c r="S188" s="157">
        <f>'Quantitativos (A)'!Q188*$D188*$E188</f>
        <v>0</v>
      </c>
      <c r="T188" s="157">
        <f>'Quantitativos (A)'!R188*$D188*$E188</f>
        <v>5818.6494600000005</v>
      </c>
      <c r="U188" s="157">
        <f>'Quantitativos (A)'!S188*$D188*$E188</f>
        <v>0</v>
      </c>
      <c r="V188" s="157">
        <f>'Quantitativos (A)'!T188*$D188*$E188</f>
        <v>0</v>
      </c>
      <c r="W188" s="157">
        <f>'Quantitativos (A)'!U188*$D188*$E188</f>
        <v>0</v>
      </c>
      <c r="X188" s="157">
        <f>'Quantitativos (A)'!V188*$D188*$E188</f>
        <v>0</v>
      </c>
      <c r="Y188" s="157">
        <f>'Quantitativos (A)'!W188*$D188*$E188</f>
        <v>0</v>
      </c>
      <c r="Z188" s="157">
        <f>'Quantitativos (A)'!X188*$D188*$E188</f>
        <v>0</v>
      </c>
      <c r="AA188" s="157">
        <f>'Quantitativos (A)'!Y188*$D188*$E188</f>
        <v>5819.2419</v>
      </c>
      <c r="AB188" s="157">
        <f>'Quantitativos (A)'!Z188*$D188*$E188</f>
        <v>0</v>
      </c>
      <c r="AC188" s="157">
        <f>'Quantitativos (A)'!AA188*$D188*$E188</f>
        <v>0</v>
      </c>
      <c r="AD188" s="157">
        <f>'Quantitativos (A)'!AB188*$D188*$E188</f>
        <v>5819.2419</v>
      </c>
      <c r="AE188" s="157">
        <f>'Quantitativos (A)'!AC188*$D188*$E188</f>
        <v>0</v>
      </c>
      <c r="AF188" s="157">
        <f>'Quantitativos (A)'!AD188*$D188*$E188</f>
        <v>0</v>
      </c>
      <c r="AG188" s="157">
        <f>'Quantitativos (A)'!AE188*$D188*$E188</f>
        <v>0</v>
      </c>
      <c r="AH188" s="157">
        <f>'Quantitativos (A)'!AF188*$D188*$E188</f>
        <v>0</v>
      </c>
      <c r="AI188" s="158">
        <f>'Quantitativos (A)'!AG188*$D188*$E188</f>
        <v>0</v>
      </c>
      <c r="AJ188" s="22"/>
    </row>
    <row r="189" spans="1:36" x14ac:dyDescent="0.25">
      <c r="A189" s="112"/>
      <c r="B189" s="129" t="s">
        <v>290</v>
      </c>
      <c r="C189" s="133" t="s">
        <v>63</v>
      </c>
      <c r="D189" s="157">
        <f>'Dados (F)'!$D$65</f>
        <v>6.32</v>
      </c>
      <c r="E189" s="133">
        <f>IF('Dados (F)'!$D$35=1,1,IF('Dados (F)'!$D$35=2,'Dados (F)'!$C$39,1))</f>
        <v>1</v>
      </c>
      <c r="F189" s="157">
        <f>'Quantitativos (A)'!D189*$D189*$E189</f>
        <v>0</v>
      </c>
      <c r="G189" s="157">
        <f>'Quantitativos (A)'!E189*$D189*$E189</f>
        <v>59.825120000000013</v>
      </c>
      <c r="H189" s="157">
        <f>'Quantitativos (A)'!F189*$D189*$E189</f>
        <v>0</v>
      </c>
      <c r="I189" s="157">
        <f>'Quantitativos (A)'!G189*$D189*$E189</f>
        <v>0</v>
      </c>
      <c r="J189" s="157">
        <f>'Quantitativos (A)'!H189*$D189*$E189</f>
        <v>59.825120000000013</v>
      </c>
      <c r="K189" s="157">
        <f>'Quantitativos (A)'!I189*$D189*$E189</f>
        <v>0</v>
      </c>
      <c r="L189" s="157">
        <f>'Quantitativos (A)'!J189*$D189*$E189</f>
        <v>0</v>
      </c>
      <c r="M189" s="157">
        <f>'Quantitativos (A)'!K189*$D189*$E189</f>
        <v>0</v>
      </c>
      <c r="N189" s="157">
        <f>'Quantitativos (A)'!L189*$D189*$E189</f>
        <v>0</v>
      </c>
      <c r="O189" s="157">
        <f>'Quantitativos (A)'!M189*$D189*$E189</f>
        <v>0</v>
      </c>
      <c r="P189" s="157">
        <f>'Quantitativos (A)'!N189*$D189*$E189</f>
        <v>0</v>
      </c>
      <c r="Q189" s="157">
        <f>'Quantitativos (A)'!O189*$D189*$E189</f>
        <v>49.660664000000004</v>
      </c>
      <c r="R189" s="157">
        <f>'Quantitativos (A)'!P189*$D189*$E189</f>
        <v>0</v>
      </c>
      <c r="S189" s="157">
        <f>'Quantitativos (A)'!Q189*$D189*$E189</f>
        <v>0</v>
      </c>
      <c r="T189" s="157">
        <f>'Quantitativos (A)'!R189*$D189*$E189</f>
        <v>49.660664000000004</v>
      </c>
      <c r="U189" s="157">
        <f>'Quantitativos (A)'!S189*$D189*$E189</f>
        <v>0</v>
      </c>
      <c r="V189" s="157">
        <f>'Quantitativos (A)'!T189*$D189*$E189</f>
        <v>0</v>
      </c>
      <c r="W189" s="157">
        <f>'Quantitativos (A)'!U189*$D189*$E189</f>
        <v>0</v>
      </c>
      <c r="X189" s="157">
        <f>'Quantitativos (A)'!V189*$D189*$E189</f>
        <v>0</v>
      </c>
      <c r="Y189" s="157">
        <f>'Quantitativos (A)'!W189*$D189*$E189</f>
        <v>0</v>
      </c>
      <c r="Z189" s="157">
        <f>'Quantitativos (A)'!X189*$D189*$E189</f>
        <v>0</v>
      </c>
      <c r="AA189" s="157">
        <f>'Quantitativos (A)'!Y189*$D189*$E189</f>
        <v>49.662560000000006</v>
      </c>
      <c r="AB189" s="157">
        <f>'Quantitativos (A)'!Z189*$D189*$E189</f>
        <v>0</v>
      </c>
      <c r="AC189" s="157">
        <f>'Quantitativos (A)'!AA189*$D189*$E189</f>
        <v>0</v>
      </c>
      <c r="AD189" s="157">
        <f>'Quantitativos (A)'!AB189*$D189*$E189</f>
        <v>49.662560000000006</v>
      </c>
      <c r="AE189" s="157">
        <f>'Quantitativos (A)'!AC189*$D189*$E189</f>
        <v>0</v>
      </c>
      <c r="AF189" s="157">
        <f>'Quantitativos (A)'!AD189*$D189*$E189</f>
        <v>0</v>
      </c>
      <c r="AG189" s="157">
        <f>'Quantitativos (A)'!AE189*$D189*$E189</f>
        <v>0</v>
      </c>
      <c r="AH189" s="157">
        <f>'Quantitativos (A)'!AF189*$D189*$E189</f>
        <v>0</v>
      </c>
      <c r="AI189" s="158">
        <f>'Quantitativos (A)'!AG189*$D189*$E189</f>
        <v>0</v>
      </c>
      <c r="AJ189" s="22"/>
    </row>
    <row r="190" spans="1:36" ht="25.5" x14ac:dyDescent="0.25">
      <c r="A190" s="112"/>
      <c r="B190" s="129" t="s">
        <v>295</v>
      </c>
      <c r="C190" s="133" t="s">
        <v>57</v>
      </c>
      <c r="D190" s="157">
        <f>'Dados (F)'!$D$110</f>
        <v>30.97</v>
      </c>
      <c r="E190" s="133">
        <f>IF('Dados (F)'!$D$35=1,1,IF('Dados (F)'!$D$35=2,'Dados (F)'!$C$39,1))</f>
        <v>1</v>
      </c>
      <c r="F190" s="157">
        <f>'Quantitativos (A)'!D190*$D190*$E190</f>
        <v>0</v>
      </c>
      <c r="G190" s="157">
        <f>'Quantitativos (A)'!E190*$D190*$E190</f>
        <v>5179.1440699999994</v>
      </c>
      <c r="H190" s="157">
        <f>'Quantitativos (A)'!F190*$D190*$E190</f>
        <v>0</v>
      </c>
      <c r="I190" s="157">
        <f>'Quantitativos (A)'!G190*$D190*$E190</f>
        <v>0</v>
      </c>
      <c r="J190" s="157">
        <f>'Quantitativos (A)'!H190*$D190*$E190</f>
        <v>5179.1440699999994</v>
      </c>
      <c r="K190" s="157">
        <f>'Quantitativos (A)'!I190*$D190*$E190</f>
        <v>0</v>
      </c>
      <c r="L190" s="157">
        <f>'Quantitativos (A)'!J190*$D190*$E190</f>
        <v>0</v>
      </c>
      <c r="M190" s="157">
        <f>'Quantitativos (A)'!K190*$D190*$E190</f>
        <v>0</v>
      </c>
      <c r="N190" s="157">
        <f>'Quantitativos (A)'!L190*$D190*$E190</f>
        <v>0</v>
      </c>
      <c r="O190" s="157">
        <f>'Quantitativos (A)'!M190*$D190*$E190</f>
        <v>0</v>
      </c>
      <c r="P190" s="157">
        <f>'Quantitativos (A)'!N190*$D190*$E190</f>
        <v>0</v>
      </c>
      <c r="Q190" s="157">
        <f>'Quantitativos (A)'!O190*$D190*$E190</f>
        <v>4304.6441800000002</v>
      </c>
      <c r="R190" s="157">
        <f>'Quantitativos (A)'!P190*$D190*$E190</f>
        <v>0</v>
      </c>
      <c r="S190" s="157">
        <f>'Quantitativos (A)'!Q190*$D190*$E190</f>
        <v>0</v>
      </c>
      <c r="T190" s="157">
        <f>'Quantitativos (A)'!R190*$D190*$E190</f>
        <v>4304.6441800000002</v>
      </c>
      <c r="U190" s="157">
        <f>'Quantitativos (A)'!S190*$D190*$E190</f>
        <v>0</v>
      </c>
      <c r="V190" s="157">
        <f>'Quantitativos (A)'!T190*$D190*$E190</f>
        <v>0</v>
      </c>
      <c r="W190" s="157">
        <f>'Quantitativos (A)'!U190*$D190*$E190</f>
        <v>0</v>
      </c>
      <c r="X190" s="157">
        <f>'Quantitativos (A)'!V190*$D190*$E190</f>
        <v>0</v>
      </c>
      <c r="Y190" s="157">
        <f>'Quantitativos (A)'!W190*$D190*$E190</f>
        <v>0</v>
      </c>
      <c r="Z190" s="157">
        <f>'Quantitativos (A)'!X190*$D190*$E190</f>
        <v>0</v>
      </c>
      <c r="AA190" s="157">
        <f>'Quantitativos (A)'!Y190*$D190*$E190</f>
        <v>4305.6971599999997</v>
      </c>
      <c r="AB190" s="157">
        <f>'Quantitativos (A)'!Z190*$D190*$E190</f>
        <v>0</v>
      </c>
      <c r="AC190" s="157">
        <f>'Quantitativos (A)'!AA190*$D190*$E190</f>
        <v>0</v>
      </c>
      <c r="AD190" s="157">
        <f>'Quantitativos (A)'!AB190*$D190*$E190</f>
        <v>4305.6971599999997</v>
      </c>
      <c r="AE190" s="157">
        <f>'Quantitativos (A)'!AC190*$D190*$E190</f>
        <v>0</v>
      </c>
      <c r="AF190" s="157">
        <f>'Quantitativos (A)'!AD190*$D190*$E190</f>
        <v>0</v>
      </c>
      <c r="AG190" s="157">
        <f>'Quantitativos (A)'!AE190*$D190*$E190</f>
        <v>0</v>
      </c>
      <c r="AH190" s="157">
        <f>'Quantitativos (A)'!AF190*$D190*$E190</f>
        <v>0</v>
      </c>
      <c r="AI190" s="158">
        <f>'Quantitativos (A)'!AG190*$D190*$E190</f>
        <v>0</v>
      </c>
      <c r="AJ190" s="22"/>
    </row>
    <row r="191" spans="1:36" x14ac:dyDescent="0.25">
      <c r="A191" s="112"/>
      <c r="B191" s="27" t="s">
        <v>535</v>
      </c>
      <c r="C191" s="133" t="s">
        <v>57</v>
      </c>
      <c r="D191" s="157">
        <f>'Dados (F)'!$D$92</f>
        <v>363.1</v>
      </c>
      <c r="E191" s="133">
        <f>IF('Dados (F)'!$D$35=1,1,IF('Dados (F)'!$D$35=2,'Dados (F)'!$C$39,1))</f>
        <v>1</v>
      </c>
      <c r="F191" s="157">
        <f>'Quantitativos (A)'!D191*$D191*$E191</f>
        <v>0</v>
      </c>
      <c r="G191" s="157">
        <f>'Quantitativos (A)'!E191*$D191*$E191</f>
        <v>10676.229300000001</v>
      </c>
      <c r="H191" s="157">
        <f>'Quantitativos (A)'!F191*$D191*$E191</f>
        <v>0</v>
      </c>
      <c r="I191" s="157">
        <f>'Quantitativos (A)'!G191*$D191*$E191</f>
        <v>0</v>
      </c>
      <c r="J191" s="157">
        <f>'Quantitativos (A)'!H191*$D191*$E191</f>
        <v>10676.229300000001</v>
      </c>
      <c r="K191" s="157">
        <f>'Quantitativos (A)'!I191*$D191*$E191</f>
        <v>0</v>
      </c>
      <c r="L191" s="157">
        <f>'Quantitativos (A)'!J191*$D191*$E191</f>
        <v>0</v>
      </c>
      <c r="M191" s="157">
        <f>'Quantitativos (A)'!K191*$D191*$E191</f>
        <v>0</v>
      </c>
      <c r="N191" s="157">
        <f>'Quantitativos (A)'!L191*$D191*$E191</f>
        <v>0</v>
      </c>
      <c r="O191" s="157">
        <f>'Quantitativos (A)'!M191*$D191*$E191</f>
        <v>0</v>
      </c>
      <c r="P191" s="157">
        <f>'Quantitativos (A)'!N191*$D191*$E191</f>
        <v>0</v>
      </c>
      <c r="Q191" s="157">
        <f>'Quantitativos (A)'!O191*$D191*$E191</f>
        <v>9251.7880000000005</v>
      </c>
      <c r="R191" s="157">
        <f>'Quantitativos (A)'!P191*$D191*$E191</f>
        <v>0</v>
      </c>
      <c r="S191" s="157">
        <f>'Quantitativos (A)'!Q191*$D191*$E191</f>
        <v>0</v>
      </c>
      <c r="T191" s="157">
        <f>'Quantitativos (A)'!R191*$D191*$E191</f>
        <v>9251.7880000000005</v>
      </c>
      <c r="U191" s="157">
        <f>'Quantitativos (A)'!S191*$D191*$E191</f>
        <v>0</v>
      </c>
      <c r="V191" s="157">
        <f>'Quantitativos (A)'!T191*$D191*$E191</f>
        <v>0</v>
      </c>
      <c r="W191" s="157">
        <f>'Quantitativos (A)'!U191*$D191*$E191</f>
        <v>0</v>
      </c>
      <c r="X191" s="157">
        <f>'Quantitativos (A)'!V191*$D191*$E191</f>
        <v>0</v>
      </c>
      <c r="Y191" s="157">
        <f>'Quantitativos (A)'!W191*$D191*$E191</f>
        <v>0</v>
      </c>
      <c r="Z191" s="157">
        <f>'Quantitativos (A)'!X191*$D191*$E191</f>
        <v>0</v>
      </c>
      <c r="AA191" s="157">
        <f>'Quantitativos (A)'!Y191*$D191*$E191</f>
        <v>9251.7880000000005</v>
      </c>
      <c r="AB191" s="157">
        <f>'Quantitativos (A)'!Z191*$D191*$E191</f>
        <v>0</v>
      </c>
      <c r="AC191" s="157">
        <f>'Quantitativos (A)'!AA191*$D191*$E191</f>
        <v>0</v>
      </c>
      <c r="AD191" s="157">
        <f>'Quantitativos (A)'!AB191*$D191*$E191</f>
        <v>9251.7880000000005</v>
      </c>
      <c r="AE191" s="157">
        <f>'Quantitativos (A)'!AC191*$D191*$E191</f>
        <v>0</v>
      </c>
      <c r="AF191" s="157">
        <f>'Quantitativos (A)'!AD191*$D191*$E191</f>
        <v>0</v>
      </c>
      <c r="AG191" s="157">
        <f>'Quantitativos (A)'!AE191*$D191*$E191</f>
        <v>0</v>
      </c>
      <c r="AH191" s="157">
        <f>'Quantitativos (A)'!AF191*$D191*$E191</f>
        <v>0</v>
      </c>
      <c r="AI191" s="158">
        <f>'Quantitativos (A)'!AG191*$D191*$E191</f>
        <v>0</v>
      </c>
      <c r="AJ191" s="22"/>
    </row>
    <row r="192" spans="1:36" ht="25.5" x14ac:dyDescent="0.25">
      <c r="A192" s="112"/>
      <c r="B192" s="135" t="s">
        <v>461</v>
      </c>
      <c r="C192" s="133" t="s">
        <v>64</v>
      </c>
      <c r="D192" s="157">
        <f>'Dados (F)'!$D$120</f>
        <v>42.54</v>
      </c>
      <c r="E192" s="133">
        <f>IF('Dados (F)'!$D$35=1,1,IF('Dados (F)'!$D$35=2,'Dados (F)'!$C$39,1))</f>
        <v>1</v>
      </c>
      <c r="F192" s="157">
        <f>'Quantitativos (A)'!D192*$D192*$E192</f>
        <v>0</v>
      </c>
      <c r="G192" s="157">
        <f>'Quantitativos (A)'!E192*$D192*$E192</f>
        <v>816.89562000000012</v>
      </c>
      <c r="H192" s="157">
        <f>'Quantitativos (A)'!F192*$D192*$E192</f>
        <v>0</v>
      </c>
      <c r="I192" s="157">
        <f>'Quantitativos (A)'!G192*$D192*$E192</f>
        <v>0</v>
      </c>
      <c r="J192" s="157">
        <f>'Quantitativos (A)'!H192*$D192*$E192</f>
        <v>816.89562000000012</v>
      </c>
      <c r="K192" s="157">
        <f>'Quantitativos (A)'!I192*$D192*$E192</f>
        <v>0</v>
      </c>
      <c r="L192" s="157">
        <f>'Quantitativos (A)'!J192*$D192*$E192</f>
        <v>0</v>
      </c>
      <c r="M192" s="157">
        <f>'Quantitativos (A)'!K192*$D192*$E192</f>
        <v>0</v>
      </c>
      <c r="N192" s="157">
        <f>'Quantitativos (A)'!L192*$D192*$E192</f>
        <v>0</v>
      </c>
      <c r="O192" s="157">
        <f>'Quantitativos (A)'!M192*$D192*$E192</f>
        <v>0</v>
      </c>
      <c r="P192" s="157">
        <f>'Quantitativos (A)'!N192*$D192*$E192</f>
        <v>0</v>
      </c>
      <c r="Q192" s="157">
        <f>'Quantitativos (A)'!O192*$D192*$E192</f>
        <v>612.70362</v>
      </c>
      <c r="R192" s="157">
        <f>'Quantitativos (A)'!P192*$D192*$E192</f>
        <v>0</v>
      </c>
      <c r="S192" s="157">
        <f>'Quantitativos (A)'!Q192*$D192*$E192</f>
        <v>0</v>
      </c>
      <c r="T192" s="157">
        <f>'Quantitativos (A)'!R192*$D192*$E192</f>
        <v>612.70362</v>
      </c>
      <c r="U192" s="157">
        <f>'Quantitativos (A)'!S192*$D192*$E192</f>
        <v>0</v>
      </c>
      <c r="V192" s="157">
        <f>'Quantitativos (A)'!T192*$D192*$E192</f>
        <v>0</v>
      </c>
      <c r="W192" s="157">
        <f>'Quantitativos (A)'!U192*$D192*$E192</f>
        <v>0</v>
      </c>
      <c r="X192" s="157">
        <f>'Quantitativos (A)'!V192*$D192*$E192</f>
        <v>0</v>
      </c>
      <c r="Y192" s="157">
        <f>'Quantitativos (A)'!W192*$D192*$E192</f>
        <v>0</v>
      </c>
      <c r="Z192" s="157">
        <f>'Quantitativos (A)'!X192*$D192*$E192</f>
        <v>0</v>
      </c>
      <c r="AA192" s="157">
        <f>'Quantitativos (A)'!Y192*$D192*$E192</f>
        <v>612.70362</v>
      </c>
      <c r="AB192" s="157">
        <f>'Quantitativos (A)'!Z192*$D192*$E192</f>
        <v>0</v>
      </c>
      <c r="AC192" s="157">
        <f>'Quantitativos (A)'!AA192*$D192*$E192</f>
        <v>0</v>
      </c>
      <c r="AD192" s="157">
        <f>'Quantitativos (A)'!AB192*$D192*$E192</f>
        <v>612.70362</v>
      </c>
      <c r="AE192" s="157">
        <f>'Quantitativos (A)'!AC192*$D192*$E192</f>
        <v>0</v>
      </c>
      <c r="AF192" s="157">
        <f>'Quantitativos (A)'!AD192*$D192*$E192</f>
        <v>0</v>
      </c>
      <c r="AG192" s="157">
        <f>'Quantitativos (A)'!AE192*$D192*$E192</f>
        <v>0</v>
      </c>
      <c r="AH192" s="157">
        <f>'Quantitativos (A)'!AF192*$D192*$E192</f>
        <v>0</v>
      </c>
      <c r="AI192" s="158">
        <f>'Quantitativos (A)'!AG192*$D192*$E192</f>
        <v>0</v>
      </c>
      <c r="AJ192" s="22"/>
    </row>
    <row r="193" spans="1:36" ht="25.5" x14ac:dyDescent="0.25">
      <c r="A193" s="112"/>
      <c r="B193" s="134" t="s">
        <v>73</v>
      </c>
      <c r="C193" s="133" t="s">
        <v>57</v>
      </c>
      <c r="D193" s="157">
        <f>'Dados (F)'!$D$117</f>
        <v>15.47</v>
      </c>
      <c r="E193" s="133">
        <f>IF('Dados (F)'!$D$35=1,1,IF('Dados (F)'!$D$35=2,'Dados (F)'!$C$39,1))</f>
        <v>1</v>
      </c>
      <c r="F193" s="157">
        <f>'Quantitativos (A)'!D193*$D193*$E193</f>
        <v>0</v>
      </c>
      <c r="G193" s="157">
        <f>'Quantitativos (A)'!E193*$D193*$E193</f>
        <v>10278.113300000001</v>
      </c>
      <c r="H193" s="157">
        <f>'Quantitativos (A)'!F193*$D193*$E193</f>
        <v>0</v>
      </c>
      <c r="I193" s="157">
        <f>'Quantitativos (A)'!G193*$D193*$E193</f>
        <v>0</v>
      </c>
      <c r="J193" s="157">
        <f>'Quantitativos (A)'!H193*$D193*$E193</f>
        <v>10278.113300000001</v>
      </c>
      <c r="K193" s="157">
        <f>'Quantitativos (A)'!I193*$D193*$E193</f>
        <v>0</v>
      </c>
      <c r="L193" s="157">
        <f>'Quantitativos (A)'!J193*$D193*$E193</f>
        <v>0</v>
      </c>
      <c r="M193" s="157">
        <f>'Quantitativos (A)'!K193*$D193*$E193</f>
        <v>0</v>
      </c>
      <c r="N193" s="157">
        <f>'Quantitativos (A)'!L193*$D193*$E193</f>
        <v>0</v>
      </c>
      <c r="O193" s="157">
        <f>'Quantitativos (A)'!M193*$D193*$E193</f>
        <v>0</v>
      </c>
      <c r="P193" s="157">
        <f>'Quantitativos (A)'!N193*$D193*$E193</f>
        <v>0</v>
      </c>
      <c r="Q193" s="157">
        <f>'Quantitativos (A)'!O193*$D193*$E193</f>
        <v>6608.6293000000014</v>
      </c>
      <c r="R193" s="157">
        <f>'Quantitativos (A)'!P193*$D193*$E193</f>
        <v>0</v>
      </c>
      <c r="S193" s="157">
        <f>'Quantitativos (A)'!Q193*$D193*$E193</f>
        <v>0</v>
      </c>
      <c r="T193" s="157">
        <f>'Quantitativos (A)'!R193*$D193*$E193</f>
        <v>6608.6293000000014</v>
      </c>
      <c r="U193" s="157">
        <f>'Quantitativos (A)'!S193*$D193*$E193</f>
        <v>0</v>
      </c>
      <c r="V193" s="157">
        <f>'Quantitativos (A)'!T193*$D193*$E193</f>
        <v>0</v>
      </c>
      <c r="W193" s="157">
        <f>'Quantitativos (A)'!U193*$D193*$E193</f>
        <v>0</v>
      </c>
      <c r="X193" s="157">
        <f>'Quantitativos (A)'!V193*$D193*$E193</f>
        <v>0</v>
      </c>
      <c r="Y193" s="157">
        <f>'Quantitativos (A)'!W193*$D193*$E193</f>
        <v>0</v>
      </c>
      <c r="Z193" s="157">
        <f>'Quantitativos (A)'!X193*$D193*$E193</f>
        <v>0</v>
      </c>
      <c r="AA193" s="157">
        <f>'Quantitativos (A)'!Y193*$D193*$E193</f>
        <v>6608.6293000000014</v>
      </c>
      <c r="AB193" s="157">
        <f>'Quantitativos (A)'!Z193*$D193*$E193</f>
        <v>0</v>
      </c>
      <c r="AC193" s="157">
        <f>'Quantitativos (A)'!AA193*$D193*$E193</f>
        <v>0</v>
      </c>
      <c r="AD193" s="157">
        <f>'Quantitativos (A)'!AB193*$D193*$E193</f>
        <v>6608.6293000000014</v>
      </c>
      <c r="AE193" s="157">
        <f>'Quantitativos (A)'!AC193*$D193*$E193</f>
        <v>0</v>
      </c>
      <c r="AF193" s="157">
        <f>'Quantitativos (A)'!AD193*$D193*$E193</f>
        <v>0</v>
      </c>
      <c r="AG193" s="157">
        <f>'Quantitativos (A)'!AE193*$D193*$E193</f>
        <v>0</v>
      </c>
      <c r="AH193" s="157">
        <f>'Quantitativos (A)'!AF193*$D193*$E193</f>
        <v>0</v>
      </c>
      <c r="AI193" s="158">
        <f>'Quantitativos (A)'!AG193*$D193*$E193</f>
        <v>0</v>
      </c>
      <c r="AJ193" s="22"/>
    </row>
    <row r="194" spans="1:36" x14ac:dyDescent="0.25">
      <c r="A194" s="112"/>
      <c r="B194" s="120" t="s">
        <v>551</v>
      </c>
      <c r="C194" s="121"/>
      <c r="D194" s="155"/>
      <c r="E194" s="156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60"/>
      <c r="AJ194" s="22"/>
    </row>
    <row r="195" spans="1:36" ht="51" x14ac:dyDescent="0.25">
      <c r="A195" s="112"/>
      <c r="B195" s="27" t="s">
        <v>442</v>
      </c>
      <c r="C195" s="133" t="s">
        <v>65</v>
      </c>
      <c r="D195" s="157">
        <f>'Dados (F)'!$D$68</f>
        <v>4.03</v>
      </c>
      <c r="E195" s="133">
        <f>IF('Dados (F)'!$D$35=1,1,IF('Dados (F)'!$D$35=2,'Dados (F)'!$C$39,1))</f>
        <v>1</v>
      </c>
      <c r="F195" s="157">
        <f>'Quantitativos (A)'!D195*$D195*$E195</f>
        <v>0</v>
      </c>
      <c r="G195" s="157">
        <f>'Quantitativos (A)'!E195*$D195*$E195</f>
        <v>0</v>
      </c>
      <c r="H195" s="157">
        <f>'Quantitativos (A)'!F195*$D195*$E195</f>
        <v>350.71074999999996</v>
      </c>
      <c r="I195" s="157">
        <f>'Quantitativos (A)'!G195*$D195*$E195</f>
        <v>0</v>
      </c>
      <c r="J195" s="157">
        <f>'Quantitativos (A)'!H195*$D195*$E195</f>
        <v>0</v>
      </c>
      <c r="K195" s="157">
        <f>'Quantitativos (A)'!I195*$D195*$E195</f>
        <v>350.71074999999996</v>
      </c>
      <c r="L195" s="157">
        <f>'Quantitativos (A)'!J195*$D195*$E195</f>
        <v>0</v>
      </c>
      <c r="M195" s="157">
        <f>'Quantitativos (A)'!K195*$D195*$E195</f>
        <v>450.07443000000006</v>
      </c>
      <c r="N195" s="157">
        <f>'Quantitativos (A)'!L195*$D195*$E195</f>
        <v>0</v>
      </c>
      <c r="O195" s="157">
        <f>'Quantitativos (A)'!M195*$D195*$E195</f>
        <v>450.07443000000006</v>
      </c>
      <c r="P195" s="157">
        <f>'Quantitativos (A)'!N195*$D195*$E195</f>
        <v>0</v>
      </c>
      <c r="Q195" s="157">
        <f>'Quantitativos (A)'!O195*$D195*$E195</f>
        <v>0</v>
      </c>
      <c r="R195" s="157">
        <f>'Quantitativos (A)'!P195*$D195*$E195</f>
        <v>326.13983999999999</v>
      </c>
      <c r="S195" s="157">
        <f>'Quantitativos (A)'!Q195*$D195*$E195</f>
        <v>0</v>
      </c>
      <c r="T195" s="157">
        <f>'Quantitativos (A)'!R195*$D195*$E195</f>
        <v>0</v>
      </c>
      <c r="U195" s="157">
        <f>'Quantitativos (A)'!S195*$D195*$E195</f>
        <v>326.13983999999999</v>
      </c>
      <c r="V195" s="157">
        <f>'Quantitativos (A)'!T195*$D195*$E195</f>
        <v>0</v>
      </c>
      <c r="W195" s="157">
        <f>'Quantitativos (A)'!U195*$D195*$E195</f>
        <v>420.37333000000007</v>
      </c>
      <c r="X195" s="157">
        <f>'Quantitativos (A)'!V195*$D195*$E195</f>
        <v>0</v>
      </c>
      <c r="Y195" s="157">
        <f>'Quantitativos (A)'!W195*$D195*$E195</f>
        <v>420.37333000000007</v>
      </c>
      <c r="Z195" s="157">
        <f>'Quantitativos (A)'!X195*$D195*$E195</f>
        <v>0</v>
      </c>
      <c r="AA195" s="157">
        <f>'Quantitativos (A)'!Y195*$D195*$E195</f>
        <v>0</v>
      </c>
      <c r="AB195" s="157">
        <f>'Quantitativos (A)'!Z195*$D195*$E195</f>
        <v>269.81333599999999</v>
      </c>
      <c r="AC195" s="157">
        <f>'Quantitativos (A)'!AA195*$D195*$E195</f>
        <v>0</v>
      </c>
      <c r="AD195" s="157">
        <f>'Quantitativos (A)'!AB195*$D195*$E195</f>
        <v>0</v>
      </c>
      <c r="AE195" s="157">
        <f>'Quantitativos (A)'!AC195*$D195*$E195</f>
        <v>269.81333599999999</v>
      </c>
      <c r="AF195" s="157">
        <f>'Quantitativos (A)'!AD195*$D195*$E195</f>
        <v>0</v>
      </c>
      <c r="AG195" s="157">
        <f>'Quantitativos (A)'!AE195*$D195*$E195</f>
        <v>353.54787000000005</v>
      </c>
      <c r="AH195" s="157">
        <f>'Quantitativos (A)'!AF195*$D195*$E195</f>
        <v>0</v>
      </c>
      <c r="AI195" s="158">
        <f>'Quantitativos (A)'!AG195*$D195*$E195</f>
        <v>353.54787000000005</v>
      </c>
      <c r="AJ195" s="22"/>
    </row>
    <row r="196" spans="1:36" ht="25.5" x14ac:dyDescent="0.25">
      <c r="A196" s="112"/>
      <c r="B196" s="27" t="s">
        <v>294</v>
      </c>
      <c r="C196" s="133" t="s">
        <v>65</v>
      </c>
      <c r="D196" s="157">
        <f>'Dados (F)'!$D$64</f>
        <v>296.22000000000003</v>
      </c>
      <c r="E196" s="133">
        <f>IF('Dados (F)'!$D$35=1,1,IF('Dados (F)'!$D$35=2,'Dados (F)'!$C$39,1))</f>
        <v>1</v>
      </c>
      <c r="F196" s="157">
        <f>'Quantitativos (A)'!D196*$D196*$E196</f>
        <v>0</v>
      </c>
      <c r="G196" s="157">
        <f>'Quantitativos (A)'!E196*$D196*$E196</f>
        <v>0</v>
      </c>
      <c r="H196" s="157">
        <f>'Quantitativos (A)'!F196*$D196*$E196</f>
        <v>903.26364599999999</v>
      </c>
      <c r="I196" s="157">
        <f>'Quantitativos (A)'!G196*$D196*$E196</f>
        <v>0</v>
      </c>
      <c r="J196" s="157">
        <f>'Quantitativos (A)'!H196*$D196*$E196</f>
        <v>0</v>
      </c>
      <c r="K196" s="157">
        <f>'Quantitativos (A)'!I196*$D196*$E196</f>
        <v>903.26364599999999</v>
      </c>
      <c r="L196" s="157">
        <f>'Quantitativos (A)'!J196*$D196*$E196</f>
        <v>0</v>
      </c>
      <c r="M196" s="157">
        <f>'Quantitativos (A)'!K196*$D196*$E196</f>
        <v>7612.2615600000008</v>
      </c>
      <c r="N196" s="157">
        <f>'Quantitativos (A)'!L196*$D196*$E196</f>
        <v>0</v>
      </c>
      <c r="O196" s="157">
        <f>'Quantitativos (A)'!M196*$D196*$E196</f>
        <v>7612.2615600000008</v>
      </c>
      <c r="P196" s="157">
        <f>'Quantitativos (A)'!N196*$D196*$E196</f>
        <v>0</v>
      </c>
      <c r="Q196" s="157">
        <f>'Quantitativos (A)'!O196*$D196*$E196</f>
        <v>0</v>
      </c>
      <c r="R196" s="157">
        <f>'Quantitativos (A)'!P196*$D196*$E196</f>
        <v>904.62625800000012</v>
      </c>
      <c r="S196" s="157">
        <f>'Quantitativos (A)'!Q196*$D196*$E196</f>
        <v>0</v>
      </c>
      <c r="T196" s="157">
        <f>'Quantitativos (A)'!R196*$D196*$E196</f>
        <v>0</v>
      </c>
      <c r="U196" s="157">
        <f>'Quantitativos (A)'!S196*$D196*$E196</f>
        <v>904.62625800000012</v>
      </c>
      <c r="V196" s="157">
        <f>'Quantitativos (A)'!T196*$D196*$E196</f>
        <v>0</v>
      </c>
      <c r="W196" s="157">
        <f>'Quantitativos (A)'!U196*$D196*$E196</f>
        <v>7239.91302</v>
      </c>
      <c r="X196" s="157">
        <f>'Quantitativos (A)'!V196*$D196*$E196</f>
        <v>0</v>
      </c>
      <c r="Y196" s="157">
        <f>'Quantitativos (A)'!W196*$D196*$E196</f>
        <v>7239.91302</v>
      </c>
      <c r="Z196" s="157">
        <f>'Quantitativos (A)'!X196*$D196*$E196</f>
        <v>0</v>
      </c>
      <c r="AA196" s="157">
        <f>'Quantitativos (A)'!Y196*$D196*$E196</f>
        <v>0</v>
      </c>
      <c r="AB196" s="157">
        <f>'Quantitativos (A)'!Z196*$D196*$E196</f>
        <v>798.283278</v>
      </c>
      <c r="AC196" s="157">
        <f>'Quantitativos (A)'!AA196*$D196*$E196</f>
        <v>0</v>
      </c>
      <c r="AD196" s="157">
        <f>'Quantitativos (A)'!AB196*$D196*$E196</f>
        <v>0</v>
      </c>
      <c r="AE196" s="157">
        <f>'Quantitativos (A)'!AC196*$D196*$E196</f>
        <v>798.283278</v>
      </c>
      <c r="AF196" s="157">
        <f>'Quantitativos (A)'!AD196*$D196*$E196</f>
        <v>0</v>
      </c>
      <c r="AG196" s="157">
        <f>'Quantitativos (A)'!AE196*$D196*$E196</f>
        <v>6447.5245199999999</v>
      </c>
      <c r="AH196" s="157">
        <f>'Quantitativos (A)'!AF196*$D196*$E196</f>
        <v>0</v>
      </c>
      <c r="AI196" s="158">
        <f>'Quantitativos (A)'!AG196*$D196*$E196</f>
        <v>6447.5245199999999</v>
      </c>
      <c r="AJ196" s="22"/>
    </row>
    <row r="197" spans="1:36" x14ac:dyDescent="0.25">
      <c r="A197" s="112"/>
      <c r="B197" s="27" t="s">
        <v>290</v>
      </c>
      <c r="C197" s="133" t="s">
        <v>63</v>
      </c>
      <c r="D197" s="157">
        <f>'Dados (F)'!$D$65</f>
        <v>6.32</v>
      </c>
      <c r="E197" s="133">
        <f>IF('Dados (F)'!$D$35=1,1,IF('Dados (F)'!$D$35=2,'Dados (F)'!$C$39,1))</f>
        <v>1</v>
      </c>
      <c r="F197" s="157">
        <f>'Quantitativos (A)'!D197*$D197*$E197</f>
        <v>0</v>
      </c>
      <c r="G197" s="157">
        <f>'Quantitativos (A)'!E197*$D197*$E197</f>
        <v>0</v>
      </c>
      <c r="H197" s="157">
        <f>'Quantitativos (A)'!F197*$D197*$E197</f>
        <v>7.7464240000000002</v>
      </c>
      <c r="I197" s="157">
        <f>'Quantitativos (A)'!G197*$D197*$E197</f>
        <v>0</v>
      </c>
      <c r="J197" s="157">
        <f>'Quantitativos (A)'!H197*$D197*$E197</f>
        <v>0</v>
      </c>
      <c r="K197" s="157">
        <f>'Quantitativos (A)'!I197*$D197*$E197</f>
        <v>7.7464240000000002</v>
      </c>
      <c r="L197" s="157">
        <f>'Quantitativos (A)'!J197*$D197*$E197</f>
        <v>0</v>
      </c>
      <c r="M197" s="157">
        <f>'Quantitativos (A)'!K197*$D197*$E197</f>
        <v>64.953800000000001</v>
      </c>
      <c r="N197" s="157">
        <f>'Quantitativos (A)'!L197*$D197*$E197</f>
        <v>0</v>
      </c>
      <c r="O197" s="157">
        <f>'Quantitativos (A)'!M197*$D197*$E197</f>
        <v>64.953800000000001</v>
      </c>
      <c r="P197" s="157">
        <f>'Quantitativos (A)'!N197*$D197*$E197</f>
        <v>0</v>
      </c>
      <c r="Q197" s="157">
        <f>'Quantitativos (A)'!O197*$D197*$E197</f>
        <v>0</v>
      </c>
      <c r="R197" s="157">
        <f>'Quantitativos (A)'!P197*$D197*$E197</f>
        <v>7.7179840000000004</v>
      </c>
      <c r="S197" s="157">
        <f>'Quantitativos (A)'!Q197*$D197*$E197</f>
        <v>0</v>
      </c>
      <c r="T197" s="157">
        <f>'Quantitativos (A)'!R197*$D197*$E197</f>
        <v>0</v>
      </c>
      <c r="U197" s="157">
        <f>'Quantitativos (A)'!S197*$D197*$E197</f>
        <v>7.7179840000000004</v>
      </c>
      <c r="V197" s="157">
        <f>'Quantitativos (A)'!T197*$D197*$E197</f>
        <v>0</v>
      </c>
      <c r="W197" s="157">
        <f>'Quantitativos (A)'!U197*$D197*$E197</f>
        <v>61.796959999999991</v>
      </c>
      <c r="X197" s="157">
        <f>'Quantitativos (A)'!V197*$D197*$E197</f>
        <v>0</v>
      </c>
      <c r="Y197" s="157">
        <f>'Quantitativos (A)'!W197*$D197*$E197</f>
        <v>61.796959999999991</v>
      </c>
      <c r="Z197" s="157">
        <f>'Quantitativos (A)'!X197*$D197*$E197</f>
        <v>0</v>
      </c>
      <c r="AA197" s="157">
        <f>'Quantitativos (A)'!Y197*$D197*$E197</f>
        <v>0</v>
      </c>
      <c r="AB197" s="157">
        <f>'Quantitativos (A)'!Z197*$D197*$E197</f>
        <v>6.7712479999999999</v>
      </c>
      <c r="AC197" s="157">
        <f>'Quantitativos (A)'!AA197*$D197*$E197</f>
        <v>0</v>
      </c>
      <c r="AD197" s="157">
        <f>'Quantitativos (A)'!AB197*$D197*$E197</f>
        <v>0</v>
      </c>
      <c r="AE197" s="157">
        <f>'Quantitativos (A)'!AC197*$D197*$E197</f>
        <v>6.7712479999999999</v>
      </c>
      <c r="AF197" s="157">
        <f>'Quantitativos (A)'!AD197*$D197*$E197</f>
        <v>0</v>
      </c>
      <c r="AG197" s="157">
        <f>'Quantitativos (A)'!AE197*$D197*$E197</f>
        <v>55.011175999999999</v>
      </c>
      <c r="AH197" s="157">
        <f>'Quantitativos (A)'!AF197*$D197*$E197</f>
        <v>0</v>
      </c>
      <c r="AI197" s="158">
        <f>'Quantitativos (A)'!AG197*$D197*$E197</f>
        <v>55.011175999999999</v>
      </c>
      <c r="AJ197" s="22"/>
    </row>
    <row r="198" spans="1:36" ht="25.5" x14ac:dyDescent="0.25">
      <c r="A198" s="112"/>
      <c r="B198" s="27" t="s">
        <v>295</v>
      </c>
      <c r="C198" s="133" t="s">
        <v>57</v>
      </c>
      <c r="D198" s="157">
        <f>'Dados (F)'!$D$110</f>
        <v>30.97</v>
      </c>
      <c r="E198" s="133">
        <f>IF('Dados (F)'!$D$35=1,1,IF('Dados (F)'!$D$35=2,'Dados (F)'!$C$39,1))</f>
        <v>1</v>
      </c>
      <c r="F198" s="157">
        <f>'Quantitativos (A)'!D198*$D198*$E198</f>
        <v>0</v>
      </c>
      <c r="G198" s="157">
        <f>'Quantitativos (A)'!E198*$D198*$E198</f>
        <v>0</v>
      </c>
      <c r="H198" s="157">
        <f>'Quantitativos (A)'!F198*$D198*$E198</f>
        <v>0</v>
      </c>
      <c r="I198" s="157">
        <f>'Quantitativos (A)'!G198*$D198*$E198</f>
        <v>0</v>
      </c>
      <c r="J198" s="157">
        <f>'Quantitativos (A)'!H198*$D198*$E198</f>
        <v>0</v>
      </c>
      <c r="K198" s="157">
        <f>'Quantitativos (A)'!I198*$D198*$E198</f>
        <v>0</v>
      </c>
      <c r="L198" s="157">
        <f>'Quantitativos (A)'!J198*$D198*$E198</f>
        <v>0</v>
      </c>
      <c r="M198" s="157">
        <f>'Quantitativos (A)'!K198*$D198*$E198</f>
        <v>5612.3833999999988</v>
      </c>
      <c r="N198" s="157">
        <f>'Quantitativos (A)'!L198*$D198*$E198</f>
        <v>0</v>
      </c>
      <c r="O198" s="157">
        <f>'Quantitativos (A)'!M198*$D198*$E198</f>
        <v>5612.3833999999988</v>
      </c>
      <c r="P198" s="157">
        <f>'Quantitativos (A)'!N198*$D198*$E198</f>
        <v>0</v>
      </c>
      <c r="Q198" s="157">
        <f>'Quantitativos (A)'!O198*$D198*$E198</f>
        <v>0</v>
      </c>
      <c r="R198" s="157">
        <f>'Quantitativos (A)'!P198*$D198*$E198</f>
        <v>0</v>
      </c>
      <c r="S198" s="157">
        <f>'Quantitativos (A)'!Q198*$D198*$E198</f>
        <v>0</v>
      </c>
      <c r="T198" s="157">
        <f>'Quantitativos (A)'!R198*$D198*$E198</f>
        <v>0</v>
      </c>
      <c r="U198" s="157">
        <f>'Quantitativos (A)'!S198*$D198*$E198</f>
        <v>0</v>
      </c>
      <c r="V198" s="157">
        <f>'Quantitativos (A)'!T198*$D198*$E198</f>
        <v>0</v>
      </c>
      <c r="W198" s="157">
        <f>'Quantitativos (A)'!U198*$D198*$E198</f>
        <v>5300.4535599999999</v>
      </c>
      <c r="X198" s="157">
        <f>'Quantitativos (A)'!V198*$D198*$E198</f>
        <v>0</v>
      </c>
      <c r="Y198" s="157">
        <f>'Quantitativos (A)'!W198*$D198*$E198</f>
        <v>5300.4535599999999</v>
      </c>
      <c r="Z198" s="157">
        <f>'Quantitativos (A)'!X198*$D198*$E198</f>
        <v>0</v>
      </c>
      <c r="AA198" s="157">
        <f>'Quantitativos (A)'!Y198*$D198*$E198</f>
        <v>0</v>
      </c>
      <c r="AB198" s="157">
        <f>'Quantitativos (A)'!Z198*$D198*$E198</f>
        <v>0</v>
      </c>
      <c r="AC198" s="157">
        <f>'Quantitativos (A)'!AA198*$D198*$E198</f>
        <v>0</v>
      </c>
      <c r="AD198" s="157">
        <f>'Quantitativos (A)'!AB198*$D198*$E198</f>
        <v>0</v>
      </c>
      <c r="AE198" s="157">
        <f>'Quantitativos (A)'!AC198*$D198*$E198</f>
        <v>0</v>
      </c>
      <c r="AF198" s="157">
        <f>'Quantitativos (A)'!AD198*$D198*$E198</f>
        <v>0</v>
      </c>
      <c r="AG198" s="157">
        <f>'Quantitativos (A)'!AE198*$D198*$E198</f>
        <v>4720.6641900000004</v>
      </c>
      <c r="AH198" s="157">
        <f>'Quantitativos (A)'!AF198*$D198*$E198</f>
        <v>0</v>
      </c>
      <c r="AI198" s="158">
        <f>'Quantitativos (A)'!AG198*$D198*$E198</f>
        <v>4720.6641900000004</v>
      </c>
      <c r="AJ198" s="22"/>
    </row>
    <row r="199" spans="1:36" x14ac:dyDescent="0.25">
      <c r="A199" s="112"/>
      <c r="B199" s="27" t="s">
        <v>305</v>
      </c>
      <c r="C199" s="133" t="s">
        <v>63</v>
      </c>
      <c r="D199" s="157">
        <f>'Dados (F)'!$D$111</f>
        <v>6.01</v>
      </c>
      <c r="E199" s="133">
        <f>IF('Dados (F)'!$D$35=1,1,IF('Dados (F)'!$D$35=2,'Dados (F)'!$C$39,1))</f>
        <v>1</v>
      </c>
      <c r="F199" s="157">
        <f>'Quantitativos (A)'!D199*$D199*$E199</f>
        <v>0</v>
      </c>
      <c r="G199" s="157">
        <f>'Quantitativos (A)'!E199*$D199*$E199</f>
        <v>0</v>
      </c>
      <c r="H199" s="157">
        <f>'Quantitativos (A)'!F199*$D199*$E199</f>
        <v>122.28967700000001</v>
      </c>
      <c r="I199" s="157">
        <f>'Quantitativos (A)'!G199*$D199*$E199</f>
        <v>0</v>
      </c>
      <c r="J199" s="157">
        <f>'Quantitativos (A)'!H199*$D199*$E199</f>
        <v>0</v>
      </c>
      <c r="K199" s="157">
        <f>'Quantitativos (A)'!I199*$D199*$E199</f>
        <v>122.28967700000001</v>
      </c>
      <c r="L199" s="157">
        <f>'Quantitativos (A)'!J199*$D199*$E199</f>
        <v>0</v>
      </c>
      <c r="M199" s="157">
        <f>'Quantitativos (A)'!K199*$D199*$E199</f>
        <v>0</v>
      </c>
      <c r="N199" s="157">
        <f>'Quantitativos (A)'!L199*$D199*$E199</f>
        <v>0</v>
      </c>
      <c r="O199" s="157">
        <f>'Quantitativos (A)'!M199*$D199*$E199</f>
        <v>0</v>
      </c>
      <c r="P199" s="157">
        <f>'Quantitativos (A)'!N199*$D199*$E199</f>
        <v>0</v>
      </c>
      <c r="Q199" s="157">
        <f>'Quantitativos (A)'!O199*$D199*$E199</f>
        <v>0</v>
      </c>
      <c r="R199" s="157">
        <f>'Quantitativos (A)'!P199*$D199*$E199</f>
        <v>122.28547</v>
      </c>
      <c r="S199" s="157">
        <f>'Quantitativos (A)'!Q199*$D199*$E199</f>
        <v>0</v>
      </c>
      <c r="T199" s="157">
        <f>'Quantitativos (A)'!R199*$D199*$E199</f>
        <v>0</v>
      </c>
      <c r="U199" s="157">
        <f>'Quantitativos (A)'!S199*$D199*$E199</f>
        <v>122.28547</v>
      </c>
      <c r="V199" s="157">
        <f>'Quantitativos (A)'!T199*$D199*$E199</f>
        <v>0</v>
      </c>
      <c r="W199" s="157">
        <f>'Quantitativos (A)'!U199*$D199*$E199</f>
        <v>0</v>
      </c>
      <c r="X199" s="157">
        <f>'Quantitativos (A)'!V199*$D199*$E199</f>
        <v>0</v>
      </c>
      <c r="Y199" s="157">
        <f>'Quantitativos (A)'!W199*$D199*$E199</f>
        <v>0</v>
      </c>
      <c r="Z199" s="157">
        <f>'Quantitativos (A)'!X199*$D199*$E199</f>
        <v>0</v>
      </c>
      <c r="AA199" s="157">
        <f>'Quantitativos (A)'!Y199*$D199*$E199</f>
        <v>0</v>
      </c>
      <c r="AB199" s="157">
        <f>'Quantitativos (A)'!Z199*$D199*$E199</f>
        <v>107.859066</v>
      </c>
      <c r="AC199" s="157">
        <f>'Quantitativos (A)'!AA199*$D199*$E199</f>
        <v>0</v>
      </c>
      <c r="AD199" s="157">
        <f>'Quantitativos (A)'!AB199*$D199*$E199</f>
        <v>0</v>
      </c>
      <c r="AE199" s="157">
        <f>'Quantitativos (A)'!AC199*$D199*$E199</f>
        <v>107.859066</v>
      </c>
      <c r="AF199" s="157">
        <f>'Quantitativos (A)'!AD199*$D199*$E199</f>
        <v>0</v>
      </c>
      <c r="AG199" s="157">
        <f>'Quantitativos (A)'!AE199*$D199*$E199</f>
        <v>0</v>
      </c>
      <c r="AH199" s="157">
        <f>'Quantitativos (A)'!AF199*$D199*$E199</f>
        <v>0</v>
      </c>
      <c r="AI199" s="158">
        <f>'Quantitativos (A)'!AG199*$D199*$E199</f>
        <v>0</v>
      </c>
      <c r="AJ199" s="22"/>
    </row>
    <row r="200" spans="1:36" x14ac:dyDescent="0.25">
      <c r="A200" s="112"/>
      <c r="B200" s="27" t="s">
        <v>465</v>
      </c>
      <c r="C200" s="133" t="s">
        <v>63</v>
      </c>
      <c r="D200" s="157">
        <f>'Dados (F)'!$D$112</f>
        <v>5.83</v>
      </c>
      <c r="E200" s="133">
        <f>IF('Dados (F)'!$D$35=1,1,IF('Dados (F)'!$D$35=2,'Dados (F)'!$C$39,1))</f>
        <v>1</v>
      </c>
      <c r="F200" s="157">
        <f>'Quantitativos (A)'!D200*$D200*$E200</f>
        <v>0</v>
      </c>
      <c r="G200" s="157">
        <f>'Quantitativos (A)'!E200*$D200*$E200</f>
        <v>0</v>
      </c>
      <c r="H200" s="157">
        <f>'Quantitativos (A)'!F200*$D200*$E200</f>
        <v>432.32364999999999</v>
      </c>
      <c r="I200" s="157">
        <f>'Quantitativos (A)'!G200*$D200*$E200</f>
        <v>0</v>
      </c>
      <c r="J200" s="157">
        <f>'Quantitativos (A)'!H200*$D200*$E200</f>
        <v>0</v>
      </c>
      <c r="K200" s="157">
        <f>'Quantitativos (A)'!I200*$D200*$E200</f>
        <v>432.32364999999999</v>
      </c>
      <c r="L200" s="157">
        <f>'Quantitativos (A)'!J200*$D200*$E200</f>
        <v>0</v>
      </c>
      <c r="M200" s="157">
        <f>'Quantitativos (A)'!K200*$D200*$E200</f>
        <v>0</v>
      </c>
      <c r="N200" s="157">
        <f>'Quantitativos (A)'!L200*$D200*$E200</f>
        <v>0</v>
      </c>
      <c r="O200" s="157">
        <f>'Quantitativos (A)'!M200*$D200*$E200</f>
        <v>0</v>
      </c>
      <c r="P200" s="157">
        <f>'Quantitativos (A)'!N200*$D200*$E200</f>
        <v>0</v>
      </c>
      <c r="Q200" s="157">
        <f>'Quantitativos (A)'!O200*$D200*$E200</f>
        <v>0</v>
      </c>
      <c r="R200" s="157">
        <f>'Quantitativos (A)'!P200*$D200*$E200</f>
        <v>404.35131000000001</v>
      </c>
      <c r="S200" s="157">
        <f>'Quantitativos (A)'!Q200*$D200*$E200</f>
        <v>0</v>
      </c>
      <c r="T200" s="157">
        <f>'Quantitativos (A)'!R200*$D200*$E200</f>
        <v>0</v>
      </c>
      <c r="U200" s="157">
        <f>'Quantitativos (A)'!S200*$D200*$E200</f>
        <v>404.35131000000001</v>
      </c>
      <c r="V200" s="157">
        <f>'Quantitativos (A)'!T200*$D200*$E200</f>
        <v>0</v>
      </c>
      <c r="W200" s="157">
        <f>'Quantitativos (A)'!U200*$D200*$E200</f>
        <v>0</v>
      </c>
      <c r="X200" s="157">
        <f>'Quantitativos (A)'!V200*$D200*$E200</f>
        <v>0</v>
      </c>
      <c r="Y200" s="157">
        <f>'Quantitativos (A)'!W200*$D200*$E200</f>
        <v>0</v>
      </c>
      <c r="Z200" s="157">
        <f>'Quantitativos (A)'!X200*$D200*$E200</f>
        <v>0</v>
      </c>
      <c r="AA200" s="157">
        <f>'Quantitativos (A)'!Y200*$D200*$E200</f>
        <v>0</v>
      </c>
      <c r="AB200" s="157">
        <f>'Quantitativos (A)'!Z200*$D200*$E200</f>
        <v>358.64411000000007</v>
      </c>
      <c r="AC200" s="157">
        <f>'Quantitativos (A)'!AA200*$D200*$E200</f>
        <v>0</v>
      </c>
      <c r="AD200" s="157">
        <f>'Quantitativos (A)'!AB200*$D200*$E200</f>
        <v>0</v>
      </c>
      <c r="AE200" s="157">
        <f>'Quantitativos (A)'!AC200*$D200*$E200</f>
        <v>358.64411000000007</v>
      </c>
      <c r="AF200" s="157">
        <f>'Quantitativos (A)'!AD200*$D200*$E200</f>
        <v>0</v>
      </c>
      <c r="AG200" s="157">
        <f>'Quantitativos (A)'!AE200*$D200*$E200</f>
        <v>0</v>
      </c>
      <c r="AH200" s="157">
        <f>'Quantitativos (A)'!AF200*$D200*$E200</f>
        <v>0</v>
      </c>
      <c r="AI200" s="158">
        <f>'Quantitativos (A)'!AG200*$D200*$E200</f>
        <v>0</v>
      </c>
      <c r="AJ200" s="22"/>
    </row>
    <row r="201" spans="1:36" x14ac:dyDescent="0.25">
      <c r="A201" s="112"/>
      <c r="B201" s="27" t="s">
        <v>522</v>
      </c>
      <c r="C201" s="133" t="s">
        <v>63</v>
      </c>
      <c r="D201" s="157">
        <f>'Dados (F)'!$D$135</f>
        <v>1.39</v>
      </c>
      <c r="E201" s="133">
        <f>IF('Dados (F)'!$D$35=1,1,'Dados (F)'!$C$39)</f>
        <v>1</v>
      </c>
      <c r="F201" s="157">
        <f>'Quantitativos (A)'!D201*$D201*$E201</f>
        <v>0</v>
      </c>
      <c r="G201" s="157">
        <f>'Quantitativos (A)'!E201*$D201*$E201</f>
        <v>0</v>
      </c>
      <c r="H201" s="157">
        <f>'Quantitativos (A)'!F201*$D201*$E201</f>
        <v>52.546169999999989</v>
      </c>
      <c r="I201" s="157">
        <f>'Quantitativos (A)'!G201*$D201*$E201</f>
        <v>0</v>
      </c>
      <c r="J201" s="157">
        <f>'Quantitativos (A)'!H201*$D201*$E201</f>
        <v>0</v>
      </c>
      <c r="K201" s="157">
        <f>'Quantitativos (A)'!I201*$D201*$E201</f>
        <v>52.546169999999989</v>
      </c>
      <c r="L201" s="157">
        <f>'Quantitativos (A)'!J201*$D201*$E201</f>
        <v>0</v>
      </c>
      <c r="M201" s="157">
        <f>'Quantitativos (A)'!K201*$D201*$E201</f>
        <v>0</v>
      </c>
      <c r="N201" s="157">
        <f>'Quantitativos (A)'!L201*$D201*$E201</f>
        <v>0</v>
      </c>
      <c r="O201" s="157">
        <f>'Quantitativos (A)'!M201*$D201*$E201</f>
        <v>0</v>
      </c>
      <c r="P201" s="157">
        <f>'Quantitativos (A)'!N201*$D201*$E201</f>
        <v>0</v>
      </c>
      <c r="Q201" s="157">
        <f>'Quantitativos (A)'!O201*$D201*$E201</f>
        <v>0</v>
      </c>
      <c r="R201" s="157">
        <f>'Quantitativos (A)'!P201*$D201*$E201</f>
        <v>49.880149999999993</v>
      </c>
      <c r="S201" s="157">
        <f>'Quantitativos (A)'!Q201*$D201*$E201</f>
        <v>0</v>
      </c>
      <c r="T201" s="157">
        <f>'Quantitativos (A)'!R201*$D201*$E201</f>
        <v>0</v>
      </c>
      <c r="U201" s="157">
        <f>'Quantitativos (A)'!S201*$D201*$E201</f>
        <v>49.880149999999993</v>
      </c>
      <c r="V201" s="157">
        <f>'Quantitativos (A)'!T201*$D201*$E201</f>
        <v>0</v>
      </c>
      <c r="W201" s="157">
        <f>'Quantitativos (A)'!U201*$D201*$E201</f>
        <v>0</v>
      </c>
      <c r="X201" s="157">
        <f>'Quantitativos (A)'!V201*$D201*$E201</f>
        <v>0</v>
      </c>
      <c r="Y201" s="157">
        <f>'Quantitativos (A)'!W201*$D201*$E201</f>
        <v>0</v>
      </c>
      <c r="Z201" s="157">
        <f>'Quantitativos (A)'!X201*$D201*$E201</f>
        <v>0</v>
      </c>
      <c r="AA201" s="157">
        <f>'Quantitativos (A)'!Y201*$D201*$E201</f>
        <v>0</v>
      </c>
      <c r="AB201" s="157">
        <f>'Quantitativos (A)'!Z201*$D201*$E201</f>
        <v>44.175589999999993</v>
      </c>
      <c r="AC201" s="157">
        <f>'Quantitativos (A)'!AA201*$D201*$E201</f>
        <v>0</v>
      </c>
      <c r="AD201" s="157">
        <f>'Quantitativos (A)'!AB201*$D201*$E201</f>
        <v>0</v>
      </c>
      <c r="AE201" s="157">
        <f>'Quantitativos (A)'!AC201*$D201*$E201</f>
        <v>44.175589999999993</v>
      </c>
      <c r="AF201" s="157">
        <f>'Quantitativos (A)'!AD201*$D201*$E201</f>
        <v>0</v>
      </c>
      <c r="AG201" s="157">
        <f>'Quantitativos (A)'!AE201*$D201*$E201</f>
        <v>0</v>
      </c>
      <c r="AH201" s="157">
        <f>'Quantitativos (A)'!AF201*$D201*$E201</f>
        <v>0</v>
      </c>
      <c r="AI201" s="158">
        <f>'Quantitativos (A)'!AG201*$D201*$E201</f>
        <v>0</v>
      </c>
      <c r="AJ201" s="22"/>
    </row>
    <row r="202" spans="1:36" ht="25.5" x14ac:dyDescent="0.25">
      <c r="A202" s="112"/>
      <c r="B202" s="135" t="s">
        <v>542</v>
      </c>
      <c r="C202" s="133" t="s">
        <v>57</v>
      </c>
      <c r="D202" s="157">
        <f>'Dados (F)'!$D$136</f>
        <v>69.56</v>
      </c>
      <c r="E202" s="133">
        <f>IF('Dados (F)'!$D$35=1,1,'Dados (F)'!$C$39)</f>
        <v>1</v>
      </c>
      <c r="F202" s="157">
        <f>'Quantitativos (A)'!D202*$D202*$E202</f>
        <v>0</v>
      </c>
      <c r="G202" s="157">
        <f>'Quantitativos (A)'!E202*$D202*$E202</f>
        <v>0</v>
      </c>
      <c r="H202" s="157">
        <f>'Quantitativos (A)'!F202*$D202*$E202</f>
        <v>13147.883399999999</v>
      </c>
      <c r="I202" s="157">
        <f>'Quantitativos (A)'!G202*$D202*$E202</f>
        <v>0</v>
      </c>
      <c r="J202" s="157">
        <f>'Quantitativos (A)'!H202*$D202*$E202</f>
        <v>0</v>
      </c>
      <c r="K202" s="157">
        <f>'Quantitativos (A)'!I202*$D202*$E202</f>
        <v>13147.883399999999</v>
      </c>
      <c r="L202" s="157">
        <f>'Quantitativos (A)'!J202*$D202*$E202</f>
        <v>0</v>
      </c>
      <c r="M202" s="157">
        <f>'Quantitativos (A)'!K202*$D202*$E202</f>
        <v>0</v>
      </c>
      <c r="N202" s="157">
        <f>'Quantitativos (A)'!L202*$D202*$E202</f>
        <v>0</v>
      </c>
      <c r="O202" s="157">
        <f>'Quantitativos (A)'!M202*$D202*$E202</f>
        <v>0</v>
      </c>
      <c r="P202" s="157">
        <f>'Quantitativos (A)'!N202*$D202*$E202</f>
        <v>0</v>
      </c>
      <c r="Q202" s="157">
        <f>'Quantitativos (A)'!O202*$D202*$E202</f>
        <v>0</v>
      </c>
      <c r="R202" s="157">
        <f>'Quantitativos (A)'!P202*$D202*$E202</f>
        <v>12480.524760000002</v>
      </c>
      <c r="S202" s="157">
        <f>'Quantitativos (A)'!Q202*$D202*$E202</f>
        <v>0</v>
      </c>
      <c r="T202" s="157">
        <f>'Quantitativos (A)'!R202*$D202*$E202</f>
        <v>0</v>
      </c>
      <c r="U202" s="157">
        <f>'Quantitativos (A)'!S202*$D202*$E202</f>
        <v>12480.524760000002</v>
      </c>
      <c r="V202" s="157">
        <f>'Quantitativos (A)'!T202*$D202*$E202</f>
        <v>0</v>
      </c>
      <c r="W202" s="157">
        <f>'Quantitativos (A)'!U202*$D202*$E202</f>
        <v>0</v>
      </c>
      <c r="X202" s="157">
        <f>'Quantitativos (A)'!V202*$D202*$E202</f>
        <v>0</v>
      </c>
      <c r="Y202" s="157">
        <f>'Quantitativos (A)'!W202*$D202*$E202</f>
        <v>0</v>
      </c>
      <c r="Z202" s="157">
        <f>'Quantitativos (A)'!X202*$D202*$E202</f>
        <v>0</v>
      </c>
      <c r="AA202" s="157">
        <f>'Quantitativos (A)'!Y202*$D202*$E202</f>
        <v>0</v>
      </c>
      <c r="AB202" s="157">
        <f>'Quantitativos (A)'!Z202*$D202*$E202</f>
        <v>11054.266519999999</v>
      </c>
      <c r="AC202" s="157">
        <f>'Quantitativos (A)'!AA202*$D202*$E202</f>
        <v>0</v>
      </c>
      <c r="AD202" s="157">
        <f>'Quantitativos (A)'!AB202*$D202*$E202</f>
        <v>0</v>
      </c>
      <c r="AE202" s="157">
        <f>'Quantitativos (A)'!AC202*$D202*$E202</f>
        <v>11054.266519999999</v>
      </c>
      <c r="AF202" s="157">
        <f>'Quantitativos (A)'!AD202*$D202*$E202</f>
        <v>0</v>
      </c>
      <c r="AG202" s="157">
        <f>'Quantitativos (A)'!AE202*$D202*$E202</f>
        <v>0</v>
      </c>
      <c r="AH202" s="157">
        <f>'Quantitativos (A)'!AF202*$D202*$E202</f>
        <v>0</v>
      </c>
      <c r="AI202" s="158">
        <f>'Quantitativos (A)'!AG202*$D202*$E202</f>
        <v>0</v>
      </c>
      <c r="AJ202" s="22"/>
    </row>
    <row r="203" spans="1:36" ht="25.5" x14ac:dyDescent="0.25">
      <c r="A203" s="112"/>
      <c r="B203" s="135" t="s">
        <v>543</v>
      </c>
      <c r="C203" s="133" t="s">
        <v>57</v>
      </c>
      <c r="D203" s="157">
        <f>'Dados (F)'!$D$137</f>
        <v>69.56</v>
      </c>
      <c r="E203" s="133">
        <f>IF('Dados (F)'!$D$35=1,1,'Dados (F)'!$C$39)</f>
        <v>1</v>
      </c>
      <c r="F203" s="157">
        <f>'Quantitativos (A)'!D203*$D203*$E203</f>
        <v>0</v>
      </c>
      <c r="G203" s="157">
        <f>'Quantitativos (A)'!E203*$D203*$E203</f>
        <v>0</v>
      </c>
      <c r="H203" s="157">
        <f>'Quantitativos (A)'!F203*$D203*$E203</f>
        <v>13147.883399999999</v>
      </c>
      <c r="I203" s="157">
        <f>'Quantitativos (A)'!G203*$D203*$E203</f>
        <v>0</v>
      </c>
      <c r="J203" s="157">
        <f>'Quantitativos (A)'!H203*$D203*$E203</f>
        <v>0</v>
      </c>
      <c r="K203" s="157">
        <f>'Quantitativos (A)'!I203*$D203*$E203</f>
        <v>13147.883399999999</v>
      </c>
      <c r="L203" s="157">
        <f>'Quantitativos (A)'!J203*$D203*$E203</f>
        <v>0</v>
      </c>
      <c r="M203" s="157">
        <f>'Quantitativos (A)'!K203*$D203*$E203</f>
        <v>0</v>
      </c>
      <c r="N203" s="157">
        <f>'Quantitativos (A)'!L203*$D203*$E203</f>
        <v>0</v>
      </c>
      <c r="O203" s="157">
        <f>'Quantitativos (A)'!M203*$D203*$E203</f>
        <v>0</v>
      </c>
      <c r="P203" s="157">
        <f>'Quantitativos (A)'!N203*$D203*$E203</f>
        <v>0</v>
      </c>
      <c r="Q203" s="157">
        <f>'Quantitativos (A)'!O203*$D203*$E203</f>
        <v>0</v>
      </c>
      <c r="R203" s="157">
        <f>'Quantitativos (A)'!P203*$D203*$E203</f>
        <v>12480.524760000002</v>
      </c>
      <c r="S203" s="157">
        <f>'Quantitativos (A)'!Q203*$D203*$E203</f>
        <v>0</v>
      </c>
      <c r="T203" s="157">
        <f>'Quantitativos (A)'!R203*$D203*$E203</f>
        <v>0</v>
      </c>
      <c r="U203" s="157">
        <f>'Quantitativos (A)'!S203*$D203*$E203</f>
        <v>12480.524760000002</v>
      </c>
      <c r="V203" s="157">
        <f>'Quantitativos (A)'!T203*$D203*$E203</f>
        <v>0</v>
      </c>
      <c r="W203" s="157">
        <f>'Quantitativos (A)'!U203*$D203*$E203</f>
        <v>0</v>
      </c>
      <c r="X203" s="157">
        <f>'Quantitativos (A)'!V203*$D203*$E203</f>
        <v>0</v>
      </c>
      <c r="Y203" s="157">
        <f>'Quantitativos (A)'!W203*$D203*$E203</f>
        <v>0</v>
      </c>
      <c r="Z203" s="157">
        <f>'Quantitativos (A)'!X203*$D203*$E203</f>
        <v>0</v>
      </c>
      <c r="AA203" s="157">
        <f>'Quantitativos (A)'!Y203*$D203*$E203</f>
        <v>0</v>
      </c>
      <c r="AB203" s="157">
        <f>'Quantitativos (A)'!Z203*$D203*$E203</f>
        <v>11054.266519999999</v>
      </c>
      <c r="AC203" s="157">
        <f>'Quantitativos (A)'!AA203*$D203*$E203</f>
        <v>0</v>
      </c>
      <c r="AD203" s="157">
        <f>'Quantitativos (A)'!AB203*$D203*$E203</f>
        <v>0</v>
      </c>
      <c r="AE203" s="157">
        <f>'Quantitativos (A)'!AC203*$D203*$E203</f>
        <v>11054.266519999999</v>
      </c>
      <c r="AF203" s="157">
        <f>'Quantitativos (A)'!AD203*$D203*$E203</f>
        <v>0</v>
      </c>
      <c r="AG203" s="157">
        <f>'Quantitativos (A)'!AE203*$D203*$E203</f>
        <v>0</v>
      </c>
      <c r="AH203" s="157">
        <f>'Quantitativos (A)'!AF203*$D203*$E203</f>
        <v>0</v>
      </c>
      <c r="AI203" s="158">
        <f>'Quantitativos (A)'!AG203*$D203*$E203</f>
        <v>0</v>
      </c>
      <c r="AJ203" s="22"/>
    </row>
    <row r="204" spans="1:36" x14ac:dyDescent="0.25">
      <c r="A204" s="112"/>
      <c r="B204" s="27" t="s">
        <v>535</v>
      </c>
      <c r="C204" s="133" t="s">
        <v>57</v>
      </c>
      <c r="D204" s="157">
        <f>'Dados (F)'!$D$92</f>
        <v>363.1</v>
      </c>
      <c r="E204" s="133">
        <f>IF('Dados (F)'!$D$35=1,1,IF('Dados (F)'!$D$35=2,'Dados (F)'!$C$39,1))</f>
        <v>1</v>
      </c>
      <c r="F204" s="157">
        <f>'Quantitativos (A)'!D204*$D204*$E204</f>
        <v>0</v>
      </c>
      <c r="G204" s="157">
        <f>'Quantitativos (A)'!E204*$D204*$E204</f>
        <v>0</v>
      </c>
      <c r="H204" s="157">
        <f>'Quantitativos (A)'!F204*$D204*$E204</f>
        <v>6034.7220000000007</v>
      </c>
      <c r="I204" s="157">
        <f>'Quantitativos (A)'!G204*$D204*$E204</f>
        <v>0</v>
      </c>
      <c r="J204" s="157">
        <f>'Quantitativos (A)'!H204*$D204*$E204</f>
        <v>0</v>
      </c>
      <c r="K204" s="157">
        <f>'Quantitativos (A)'!I204*$D204*$E204</f>
        <v>6034.7220000000007</v>
      </c>
      <c r="L204" s="157">
        <f>'Quantitativos (A)'!J204*$D204*$E204</f>
        <v>0</v>
      </c>
      <c r="M204" s="157">
        <f>'Quantitativos (A)'!K204*$D204*$E204</f>
        <v>6605.1521000000002</v>
      </c>
      <c r="N204" s="157">
        <f>'Quantitativos (A)'!L204*$D204*$E204</f>
        <v>0</v>
      </c>
      <c r="O204" s="157">
        <f>'Quantitativos (A)'!M204*$D204*$E204</f>
        <v>6605.1521000000002</v>
      </c>
      <c r="P204" s="157">
        <f>'Quantitativos (A)'!N204*$D204*$E204</f>
        <v>0</v>
      </c>
      <c r="Q204" s="157">
        <f>'Quantitativos (A)'!O204*$D204*$E204</f>
        <v>0</v>
      </c>
      <c r="R204" s="157">
        <f>'Quantitativos (A)'!P204*$D204*$E204</f>
        <v>6045.9780999999966</v>
      </c>
      <c r="S204" s="157">
        <f>'Quantitativos (A)'!Q204*$D204*$E204</f>
        <v>0</v>
      </c>
      <c r="T204" s="157">
        <f>'Quantitativos (A)'!R204*$D204*$E204</f>
        <v>0</v>
      </c>
      <c r="U204" s="157">
        <f>'Quantitativos (A)'!S204*$D204*$E204</f>
        <v>6045.9780999999966</v>
      </c>
      <c r="V204" s="157">
        <f>'Quantitativos (A)'!T204*$D204*$E204</f>
        <v>0</v>
      </c>
      <c r="W204" s="157">
        <f>'Quantitativos (A)'!U204*$D204*$E204</f>
        <v>6616.4081999999999</v>
      </c>
      <c r="X204" s="157">
        <f>'Quantitativos (A)'!V204*$D204*$E204</f>
        <v>0</v>
      </c>
      <c r="Y204" s="157">
        <f>'Quantitativos (A)'!W204*$D204*$E204</f>
        <v>6616.4081999999999</v>
      </c>
      <c r="Z204" s="157">
        <f>'Quantitativos (A)'!X204*$D204*$E204</f>
        <v>0</v>
      </c>
      <c r="AA204" s="157">
        <f>'Quantitativos (A)'!Y204*$D204*$E204</f>
        <v>0</v>
      </c>
      <c r="AB204" s="157">
        <f>'Quantitativos (A)'!Z204*$D204*$E204</f>
        <v>5702.8486000000012</v>
      </c>
      <c r="AC204" s="157">
        <f>'Quantitativos (A)'!AA204*$D204*$E204</f>
        <v>0</v>
      </c>
      <c r="AD204" s="157">
        <f>'Quantitativos (A)'!AB204*$D204*$E204</f>
        <v>0</v>
      </c>
      <c r="AE204" s="157">
        <f>'Quantitativos (A)'!AC204*$D204*$E204</f>
        <v>5702.8486000000012</v>
      </c>
      <c r="AF204" s="157">
        <f>'Quantitativos (A)'!AD204*$D204*$E204</f>
        <v>0</v>
      </c>
      <c r="AG204" s="157">
        <f>'Quantitativos (A)'!AE204*$D204*$E204</f>
        <v>6273.2787000000008</v>
      </c>
      <c r="AH204" s="157">
        <f>'Quantitativos (A)'!AF204*$D204*$E204</f>
        <v>0</v>
      </c>
      <c r="AI204" s="158">
        <f>'Quantitativos (A)'!AG204*$D204*$E204</f>
        <v>6273.2787000000008</v>
      </c>
      <c r="AJ204" s="22"/>
    </row>
    <row r="205" spans="1:36" x14ac:dyDescent="0.25">
      <c r="A205" s="112"/>
      <c r="B205" s="131" t="s">
        <v>445</v>
      </c>
      <c r="C205" s="133" t="s">
        <v>59</v>
      </c>
      <c r="D205" s="157">
        <f>'Dados (F)'!$D$140</f>
        <v>4.79</v>
      </c>
      <c r="E205" s="133">
        <f>IF('Dados (F)'!$D$35=1,1,'Dados (F)'!$C$39)</f>
        <v>1</v>
      </c>
      <c r="F205" s="157">
        <f>'Quantitativos (A)'!D205*$D205*$E205</f>
        <v>0</v>
      </c>
      <c r="G205" s="157">
        <f>'Quantitativos (A)'!E205*$D205*$E205</f>
        <v>0</v>
      </c>
      <c r="H205" s="157">
        <f>'Quantitativos (A)'!F205*$D205*$E205</f>
        <v>4.79</v>
      </c>
      <c r="I205" s="157">
        <f>'Quantitativos (A)'!G205*$D205*$E205</f>
        <v>0</v>
      </c>
      <c r="J205" s="157">
        <f>'Quantitativos (A)'!H205*$D205*$E205</f>
        <v>0</v>
      </c>
      <c r="K205" s="157">
        <f>'Quantitativos (A)'!I205*$D205*$E205</f>
        <v>4.79</v>
      </c>
      <c r="L205" s="157">
        <f>'Quantitativos (A)'!J205*$D205*$E205</f>
        <v>0</v>
      </c>
      <c r="M205" s="157">
        <f>'Quantitativos (A)'!K205*$D205*$E205</f>
        <v>4.79</v>
      </c>
      <c r="N205" s="157">
        <f>'Quantitativos (A)'!L205*$D205*$E205</f>
        <v>0</v>
      </c>
      <c r="O205" s="157">
        <f>'Quantitativos (A)'!M205*$D205*$E205</f>
        <v>4.79</v>
      </c>
      <c r="P205" s="157">
        <f>'Quantitativos (A)'!N205*$D205*$E205</f>
        <v>0</v>
      </c>
      <c r="Q205" s="157">
        <f>'Quantitativos (A)'!O205*$D205*$E205</f>
        <v>0</v>
      </c>
      <c r="R205" s="157">
        <f>'Quantitativos (A)'!P205*$D205*$E205</f>
        <v>4.79</v>
      </c>
      <c r="S205" s="157">
        <f>'Quantitativos (A)'!Q205*$D205*$E205</f>
        <v>0</v>
      </c>
      <c r="T205" s="157">
        <f>'Quantitativos (A)'!R205*$D205*$E205</f>
        <v>0</v>
      </c>
      <c r="U205" s="157">
        <f>'Quantitativos (A)'!S205*$D205*$E205</f>
        <v>4.79</v>
      </c>
      <c r="V205" s="157">
        <f>'Quantitativos (A)'!T205*$D205*$E205</f>
        <v>0</v>
      </c>
      <c r="W205" s="157">
        <f>'Quantitativos (A)'!U205*$D205*$E205</f>
        <v>4.79</v>
      </c>
      <c r="X205" s="157">
        <f>'Quantitativos (A)'!V205*$D205*$E205</f>
        <v>0</v>
      </c>
      <c r="Y205" s="157">
        <f>'Quantitativos (A)'!W205*$D205*$E205</f>
        <v>4.79</v>
      </c>
      <c r="Z205" s="157">
        <f>'Quantitativos (A)'!X205*$D205*$E205</f>
        <v>0</v>
      </c>
      <c r="AA205" s="157">
        <f>'Quantitativos (A)'!Y205*$D205*$E205</f>
        <v>0</v>
      </c>
      <c r="AB205" s="157">
        <f>'Quantitativos (A)'!Z205*$D205*$E205</f>
        <v>4.79</v>
      </c>
      <c r="AC205" s="157">
        <f>'Quantitativos (A)'!AA205*$D205*$E205</f>
        <v>0</v>
      </c>
      <c r="AD205" s="157">
        <f>'Quantitativos (A)'!AB205*$D205*$E205</f>
        <v>0</v>
      </c>
      <c r="AE205" s="157">
        <f>'Quantitativos (A)'!AC205*$D205*$E205</f>
        <v>4.79</v>
      </c>
      <c r="AF205" s="157">
        <f>'Quantitativos (A)'!AD205*$D205*$E205</f>
        <v>0</v>
      </c>
      <c r="AG205" s="157">
        <f>'Quantitativos (A)'!AE205*$D205*$E205</f>
        <v>4.79</v>
      </c>
      <c r="AH205" s="157">
        <f>'Quantitativos (A)'!AF205*$D205*$E205</f>
        <v>0</v>
      </c>
      <c r="AI205" s="158">
        <f>'Quantitativos (A)'!AG205*$D205*$E205</f>
        <v>4.79</v>
      </c>
      <c r="AJ205" s="22"/>
    </row>
    <row r="206" spans="1:36" x14ac:dyDescent="0.25">
      <c r="A206" s="112"/>
      <c r="B206" s="120" t="s">
        <v>554</v>
      </c>
      <c r="C206" s="121"/>
      <c r="D206" s="155"/>
      <c r="E206" s="156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60"/>
      <c r="AJ206" s="22"/>
    </row>
    <row r="207" spans="1:36" x14ac:dyDescent="0.25">
      <c r="A207" s="112"/>
      <c r="B207" s="120" t="s">
        <v>552</v>
      </c>
      <c r="C207" s="121"/>
      <c r="D207" s="155"/>
      <c r="E207" s="156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60"/>
      <c r="AJ207" s="22"/>
    </row>
    <row r="208" spans="1:36" ht="38.25" x14ac:dyDescent="0.25">
      <c r="A208" s="112"/>
      <c r="B208" s="134" t="s">
        <v>310</v>
      </c>
      <c r="C208" s="133" t="s">
        <v>64</v>
      </c>
      <c r="D208" s="157">
        <f>'Dados (F)'!$D$95</f>
        <v>5.09</v>
      </c>
      <c r="E208" s="133">
        <f>IF('Dados (F)'!$D$35=1,1,IF('Dados (F)'!$D$35=2,'Dados (F)'!$C$39,1))</f>
        <v>1</v>
      </c>
      <c r="F208" s="157">
        <f>'Quantitativos (A)'!D208*$D208*$E208</f>
        <v>61.08</v>
      </c>
      <c r="G208" s="157">
        <f>'Quantitativos (A)'!E208*$D208*$E208</f>
        <v>61.08</v>
      </c>
      <c r="H208" s="157">
        <f>'Quantitativos (A)'!F208*$D208*$E208</f>
        <v>61.08</v>
      </c>
      <c r="I208" s="157">
        <f>'Quantitativos (A)'!G208*$D208*$E208</f>
        <v>61.08</v>
      </c>
      <c r="J208" s="157">
        <f>'Quantitativos (A)'!H208*$D208*$E208</f>
        <v>61.08</v>
      </c>
      <c r="K208" s="157">
        <f>'Quantitativos (A)'!I208*$D208*$E208</f>
        <v>61.08</v>
      </c>
      <c r="L208" s="157">
        <f>'Quantitativos (A)'!J208*$D208*$E208</f>
        <v>61.08</v>
      </c>
      <c r="M208" s="157">
        <f>'Quantitativos (A)'!K208*$D208*$E208</f>
        <v>61.08</v>
      </c>
      <c r="N208" s="157">
        <f>'Quantitativos (A)'!L208*$D208*$E208</f>
        <v>61.08</v>
      </c>
      <c r="O208" s="157">
        <f>'Quantitativos (A)'!M208*$D208*$E208</f>
        <v>61.08</v>
      </c>
      <c r="P208" s="157">
        <f>'Quantitativos (A)'!N208*$D208*$E208</f>
        <v>61.08</v>
      </c>
      <c r="Q208" s="157">
        <f>'Quantitativos (A)'!O208*$D208*$E208</f>
        <v>61.08</v>
      </c>
      <c r="R208" s="157">
        <f>'Quantitativos (A)'!P208*$D208*$E208</f>
        <v>61.08</v>
      </c>
      <c r="S208" s="157">
        <f>'Quantitativos (A)'!Q208*$D208*$E208</f>
        <v>61.08</v>
      </c>
      <c r="T208" s="157">
        <f>'Quantitativos (A)'!R208*$D208*$E208</f>
        <v>61.08</v>
      </c>
      <c r="U208" s="157">
        <f>'Quantitativos (A)'!S208*$D208*$E208</f>
        <v>61.08</v>
      </c>
      <c r="V208" s="157">
        <f>'Quantitativos (A)'!T208*$D208*$E208</f>
        <v>61.08</v>
      </c>
      <c r="W208" s="157">
        <f>'Quantitativos (A)'!U208*$D208*$E208</f>
        <v>61.08</v>
      </c>
      <c r="X208" s="157">
        <f>'Quantitativos (A)'!V208*$D208*$E208</f>
        <v>61.08</v>
      </c>
      <c r="Y208" s="157">
        <f>'Quantitativos (A)'!W208*$D208*$E208</f>
        <v>61.08</v>
      </c>
      <c r="Z208" s="157">
        <f>'Quantitativos (A)'!X208*$D208*$E208</f>
        <v>91.62</v>
      </c>
      <c r="AA208" s="157">
        <f>'Quantitativos (A)'!Y208*$D208*$E208</f>
        <v>91.62</v>
      </c>
      <c r="AB208" s="157">
        <f>'Quantitativos (A)'!Z208*$D208*$E208</f>
        <v>91.62</v>
      </c>
      <c r="AC208" s="157">
        <f>'Quantitativos (A)'!AA208*$D208*$E208</f>
        <v>91.62</v>
      </c>
      <c r="AD208" s="157">
        <f>'Quantitativos (A)'!AB208*$D208*$E208</f>
        <v>91.62</v>
      </c>
      <c r="AE208" s="157">
        <f>'Quantitativos (A)'!AC208*$D208*$E208</f>
        <v>91.62</v>
      </c>
      <c r="AF208" s="157">
        <f>'Quantitativos (A)'!AD208*$D208*$E208</f>
        <v>91.62</v>
      </c>
      <c r="AG208" s="157">
        <f>'Quantitativos (A)'!AE208*$D208*$E208</f>
        <v>91.62</v>
      </c>
      <c r="AH208" s="157">
        <f>'Quantitativos (A)'!AF208*$D208*$E208</f>
        <v>91.62</v>
      </c>
      <c r="AI208" s="158">
        <f>'Quantitativos (A)'!AG208*$D208*$E208</f>
        <v>91.62</v>
      </c>
      <c r="AJ208" s="22"/>
    </row>
    <row r="209" spans="1:36" ht="38.25" x14ac:dyDescent="0.25">
      <c r="A209" s="112"/>
      <c r="B209" s="134" t="s">
        <v>311</v>
      </c>
      <c r="C209" s="133" t="s">
        <v>64</v>
      </c>
      <c r="D209" s="157">
        <f>'Dados (F)'!$D$96</f>
        <v>6.45</v>
      </c>
      <c r="E209" s="133">
        <f>IF('Dados (F)'!$D$35=1,1,IF('Dados (F)'!$D$35=2,'Dados (F)'!$C$39,1))</f>
        <v>1</v>
      </c>
      <c r="F209" s="157">
        <f>'Quantitativos (A)'!D209*$D209*$E209</f>
        <v>309.60000000000002</v>
      </c>
      <c r="G209" s="157">
        <f>'Quantitativos (A)'!E209*$D209*$E209</f>
        <v>348.3</v>
      </c>
      <c r="H209" s="157">
        <f>'Quantitativos (A)'!F209*$D209*$E209</f>
        <v>309.60000000000002</v>
      </c>
      <c r="I209" s="157">
        <f>'Quantitativos (A)'!G209*$D209*$E209</f>
        <v>309.60000000000002</v>
      </c>
      <c r="J209" s="157">
        <f>'Quantitativos (A)'!H209*$D209*$E209</f>
        <v>348.3</v>
      </c>
      <c r="K209" s="157">
        <f>'Quantitativos (A)'!I209*$D209*$E209</f>
        <v>309.60000000000002</v>
      </c>
      <c r="L209" s="157">
        <f>'Quantitativos (A)'!J209*$D209*$E209</f>
        <v>309.60000000000002</v>
      </c>
      <c r="M209" s="157">
        <f>'Quantitativos (A)'!K209*$D209*$E209</f>
        <v>309.60000000000002</v>
      </c>
      <c r="N209" s="157">
        <f>'Quantitativos (A)'!L209*$D209*$E209</f>
        <v>309.60000000000002</v>
      </c>
      <c r="O209" s="157">
        <f>'Quantitativos (A)'!M209*$D209*$E209</f>
        <v>309.60000000000002</v>
      </c>
      <c r="P209" s="157">
        <f>'Quantitativos (A)'!N209*$D209*$E209</f>
        <v>309.60000000000002</v>
      </c>
      <c r="Q209" s="157">
        <f>'Quantitativos (A)'!O209*$D209*$E209</f>
        <v>309.60000000000002</v>
      </c>
      <c r="R209" s="157">
        <f>'Quantitativos (A)'!P209*$D209*$E209</f>
        <v>309.60000000000002</v>
      </c>
      <c r="S209" s="157">
        <f>'Quantitativos (A)'!Q209*$D209*$E209</f>
        <v>309.60000000000002</v>
      </c>
      <c r="T209" s="157">
        <f>'Quantitativos (A)'!R209*$D209*$E209</f>
        <v>309.60000000000002</v>
      </c>
      <c r="U209" s="157">
        <f>'Quantitativos (A)'!S209*$D209*$E209</f>
        <v>309.60000000000002</v>
      </c>
      <c r="V209" s="157">
        <f>'Quantitativos (A)'!T209*$D209*$E209</f>
        <v>309.60000000000002</v>
      </c>
      <c r="W209" s="157">
        <f>'Quantitativos (A)'!U209*$D209*$E209</f>
        <v>309.60000000000002</v>
      </c>
      <c r="X209" s="157">
        <f>'Quantitativos (A)'!V209*$D209*$E209</f>
        <v>309.60000000000002</v>
      </c>
      <c r="Y209" s="157">
        <f>'Quantitativos (A)'!W209*$D209*$E209</f>
        <v>309.60000000000002</v>
      </c>
      <c r="Z209" s="157">
        <f>'Quantitativos (A)'!X209*$D209*$E209</f>
        <v>193.5</v>
      </c>
      <c r="AA209" s="157">
        <f>'Quantitativos (A)'!Y209*$D209*$E209</f>
        <v>232.20000000000002</v>
      </c>
      <c r="AB209" s="157">
        <f>'Quantitativos (A)'!Z209*$D209*$E209</f>
        <v>193.5</v>
      </c>
      <c r="AC209" s="157">
        <f>'Quantitativos (A)'!AA209*$D209*$E209</f>
        <v>193.5</v>
      </c>
      <c r="AD209" s="157">
        <f>'Quantitativos (A)'!AB209*$D209*$E209</f>
        <v>232.20000000000002</v>
      </c>
      <c r="AE209" s="157">
        <f>'Quantitativos (A)'!AC209*$D209*$E209</f>
        <v>193.5</v>
      </c>
      <c r="AF209" s="157">
        <f>'Quantitativos (A)'!AD209*$D209*$E209</f>
        <v>193.5</v>
      </c>
      <c r="AG209" s="157">
        <f>'Quantitativos (A)'!AE209*$D209*$E209</f>
        <v>193.5</v>
      </c>
      <c r="AH209" s="157">
        <f>'Quantitativos (A)'!AF209*$D209*$E209</f>
        <v>193.5</v>
      </c>
      <c r="AI209" s="158">
        <f>'Quantitativos (A)'!AG209*$D209*$E209</f>
        <v>193.5</v>
      </c>
      <c r="AJ209" s="22"/>
    </row>
    <row r="210" spans="1:36" ht="38.25" x14ac:dyDescent="0.25">
      <c r="A210" s="112"/>
      <c r="B210" s="134" t="s">
        <v>312</v>
      </c>
      <c r="C210" s="133" t="s">
        <v>64</v>
      </c>
      <c r="D210" s="157">
        <f>'Dados (F)'!$D$97</f>
        <v>7.77</v>
      </c>
      <c r="E210" s="133">
        <f>IF('Dados (F)'!$D$35=1,1,IF('Dados (F)'!$D$35=2,'Dados (F)'!$C$39,1))</f>
        <v>1</v>
      </c>
      <c r="F210" s="157">
        <f>'Quantitativos (A)'!D210*$D210*$E210</f>
        <v>139.85999999999999</v>
      </c>
      <c r="G210" s="157">
        <f>'Quantitativos (A)'!E210*$D210*$E210</f>
        <v>139.85999999999999</v>
      </c>
      <c r="H210" s="157">
        <f>'Quantitativos (A)'!F210*$D210*$E210</f>
        <v>139.85999999999999</v>
      </c>
      <c r="I210" s="157">
        <f>'Quantitativos (A)'!G210*$D210*$E210</f>
        <v>139.85999999999999</v>
      </c>
      <c r="J210" s="157">
        <f>'Quantitativos (A)'!H210*$D210*$E210</f>
        <v>139.85999999999999</v>
      </c>
      <c r="K210" s="157">
        <f>'Quantitativos (A)'!I210*$D210*$E210</f>
        <v>139.85999999999999</v>
      </c>
      <c r="L210" s="157">
        <f>'Quantitativos (A)'!J210*$D210*$E210</f>
        <v>139.85999999999999</v>
      </c>
      <c r="M210" s="157">
        <f>'Quantitativos (A)'!K210*$D210*$E210</f>
        <v>139.85999999999999</v>
      </c>
      <c r="N210" s="157">
        <f>'Quantitativos (A)'!L210*$D210*$E210</f>
        <v>139.85999999999999</v>
      </c>
      <c r="O210" s="157">
        <f>'Quantitativos (A)'!M210*$D210*$E210</f>
        <v>139.85999999999999</v>
      </c>
      <c r="P210" s="157">
        <f>'Quantitativos (A)'!N210*$D210*$E210</f>
        <v>139.85999999999999</v>
      </c>
      <c r="Q210" s="157">
        <f>'Quantitativos (A)'!O210*$D210*$E210</f>
        <v>139.85999999999999</v>
      </c>
      <c r="R210" s="157">
        <f>'Quantitativos (A)'!P210*$D210*$E210</f>
        <v>139.85999999999999</v>
      </c>
      <c r="S210" s="157">
        <f>'Quantitativos (A)'!Q210*$D210*$E210</f>
        <v>139.85999999999999</v>
      </c>
      <c r="T210" s="157">
        <f>'Quantitativos (A)'!R210*$D210*$E210</f>
        <v>139.85999999999999</v>
      </c>
      <c r="U210" s="157">
        <f>'Quantitativos (A)'!S210*$D210*$E210</f>
        <v>139.85999999999999</v>
      </c>
      <c r="V210" s="157">
        <f>'Quantitativos (A)'!T210*$D210*$E210</f>
        <v>139.85999999999999</v>
      </c>
      <c r="W210" s="157">
        <f>'Quantitativos (A)'!U210*$D210*$E210</f>
        <v>139.85999999999999</v>
      </c>
      <c r="X210" s="157">
        <f>'Quantitativos (A)'!V210*$D210*$E210</f>
        <v>139.85999999999999</v>
      </c>
      <c r="Y210" s="157">
        <f>'Quantitativos (A)'!W210*$D210*$E210</f>
        <v>139.85999999999999</v>
      </c>
      <c r="Z210" s="157">
        <f>'Quantitativos (A)'!X210*$D210*$E210</f>
        <v>139.85999999999999</v>
      </c>
      <c r="AA210" s="157">
        <f>'Quantitativos (A)'!Y210*$D210*$E210</f>
        <v>139.85999999999999</v>
      </c>
      <c r="AB210" s="157">
        <f>'Quantitativos (A)'!Z210*$D210*$E210</f>
        <v>139.85999999999999</v>
      </c>
      <c r="AC210" s="157">
        <f>'Quantitativos (A)'!AA210*$D210*$E210</f>
        <v>139.85999999999999</v>
      </c>
      <c r="AD210" s="157">
        <f>'Quantitativos (A)'!AB210*$D210*$E210</f>
        <v>139.85999999999999</v>
      </c>
      <c r="AE210" s="157">
        <f>'Quantitativos (A)'!AC210*$D210*$E210</f>
        <v>139.85999999999999</v>
      </c>
      <c r="AF210" s="157">
        <f>'Quantitativos (A)'!AD210*$D210*$E210</f>
        <v>139.85999999999999</v>
      </c>
      <c r="AG210" s="157">
        <f>'Quantitativos (A)'!AE210*$D210*$E210</f>
        <v>139.85999999999999</v>
      </c>
      <c r="AH210" s="157">
        <f>'Quantitativos (A)'!AF210*$D210*$E210</f>
        <v>139.85999999999999</v>
      </c>
      <c r="AI210" s="158">
        <f>'Quantitativos (A)'!AG210*$D210*$E210</f>
        <v>139.85999999999999</v>
      </c>
      <c r="AJ210" s="22"/>
    </row>
    <row r="211" spans="1:36" ht="38.25" x14ac:dyDescent="0.25">
      <c r="A211" s="112"/>
      <c r="B211" s="134" t="s">
        <v>313</v>
      </c>
      <c r="C211" s="133" t="s">
        <v>64</v>
      </c>
      <c r="D211" s="157">
        <f>'Dados (F)'!$D$98</f>
        <v>9.15</v>
      </c>
      <c r="E211" s="133">
        <f>IF('Dados (F)'!$D$35=1,1,IF('Dados (F)'!$D$35=2,'Dados (F)'!$C$39,1))</f>
        <v>1</v>
      </c>
      <c r="F211" s="157">
        <f>'Quantitativos (A)'!D211*$D211*$E211</f>
        <v>0</v>
      </c>
      <c r="G211" s="157">
        <f>'Quantitativos (A)'!E211*$D211*$E211</f>
        <v>0</v>
      </c>
      <c r="H211" s="157">
        <f>'Quantitativos (A)'!F211*$D211*$E211</f>
        <v>0</v>
      </c>
      <c r="I211" s="157">
        <f>'Quantitativos (A)'!G211*$D211*$E211</f>
        <v>0</v>
      </c>
      <c r="J211" s="157">
        <f>'Quantitativos (A)'!H211*$D211*$E211</f>
        <v>0</v>
      </c>
      <c r="K211" s="157">
        <f>'Quantitativos (A)'!I211*$D211*$E211</f>
        <v>0</v>
      </c>
      <c r="L211" s="157">
        <f>'Quantitativos (A)'!J211*$D211*$E211</f>
        <v>0</v>
      </c>
      <c r="M211" s="157">
        <f>'Quantitativos (A)'!K211*$D211*$E211</f>
        <v>0</v>
      </c>
      <c r="N211" s="157">
        <f>'Quantitativos (A)'!L211*$D211*$E211</f>
        <v>0</v>
      </c>
      <c r="O211" s="157">
        <f>'Quantitativos (A)'!M211*$D211*$E211</f>
        <v>0</v>
      </c>
      <c r="P211" s="157">
        <f>'Quantitativos (A)'!N211*$D211*$E211</f>
        <v>54.900000000000006</v>
      </c>
      <c r="Q211" s="157">
        <f>'Quantitativos (A)'!O211*$D211*$E211</f>
        <v>54.900000000000006</v>
      </c>
      <c r="R211" s="157">
        <f>'Quantitativos (A)'!P211*$D211*$E211</f>
        <v>54.900000000000006</v>
      </c>
      <c r="S211" s="157">
        <f>'Quantitativos (A)'!Q211*$D211*$E211</f>
        <v>54.900000000000006</v>
      </c>
      <c r="T211" s="157">
        <f>'Quantitativos (A)'!R211*$D211*$E211</f>
        <v>54.900000000000006</v>
      </c>
      <c r="U211" s="157">
        <f>'Quantitativos (A)'!S211*$D211*$E211</f>
        <v>54.900000000000006</v>
      </c>
      <c r="V211" s="157">
        <f>'Quantitativos (A)'!T211*$D211*$E211</f>
        <v>54.900000000000006</v>
      </c>
      <c r="W211" s="157">
        <f>'Quantitativos (A)'!U211*$D211*$E211</f>
        <v>54.900000000000006</v>
      </c>
      <c r="X211" s="157">
        <f>'Quantitativos (A)'!V211*$D211*$E211</f>
        <v>54.900000000000006</v>
      </c>
      <c r="Y211" s="157">
        <f>'Quantitativos (A)'!W211*$D211*$E211</f>
        <v>54.900000000000006</v>
      </c>
      <c r="Z211" s="157">
        <f>'Quantitativos (A)'!X211*$D211*$E211</f>
        <v>0</v>
      </c>
      <c r="AA211" s="157">
        <f>'Quantitativos (A)'!Y211*$D211*$E211</f>
        <v>0</v>
      </c>
      <c r="AB211" s="157">
        <f>'Quantitativos (A)'!Z211*$D211*$E211</f>
        <v>0</v>
      </c>
      <c r="AC211" s="157">
        <f>'Quantitativos (A)'!AA211*$D211*$E211</f>
        <v>0</v>
      </c>
      <c r="AD211" s="157">
        <f>'Quantitativos (A)'!AB211*$D211*$E211</f>
        <v>0</v>
      </c>
      <c r="AE211" s="157">
        <f>'Quantitativos (A)'!AC211*$D211*$E211</f>
        <v>0</v>
      </c>
      <c r="AF211" s="157">
        <f>'Quantitativos (A)'!AD211*$D211*$E211</f>
        <v>0</v>
      </c>
      <c r="AG211" s="157">
        <f>'Quantitativos (A)'!AE211*$D211*$E211</f>
        <v>0</v>
      </c>
      <c r="AH211" s="157">
        <f>'Quantitativos (A)'!AF211*$D211*$E211</f>
        <v>0</v>
      </c>
      <c r="AI211" s="158">
        <f>'Quantitativos (A)'!AG211*$D211*$E211</f>
        <v>0</v>
      </c>
      <c r="AJ211" s="22"/>
    </row>
    <row r="212" spans="1:36" ht="38.25" x14ac:dyDescent="0.25">
      <c r="A212" s="112"/>
      <c r="B212" s="134" t="s">
        <v>314</v>
      </c>
      <c r="C212" s="133" t="s">
        <v>64</v>
      </c>
      <c r="D212" s="157">
        <f>'Dados (F)'!$D$99</f>
        <v>10.5</v>
      </c>
      <c r="E212" s="133">
        <f>IF('Dados (F)'!$D$35=1,1,IF('Dados (F)'!$D$35=2,'Dados (F)'!$C$39,1))</f>
        <v>1</v>
      </c>
      <c r="F212" s="157">
        <f>'Quantitativos (A)'!D212*$D212*$E212</f>
        <v>0</v>
      </c>
      <c r="G212" s="157">
        <f>'Quantitativos (A)'!E212*$D212*$E212</f>
        <v>0</v>
      </c>
      <c r="H212" s="157">
        <f>'Quantitativos (A)'!F212*$D212*$E212</f>
        <v>0</v>
      </c>
      <c r="I212" s="157">
        <f>'Quantitativos (A)'!G212*$D212*$E212</f>
        <v>0</v>
      </c>
      <c r="J212" s="157">
        <f>'Quantitativos (A)'!H212*$D212*$E212</f>
        <v>0</v>
      </c>
      <c r="K212" s="157">
        <f>'Quantitativos (A)'!I212*$D212*$E212</f>
        <v>0</v>
      </c>
      <c r="L212" s="157">
        <f>'Quantitativos (A)'!J212*$D212*$E212</f>
        <v>0</v>
      </c>
      <c r="M212" s="157">
        <f>'Quantitativos (A)'!K212*$D212*$E212</f>
        <v>0</v>
      </c>
      <c r="N212" s="157">
        <f>'Quantitativos (A)'!L212*$D212*$E212</f>
        <v>0</v>
      </c>
      <c r="O212" s="157">
        <f>'Quantitativos (A)'!M212*$D212*$E212</f>
        <v>0</v>
      </c>
      <c r="P212" s="157">
        <f>'Quantitativos (A)'!N212*$D212*$E212</f>
        <v>63</v>
      </c>
      <c r="Q212" s="157">
        <f>'Quantitativos (A)'!O212*$D212*$E212</f>
        <v>63</v>
      </c>
      <c r="R212" s="157">
        <f>'Quantitativos (A)'!P212*$D212*$E212</f>
        <v>63</v>
      </c>
      <c r="S212" s="157">
        <f>'Quantitativos (A)'!Q212*$D212*$E212</f>
        <v>63</v>
      </c>
      <c r="T212" s="157">
        <f>'Quantitativos (A)'!R212*$D212*$E212</f>
        <v>63</v>
      </c>
      <c r="U212" s="157">
        <f>'Quantitativos (A)'!S212*$D212*$E212</f>
        <v>63</v>
      </c>
      <c r="V212" s="157">
        <f>'Quantitativos (A)'!T212*$D212*$E212</f>
        <v>63</v>
      </c>
      <c r="W212" s="157">
        <f>'Quantitativos (A)'!U212*$D212*$E212</f>
        <v>63</v>
      </c>
      <c r="X212" s="157">
        <f>'Quantitativos (A)'!V212*$D212*$E212</f>
        <v>63</v>
      </c>
      <c r="Y212" s="157">
        <f>'Quantitativos (A)'!W212*$D212*$E212</f>
        <v>63</v>
      </c>
      <c r="Z212" s="157">
        <f>'Quantitativos (A)'!X212*$D212*$E212</f>
        <v>0</v>
      </c>
      <c r="AA212" s="157">
        <f>'Quantitativos (A)'!Y212*$D212*$E212</f>
        <v>0</v>
      </c>
      <c r="AB212" s="157">
        <f>'Quantitativos (A)'!Z212*$D212*$E212</f>
        <v>0</v>
      </c>
      <c r="AC212" s="157">
        <f>'Quantitativos (A)'!AA212*$D212*$E212</f>
        <v>0</v>
      </c>
      <c r="AD212" s="157">
        <f>'Quantitativos (A)'!AB212*$D212*$E212</f>
        <v>0</v>
      </c>
      <c r="AE212" s="157">
        <f>'Quantitativos (A)'!AC212*$D212*$E212</f>
        <v>0</v>
      </c>
      <c r="AF212" s="157">
        <f>'Quantitativos (A)'!AD212*$D212*$E212</f>
        <v>0</v>
      </c>
      <c r="AG212" s="157">
        <f>'Quantitativos (A)'!AE212*$D212*$E212</f>
        <v>0</v>
      </c>
      <c r="AH212" s="157">
        <f>'Quantitativos (A)'!AF212*$D212*$E212</f>
        <v>0</v>
      </c>
      <c r="AI212" s="158">
        <f>'Quantitativos (A)'!AG212*$D212*$E212</f>
        <v>0</v>
      </c>
      <c r="AJ212" s="22"/>
    </row>
    <row r="213" spans="1:36" ht="38.25" x14ac:dyDescent="0.25">
      <c r="A213" s="112"/>
      <c r="B213" s="134" t="s">
        <v>316</v>
      </c>
      <c r="C213" s="133" t="s">
        <v>64</v>
      </c>
      <c r="D213" s="157">
        <f>'Dados (F)'!$D$101</f>
        <v>13.22</v>
      </c>
      <c r="E213" s="133">
        <f>IF('Dados (F)'!$D$35=1,1,IF('Dados (F)'!$D$35=2,'Dados (F)'!$C$39,1))</f>
        <v>1</v>
      </c>
      <c r="F213" s="157">
        <f>'Quantitativos (A)'!D213*$D213*$E213</f>
        <v>0</v>
      </c>
      <c r="G213" s="157">
        <f>'Quantitativos (A)'!E213*$D213*$E213</f>
        <v>0</v>
      </c>
      <c r="H213" s="157">
        <f>'Quantitativos (A)'!F213*$D213*$E213</f>
        <v>0</v>
      </c>
      <c r="I213" s="157">
        <f>'Quantitativos (A)'!G213*$D213*$E213</f>
        <v>0</v>
      </c>
      <c r="J213" s="157">
        <f>'Quantitativos (A)'!H213*$D213*$E213</f>
        <v>0</v>
      </c>
      <c r="K213" s="157">
        <f>'Quantitativos (A)'!I213*$D213*$E213</f>
        <v>0</v>
      </c>
      <c r="L213" s="157">
        <f>'Quantitativos (A)'!J213*$D213*$E213</f>
        <v>0</v>
      </c>
      <c r="M213" s="157">
        <f>'Quantitativos (A)'!K213*$D213*$E213</f>
        <v>0</v>
      </c>
      <c r="N213" s="157">
        <f>'Quantitativos (A)'!L213*$D213*$E213</f>
        <v>0</v>
      </c>
      <c r="O213" s="157">
        <f>'Quantitativos (A)'!M213*$D213*$E213</f>
        <v>0</v>
      </c>
      <c r="P213" s="157">
        <f>'Quantitativos (A)'!N213*$D213*$E213</f>
        <v>0</v>
      </c>
      <c r="Q213" s="157">
        <f>'Quantitativos (A)'!O213*$D213*$E213</f>
        <v>0</v>
      </c>
      <c r="R213" s="157">
        <f>'Quantitativos (A)'!P213*$D213*$E213</f>
        <v>0</v>
      </c>
      <c r="S213" s="157">
        <f>'Quantitativos (A)'!Q213*$D213*$E213</f>
        <v>0</v>
      </c>
      <c r="T213" s="157">
        <f>'Quantitativos (A)'!R213*$D213*$E213</f>
        <v>0</v>
      </c>
      <c r="U213" s="157">
        <f>'Quantitativos (A)'!S213*$D213*$E213</f>
        <v>0</v>
      </c>
      <c r="V213" s="157">
        <f>'Quantitativos (A)'!T213*$D213*$E213</f>
        <v>0</v>
      </c>
      <c r="W213" s="157">
        <f>'Quantitativos (A)'!U213*$D213*$E213</f>
        <v>0</v>
      </c>
      <c r="X213" s="157">
        <f>'Quantitativos (A)'!V213*$D213*$E213</f>
        <v>0</v>
      </c>
      <c r="Y213" s="157">
        <f>'Quantitativos (A)'!W213*$D213*$E213</f>
        <v>0</v>
      </c>
      <c r="Z213" s="157">
        <f>'Quantitativos (A)'!X213*$D213*$E213</f>
        <v>0</v>
      </c>
      <c r="AA213" s="157">
        <f>'Quantitativos (A)'!Y213*$D213*$E213</f>
        <v>0</v>
      </c>
      <c r="AB213" s="157">
        <f>'Quantitativos (A)'!Z213*$D213*$E213</f>
        <v>0</v>
      </c>
      <c r="AC213" s="157">
        <f>'Quantitativos (A)'!AA213*$D213*$E213</f>
        <v>0</v>
      </c>
      <c r="AD213" s="157">
        <f>'Quantitativos (A)'!AB213*$D213*$E213</f>
        <v>0</v>
      </c>
      <c r="AE213" s="157">
        <f>'Quantitativos (A)'!AC213*$D213*$E213</f>
        <v>0</v>
      </c>
      <c r="AF213" s="157">
        <f>'Quantitativos (A)'!AD213*$D213*$E213</f>
        <v>0</v>
      </c>
      <c r="AG213" s="157">
        <f>'Quantitativos (A)'!AE213*$D213*$E213</f>
        <v>0</v>
      </c>
      <c r="AH213" s="157">
        <f>'Quantitativos (A)'!AF213*$D213*$E213</f>
        <v>0</v>
      </c>
      <c r="AI213" s="158">
        <f>'Quantitativos (A)'!AG213*$D213*$E213</f>
        <v>0</v>
      </c>
      <c r="AJ213" s="22"/>
    </row>
    <row r="214" spans="1:36" x14ac:dyDescent="0.25">
      <c r="A214" s="112"/>
      <c r="B214" s="134" t="s">
        <v>234</v>
      </c>
      <c r="C214" s="133" t="s">
        <v>64</v>
      </c>
      <c r="D214" s="157">
        <f>'Dados (F)'!$D$143</f>
        <v>242.78</v>
      </c>
      <c r="E214" s="133">
        <f>IF('Dados (F)'!$D$35=1,1,'Dados (F)'!$C$39)</f>
        <v>1</v>
      </c>
      <c r="F214" s="157">
        <f>'Quantitativos (A)'!D214*$D214*$E214</f>
        <v>2913.36</v>
      </c>
      <c r="G214" s="157">
        <f>'Quantitativos (A)'!E214*$D214*$E214</f>
        <v>2913.36</v>
      </c>
      <c r="H214" s="157">
        <f>'Quantitativos (A)'!F214*$D214*$E214</f>
        <v>2913.36</v>
      </c>
      <c r="I214" s="157">
        <f>'Quantitativos (A)'!G214*$D214*$E214</f>
        <v>2913.36</v>
      </c>
      <c r="J214" s="157">
        <f>'Quantitativos (A)'!H214*$D214*$E214</f>
        <v>2913.36</v>
      </c>
      <c r="K214" s="157">
        <f>'Quantitativos (A)'!I214*$D214*$E214</f>
        <v>2913.36</v>
      </c>
      <c r="L214" s="157">
        <f>'Quantitativos (A)'!J214*$D214*$E214</f>
        <v>2913.36</v>
      </c>
      <c r="M214" s="157">
        <f>'Quantitativos (A)'!K214*$D214*$E214</f>
        <v>2913.36</v>
      </c>
      <c r="N214" s="157">
        <f>'Quantitativos (A)'!L214*$D214*$E214</f>
        <v>2913.36</v>
      </c>
      <c r="O214" s="157">
        <f>'Quantitativos (A)'!M214*$D214*$E214</f>
        <v>2913.36</v>
      </c>
      <c r="P214" s="157">
        <f>'Quantitativos (A)'!N214*$D214*$E214</f>
        <v>2913.36</v>
      </c>
      <c r="Q214" s="157">
        <f>'Quantitativos (A)'!O214*$D214*$E214</f>
        <v>2913.36</v>
      </c>
      <c r="R214" s="157">
        <f>'Quantitativos (A)'!P214*$D214*$E214</f>
        <v>2913.36</v>
      </c>
      <c r="S214" s="157">
        <f>'Quantitativos (A)'!Q214*$D214*$E214</f>
        <v>2913.36</v>
      </c>
      <c r="T214" s="157">
        <f>'Quantitativos (A)'!R214*$D214*$E214</f>
        <v>2913.36</v>
      </c>
      <c r="U214" s="157">
        <f>'Quantitativos (A)'!S214*$D214*$E214</f>
        <v>2913.36</v>
      </c>
      <c r="V214" s="157">
        <f>'Quantitativos (A)'!T214*$D214*$E214</f>
        <v>2913.36</v>
      </c>
      <c r="W214" s="157">
        <f>'Quantitativos (A)'!U214*$D214*$E214</f>
        <v>2913.36</v>
      </c>
      <c r="X214" s="157">
        <f>'Quantitativos (A)'!V214*$D214*$E214</f>
        <v>2913.36</v>
      </c>
      <c r="Y214" s="157">
        <f>'Quantitativos (A)'!W214*$D214*$E214</f>
        <v>2913.36</v>
      </c>
      <c r="Z214" s="157">
        <f>'Quantitativos (A)'!X214*$D214*$E214</f>
        <v>4370.04</v>
      </c>
      <c r="AA214" s="157">
        <f>'Quantitativos (A)'!Y214*$D214*$E214</f>
        <v>4370.04</v>
      </c>
      <c r="AB214" s="157">
        <f>'Quantitativos (A)'!Z214*$D214*$E214</f>
        <v>4370.04</v>
      </c>
      <c r="AC214" s="157">
        <f>'Quantitativos (A)'!AA214*$D214*$E214</f>
        <v>4370.04</v>
      </c>
      <c r="AD214" s="157">
        <f>'Quantitativos (A)'!AB214*$D214*$E214</f>
        <v>4370.04</v>
      </c>
      <c r="AE214" s="157">
        <f>'Quantitativos (A)'!AC214*$D214*$E214</f>
        <v>4370.04</v>
      </c>
      <c r="AF214" s="157">
        <f>'Quantitativos (A)'!AD214*$D214*$E214</f>
        <v>4370.04</v>
      </c>
      <c r="AG214" s="157">
        <f>'Quantitativos (A)'!AE214*$D214*$E214</f>
        <v>4370.04</v>
      </c>
      <c r="AH214" s="157">
        <f>'Quantitativos (A)'!AF214*$D214*$E214</f>
        <v>4370.04</v>
      </c>
      <c r="AI214" s="158">
        <f>'Quantitativos (A)'!AG214*$D214*$E214</f>
        <v>4370.04</v>
      </c>
      <c r="AJ214" s="22"/>
    </row>
    <row r="215" spans="1:36" x14ac:dyDescent="0.25">
      <c r="A215" s="112"/>
      <c r="B215" s="134" t="s">
        <v>235</v>
      </c>
      <c r="C215" s="133" t="s">
        <v>64</v>
      </c>
      <c r="D215" s="157">
        <f>'Dados (F)'!$D$144</f>
        <v>281.75</v>
      </c>
      <c r="E215" s="133">
        <f>IF('Dados (F)'!$D$35=1,1,'Dados (F)'!$C$39)</f>
        <v>1</v>
      </c>
      <c r="F215" s="157">
        <f>'Quantitativos (A)'!D215*$D215*$E215</f>
        <v>13524</v>
      </c>
      <c r="G215" s="157">
        <f>'Quantitativos (A)'!E215*$D215*$E215</f>
        <v>15214.5</v>
      </c>
      <c r="H215" s="157">
        <f>'Quantitativos (A)'!F215*$D215*$E215</f>
        <v>13524</v>
      </c>
      <c r="I215" s="157">
        <f>'Quantitativos (A)'!G215*$D215*$E215</f>
        <v>13524</v>
      </c>
      <c r="J215" s="157">
        <f>'Quantitativos (A)'!H215*$D215*$E215</f>
        <v>15214.5</v>
      </c>
      <c r="K215" s="157">
        <f>'Quantitativos (A)'!I215*$D215*$E215</f>
        <v>13524</v>
      </c>
      <c r="L215" s="157">
        <f>'Quantitativos (A)'!J215*$D215*$E215</f>
        <v>13524</v>
      </c>
      <c r="M215" s="157">
        <f>'Quantitativos (A)'!K215*$D215*$E215</f>
        <v>13524</v>
      </c>
      <c r="N215" s="157">
        <f>'Quantitativos (A)'!L215*$D215*$E215</f>
        <v>13524</v>
      </c>
      <c r="O215" s="157">
        <f>'Quantitativos (A)'!M215*$D215*$E215</f>
        <v>13524</v>
      </c>
      <c r="P215" s="157">
        <f>'Quantitativos (A)'!N215*$D215*$E215</f>
        <v>13524</v>
      </c>
      <c r="Q215" s="157">
        <f>'Quantitativos (A)'!O215*$D215*$E215</f>
        <v>13524</v>
      </c>
      <c r="R215" s="157">
        <f>'Quantitativos (A)'!P215*$D215*$E215</f>
        <v>13524</v>
      </c>
      <c r="S215" s="157">
        <f>'Quantitativos (A)'!Q215*$D215*$E215</f>
        <v>13524</v>
      </c>
      <c r="T215" s="157">
        <f>'Quantitativos (A)'!R215*$D215*$E215</f>
        <v>13524</v>
      </c>
      <c r="U215" s="157">
        <f>'Quantitativos (A)'!S215*$D215*$E215</f>
        <v>13524</v>
      </c>
      <c r="V215" s="157">
        <f>'Quantitativos (A)'!T215*$D215*$E215</f>
        <v>13524</v>
      </c>
      <c r="W215" s="157">
        <f>'Quantitativos (A)'!U215*$D215*$E215</f>
        <v>13524</v>
      </c>
      <c r="X215" s="157">
        <f>'Quantitativos (A)'!V215*$D215*$E215</f>
        <v>13524</v>
      </c>
      <c r="Y215" s="157">
        <f>'Quantitativos (A)'!W215*$D215*$E215</f>
        <v>13524</v>
      </c>
      <c r="Z215" s="157">
        <f>'Quantitativos (A)'!X215*$D215*$E215</f>
        <v>8452.5</v>
      </c>
      <c r="AA215" s="157">
        <f>'Quantitativos (A)'!Y215*$D215*$E215</f>
        <v>10143</v>
      </c>
      <c r="AB215" s="157">
        <f>'Quantitativos (A)'!Z215*$D215*$E215</f>
        <v>8452.5</v>
      </c>
      <c r="AC215" s="157">
        <f>'Quantitativos (A)'!AA215*$D215*$E215</f>
        <v>8452.5</v>
      </c>
      <c r="AD215" s="157">
        <f>'Quantitativos (A)'!AB215*$D215*$E215</f>
        <v>10143</v>
      </c>
      <c r="AE215" s="157">
        <f>'Quantitativos (A)'!AC215*$D215*$E215</f>
        <v>8452.5</v>
      </c>
      <c r="AF215" s="157">
        <f>'Quantitativos (A)'!AD215*$D215*$E215</f>
        <v>8452.5</v>
      </c>
      <c r="AG215" s="157">
        <f>'Quantitativos (A)'!AE215*$D215*$E215</f>
        <v>8452.5</v>
      </c>
      <c r="AH215" s="157">
        <f>'Quantitativos (A)'!AF215*$D215*$E215</f>
        <v>8452.5</v>
      </c>
      <c r="AI215" s="158">
        <f>'Quantitativos (A)'!AG215*$D215*$E215</f>
        <v>8452.5</v>
      </c>
      <c r="AJ215" s="22"/>
    </row>
    <row r="216" spans="1:36" x14ac:dyDescent="0.25">
      <c r="A216" s="112"/>
      <c r="B216" s="134" t="s">
        <v>236</v>
      </c>
      <c r="C216" s="133" t="s">
        <v>64</v>
      </c>
      <c r="D216" s="157">
        <f>'Dados (F)'!$D$145</f>
        <v>355.9</v>
      </c>
      <c r="E216" s="133">
        <f>IF('Dados (F)'!$D$35=1,1,'Dados (F)'!$C$39)</f>
        <v>1</v>
      </c>
      <c r="F216" s="157">
        <f>'Quantitativos (A)'!D216*$D216*$E216</f>
        <v>6406.2</v>
      </c>
      <c r="G216" s="157">
        <f>'Quantitativos (A)'!E216*$D216*$E216</f>
        <v>6406.2</v>
      </c>
      <c r="H216" s="157">
        <f>'Quantitativos (A)'!F216*$D216*$E216</f>
        <v>6406.2</v>
      </c>
      <c r="I216" s="157">
        <f>'Quantitativos (A)'!G216*$D216*$E216</f>
        <v>6406.2</v>
      </c>
      <c r="J216" s="157">
        <f>'Quantitativos (A)'!H216*$D216*$E216</f>
        <v>6406.2</v>
      </c>
      <c r="K216" s="157">
        <f>'Quantitativos (A)'!I216*$D216*$E216</f>
        <v>6406.2</v>
      </c>
      <c r="L216" s="157">
        <f>'Quantitativos (A)'!J216*$D216*$E216</f>
        <v>6406.2</v>
      </c>
      <c r="M216" s="157">
        <f>'Quantitativos (A)'!K216*$D216*$E216</f>
        <v>6406.2</v>
      </c>
      <c r="N216" s="157">
        <f>'Quantitativos (A)'!L216*$D216*$E216</f>
        <v>6406.2</v>
      </c>
      <c r="O216" s="157">
        <f>'Quantitativos (A)'!M216*$D216*$E216</f>
        <v>6406.2</v>
      </c>
      <c r="P216" s="157">
        <f>'Quantitativos (A)'!N216*$D216*$E216</f>
        <v>6406.2</v>
      </c>
      <c r="Q216" s="157">
        <f>'Quantitativos (A)'!O216*$D216*$E216</f>
        <v>6406.2</v>
      </c>
      <c r="R216" s="157">
        <f>'Quantitativos (A)'!P216*$D216*$E216</f>
        <v>6406.2</v>
      </c>
      <c r="S216" s="157">
        <f>'Quantitativos (A)'!Q216*$D216*$E216</f>
        <v>6406.2</v>
      </c>
      <c r="T216" s="157">
        <f>'Quantitativos (A)'!R216*$D216*$E216</f>
        <v>6406.2</v>
      </c>
      <c r="U216" s="157">
        <f>'Quantitativos (A)'!S216*$D216*$E216</f>
        <v>6406.2</v>
      </c>
      <c r="V216" s="157">
        <f>'Quantitativos (A)'!T216*$D216*$E216</f>
        <v>6406.2</v>
      </c>
      <c r="W216" s="157">
        <f>'Quantitativos (A)'!U216*$D216*$E216</f>
        <v>6406.2</v>
      </c>
      <c r="X216" s="157">
        <f>'Quantitativos (A)'!V216*$D216*$E216</f>
        <v>6406.2</v>
      </c>
      <c r="Y216" s="157">
        <f>'Quantitativos (A)'!W216*$D216*$E216</f>
        <v>6406.2</v>
      </c>
      <c r="Z216" s="157">
        <f>'Quantitativos (A)'!X216*$D216*$E216</f>
        <v>6406.2</v>
      </c>
      <c r="AA216" s="157">
        <f>'Quantitativos (A)'!Y216*$D216*$E216</f>
        <v>6406.2</v>
      </c>
      <c r="AB216" s="157">
        <f>'Quantitativos (A)'!Z216*$D216*$E216</f>
        <v>6406.2</v>
      </c>
      <c r="AC216" s="157">
        <f>'Quantitativos (A)'!AA216*$D216*$E216</f>
        <v>6406.2</v>
      </c>
      <c r="AD216" s="157">
        <f>'Quantitativos (A)'!AB216*$D216*$E216</f>
        <v>6406.2</v>
      </c>
      <c r="AE216" s="157">
        <f>'Quantitativos (A)'!AC216*$D216*$E216</f>
        <v>6406.2</v>
      </c>
      <c r="AF216" s="157">
        <f>'Quantitativos (A)'!AD216*$D216*$E216</f>
        <v>6406.2</v>
      </c>
      <c r="AG216" s="157">
        <f>'Quantitativos (A)'!AE216*$D216*$E216</f>
        <v>6406.2</v>
      </c>
      <c r="AH216" s="157">
        <f>'Quantitativos (A)'!AF216*$D216*$E216</f>
        <v>6406.2</v>
      </c>
      <c r="AI216" s="158">
        <f>'Quantitativos (A)'!AG216*$D216*$E216</f>
        <v>6406.2</v>
      </c>
      <c r="AJ216" s="22"/>
    </row>
    <row r="217" spans="1:36" x14ac:dyDescent="0.25">
      <c r="A217" s="112"/>
      <c r="B217" s="69" t="s">
        <v>237</v>
      </c>
      <c r="C217" s="133" t="s">
        <v>64</v>
      </c>
      <c r="D217" s="157">
        <f>'Dados (F)'!$D$146</f>
        <v>438.48</v>
      </c>
      <c r="E217" s="133">
        <f>IF('Dados (F)'!$D$35=1,1,'Dados (F)'!$C$39)</f>
        <v>1</v>
      </c>
      <c r="F217" s="157">
        <f>'Quantitativos (A)'!D217*$D217*$E217</f>
        <v>0</v>
      </c>
      <c r="G217" s="157">
        <f>'Quantitativos (A)'!E217*$D217*$E217</f>
        <v>0</v>
      </c>
      <c r="H217" s="157">
        <f>'Quantitativos (A)'!F217*$D217*$E217</f>
        <v>0</v>
      </c>
      <c r="I217" s="157">
        <f>'Quantitativos (A)'!G217*$D217*$E217</f>
        <v>0</v>
      </c>
      <c r="J217" s="157">
        <f>'Quantitativos (A)'!H217*$D217*$E217</f>
        <v>0</v>
      </c>
      <c r="K217" s="157">
        <f>'Quantitativos (A)'!I217*$D217*$E217</f>
        <v>0</v>
      </c>
      <c r="L217" s="157">
        <f>'Quantitativos (A)'!J217*$D217*$E217</f>
        <v>0</v>
      </c>
      <c r="M217" s="157">
        <f>'Quantitativos (A)'!K217*$D217*$E217</f>
        <v>0</v>
      </c>
      <c r="N217" s="157">
        <f>'Quantitativos (A)'!L217*$D217*$E217</f>
        <v>0</v>
      </c>
      <c r="O217" s="157">
        <f>'Quantitativos (A)'!M217*$D217*$E217</f>
        <v>0</v>
      </c>
      <c r="P217" s="157">
        <f>'Quantitativos (A)'!N217*$D217*$E217</f>
        <v>2630.88</v>
      </c>
      <c r="Q217" s="157">
        <f>'Quantitativos (A)'!O217*$D217*$E217</f>
        <v>2630.88</v>
      </c>
      <c r="R217" s="157">
        <f>'Quantitativos (A)'!P217*$D217*$E217</f>
        <v>2630.88</v>
      </c>
      <c r="S217" s="157">
        <f>'Quantitativos (A)'!Q217*$D217*$E217</f>
        <v>2630.88</v>
      </c>
      <c r="T217" s="157">
        <f>'Quantitativos (A)'!R217*$D217*$E217</f>
        <v>2630.88</v>
      </c>
      <c r="U217" s="157">
        <f>'Quantitativos (A)'!S217*$D217*$E217</f>
        <v>2630.88</v>
      </c>
      <c r="V217" s="157">
        <f>'Quantitativos (A)'!T217*$D217*$E217</f>
        <v>2630.88</v>
      </c>
      <c r="W217" s="157">
        <f>'Quantitativos (A)'!U217*$D217*$E217</f>
        <v>2630.88</v>
      </c>
      <c r="X217" s="157">
        <f>'Quantitativos (A)'!V217*$D217*$E217</f>
        <v>2630.88</v>
      </c>
      <c r="Y217" s="157">
        <f>'Quantitativos (A)'!W217*$D217*$E217</f>
        <v>2630.88</v>
      </c>
      <c r="Z217" s="157">
        <f>'Quantitativos (A)'!X217*$D217*$E217</f>
        <v>0</v>
      </c>
      <c r="AA217" s="157">
        <f>'Quantitativos (A)'!Y217*$D217*$E217</f>
        <v>0</v>
      </c>
      <c r="AB217" s="157">
        <f>'Quantitativos (A)'!Z217*$D217*$E217</f>
        <v>0</v>
      </c>
      <c r="AC217" s="157">
        <f>'Quantitativos (A)'!AA217*$D217*$E217</f>
        <v>0</v>
      </c>
      <c r="AD217" s="157">
        <f>'Quantitativos (A)'!AB217*$D217*$E217</f>
        <v>0</v>
      </c>
      <c r="AE217" s="157">
        <f>'Quantitativos (A)'!AC217*$D217*$E217</f>
        <v>0</v>
      </c>
      <c r="AF217" s="157">
        <f>'Quantitativos (A)'!AD217*$D217*$E217</f>
        <v>0</v>
      </c>
      <c r="AG217" s="157">
        <f>'Quantitativos (A)'!AE217*$D217*$E217</f>
        <v>0</v>
      </c>
      <c r="AH217" s="157">
        <f>'Quantitativos (A)'!AF217*$D217*$E217</f>
        <v>0</v>
      </c>
      <c r="AI217" s="158">
        <f>'Quantitativos (A)'!AG217*$D217*$E217</f>
        <v>0</v>
      </c>
      <c r="AJ217" s="22"/>
    </row>
    <row r="218" spans="1:36" x14ac:dyDescent="0.25">
      <c r="A218" s="112"/>
      <c r="B218" s="69" t="s">
        <v>238</v>
      </c>
      <c r="C218" s="133" t="s">
        <v>64</v>
      </c>
      <c r="D218" s="157">
        <f>'Dados (F)'!$D$147</f>
        <v>522.08000000000004</v>
      </c>
      <c r="E218" s="133">
        <f>IF('Dados (F)'!$D$35=1,1,'Dados (F)'!$C$39)</f>
        <v>1</v>
      </c>
      <c r="F218" s="157">
        <f>'Quantitativos (A)'!D218*$D218*$E218</f>
        <v>0</v>
      </c>
      <c r="G218" s="157">
        <f>'Quantitativos (A)'!E218*$D218*$E218</f>
        <v>0</v>
      </c>
      <c r="H218" s="157">
        <f>'Quantitativos (A)'!F218*$D218*$E218</f>
        <v>0</v>
      </c>
      <c r="I218" s="157">
        <f>'Quantitativos (A)'!G218*$D218*$E218</f>
        <v>0</v>
      </c>
      <c r="J218" s="157">
        <f>'Quantitativos (A)'!H218*$D218*$E218</f>
        <v>0</v>
      </c>
      <c r="K218" s="157">
        <f>'Quantitativos (A)'!I218*$D218*$E218</f>
        <v>0</v>
      </c>
      <c r="L218" s="157">
        <f>'Quantitativos (A)'!J218*$D218*$E218</f>
        <v>0</v>
      </c>
      <c r="M218" s="157">
        <f>'Quantitativos (A)'!K218*$D218*$E218</f>
        <v>0</v>
      </c>
      <c r="N218" s="157">
        <f>'Quantitativos (A)'!L218*$D218*$E218</f>
        <v>0</v>
      </c>
      <c r="O218" s="157">
        <f>'Quantitativos (A)'!M218*$D218*$E218</f>
        <v>0</v>
      </c>
      <c r="P218" s="157">
        <f>'Quantitativos (A)'!N218*$D218*$E218</f>
        <v>3132.4800000000005</v>
      </c>
      <c r="Q218" s="157">
        <f>'Quantitativos (A)'!O218*$D218*$E218</f>
        <v>3132.4800000000005</v>
      </c>
      <c r="R218" s="157">
        <f>'Quantitativos (A)'!P218*$D218*$E218</f>
        <v>3132.4800000000005</v>
      </c>
      <c r="S218" s="157">
        <f>'Quantitativos (A)'!Q218*$D218*$E218</f>
        <v>3132.4800000000005</v>
      </c>
      <c r="T218" s="157">
        <f>'Quantitativos (A)'!R218*$D218*$E218</f>
        <v>3132.4800000000005</v>
      </c>
      <c r="U218" s="157">
        <f>'Quantitativos (A)'!S218*$D218*$E218</f>
        <v>3132.4800000000005</v>
      </c>
      <c r="V218" s="157">
        <f>'Quantitativos (A)'!T218*$D218*$E218</f>
        <v>3132.4800000000005</v>
      </c>
      <c r="W218" s="157">
        <f>'Quantitativos (A)'!U218*$D218*$E218</f>
        <v>3132.4800000000005</v>
      </c>
      <c r="X218" s="157">
        <f>'Quantitativos (A)'!V218*$D218*$E218</f>
        <v>3132.4800000000005</v>
      </c>
      <c r="Y218" s="157">
        <f>'Quantitativos (A)'!W218*$D218*$E218</f>
        <v>3132.4800000000005</v>
      </c>
      <c r="Z218" s="157">
        <f>'Quantitativos (A)'!X218*$D218*$E218</f>
        <v>0</v>
      </c>
      <c r="AA218" s="157">
        <f>'Quantitativos (A)'!Y218*$D218*$E218</f>
        <v>0</v>
      </c>
      <c r="AB218" s="157">
        <f>'Quantitativos (A)'!Z218*$D218*$E218</f>
        <v>0</v>
      </c>
      <c r="AC218" s="157">
        <f>'Quantitativos (A)'!AA218*$D218*$E218</f>
        <v>0</v>
      </c>
      <c r="AD218" s="157">
        <f>'Quantitativos (A)'!AB218*$D218*$E218</f>
        <v>0</v>
      </c>
      <c r="AE218" s="157">
        <f>'Quantitativos (A)'!AC218*$D218*$E218</f>
        <v>0</v>
      </c>
      <c r="AF218" s="157">
        <f>'Quantitativos (A)'!AD218*$D218*$E218</f>
        <v>0</v>
      </c>
      <c r="AG218" s="157">
        <f>'Quantitativos (A)'!AE218*$D218*$E218</f>
        <v>0</v>
      </c>
      <c r="AH218" s="157">
        <f>'Quantitativos (A)'!AF218*$D218*$E218</f>
        <v>0</v>
      </c>
      <c r="AI218" s="158">
        <f>'Quantitativos (A)'!AG218*$D218*$E218</f>
        <v>0</v>
      </c>
      <c r="AJ218" s="22"/>
    </row>
    <row r="219" spans="1:36" x14ac:dyDescent="0.25">
      <c r="A219" s="112"/>
      <c r="B219" s="134" t="s">
        <v>240</v>
      </c>
      <c r="C219" s="133" t="s">
        <v>64</v>
      </c>
      <c r="D219" s="157">
        <f>'Dados (F)'!$D$149</f>
        <v>807.53</v>
      </c>
      <c r="E219" s="133">
        <f>IF('Dados (F)'!$D$35=1,1,'Dados (F)'!$C$39)</f>
        <v>1</v>
      </c>
      <c r="F219" s="157">
        <f>'Quantitativos (A)'!D219*$D219*$E219</f>
        <v>0</v>
      </c>
      <c r="G219" s="157">
        <f>'Quantitativos (A)'!E219*$D219*$E219</f>
        <v>0</v>
      </c>
      <c r="H219" s="157">
        <f>'Quantitativos (A)'!F219*$D219*$E219</f>
        <v>0</v>
      </c>
      <c r="I219" s="157">
        <f>'Quantitativos (A)'!G219*$D219*$E219</f>
        <v>0</v>
      </c>
      <c r="J219" s="157">
        <f>'Quantitativos (A)'!H219*$D219*$E219</f>
        <v>0</v>
      </c>
      <c r="K219" s="157">
        <f>'Quantitativos (A)'!I219*$D219*$E219</f>
        <v>0</v>
      </c>
      <c r="L219" s="157">
        <f>'Quantitativos (A)'!J219*$D219*$E219</f>
        <v>0</v>
      </c>
      <c r="M219" s="157">
        <f>'Quantitativos (A)'!K219*$D219*$E219</f>
        <v>0</v>
      </c>
      <c r="N219" s="157">
        <f>'Quantitativos (A)'!L219*$D219*$E219</f>
        <v>0</v>
      </c>
      <c r="O219" s="157">
        <f>'Quantitativos (A)'!M219*$D219*$E219</f>
        <v>0</v>
      </c>
      <c r="P219" s="157">
        <f>'Quantitativos (A)'!N219*$D219*$E219</f>
        <v>0</v>
      </c>
      <c r="Q219" s="157">
        <f>'Quantitativos (A)'!O219*$D219*$E219</f>
        <v>0</v>
      </c>
      <c r="R219" s="157">
        <f>'Quantitativos (A)'!P219*$D219*$E219</f>
        <v>0</v>
      </c>
      <c r="S219" s="157">
        <f>'Quantitativos (A)'!Q219*$D219*$E219</f>
        <v>0</v>
      </c>
      <c r="T219" s="157">
        <f>'Quantitativos (A)'!R219*$D219*$E219</f>
        <v>0</v>
      </c>
      <c r="U219" s="157">
        <f>'Quantitativos (A)'!S219*$D219*$E219</f>
        <v>0</v>
      </c>
      <c r="V219" s="157">
        <f>'Quantitativos (A)'!T219*$D219*$E219</f>
        <v>0</v>
      </c>
      <c r="W219" s="157">
        <f>'Quantitativos (A)'!U219*$D219*$E219</f>
        <v>0</v>
      </c>
      <c r="X219" s="157">
        <f>'Quantitativos (A)'!V219*$D219*$E219</f>
        <v>0</v>
      </c>
      <c r="Y219" s="157">
        <f>'Quantitativos (A)'!W219*$D219*$E219</f>
        <v>0</v>
      </c>
      <c r="Z219" s="157">
        <f>'Quantitativos (A)'!X219*$D219*$E219</f>
        <v>0</v>
      </c>
      <c r="AA219" s="157">
        <f>'Quantitativos (A)'!Y219*$D219*$E219</f>
        <v>0</v>
      </c>
      <c r="AB219" s="157">
        <f>'Quantitativos (A)'!Z219*$D219*$E219</f>
        <v>0</v>
      </c>
      <c r="AC219" s="157">
        <f>'Quantitativos (A)'!AA219*$D219*$E219</f>
        <v>0</v>
      </c>
      <c r="AD219" s="157">
        <f>'Quantitativos (A)'!AB219*$D219*$E219</f>
        <v>0</v>
      </c>
      <c r="AE219" s="157">
        <f>'Quantitativos (A)'!AC219*$D219*$E219</f>
        <v>0</v>
      </c>
      <c r="AF219" s="157">
        <f>'Quantitativos (A)'!AD219*$D219*$E219</f>
        <v>0</v>
      </c>
      <c r="AG219" s="157">
        <f>'Quantitativos (A)'!AE219*$D219*$E219</f>
        <v>0</v>
      </c>
      <c r="AH219" s="157">
        <f>'Quantitativos (A)'!AF219*$D219*$E219</f>
        <v>0</v>
      </c>
      <c r="AI219" s="158">
        <f>'Quantitativos (A)'!AG219*$D219*$E219</f>
        <v>0</v>
      </c>
      <c r="AJ219" s="22"/>
    </row>
    <row r="220" spans="1:36" x14ac:dyDescent="0.25">
      <c r="A220" s="112"/>
      <c r="B220" s="69" t="s">
        <v>194</v>
      </c>
      <c r="C220" s="133" t="s">
        <v>59</v>
      </c>
      <c r="D220" s="157">
        <f>'Dados (F)'!$D$151</f>
        <v>425.45</v>
      </c>
      <c r="E220" s="133">
        <f>IF('Dados (F)'!$D$35=1,1,'Dados (F)'!$C$39)</f>
        <v>1</v>
      </c>
      <c r="F220" s="157">
        <f>'Quantitativos (A)'!D220*$D220*$E220</f>
        <v>0</v>
      </c>
      <c r="G220" s="157">
        <f>'Quantitativos (A)'!E220*$D220*$E220</f>
        <v>0</v>
      </c>
      <c r="H220" s="157">
        <f>'Quantitativos (A)'!F220*$D220*$E220</f>
        <v>0</v>
      </c>
      <c r="I220" s="157">
        <f>'Quantitativos (A)'!G220*$D220*$E220</f>
        <v>0</v>
      </c>
      <c r="J220" s="157">
        <f>'Quantitativos (A)'!H220*$D220*$E220</f>
        <v>0</v>
      </c>
      <c r="K220" s="157">
        <f>'Quantitativos (A)'!I220*$D220*$E220</f>
        <v>0</v>
      </c>
      <c r="L220" s="157">
        <f>'Quantitativos (A)'!J220*$D220*$E220</f>
        <v>0</v>
      </c>
      <c r="M220" s="157">
        <f>'Quantitativos (A)'!K220*$D220*$E220</f>
        <v>0</v>
      </c>
      <c r="N220" s="157">
        <f>'Quantitativos (A)'!L220*$D220*$E220</f>
        <v>0</v>
      </c>
      <c r="O220" s="157">
        <f>'Quantitativos (A)'!M220*$D220*$E220</f>
        <v>0</v>
      </c>
      <c r="P220" s="157">
        <f>'Quantitativos (A)'!N220*$D220*$E220</f>
        <v>0</v>
      </c>
      <c r="Q220" s="157">
        <f>'Quantitativos (A)'!O220*$D220*$E220</f>
        <v>0</v>
      </c>
      <c r="R220" s="157">
        <f>'Quantitativos (A)'!P220*$D220*$E220</f>
        <v>0</v>
      </c>
      <c r="S220" s="157">
        <f>'Quantitativos (A)'!Q220*$D220*$E220</f>
        <v>0</v>
      </c>
      <c r="T220" s="157">
        <f>'Quantitativos (A)'!R220*$D220*$E220</f>
        <v>0</v>
      </c>
      <c r="U220" s="157">
        <f>'Quantitativos (A)'!S220*$D220*$E220</f>
        <v>0</v>
      </c>
      <c r="V220" s="157">
        <f>'Quantitativos (A)'!T220*$D220*$E220</f>
        <v>0</v>
      </c>
      <c r="W220" s="157">
        <f>'Quantitativos (A)'!U220*$D220*$E220</f>
        <v>0</v>
      </c>
      <c r="X220" s="157">
        <f>'Quantitativos (A)'!V220*$D220*$E220</f>
        <v>0</v>
      </c>
      <c r="Y220" s="157">
        <f>'Quantitativos (A)'!W220*$D220*$E220</f>
        <v>0</v>
      </c>
      <c r="Z220" s="157">
        <f>'Quantitativos (A)'!X220*$D220*$E220</f>
        <v>0</v>
      </c>
      <c r="AA220" s="157">
        <f>'Quantitativos (A)'!Y220*$D220*$E220</f>
        <v>0</v>
      </c>
      <c r="AB220" s="157">
        <f>'Quantitativos (A)'!Z220*$D220*$E220</f>
        <v>0</v>
      </c>
      <c r="AC220" s="157">
        <f>'Quantitativos (A)'!AA220*$D220*$E220</f>
        <v>0</v>
      </c>
      <c r="AD220" s="157">
        <f>'Quantitativos (A)'!AB220*$D220*$E220</f>
        <v>0</v>
      </c>
      <c r="AE220" s="157">
        <f>'Quantitativos (A)'!AC220*$D220*$E220</f>
        <v>0</v>
      </c>
      <c r="AF220" s="157">
        <f>'Quantitativos (A)'!AD220*$D220*$E220</f>
        <v>0</v>
      </c>
      <c r="AG220" s="157">
        <f>'Quantitativos (A)'!AE220*$D220*$E220</f>
        <v>0</v>
      </c>
      <c r="AH220" s="157">
        <f>'Quantitativos (A)'!AF220*$D220*$E220</f>
        <v>0</v>
      </c>
      <c r="AI220" s="158">
        <f>'Quantitativos (A)'!AG220*$D220*$E220</f>
        <v>0</v>
      </c>
      <c r="AJ220" s="22"/>
    </row>
    <row r="221" spans="1:36" x14ac:dyDescent="0.25">
      <c r="A221" s="112"/>
      <c r="B221" s="134" t="s">
        <v>195</v>
      </c>
      <c r="C221" s="133" t="s">
        <v>59</v>
      </c>
      <c r="D221" s="157">
        <f>'Dados (F)'!$D$152</f>
        <v>549.59</v>
      </c>
      <c r="E221" s="133">
        <f>IF('Dados (F)'!$D$35=1,1,'Dados (F)'!$C$39)</f>
        <v>1</v>
      </c>
      <c r="F221" s="157">
        <f>'Quantitativos (A)'!D221*$D221*$E221</f>
        <v>0</v>
      </c>
      <c r="G221" s="157">
        <f>'Quantitativos (A)'!E221*$D221*$E221</f>
        <v>0</v>
      </c>
      <c r="H221" s="157">
        <f>'Quantitativos (A)'!F221*$D221*$E221</f>
        <v>0</v>
      </c>
      <c r="I221" s="157">
        <f>'Quantitativos (A)'!G221*$D221*$E221</f>
        <v>0</v>
      </c>
      <c r="J221" s="157">
        <f>'Quantitativos (A)'!H221*$D221*$E221</f>
        <v>0</v>
      </c>
      <c r="K221" s="157">
        <f>'Quantitativos (A)'!I221*$D221*$E221</f>
        <v>0</v>
      </c>
      <c r="L221" s="157">
        <f>'Quantitativos (A)'!J221*$D221*$E221</f>
        <v>0</v>
      </c>
      <c r="M221" s="157">
        <f>'Quantitativos (A)'!K221*$D221*$E221</f>
        <v>0</v>
      </c>
      <c r="N221" s="157">
        <f>'Quantitativos (A)'!L221*$D221*$E221</f>
        <v>0</v>
      </c>
      <c r="O221" s="157">
        <f>'Quantitativos (A)'!M221*$D221*$E221</f>
        <v>0</v>
      </c>
      <c r="P221" s="157">
        <f>'Quantitativos (A)'!N221*$D221*$E221</f>
        <v>0</v>
      </c>
      <c r="Q221" s="157">
        <f>'Quantitativos (A)'!O221*$D221*$E221</f>
        <v>0</v>
      </c>
      <c r="R221" s="157">
        <f>'Quantitativos (A)'!P221*$D221*$E221</f>
        <v>0</v>
      </c>
      <c r="S221" s="157">
        <f>'Quantitativos (A)'!Q221*$D221*$E221</f>
        <v>0</v>
      </c>
      <c r="T221" s="157">
        <f>'Quantitativos (A)'!R221*$D221*$E221</f>
        <v>0</v>
      </c>
      <c r="U221" s="157">
        <f>'Quantitativos (A)'!S221*$D221*$E221</f>
        <v>0</v>
      </c>
      <c r="V221" s="157">
        <f>'Quantitativos (A)'!T221*$D221*$E221</f>
        <v>0</v>
      </c>
      <c r="W221" s="157">
        <f>'Quantitativos (A)'!U221*$D221*$E221</f>
        <v>0</v>
      </c>
      <c r="X221" s="157">
        <f>'Quantitativos (A)'!V221*$D221*$E221</f>
        <v>0</v>
      </c>
      <c r="Y221" s="157">
        <f>'Quantitativos (A)'!W221*$D221*$E221</f>
        <v>0</v>
      </c>
      <c r="Z221" s="157">
        <f>'Quantitativos (A)'!X221*$D221*$E221</f>
        <v>549.59</v>
      </c>
      <c r="AA221" s="157">
        <f>'Quantitativos (A)'!Y221*$D221*$E221</f>
        <v>549.59</v>
      </c>
      <c r="AB221" s="157">
        <f>'Quantitativos (A)'!Z221*$D221*$E221</f>
        <v>549.59</v>
      </c>
      <c r="AC221" s="157">
        <f>'Quantitativos (A)'!AA221*$D221*$E221</f>
        <v>549.59</v>
      </c>
      <c r="AD221" s="157">
        <f>'Quantitativos (A)'!AB221*$D221*$E221</f>
        <v>549.59</v>
      </c>
      <c r="AE221" s="157">
        <f>'Quantitativos (A)'!AC221*$D221*$E221</f>
        <v>549.59</v>
      </c>
      <c r="AF221" s="157">
        <f>'Quantitativos (A)'!AD221*$D221*$E221</f>
        <v>549.59</v>
      </c>
      <c r="AG221" s="157">
        <f>'Quantitativos (A)'!AE221*$D221*$E221</f>
        <v>549.59</v>
      </c>
      <c r="AH221" s="157">
        <f>'Quantitativos (A)'!AF221*$D221*$E221</f>
        <v>549.59</v>
      </c>
      <c r="AI221" s="158">
        <f>'Quantitativos (A)'!AG221*$D221*$E221</f>
        <v>549.59</v>
      </c>
      <c r="AJ221" s="22"/>
    </row>
    <row r="222" spans="1:36" x14ac:dyDescent="0.25">
      <c r="A222" s="112"/>
      <c r="B222" s="69" t="s">
        <v>196</v>
      </c>
      <c r="C222" s="133" t="s">
        <v>59</v>
      </c>
      <c r="D222" s="157">
        <f>'Dados (F)'!$D$153</f>
        <v>980.04</v>
      </c>
      <c r="E222" s="133">
        <f>IF('Dados (F)'!$D$35=1,1,'Dados (F)'!$C$39)</f>
        <v>1</v>
      </c>
      <c r="F222" s="157">
        <f>'Quantitativos (A)'!D222*$D222*$E222</f>
        <v>2940.12</v>
      </c>
      <c r="G222" s="157">
        <f>'Quantitativos (A)'!E222*$D222*$E222</f>
        <v>2940.12</v>
      </c>
      <c r="H222" s="157">
        <f>'Quantitativos (A)'!F222*$D222*$E222</f>
        <v>2940.12</v>
      </c>
      <c r="I222" s="157">
        <f>'Quantitativos (A)'!G222*$D222*$E222</f>
        <v>2940.12</v>
      </c>
      <c r="J222" s="157">
        <f>'Quantitativos (A)'!H222*$D222*$E222</f>
        <v>2940.12</v>
      </c>
      <c r="K222" s="157">
        <f>'Quantitativos (A)'!I222*$D222*$E222</f>
        <v>2940.12</v>
      </c>
      <c r="L222" s="157">
        <f>'Quantitativos (A)'!J222*$D222*$E222</f>
        <v>2940.12</v>
      </c>
      <c r="M222" s="157">
        <f>'Quantitativos (A)'!K222*$D222*$E222</f>
        <v>2940.12</v>
      </c>
      <c r="N222" s="157">
        <f>'Quantitativos (A)'!L222*$D222*$E222</f>
        <v>2940.12</v>
      </c>
      <c r="O222" s="157">
        <f>'Quantitativos (A)'!M222*$D222*$E222</f>
        <v>2940.12</v>
      </c>
      <c r="P222" s="157">
        <f>'Quantitativos (A)'!N222*$D222*$E222</f>
        <v>1960.08</v>
      </c>
      <c r="Q222" s="157">
        <f>'Quantitativos (A)'!O222*$D222*$E222</f>
        <v>1960.08</v>
      </c>
      <c r="R222" s="157">
        <f>'Quantitativos (A)'!P222*$D222*$E222</f>
        <v>1960.08</v>
      </c>
      <c r="S222" s="157">
        <f>'Quantitativos (A)'!Q222*$D222*$E222</f>
        <v>1960.08</v>
      </c>
      <c r="T222" s="157">
        <f>'Quantitativos (A)'!R222*$D222*$E222</f>
        <v>1960.08</v>
      </c>
      <c r="U222" s="157">
        <f>'Quantitativos (A)'!S222*$D222*$E222</f>
        <v>1960.08</v>
      </c>
      <c r="V222" s="157">
        <f>'Quantitativos (A)'!T222*$D222*$E222</f>
        <v>1960.08</v>
      </c>
      <c r="W222" s="157">
        <f>'Quantitativos (A)'!U222*$D222*$E222</f>
        <v>1960.08</v>
      </c>
      <c r="X222" s="157">
        <f>'Quantitativos (A)'!V222*$D222*$E222</f>
        <v>1960.08</v>
      </c>
      <c r="Y222" s="157">
        <f>'Quantitativos (A)'!W222*$D222*$E222</f>
        <v>1960.08</v>
      </c>
      <c r="Z222" s="157">
        <f>'Quantitativos (A)'!X222*$D222*$E222</f>
        <v>980.04</v>
      </c>
      <c r="AA222" s="157">
        <f>'Quantitativos (A)'!Y222*$D222*$E222</f>
        <v>980.04</v>
      </c>
      <c r="AB222" s="157">
        <f>'Quantitativos (A)'!Z222*$D222*$E222</f>
        <v>980.04</v>
      </c>
      <c r="AC222" s="157">
        <f>'Quantitativos (A)'!AA222*$D222*$E222</f>
        <v>980.04</v>
      </c>
      <c r="AD222" s="157">
        <f>'Quantitativos (A)'!AB222*$D222*$E222</f>
        <v>980.04</v>
      </c>
      <c r="AE222" s="157">
        <f>'Quantitativos (A)'!AC222*$D222*$E222</f>
        <v>980.04</v>
      </c>
      <c r="AF222" s="157">
        <f>'Quantitativos (A)'!AD222*$D222*$E222</f>
        <v>980.04</v>
      </c>
      <c r="AG222" s="157">
        <f>'Quantitativos (A)'!AE222*$D222*$E222</f>
        <v>980.04</v>
      </c>
      <c r="AH222" s="157">
        <f>'Quantitativos (A)'!AF222*$D222*$E222</f>
        <v>980.04</v>
      </c>
      <c r="AI222" s="158">
        <f>'Quantitativos (A)'!AG222*$D222*$E222</f>
        <v>980.04</v>
      </c>
      <c r="AJ222" s="22"/>
    </row>
    <row r="223" spans="1:36" x14ac:dyDescent="0.25">
      <c r="A223" s="112"/>
      <c r="B223" s="69" t="s">
        <v>197</v>
      </c>
      <c r="C223" s="133" t="s">
        <v>59</v>
      </c>
      <c r="D223" s="157">
        <f>'Dados (F)'!$D$154</f>
        <v>1096.29</v>
      </c>
      <c r="E223" s="133">
        <f>IF('Dados (F)'!$D$35=1,1,'Dados (F)'!$C$39)</f>
        <v>1</v>
      </c>
      <c r="F223" s="157">
        <f>'Quantitativos (A)'!D223*$D223*$E223</f>
        <v>0</v>
      </c>
      <c r="G223" s="157">
        <f>'Quantitativos (A)'!E223*$D223*$E223</f>
        <v>0</v>
      </c>
      <c r="H223" s="157">
        <f>'Quantitativos (A)'!F223*$D223*$E223</f>
        <v>0</v>
      </c>
      <c r="I223" s="157">
        <f>'Quantitativos (A)'!G223*$D223*$E223</f>
        <v>0</v>
      </c>
      <c r="J223" s="157">
        <f>'Quantitativos (A)'!H223*$D223*$E223</f>
        <v>0</v>
      </c>
      <c r="K223" s="157">
        <f>'Quantitativos (A)'!I223*$D223*$E223</f>
        <v>0</v>
      </c>
      <c r="L223" s="157">
        <f>'Quantitativos (A)'!J223*$D223*$E223</f>
        <v>0</v>
      </c>
      <c r="M223" s="157">
        <f>'Quantitativos (A)'!K223*$D223*$E223</f>
        <v>0</v>
      </c>
      <c r="N223" s="157">
        <f>'Quantitativos (A)'!L223*$D223*$E223</f>
        <v>0</v>
      </c>
      <c r="O223" s="157">
        <f>'Quantitativos (A)'!M223*$D223*$E223</f>
        <v>0</v>
      </c>
      <c r="P223" s="157">
        <f>'Quantitativos (A)'!N223*$D223*$E223</f>
        <v>0</v>
      </c>
      <c r="Q223" s="157">
        <f>'Quantitativos (A)'!O223*$D223*$E223</f>
        <v>0</v>
      </c>
      <c r="R223" s="157">
        <f>'Quantitativos (A)'!P223*$D223*$E223</f>
        <v>0</v>
      </c>
      <c r="S223" s="157">
        <f>'Quantitativos (A)'!Q223*$D223*$E223</f>
        <v>0</v>
      </c>
      <c r="T223" s="157">
        <f>'Quantitativos (A)'!R223*$D223*$E223</f>
        <v>0</v>
      </c>
      <c r="U223" s="157">
        <f>'Quantitativos (A)'!S223*$D223*$E223</f>
        <v>0</v>
      </c>
      <c r="V223" s="157">
        <f>'Quantitativos (A)'!T223*$D223*$E223</f>
        <v>0</v>
      </c>
      <c r="W223" s="157">
        <f>'Quantitativos (A)'!U223*$D223*$E223</f>
        <v>0</v>
      </c>
      <c r="X223" s="157">
        <f>'Quantitativos (A)'!V223*$D223*$E223</f>
        <v>0</v>
      </c>
      <c r="Y223" s="157">
        <f>'Quantitativos (A)'!W223*$D223*$E223</f>
        <v>0</v>
      </c>
      <c r="Z223" s="157">
        <f>'Quantitativos (A)'!X223*$D223*$E223</f>
        <v>0</v>
      </c>
      <c r="AA223" s="157">
        <f>'Quantitativos (A)'!Y223*$D223*$E223</f>
        <v>0</v>
      </c>
      <c r="AB223" s="157">
        <f>'Quantitativos (A)'!Z223*$D223*$E223</f>
        <v>0</v>
      </c>
      <c r="AC223" s="157">
        <f>'Quantitativos (A)'!AA223*$D223*$E223</f>
        <v>0</v>
      </c>
      <c r="AD223" s="157">
        <f>'Quantitativos (A)'!AB223*$D223*$E223</f>
        <v>0</v>
      </c>
      <c r="AE223" s="157">
        <f>'Quantitativos (A)'!AC223*$D223*$E223</f>
        <v>0</v>
      </c>
      <c r="AF223" s="157">
        <f>'Quantitativos (A)'!AD223*$D223*$E223</f>
        <v>0</v>
      </c>
      <c r="AG223" s="157">
        <f>'Quantitativos (A)'!AE223*$D223*$E223</f>
        <v>0</v>
      </c>
      <c r="AH223" s="157">
        <f>'Quantitativos (A)'!AF223*$D223*$E223</f>
        <v>0</v>
      </c>
      <c r="AI223" s="158">
        <f>'Quantitativos (A)'!AG223*$D223*$E223</f>
        <v>0</v>
      </c>
      <c r="AJ223" s="22"/>
    </row>
    <row r="224" spans="1:36" x14ac:dyDescent="0.25">
      <c r="A224" s="112"/>
      <c r="B224" s="134" t="s">
        <v>198</v>
      </c>
      <c r="C224" s="133" t="s">
        <v>59</v>
      </c>
      <c r="D224" s="157">
        <f>'Dados (F)'!$D$155</f>
        <v>1660.92</v>
      </c>
      <c r="E224" s="133">
        <f>IF('Dados (F)'!$D$35=1,1,'Dados (F)'!$C$39)</f>
        <v>1</v>
      </c>
      <c r="F224" s="157">
        <f>'Quantitativos (A)'!D224*$D224*$E224</f>
        <v>0</v>
      </c>
      <c r="G224" s="157">
        <f>'Quantitativos (A)'!E224*$D224*$E224</f>
        <v>0</v>
      </c>
      <c r="H224" s="157">
        <f>'Quantitativos (A)'!F224*$D224*$E224</f>
        <v>0</v>
      </c>
      <c r="I224" s="157">
        <f>'Quantitativos (A)'!G224*$D224*$E224</f>
        <v>0</v>
      </c>
      <c r="J224" s="157">
        <f>'Quantitativos (A)'!H224*$D224*$E224</f>
        <v>0</v>
      </c>
      <c r="K224" s="157">
        <f>'Quantitativos (A)'!I224*$D224*$E224</f>
        <v>0</v>
      </c>
      <c r="L224" s="157">
        <f>'Quantitativos (A)'!J224*$D224*$E224</f>
        <v>0</v>
      </c>
      <c r="M224" s="157">
        <f>'Quantitativos (A)'!K224*$D224*$E224</f>
        <v>0</v>
      </c>
      <c r="N224" s="157">
        <f>'Quantitativos (A)'!L224*$D224*$E224</f>
        <v>0</v>
      </c>
      <c r="O224" s="157">
        <f>'Quantitativos (A)'!M224*$D224*$E224</f>
        <v>0</v>
      </c>
      <c r="P224" s="157">
        <f>'Quantitativos (A)'!N224*$D224*$E224</f>
        <v>1660.92</v>
      </c>
      <c r="Q224" s="157">
        <f>'Quantitativos (A)'!O224*$D224*$E224</f>
        <v>1660.92</v>
      </c>
      <c r="R224" s="157">
        <f>'Quantitativos (A)'!P224*$D224*$E224</f>
        <v>1660.92</v>
      </c>
      <c r="S224" s="157">
        <f>'Quantitativos (A)'!Q224*$D224*$E224</f>
        <v>1660.92</v>
      </c>
      <c r="T224" s="157">
        <f>'Quantitativos (A)'!R224*$D224*$E224</f>
        <v>1660.92</v>
      </c>
      <c r="U224" s="157">
        <f>'Quantitativos (A)'!S224*$D224*$E224</f>
        <v>1660.92</v>
      </c>
      <c r="V224" s="157">
        <f>'Quantitativos (A)'!T224*$D224*$E224</f>
        <v>1660.92</v>
      </c>
      <c r="W224" s="157">
        <f>'Quantitativos (A)'!U224*$D224*$E224</f>
        <v>1660.92</v>
      </c>
      <c r="X224" s="157">
        <f>'Quantitativos (A)'!V224*$D224*$E224</f>
        <v>1660.92</v>
      </c>
      <c r="Y224" s="157">
        <f>'Quantitativos (A)'!W224*$D224*$E224</f>
        <v>1660.92</v>
      </c>
      <c r="Z224" s="157">
        <f>'Quantitativos (A)'!X224*$D224*$E224</f>
        <v>0</v>
      </c>
      <c r="AA224" s="157">
        <f>'Quantitativos (A)'!Y224*$D224*$E224</f>
        <v>0</v>
      </c>
      <c r="AB224" s="157">
        <f>'Quantitativos (A)'!Z224*$D224*$E224</f>
        <v>0</v>
      </c>
      <c r="AC224" s="157">
        <f>'Quantitativos (A)'!AA224*$D224*$E224</f>
        <v>0</v>
      </c>
      <c r="AD224" s="157">
        <f>'Quantitativos (A)'!AB224*$D224*$E224</f>
        <v>0</v>
      </c>
      <c r="AE224" s="157">
        <f>'Quantitativos (A)'!AC224*$D224*$E224</f>
        <v>0</v>
      </c>
      <c r="AF224" s="157">
        <f>'Quantitativos (A)'!AD224*$D224*$E224</f>
        <v>0</v>
      </c>
      <c r="AG224" s="157">
        <f>'Quantitativos (A)'!AE224*$D224*$E224</f>
        <v>0</v>
      </c>
      <c r="AH224" s="157">
        <f>'Quantitativos (A)'!AF224*$D224*$E224</f>
        <v>0</v>
      </c>
      <c r="AI224" s="158">
        <f>'Quantitativos (A)'!AG224*$D224*$E224</f>
        <v>0</v>
      </c>
      <c r="AJ224" s="22"/>
    </row>
    <row r="225" spans="1:36" x14ac:dyDescent="0.25">
      <c r="A225" s="112"/>
      <c r="B225" s="69" t="s">
        <v>200</v>
      </c>
      <c r="C225" s="133" t="s">
        <v>59</v>
      </c>
      <c r="D225" s="157">
        <f>'Dados (F)'!$D$157</f>
        <v>2517.25</v>
      </c>
      <c r="E225" s="133">
        <f>IF('Dados (F)'!$D$35=1,1,'Dados (F)'!$C$39)</f>
        <v>1</v>
      </c>
      <c r="F225" s="157">
        <f>'Quantitativos (A)'!D225*$D225*$E225</f>
        <v>0</v>
      </c>
      <c r="G225" s="157">
        <f>'Quantitativos (A)'!E225*$D225*$E225</f>
        <v>0</v>
      </c>
      <c r="H225" s="157">
        <f>'Quantitativos (A)'!F225*$D225*$E225</f>
        <v>0</v>
      </c>
      <c r="I225" s="157">
        <f>'Quantitativos (A)'!G225*$D225*$E225</f>
        <v>0</v>
      </c>
      <c r="J225" s="157">
        <f>'Quantitativos (A)'!H225*$D225*$E225</f>
        <v>0</v>
      </c>
      <c r="K225" s="157">
        <f>'Quantitativos (A)'!I225*$D225*$E225</f>
        <v>0</v>
      </c>
      <c r="L225" s="157">
        <f>'Quantitativos (A)'!J225*$D225*$E225</f>
        <v>0</v>
      </c>
      <c r="M225" s="157">
        <f>'Quantitativos (A)'!K225*$D225*$E225</f>
        <v>0</v>
      </c>
      <c r="N225" s="157">
        <f>'Quantitativos (A)'!L225*$D225*$E225</f>
        <v>0</v>
      </c>
      <c r="O225" s="157">
        <f>'Quantitativos (A)'!M225*$D225*$E225</f>
        <v>0</v>
      </c>
      <c r="P225" s="157">
        <f>'Quantitativos (A)'!N225*$D225*$E225</f>
        <v>0</v>
      </c>
      <c r="Q225" s="157">
        <f>'Quantitativos (A)'!O225*$D225*$E225</f>
        <v>0</v>
      </c>
      <c r="R225" s="157">
        <f>'Quantitativos (A)'!P225*$D225*$E225</f>
        <v>0</v>
      </c>
      <c r="S225" s="157">
        <f>'Quantitativos (A)'!Q225*$D225*$E225</f>
        <v>0</v>
      </c>
      <c r="T225" s="157">
        <f>'Quantitativos (A)'!R225*$D225*$E225</f>
        <v>0</v>
      </c>
      <c r="U225" s="157">
        <f>'Quantitativos (A)'!S225*$D225*$E225</f>
        <v>0</v>
      </c>
      <c r="V225" s="157">
        <f>'Quantitativos (A)'!T225*$D225*$E225</f>
        <v>0</v>
      </c>
      <c r="W225" s="157">
        <f>'Quantitativos (A)'!U225*$D225*$E225</f>
        <v>0</v>
      </c>
      <c r="X225" s="157">
        <f>'Quantitativos (A)'!V225*$D225*$E225</f>
        <v>0</v>
      </c>
      <c r="Y225" s="157">
        <f>'Quantitativos (A)'!W225*$D225*$E225</f>
        <v>0</v>
      </c>
      <c r="Z225" s="157">
        <f>'Quantitativos (A)'!X225*$D225*$E225</f>
        <v>0</v>
      </c>
      <c r="AA225" s="157">
        <f>'Quantitativos (A)'!Y225*$D225*$E225</f>
        <v>0</v>
      </c>
      <c r="AB225" s="157">
        <f>'Quantitativos (A)'!Z225*$D225*$E225</f>
        <v>0</v>
      </c>
      <c r="AC225" s="157">
        <f>'Quantitativos (A)'!AA225*$D225*$E225</f>
        <v>0</v>
      </c>
      <c r="AD225" s="157">
        <f>'Quantitativos (A)'!AB225*$D225*$E225</f>
        <v>0</v>
      </c>
      <c r="AE225" s="157">
        <f>'Quantitativos (A)'!AC225*$D225*$E225</f>
        <v>0</v>
      </c>
      <c r="AF225" s="157">
        <f>'Quantitativos (A)'!AD225*$D225*$E225</f>
        <v>0</v>
      </c>
      <c r="AG225" s="157">
        <f>'Quantitativos (A)'!AE225*$D225*$E225</f>
        <v>0</v>
      </c>
      <c r="AH225" s="157">
        <f>'Quantitativos (A)'!AF225*$D225*$E225</f>
        <v>0</v>
      </c>
      <c r="AI225" s="158">
        <f>'Quantitativos (A)'!AG225*$D225*$E225</f>
        <v>0</v>
      </c>
      <c r="AJ225" s="22"/>
    </row>
    <row r="226" spans="1:36" x14ac:dyDescent="0.25">
      <c r="A226" s="112"/>
      <c r="B226" s="69" t="s">
        <v>201</v>
      </c>
      <c r="C226" s="133" t="s">
        <v>59</v>
      </c>
      <c r="D226" s="157">
        <f>'Dados (F)'!$D$158</f>
        <v>470.04</v>
      </c>
      <c r="E226" s="133">
        <f>IF('Dados (F)'!$D$35=1,1,'Dados (F)'!$C$39)</f>
        <v>1</v>
      </c>
      <c r="F226" s="157">
        <f>'Quantitativos (A)'!D226*$D226*$E226</f>
        <v>940.08</v>
      </c>
      <c r="G226" s="157">
        <f>'Quantitativos (A)'!E226*$D226*$E226</f>
        <v>940.08</v>
      </c>
      <c r="H226" s="157">
        <f>'Quantitativos (A)'!F226*$D226*$E226</f>
        <v>940.08</v>
      </c>
      <c r="I226" s="157">
        <f>'Quantitativos (A)'!G226*$D226*$E226</f>
        <v>940.08</v>
      </c>
      <c r="J226" s="157">
        <f>'Quantitativos (A)'!H226*$D226*$E226</f>
        <v>940.08</v>
      </c>
      <c r="K226" s="157">
        <f>'Quantitativos (A)'!I226*$D226*$E226</f>
        <v>940.08</v>
      </c>
      <c r="L226" s="157">
        <f>'Quantitativos (A)'!J226*$D226*$E226</f>
        <v>940.08</v>
      </c>
      <c r="M226" s="157">
        <f>'Quantitativos (A)'!K226*$D226*$E226</f>
        <v>940.08</v>
      </c>
      <c r="N226" s="157">
        <f>'Quantitativos (A)'!L226*$D226*$E226</f>
        <v>940.08</v>
      </c>
      <c r="O226" s="157">
        <f>'Quantitativos (A)'!M226*$D226*$E226</f>
        <v>940.08</v>
      </c>
      <c r="P226" s="157">
        <f>'Quantitativos (A)'!N226*$D226*$E226</f>
        <v>470.04</v>
      </c>
      <c r="Q226" s="157">
        <f>'Quantitativos (A)'!O226*$D226*$E226</f>
        <v>470.04</v>
      </c>
      <c r="R226" s="157">
        <f>'Quantitativos (A)'!P226*$D226*$E226</f>
        <v>470.04</v>
      </c>
      <c r="S226" s="157">
        <f>'Quantitativos (A)'!Q226*$D226*$E226</f>
        <v>470.04</v>
      </c>
      <c r="T226" s="157">
        <f>'Quantitativos (A)'!R226*$D226*$E226</f>
        <v>470.04</v>
      </c>
      <c r="U226" s="157">
        <f>'Quantitativos (A)'!S226*$D226*$E226</f>
        <v>470.04</v>
      </c>
      <c r="V226" s="157">
        <f>'Quantitativos (A)'!T226*$D226*$E226</f>
        <v>470.04</v>
      </c>
      <c r="W226" s="157">
        <f>'Quantitativos (A)'!U226*$D226*$E226</f>
        <v>470.04</v>
      </c>
      <c r="X226" s="157">
        <f>'Quantitativos (A)'!V226*$D226*$E226</f>
        <v>470.04</v>
      </c>
      <c r="Y226" s="157">
        <f>'Quantitativos (A)'!W226*$D226*$E226</f>
        <v>470.04</v>
      </c>
      <c r="Z226" s="157">
        <f>'Quantitativos (A)'!X226*$D226*$E226</f>
        <v>0</v>
      </c>
      <c r="AA226" s="157">
        <f>'Quantitativos (A)'!Y226*$D226*$E226</f>
        <v>0</v>
      </c>
      <c r="AB226" s="157">
        <f>'Quantitativos (A)'!Z226*$D226*$E226</f>
        <v>0</v>
      </c>
      <c r="AC226" s="157">
        <f>'Quantitativos (A)'!AA226*$D226*$E226</f>
        <v>0</v>
      </c>
      <c r="AD226" s="157">
        <f>'Quantitativos (A)'!AB226*$D226*$E226</f>
        <v>0</v>
      </c>
      <c r="AE226" s="157">
        <f>'Quantitativos (A)'!AC226*$D226*$E226</f>
        <v>0</v>
      </c>
      <c r="AF226" s="157">
        <f>'Quantitativos (A)'!AD226*$D226*$E226</f>
        <v>0</v>
      </c>
      <c r="AG226" s="157">
        <f>'Quantitativos (A)'!AE226*$D226*$E226</f>
        <v>0</v>
      </c>
      <c r="AH226" s="157">
        <f>'Quantitativos (A)'!AF226*$D226*$E226</f>
        <v>0</v>
      </c>
      <c r="AI226" s="158">
        <f>'Quantitativos (A)'!AG226*$D226*$E226</f>
        <v>0</v>
      </c>
      <c r="AJ226" s="22"/>
    </row>
    <row r="227" spans="1:36" x14ac:dyDescent="0.25">
      <c r="A227" s="112"/>
      <c r="B227" s="134" t="s">
        <v>202</v>
      </c>
      <c r="C227" s="133" t="s">
        <v>59</v>
      </c>
      <c r="D227" s="157">
        <f>'Dados (F)'!$D$159</f>
        <v>962.82</v>
      </c>
      <c r="E227" s="133">
        <f>IF('Dados (F)'!$D$35=1,1,'Dados (F)'!$C$39)</f>
        <v>1</v>
      </c>
      <c r="F227" s="157">
        <f>'Quantitativos (A)'!D227*$D227*$E227</f>
        <v>962.82</v>
      </c>
      <c r="G227" s="157">
        <f>'Quantitativos (A)'!E227*$D227*$E227</f>
        <v>962.82</v>
      </c>
      <c r="H227" s="157">
        <f>'Quantitativos (A)'!F227*$D227*$E227</f>
        <v>962.82</v>
      </c>
      <c r="I227" s="157">
        <f>'Quantitativos (A)'!G227*$D227*$E227</f>
        <v>962.82</v>
      </c>
      <c r="J227" s="157">
        <f>'Quantitativos (A)'!H227*$D227*$E227</f>
        <v>962.82</v>
      </c>
      <c r="K227" s="157">
        <f>'Quantitativos (A)'!I227*$D227*$E227</f>
        <v>962.82</v>
      </c>
      <c r="L227" s="157">
        <f>'Quantitativos (A)'!J227*$D227*$E227</f>
        <v>962.82</v>
      </c>
      <c r="M227" s="157">
        <f>'Quantitativos (A)'!K227*$D227*$E227</f>
        <v>962.82</v>
      </c>
      <c r="N227" s="157">
        <f>'Quantitativos (A)'!L227*$D227*$E227</f>
        <v>962.82</v>
      </c>
      <c r="O227" s="157">
        <f>'Quantitativos (A)'!M227*$D227*$E227</f>
        <v>962.82</v>
      </c>
      <c r="P227" s="157">
        <f>'Quantitativos (A)'!N227*$D227*$E227</f>
        <v>962.82</v>
      </c>
      <c r="Q227" s="157">
        <f>'Quantitativos (A)'!O227*$D227*$E227</f>
        <v>962.82</v>
      </c>
      <c r="R227" s="157">
        <f>'Quantitativos (A)'!P227*$D227*$E227</f>
        <v>962.82</v>
      </c>
      <c r="S227" s="157">
        <f>'Quantitativos (A)'!Q227*$D227*$E227</f>
        <v>962.82</v>
      </c>
      <c r="T227" s="157">
        <f>'Quantitativos (A)'!R227*$D227*$E227</f>
        <v>962.82</v>
      </c>
      <c r="U227" s="157">
        <f>'Quantitativos (A)'!S227*$D227*$E227</f>
        <v>962.82</v>
      </c>
      <c r="V227" s="157">
        <f>'Quantitativos (A)'!T227*$D227*$E227</f>
        <v>962.82</v>
      </c>
      <c r="W227" s="157">
        <f>'Quantitativos (A)'!U227*$D227*$E227</f>
        <v>962.82</v>
      </c>
      <c r="X227" s="157">
        <f>'Quantitativos (A)'!V227*$D227*$E227</f>
        <v>962.82</v>
      </c>
      <c r="Y227" s="157">
        <f>'Quantitativos (A)'!W227*$D227*$E227</f>
        <v>962.82</v>
      </c>
      <c r="Z227" s="157">
        <f>'Quantitativos (A)'!X227*$D227*$E227</f>
        <v>962.82</v>
      </c>
      <c r="AA227" s="157">
        <f>'Quantitativos (A)'!Y227*$D227*$E227</f>
        <v>962.82</v>
      </c>
      <c r="AB227" s="157">
        <f>'Quantitativos (A)'!Z227*$D227*$E227</f>
        <v>962.82</v>
      </c>
      <c r="AC227" s="157">
        <f>'Quantitativos (A)'!AA227*$D227*$E227</f>
        <v>962.82</v>
      </c>
      <c r="AD227" s="157">
        <f>'Quantitativos (A)'!AB227*$D227*$E227</f>
        <v>962.82</v>
      </c>
      <c r="AE227" s="157">
        <f>'Quantitativos (A)'!AC227*$D227*$E227</f>
        <v>962.82</v>
      </c>
      <c r="AF227" s="157">
        <f>'Quantitativos (A)'!AD227*$D227*$E227</f>
        <v>962.82</v>
      </c>
      <c r="AG227" s="157">
        <f>'Quantitativos (A)'!AE227*$D227*$E227</f>
        <v>962.82</v>
      </c>
      <c r="AH227" s="157">
        <f>'Quantitativos (A)'!AF227*$D227*$E227</f>
        <v>962.82</v>
      </c>
      <c r="AI227" s="158">
        <f>'Quantitativos (A)'!AG227*$D227*$E227</f>
        <v>962.82</v>
      </c>
      <c r="AJ227" s="22"/>
    </row>
    <row r="228" spans="1:36" x14ac:dyDescent="0.25">
      <c r="A228" s="112"/>
      <c r="B228" s="69" t="s">
        <v>203</v>
      </c>
      <c r="C228" s="133" t="s">
        <v>59</v>
      </c>
      <c r="D228" s="157">
        <f>'Dados (F)'!$D$160</f>
        <v>960.78</v>
      </c>
      <c r="E228" s="133">
        <f>IF('Dados (F)'!$D$35=1,1,'Dados (F)'!$C$39)</f>
        <v>1</v>
      </c>
      <c r="F228" s="157">
        <f>'Quantitativos (A)'!D228*$D228*$E228</f>
        <v>0</v>
      </c>
      <c r="G228" s="157">
        <f>'Quantitativos (A)'!E228*$D228*$E228</f>
        <v>0</v>
      </c>
      <c r="H228" s="157">
        <f>'Quantitativos (A)'!F228*$D228*$E228</f>
        <v>0</v>
      </c>
      <c r="I228" s="157">
        <f>'Quantitativos (A)'!G228*$D228*$E228</f>
        <v>0</v>
      </c>
      <c r="J228" s="157">
        <f>'Quantitativos (A)'!H228*$D228*$E228</f>
        <v>0</v>
      </c>
      <c r="K228" s="157">
        <f>'Quantitativos (A)'!I228*$D228*$E228</f>
        <v>0</v>
      </c>
      <c r="L228" s="157">
        <f>'Quantitativos (A)'!J228*$D228*$E228</f>
        <v>0</v>
      </c>
      <c r="M228" s="157">
        <f>'Quantitativos (A)'!K228*$D228*$E228</f>
        <v>0</v>
      </c>
      <c r="N228" s="157">
        <f>'Quantitativos (A)'!L228*$D228*$E228</f>
        <v>0</v>
      </c>
      <c r="O228" s="157">
        <f>'Quantitativos (A)'!M228*$D228*$E228</f>
        <v>0</v>
      </c>
      <c r="P228" s="157">
        <f>'Quantitativos (A)'!N228*$D228*$E228</f>
        <v>960.78</v>
      </c>
      <c r="Q228" s="157">
        <f>'Quantitativos (A)'!O228*$D228*$E228</f>
        <v>960.78</v>
      </c>
      <c r="R228" s="157">
        <f>'Quantitativos (A)'!P228*$D228*$E228</f>
        <v>960.78</v>
      </c>
      <c r="S228" s="157">
        <f>'Quantitativos (A)'!Q228*$D228*$E228</f>
        <v>960.78</v>
      </c>
      <c r="T228" s="157">
        <f>'Quantitativos (A)'!R228*$D228*$E228</f>
        <v>960.78</v>
      </c>
      <c r="U228" s="157">
        <f>'Quantitativos (A)'!S228*$D228*$E228</f>
        <v>960.78</v>
      </c>
      <c r="V228" s="157">
        <f>'Quantitativos (A)'!T228*$D228*$E228</f>
        <v>960.78</v>
      </c>
      <c r="W228" s="157">
        <f>'Quantitativos (A)'!U228*$D228*$E228</f>
        <v>960.78</v>
      </c>
      <c r="X228" s="157">
        <f>'Quantitativos (A)'!V228*$D228*$E228</f>
        <v>960.78</v>
      </c>
      <c r="Y228" s="157">
        <f>'Quantitativos (A)'!W228*$D228*$E228</f>
        <v>960.78</v>
      </c>
      <c r="Z228" s="157">
        <f>'Quantitativos (A)'!X228*$D228*$E228</f>
        <v>0</v>
      </c>
      <c r="AA228" s="157">
        <f>'Quantitativos (A)'!Y228*$D228*$E228</f>
        <v>0</v>
      </c>
      <c r="AB228" s="157">
        <f>'Quantitativos (A)'!Z228*$D228*$E228</f>
        <v>0</v>
      </c>
      <c r="AC228" s="157">
        <f>'Quantitativos (A)'!AA228*$D228*$E228</f>
        <v>0</v>
      </c>
      <c r="AD228" s="157">
        <f>'Quantitativos (A)'!AB228*$D228*$E228</f>
        <v>0</v>
      </c>
      <c r="AE228" s="157">
        <f>'Quantitativos (A)'!AC228*$D228*$E228</f>
        <v>0</v>
      </c>
      <c r="AF228" s="157">
        <f>'Quantitativos (A)'!AD228*$D228*$E228</f>
        <v>0</v>
      </c>
      <c r="AG228" s="157">
        <f>'Quantitativos (A)'!AE228*$D228*$E228</f>
        <v>0</v>
      </c>
      <c r="AH228" s="157">
        <f>'Quantitativos (A)'!AF228*$D228*$E228</f>
        <v>0</v>
      </c>
      <c r="AI228" s="158">
        <f>'Quantitativos (A)'!AG228*$D228*$E228</f>
        <v>0</v>
      </c>
      <c r="AJ228" s="22"/>
    </row>
    <row r="229" spans="1:36" x14ac:dyDescent="0.25">
      <c r="A229" s="112"/>
      <c r="B229" s="69" t="s">
        <v>204</v>
      </c>
      <c r="C229" s="133" t="s">
        <v>59</v>
      </c>
      <c r="D229" s="157">
        <f>'Dados (F)'!$D$161</f>
        <v>960.78</v>
      </c>
      <c r="E229" s="133">
        <f>IF('Dados (F)'!$D$35=1,1,'Dados (F)'!$C$39)</f>
        <v>1</v>
      </c>
      <c r="F229" s="157">
        <f>'Quantitativos (A)'!D229*$D229*$E229</f>
        <v>0</v>
      </c>
      <c r="G229" s="157">
        <f>'Quantitativos (A)'!E229*$D229*$E229</f>
        <v>0</v>
      </c>
      <c r="H229" s="157">
        <f>'Quantitativos (A)'!F229*$D229*$E229</f>
        <v>0</v>
      </c>
      <c r="I229" s="157">
        <f>'Quantitativos (A)'!G229*$D229*$E229</f>
        <v>0</v>
      </c>
      <c r="J229" s="157">
        <f>'Quantitativos (A)'!H229*$D229*$E229</f>
        <v>0</v>
      </c>
      <c r="K229" s="157">
        <f>'Quantitativos (A)'!I229*$D229*$E229</f>
        <v>0</v>
      </c>
      <c r="L229" s="157">
        <f>'Quantitativos (A)'!J229*$D229*$E229</f>
        <v>0</v>
      </c>
      <c r="M229" s="157">
        <f>'Quantitativos (A)'!K229*$D229*$E229</f>
        <v>0</v>
      </c>
      <c r="N229" s="157">
        <f>'Quantitativos (A)'!L229*$D229*$E229</f>
        <v>0</v>
      </c>
      <c r="O229" s="157">
        <f>'Quantitativos (A)'!M229*$D229*$E229</f>
        <v>0</v>
      </c>
      <c r="P229" s="157">
        <f>'Quantitativos (A)'!N229*$D229*$E229</f>
        <v>960.78</v>
      </c>
      <c r="Q229" s="157">
        <f>'Quantitativos (A)'!O229*$D229*$E229</f>
        <v>960.78</v>
      </c>
      <c r="R229" s="157">
        <f>'Quantitativos (A)'!P229*$D229*$E229</f>
        <v>960.78</v>
      </c>
      <c r="S229" s="157">
        <f>'Quantitativos (A)'!Q229*$D229*$E229</f>
        <v>960.78</v>
      </c>
      <c r="T229" s="157">
        <f>'Quantitativos (A)'!R229*$D229*$E229</f>
        <v>960.78</v>
      </c>
      <c r="U229" s="157">
        <f>'Quantitativos (A)'!S229*$D229*$E229</f>
        <v>960.78</v>
      </c>
      <c r="V229" s="157">
        <f>'Quantitativos (A)'!T229*$D229*$E229</f>
        <v>960.78</v>
      </c>
      <c r="W229" s="157">
        <f>'Quantitativos (A)'!U229*$D229*$E229</f>
        <v>960.78</v>
      </c>
      <c r="X229" s="157">
        <f>'Quantitativos (A)'!V229*$D229*$E229</f>
        <v>960.78</v>
      </c>
      <c r="Y229" s="157">
        <f>'Quantitativos (A)'!W229*$D229*$E229</f>
        <v>960.78</v>
      </c>
      <c r="Z229" s="157">
        <f>'Quantitativos (A)'!X229*$D229*$E229</f>
        <v>960.78</v>
      </c>
      <c r="AA229" s="157">
        <f>'Quantitativos (A)'!Y229*$D229*$E229</f>
        <v>960.78</v>
      </c>
      <c r="AB229" s="157">
        <f>'Quantitativos (A)'!Z229*$D229*$E229</f>
        <v>960.78</v>
      </c>
      <c r="AC229" s="157">
        <f>'Quantitativos (A)'!AA229*$D229*$E229</f>
        <v>960.78</v>
      </c>
      <c r="AD229" s="157">
        <f>'Quantitativos (A)'!AB229*$D229*$E229</f>
        <v>960.78</v>
      </c>
      <c r="AE229" s="157">
        <f>'Quantitativos (A)'!AC229*$D229*$E229</f>
        <v>960.78</v>
      </c>
      <c r="AF229" s="157">
        <f>'Quantitativos (A)'!AD229*$D229*$E229</f>
        <v>960.78</v>
      </c>
      <c r="AG229" s="157">
        <f>'Quantitativos (A)'!AE229*$D229*$E229</f>
        <v>960.78</v>
      </c>
      <c r="AH229" s="157">
        <f>'Quantitativos (A)'!AF229*$D229*$E229</f>
        <v>960.78</v>
      </c>
      <c r="AI229" s="158">
        <f>'Quantitativos (A)'!AG229*$D229*$E229</f>
        <v>960.78</v>
      </c>
      <c r="AJ229" s="22"/>
    </row>
    <row r="230" spans="1:36" x14ac:dyDescent="0.25">
      <c r="A230" s="112"/>
      <c r="B230" s="134" t="s">
        <v>205</v>
      </c>
      <c r="C230" s="133" t="s">
        <v>59</v>
      </c>
      <c r="D230" s="157">
        <f>'Dados (F)'!$D$162</f>
        <v>624.29999999999995</v>
      </c>
      <c r="E230" s="133">
        <f>IF('Dados (F)'!$D$35=1,1,'Dados (F)'!$C$39)</f>
        <v>1</v>
      </c>
      <c r="F230" s="157">
        <f>'Quantitativos (A)'!D230*$D230*$E230</f>
        <v>0</v>
      </c>
      <c r="G230" s="157">
        <f>'Quantitativos (A)'!E230*$D230*$E230</f>
        <v>0</v>
      </c>
      <c r="H230" s="157">
        <f>'Quantitativos (A)'!F230*$D230*$E230</f>
        <v>0</v>
      </c>
      <c r="I230" s="157">
        <f>'Quantitativos (A)'!G230*$D230*$E230</f>
        <v>0</v>
      </c>
      <c r="J230" s="157">
        <f>'Quantitativos (A)'!H230*$D230*$E230</f>
        <v>0</v>
      </c>
      <c r="K230" s="157">
        <f>'Quantitativos (A)'!I230*$D230*$E230</f>
        <v>0</v>
      </c>
      <c r="L230" s="157">
        <f>'Quantitativos (A)'!J230*$D230*$E230</f>
        <v>0</v>
      </c>
      <c r="M230" s="157">
        <f>'Quantitativos (A)'!K230*$D230*$E230</f>
        <v>0</v>
      </c>
      <c r="N230" s="157">
        <f>'Quantitativos (A)'!L230*$D230*$E230</f>
        <v>0</v>
      </c>
      <c r="O230" s="157">
        <f>'Quantitativos (A)'!M230*$D230*$E230</f>
        <v>0</v>
      </c>
      <c r="P230" s="157">
        <f>'Quantitativos (A)'!N230*$D230*$E230</f>
        <v>624.29999999999995</v>
      </c>
      <c r="Q230" s="157">
        <f>'Quantitativos (A)'!O230*$D230*$E230</f>
        <v>624.29999999999995</v>
      </c>
      <c r="R230" s="157">
        <f>'Quantitativos (A)'!P230*$D230*$E230</f>
        <v>624.29999999999995</v>
      </c>
      <c r="S230" s="157">
        <f>'Quantitativos (A)'!Q230*$D230*$E230</f>
        <v>624.29999999999995</v>
      </c>
      <c r="T230" s="157">
        <f>'Quantitativos (A)'!R230*$D230*$E230</f>
        <v>624.29999999999995</v>
      </c>
      <c r="U230" s="157">
        <f>'Quantitativos (A)'!S230*$D230*$E230</f>
        <v>624.29999999999995</v>
      </c>
      <c r="V230" s="157">
        <f>'Quantitativos (A)'!T230*$D230*$E230</f>
        <v>624.29999999999995</v>
      </c>
      <c r="W230" s="157">
        <f>'Quantitativos (A)'!U230*$D230*$E230</f>
        <v>624.29999999999995</v>
      </c>
      <c r="X230" s="157">
        <f>'Quantitativos (A)'!V230*$D230*$E230</f>
        <v>624.29999999999995</v>
      </c>
      <c r="Y230" s="157">
        <f>'Quantitativos (A)'!W230*$D230*$E230</f>
        <v>624.29999999999995</v>
      </c>
      <c r="Z230" s="157">
        <f>'Quantitativos (A)'!X230*$D230*$E230</f>
        <v>0</v>
      </c>
      <c r="AA230" s="157">
        <f>'Quantitativos (A)'!Y230*$D230*$E230</f>
        <v>0</v>
      </c>
      <c r="AB230" s="157">
        <f>'Quantitativos (A)'!Z230*$D230*$E230</f>
        <v>0</v>
      </c>
      <c r="AC230" s="157">
        <f>'Quantitativos (A)'!AA230*$D230*$E230</f>
        <v>0</v>
      </c>
      <c r="AD230" s="157">
        <f>'Quantitativos (A)'!AB230*$D230*$E230</f>
        <v>0</v>
      </c>
      <c r="AE230" s="157">
        <f>'Quantitativos (A)'!AC230*$D230*$E230</f>
        <v>0</v>
      </c>
      <c r="AF230" s="157">
        <f>'Quantitativos (A)'!AD230*$D230*$E230</f>
        <v>0</v>
      </c>
      <c r="AG230" s="157">
        <f>'Quantitativos (A)'!AE230*$D230*$E230</f>
        <v>0</v>
      </c>
      <c r="AH230" s="157">
        <f>'Quantitativos (A)'!AF230*$D230*$E230</f>
        <v>0</v>
      </c>
      <c r="AI230" s="158">
        <f>'Quantitativos (A)'!AG230*$D230*$E230</f>
        <v>0</v>
      </c>
      <c r="AJ230" s="22"/>
    </row>
    <row r="231" spans="1:36" x14ac:dyDescent="0.25">
      <c r="A231" s="112"/>
      <c r="B231" s="69" t="s">
        <v>206</v>
      </c>
      <c r="C231" s="133" t="s">
        <v>59</v>
      </c>
      <c r="D231" s="157">
        <f>'Dados (F)'!$D$163</f>
        <v>1530.02</v>
      </c>
      <c r="E231" s="133">
        <f>IF('Dados (F)'!$D$35=1,1,'Dados (F)'!$C$39)</f>
        <v>1</v>
      </c>
      <c r="F231" s="157">
        <f>'Quantitativos (A)'!D231*$D231*$E231</f>
        <v>0</v>
      </c>
      <c r="G231" s="157">
        <f>'Quantitativos (A)'!E231*$D231*$E231</f>
        <v>0</v>
      </c>
      <c r="H231" s="157">
        <f>'Quantitativos (A)'!F231*$D231*$E231</f>
        <v>0</v>
      </c>
      <c r="I231" s="157">
        <f>'Quantitativos (A)'!G231*$D231*$E231</f>
        <v>0</v>
      </c>
      <c r="J231" s="157">
        <f>'Quantitativos (A)'!H231*$D231*$E231</f>
        <v>0</v>
      </c>
      <c r="K231" s="157">
        <f>'Quantitativos (A)'!I231*$D231*$E231</f>
        <v>0</v>
      </c>
      <c r="L231" s="157">
        <f>'Quantitativos (A)'!J231*$D231*$E231</f>
        <v>0</v>
      </c>
      <c r="M231" s="157">
        <f>'Quantitativos (A)'!K231*$D231*$E231</f>
        <v>0</v>
      </c>
      <c r="N231" s="157">
        <f>'Quantitativos (A)'!L231*$D231*$E231</f>
        <v>0</v>
      </c>
      <c r="O231" s="157">
        <f>'Quantitativos (A)'!M231*$D231*$E231</f>
        <v>0</v>
      </c>
      <c r="P231" s="157">
        <f>'Quantitativos (A)'!N231*$D231*$E231</f>
        <v>0</v>
      </c>
      <c r="Q231" s="157">
        <f>'Quantitativos (A)'!O231*$D231*$E231</f>
        <v>0</v>
      </c>
      <c r="R231" s="157">
        <f>'Quantitativos (A)'!P231*$D231*$E231</f>
        <v>0</v>
      </c>
      <c r="S231" s="157">
        <f>'Quantitativos (A)'!Q231*$D231*$E231</f>
        <v>0</v>
      </c>
      <c r="T231" s="157">
        <f>'Quantitativos (A)'!R231*$D231*$E231</f>
        <v>0</v>
      </c>
      <c r="U231" s="157">
        <f>'Quantitativos (A)'!S231*$D231*$E231</f>
        <v>0</v>
      </c>
      <c r="V231" s="157">
        <f>'Quantitativos (A)'!T231*$D231*$E231</f>
        <v>0</v>
      </c>
      <c r="W231" s="157">
        <f>'Quantitativos (A)'!U231*$D231*$E231</f>
        <v>0</v>
      </c>
      <c r="X231" s="157">
        <f>'Quantitativos (A)'!V231*$D231*$E231</f>
        <v>0</v>
      </c>
      <c r="Y231" s="157">
        <f>'Quantitativos (A)'!W231*$D231*$E231</f>
        <v>0</v>
      </c>
      <c r="Z231" s="157">
        <f>'Quantitativos (A)'!X231*$D231*$E231</f>
        <v>0</v>
      </c>
      <c r="AA231" s="157">
        <f>'Quantitativos (A)'!Y231*$D231*$E231</f>
        <v>0</v>
      </c>
      <c r="AB231" s="157">
        <f>'Quantitativos (A)'!Z231*$D231*$E231</f>
        <v>0</v>
      </c>
      <c r="AC231" s="157">
        <f>'Quantitativos (A)'!AA231*$D231*$E231</f>
        <v>0</v>
      </c>
      <c r="AD231" s="157">
        <f>'Quantitativos (A)'!AB231*$D231*$E231</f>
        <v>0</v>
      </c>
      <c r="AE231" s="157">
        <f>'Quantitativos (A)'!AC231*$D231*$E231</f>
        <v>0</v>
      </c>
      <c r="AF231" s="157">
        <f>'Quantitativos (A)'!AD231*$D231*$E231</f>
        <v>0</v>
      </c>
      <c r="AG231" s="157">
        <f>'Quantitativos (A)'!AE231*$D231*$E231</f>
        <v>0</v>
      </c>
      <c r="AH231" s="157">
        <f>'Quantitativos (A)'!AF231*$D231*$E231</f>
        <v>0</v>
      </c>
      <c r="AI231" s="158">
        <f>'Quantitativos (A)'!AG231*$D231*$E231</f>
        <v>0</v>
      </c>
      <c r="AJ231" s="22"/>
    </row>
    <row r="232" spans="1:36" x14ac:dyDescent="0.25">
      <c r="A232" s="112"/>
      <c r="B232" s="69" t="s">
        <v>207</v>
      </c>
      <c r="C232" s="133" t="s">
        <v>59</v>
      </c>
      <c r="D232" s="157">
        <f>'Dados (F)'!$D$164</f>
        <v>1604.13</v>
      </c>
      <c r="E232" s="133">
        <f>IF('Dados (F)'!$D$35=1,1,'Dados (F)'!$C$39)</f>
        <v>1</v>
      </c>
      <c r="F232" s="157">
        <f>'Quantitativos (A)'!D232*$D232*$E232</f>
        <v>0</v>
      </c>
      <c r="G232" s="157">
        <f>'Quantitativos (A)'!E232*$D232*$E232</f>
        <v>0</v>
      </c>
      <c r="H232" s="157">
        <f>'Quantitativos (A)'!F232*$D232*$E232</f>
        <v>0</v>
      </c>
      <c r="I232" s="157">
        <f>'Quantitativos (A)'!G232*$D232*$E232</f>
        <v>0</v>
      </c>
      <c r="J232" s="157">
        <f>'Quantitativos (A)'!H232*$D232*$E232</f>
        <v>0</v>
      </c>
      <c r="K232" s="157">
        <f>'Quantitativos (A)'!I232*$D232*$E232</f>
        <v>0</v>
      </c>
      <c r="L232" s="157">
        <f>'Quantitativos (A)'!J232*$D232*$E232</f>
        <v>0</v>
      </c>
      <c r="M232" s="157">
        <f>'Quantitativos (A)'!K232*$D232*$E232</f>
        <v>0</v>
      </c>
      <c r="N232" s="157">
        <f>'Quantitativos (A)'!L232*$D232*$E232</f>
        <v>0</v>
      </c>
      <c r="O232" s="157">
        <f>'Quantitativos (A)'!M232*$D232*$E232</f>
        <v>0</v>
      </c>
      <c r="P232" s="157">
        <f>'Quantitativos (A)'!N232*$D232*$E232</f>
        <v>0</v>
      </c>
      <c r="Q232" s="157">
        <f>'Quantitativos (A)'!O232*$D232*$E232</f>
        <v>0</v>
      </c>
      <c r="R232" s="157">
        <f>'Quantitativos (A)'!P232*$D232*$E232</f>
        <v>0</v>
      </c>
      <c r="S232" s="157">
        <f>'Quantitativos (A)'!Q232*$D232*$E232</f>
        <v>0</v>
      </c>
      <c r="T232" s="157">
        <f>'Quantitativos (A)'!R232*$D232*$E232</f>
        <v>0</v>
      </c>
      <c r="U232" s="157">
        <f>'Quantitativos (A)'!S232*$D232*$E232</f>
        <v>0</v>
      </c>
      <c r="V232" s="157">
        <f>'Quantitativos (A)'!T232*$D232*$E232</f>
        <v>0</v>
      </c>
      <c r="W232" s="157">
        <f>'Quantitativos (A)'!U232*$D232*$E232</f>
        <v>0</v>
      </c>
      <c r="X232" s="157">
        <f>'Quantitativos (A)'!V232*$D232*$E232</f>
        <v>0</v>
      </c>
      <c r="Y232" s="157">
        <f>'Quantitativos (A)'!W232*$D232*$E232</f>
        <v>0</v>
      </c>
      <c r="Z232" s="157">
        <f>'Quantitativos (A)'!X232*$D232*$E232</f>
        <v>0</v>
      </c>
      <c r="AA232" s="157">
        <f>'Quantitativos (A)'!Y232*$D232*$E232</f>
        <v>0</v>
      </c>
      <c r="AB232" s="157">
        <f>'Quantitativos (A)'!Z232*$D232*$E232</f>
        <v>0</v>
      </c>
      <c r="AC232" s="157">
        <f>'Quantitativos (A)'!AA232*$D232*$E232</f>
        <v>0</v>
      </c>
      <c r="AD232" s="157">
        <f>'Quantitativos (A)'!AB232*$D232*$E232</f>
        <v>0</v>
      </c>
      <c r="AE232" s="157">
        <f>'Quantitativos (A)'!AC232*$D232*$E232</f>
        <v>0</v>
      </c>
      <c r="AF232" s="157">
        <f>'Quantitativos (A)'!AD232*$D232*$E232</f>
        <v>0</v>
      </c>
      <c r="AG232" s="157">
        <f>'Quantitativos (A)'!AE232*$D232*$E232</f>
        <v>0</v>
      </c>
      <c r="AH232" s="157">
        <f>'Quantitativos (A)'!AF232*$D232*$E232</f>
        <v>0</v>
      </c>
      <c r="AI232" s="158">
        <f>'Quantitativos (A)'!AG232*$D232*$E232</f>
        <v>0</v>
      </c>
      <c r="AJ232" s="22"/>
    </row>
    <row r="233" spans="1:36" x14ac:dyDescent="0.25">
      <c r="A233" s="112"/>
      <c r="B233" s="134" t="s">
        <v>208</v>
      </c>
      <c r="C233" s="133" t="s">
        <v>59</v>
      </c>
      <c r="D233" s="157">
        <f>'Dados (F)'!$D$165</f>
        <v>1604.13</v>
      </c>
      <c r="E233" s="133">
        <f>IF('Dados (F)'!$D$35=1,1,'Dados (F)'!$C$39)</f>
        <v>1</v>
      </c>
      <c r="F233" s="157">
        <f>'Quantitativos (A)'!D233*$D233*$E233</f>
        <v>0</v>
      </c>
      <c r="G233" s="157">
        <f>'Quantitativos (A)'!E233*$D233*$E233</f>
        <v>0</v>
      </c>
      <c r="H233" s="157">
        <f>'Quantitativos (A)'!F233*$D233*$E233</f>
        <v>0</v>
      </c>
      <c r="I233" s="157">
        <f>'Quantitativos (A)'!G233*$D233*$E233</f>
        <v>0</v>
      </c>
      <c r="J233" s="157">
        <f>'Quantitativos (A)'!H233*$D233*$E233</f>
        <v>0</v>
      </c>
      <c r="K233" s="157">
        <f>'Quantitativos (A)'!I233*$D233*$E233</f>
        <v>0</v>
      </c>
      <c r="L233" s="157">
        <f>'Quantitativos (A)'!J233*$D233*$E233</f>
        <v>0</v>
      </c>
      <c r="M233" s="157">
        <f>'Quantitativos (A)'!K233*$D233*$E233</f>
        <v>0</v>
      </c>
      <c r="N233" s="157">
        <f>'Quantitativos (A)'!L233*$D233*$E233</f>
        <v>0</v>
      </c>
      <c r="O233" s="157">
        <f>'Quantitativos (A)'!M233*$D233*$E233</f>
        <v>0</v>
      </c>
      <c r="P233" s="157">
        <f>'Quantitativos (A)'!N233*$D233*$E233</f>
        <v>0</v>
      </c>
      <c r="Q233" s="157">
        <f>'Quantitativos (A)'!O233*$D233*$E233</f>
        <v>0</v>
      </c>
      <c r="R233" s="157">
        <f>'Quantitativos (A)'!P233*$D233*$E233</f>
        <v>0</v>
      </c>
      <c r="S233" s="157">
        <f>'Quantitativos (A)'!Q233*$D233*$E233</f>
        <v>0</v>
      </c>
      <c r="T233" s="157">
        <f>'Quantitativos (A)'!R233*$D233*$E233</f>
        <v>0</v>
      </c>
      <c r="U233" s="157">
        <f>'Quantitativos (A)'!S233*$D233*$E233</f>
        <v>0</v>
      </c>
      <c r="V233" s="157">
        <f>'Quantitativos (A)'!T233*$D233*$E233</f>
        <v>0</v>
      </c>
      <c r="W233" s="157">
        <f>'Quantitativos (A)'!U233*$D233*$E233</f>
        <v>0</v>
      </c>
      <c r="X233" s="157">
        <f>'Quantitativos (A)'!V233*$D233*$E233</f>
        <v>0</v>
      </c>
      <c r="Y233" s="157">
        <f>'Quantitativos (A)'!W233*$D233*$E233</f>
        <v>0</v>
      </c>
      <c r="Z233" s="157">
        <f>'Quantitativos (A)'!X233*$D233*$E233</f>
        <v>0</v>
      </c>
      <c r="AA233" s="157">
        <f>'Quantitativos (A)'!Y233*$D233*$E233</f>
        <v>0</v>
      </c>
      <c r="AB233" s="157">
        <f>'Quantitativos (A)'!Z233*$D233*$E233</f>
        <v>0</v>
      </c>
      <c r="AC233" s="157">
        <f>'Quantitativos (A)'!AA233*$D233*$E233</f>
        <v>0</v>
      </c>
      <c r="AD233" s="157">
        <f>'Quantitativos (A)'!AB233*$D233*$E233</f>
        <v>0</v>
      </c>
      <c r="AE233" s="157">
        <f>'Quantitativos (A)'!AC233*$D233*$E233</f>
        <v>0</v>
      </c>
      <c r="AF233" s="157">
        <f>'Quantitativos (A)'!AD233*$D233*$E233</f>
        <v>0</v>
      </c>
      <c r="AG233" s="157">
        <f>'Quantitativos (A)'!AE233*$D233*$E233</f>
        <v>0</v>
      </c>
      <c r="AH233" s="157">
        <f>'Quantitativos (A)'!AF233*$D233*$E233</f>
        <v>0</v>
      </c>
      <c r="AI233" s="158">
        <f>'Quantitativos (A)'!AG233*$D233*$E233</f>
        <v>0</v>
      </c>
      <c r="AJ233" s="22"/>
    </row>
    <row r="234" spans="1:36" x14ac:dyDescent="0.25">
      <c r="A234" s="112"/>
      <c r="B234" s="69" t="s">
        <v>209</v>
      </c>
      <c r="C234" s="133" t="s">
        <v>59</v>
      </c>
      <c r="D234" s="157">
        <f>'Dados (F)'!$D$166</f>
        <v>1604.13</v>
      </c>
      <c r="E234" s="133">
        <f>IF('Dados (F)'!$D$35=1,1,'Dados (F)'!$C$39)</f>
        <v>1</v>
      </c>
      <c r="F234" s="157">
        <f>'Quantitativos (A)'!D234*$D234*$E234</f>
        <v>0</v>
      </c>
      <c r="G234" s="157">
        <f>'Quantitativos (A)'!E234*$D234*$E234</f>
        <v>0</v>
      </c>
      <c r="H234" s="157">
        <f>'Quantitativos (A)'!F234*$D234*$E234</f>
        <v>0</v>
      </c>
      <c r="I234" s="157">
        <f>'Quantitativos (A)'!G234*$D234*$E234</f>
        <v>0</v>
      </c>
      <c r="J234" s="157">
        <f>'Quantitativos (A)'!H234*$D234*$E234</f>
        <v>0</v>
      </c>
      <c r="K234" s="157">
        <f>'Quantitativos (A)'!I234*$D234*$E234</f>
        <v>0</v>
      </c>
      <c r="L234" s="157">
        <f>'Quantitativos (A)'!J234*$D234*$E234</f>
        <v>0</v>
      </c>
      <c r="M234" s="157">
        <f>'Quantitativos (A)'!K234*$D234*$E234</f>
        <v>0</v>
      </c>
      <c r="N234" s="157">
        <f>'Quantitativos (A)'!L234*$D234*$E234</f>
        <v>0</v>
      </c>
      <c r="O234" s="157">
        <f>'Quantitativos (A)'!M234*$D234*$E234</f>
        <v>0</v>
      </c>
      <c r="P234" s="157">
        <f>'Quantitativos (A)'!N234*$D234*$E234</f>
        <v>0</v>
      </c>
      <c r="Q234" s="157">
        <f>'Quantitativos (A)'!O234*$D234*$E234</f>
        <v>0</v>
      </c>
      <c r="R234" s="157">
        <f>'Quantitativos (A)'!P234*$D234*$E234</f>
        <v>0</v>
      </c>
      <c r="S234" s="157">
        <f>'Quantitativos (A)'!Q234*$D234*$E234</f>
        <v>0</v>
      </c>
      <c r="T234" s="157">
        <f>'Quantitativos (A)'!R234*$D234*$E234</f>
        <v>0</v>
      </c>
      <c r="U234" s="157">
        <f>'Quantitativos (A)'!S234*$D234*$E234</f>
        <v>0</v>
      </c>
      <c r="V234" s="157">
        <f>'Quantitativos (A)'!T234*$D234*$E234</f>
        <v>0</v>
      </c>
      <c r="W234" s="157">
        <f>'Quantitativos (A)'!U234*$D234*$E234</f>
        <v>0</v>
      </c>
      <c r="X234" s="157">
        <f>'Quantitativos (A)'!V234*$D234*$E234</f>
        <v>0</v>
      </c>
      <c r="Y234" s="157">
        <f>'Quantitativos (A)'!W234*$D234*$E234</f>
        <v>0</v>
      </c>
      <c r="Z234" s="157">
        <f>'Quantitativos (A)'!X234*$D234*$E234</f>
        <v>0</v>
      </c>
      <c r="AA234" s="157">
        <f>'Quantitativos (A)'!Y234*$D234*$E234</f>
        <v>0</v>
      </c>
      <c r="AB234" s="157">
        <f>'Quantitativos (A)'!Z234*$D234*$E234</f>
        <v>0</v>
      </c>
      <c r="AC234" s="157">
        <f>'Quantitativos (A)'!AA234*$D234*$E234</f>
        <v>0</v>
      </c>
      <c r="AD234" s="157">
        <f>'Quantitativos (A)'!AB234*$D234*$E234</f>
        <v>0</v>
      </c>
      <c r="AE234" s="157">
        <f>'Quantitativos (A)'!AC234*$D234*$E234</f>
        <v>0</v>
      </c>
      <c r="AF234" s="157">
        <f>'Quantitativos (A)'!AD234*$D234*$E234</f>
        <v>0</v>
      </c>
      <c r="AG234" s="157">
        <f>'Quantitativos (A)'!AE234*$D234*$E234</f>
        <v>0</v>
      </c>
      <c r="AH234" s="157">
        <f>'Quantitativos (A)'!AF234*$D234*$E234</f>
        <v>0</v>
      </c>
      <c r="AI234" s="158">
        <f>'Quantitativos (A)'!AG234*$D234*$E234</f>
        <v>0</v>
      </c>
      <c r="AJ234" s="22"/>
    </row>
    <row r="235" spans="1:36" x14ac:dyDescent="0.25">
      <c r="A235" s="112"/>
      <c r="B235" s="69" t="s">
        <v>211</v>
      </c>
      <c r="C235" s="133" t="s">
        <v>59</v>
      </c>
      <c r="D235" s="157">
        <f>'Dados (F)'!$D$169</f>
        <v>495.39</v>
      </c>
      <c r="E235" s="133">
        <f>IF('Dados (F)'!$D$35=1,1,'Dados (F)'!$C$39)</f>
        <v>1</v>
      </c>
      <c r="F235" s="157">
        <f>'Quantitativos (A)'!D235*$D235*$E235</f>
        <v>495.39</v>
      </c>
      <c r="G235" s="157">
        <f>'Quantitativos (A)'!E235*$D235*$E235</f>
        <v>495.39</v>
      </c>
      <c r="H235" s="157">
        <f>'Quantitativos (A)'!F235*$D235*$E235</f>
        <v>495.39</v>
      </c>
      <c r="I235" s="157">
        <f>'Quantitativos (A)'!G235*$D235*$E235</f>
        <v>495.39</v>
      </c>
      <c r="J235" s="157">
        <f>'Quantitativos (A)'!H235*$D235*$E235</f>
        <v>495.39</v>
      </c>
      <c r="K235" s="157">
        <f>'Quantitativos (A)'!I235*$D235*$E235</f>
        <v>495.39</v>
      </c>
      <c r="L235" s="157">
        <f>'Quantitativos (A)'!J235*$D235*$E235</f>
        <v>495.39</v>
      </c>
      <c r="M235" s="157">
        <f>'Quantitativos (A)'!K235*$D235*$E235</f>
        <v>495.39</v>
      </c>
      <c r="N235" s="157">
        <f>'Quantitativos (A)'!L235*$D235*$E235</f>
        <v>495.39</v>
      </c>
      <c r="O235" s="157">
        <f>'Quantitativos (A)'!M235*$D235*$E235</f>
        <v>495.39</v>
      </c>
      <c r="P235" s="157">
        <f>'Quantitativos (A)'!N235*$D235*$E235</f>
        <v>990.78</v>
      </c>
      <c r="Q235" s="157">
        <f>'Quantitativos (A)'!O235*$D235*$E235</f>
        <v>990.78</v>
      </c>
      <c r="R235" s="157">
        <f>'Quantitativos (A)'!P235*$D235*$E235</f>
        <v>990.78</v>
      </c>
      <c r="S235" s="157">
        <f>'Quantitativos (A)'!Q235*$D235*$E235</f>
        <v>990.78</v>
      </c>
      <c r="T235" s="157">
        <f>'Quantitativos (A)'!R235*$D235*$E235</f>
        <v>990.78</v>
      </c>
      <c r="U235" s="157">
        <f>'Quantitativos (A)'!S235*$D235*$E235</f>
        <v>990.78</v>
      </c>
      <c r="V235" s="157">
        <f>'Quantitativos (A)'!T235*$D235*$E235</f>
        <v>990.78</v>
      </c>
      <c r="W235" s="157">
        <f>'Quantitativos (A)'!U235*$D235*$E235</f>
        <v>990.78</v>
      </c>
      <c r="X235" s="157">
        <f>'Quantitativos (A)'!V235*$D235*$E235</f>
        <v>990.78</v>
      </c>
      <c r="Y235" s="157">
        <f>'Quantitativos (A)'!W235*$D235*$E235</f>
        <v>990.78</v>
      </c>
      <c r="Z235" s="157">
        <f>'Quantitativos (A)'!X235*$D235*$E235</f>
        <v>0</v>
      </c>
      <c r="AA235" s="157">
        <f>'Quantitativos (A)'!Y235*$D235*$E235</f>
        <v>0</v>
      </c>
      <c r="AB235" s="157">
        <f>'Quantitativos (A)'!Z235*$D235*$E235</f>
        <v>0</v>
      </c>
      <c r="AC235" s="157">
        <f>'Quantitativos (A)'!AA235*$D235*$E235</f>
        <v>0</v>
      </c>
      <c r="AD235" s="157">
        <f>'Quantitativos (A)'!AB235*$D235*$E235</f>
        <v>0</v>
      </c>
      <c r="AE235" s="157">
        <f>'Quantitativos (A)'!AC235*$D235*$E235</f>
        <v>0</v>
      </c>
      <c r="AF235" s="157">
        <f>'Quantitativos (A)'!AD235*$D235*$E235</f>
        <v>0</v>
      </c>
      <c r="AG235" s="157">
        <f>'Quantitativos (A)'!AE235*$D235*$E235</f>
        <v>0</v>
      </c>
      <c r="AH235" s="157">
        <f>'Quantitativos (A)'!AF235*$D235*$E235</f>
        <v>0</v>
      </c>
      <c r="AI235" s="158">
        <f>'Quantitativos (A)'!AG235*$D235*$E235</f>
        <v>0</v>
      </c>
      <c r="AJ235" s="22"/>
    </row>
    <row r="236" spans="1:36" x14ac:dyDescent="0.25">
      <c r="A236" s="112"/>
      <c r="B236" s="69" t="s">
        <v>212</v>
      </c>
      <c r="C236" s="133" t="s">
        <v>59</v>
      </c>
      <c r="D236" s="157">
        <f>'Dados (F)'!$D$170</f>
        <v>1146.55</v>
      </c>
      <c r="E236" s="133">
        <f>IF('Dados (F)'!$D$35=1,1,'Dados (F)'!$C$39)</f>
        <v>1</v>
      </c>
      <c r="F236" s="157">
        <f>'Quantitativos (A)'!D236*$D236*$E236</f>
        <v>1146.55</v>
      </c>
      <c r="G236" s="157">
        <f>'Quantitativos (A)'!E236*$D236*$E236</f>
        <v>1146.55</v>
      </c>
      <c r="H236" s="157">
        <f>'Quantitativos (A)'!F236*$D236*$E236</f>
        <v>1146.55</v>
      </c>
      <c r="I236" s="157">
        <f>'Quantitativos (A)'!G236*$D236*$E236</f>
        <v>1146.55</v>
      </c>
      <c r="J236" s="157">
        <f>'Quantitativos (A)'!H236*$D236*$E236</f>
        <v>1146.55</v>
      </c>
      <c r="K236" s="157">
        <f>'Quantitativos (A)'!I236*$D236*$E236</f>
        <v>1146.55</v>
      </c>
      <c r="L236" s="157">
        <f>'Quantitativos (A)'!J236*$D236*$E236</f>
        <v>1146.55</v>
      </c>
      <c r="M236" s="157">
        <f>'Quantitativos (A)'!K236*$D236*$E236</f>
        <v>1146.55</v>
      </c>
      <c r="N236" s="157">
        <f>'Quantitativos (A)'!L236*$D236*$E236</f>
        <v>1146.55</v>
      </c>
      <c r="O236" s="157">
        <f>'Quantitativos (A)'!M236*$D236*$E236</f>
        <v>1146.55</v>
      </c>
      <c r="P236" s="157">
        <f>'Quantitativos (A)'!N236*$D236*$E236</f>
        <v>0</v>
      </c>
      <c r="Q236" s="157">
        <f>'Quantitativos (A)'!O236*$D236*$E236</f>
        <v>0</v>
      </c>
      <c r="R236" s="157">
        <f>'Quantitativos (A)'!P236*$D236*$E236</f>
        <v>0</v>
      </c>
      <c r="S236" s="157">
        <f>'Quantitativos (A)'!Q236*$D236*$E236</f>
        <v>0</v>
      </c>
      <c r="T236" s="157">
        <f>'Quantitativos (A)'!R236*$D236*$E236</f>
        <v>0</v>
      </c>
      <c r="U236" s="157">
        <f>'Quantitativos (A)'!S236*$D236*$E236</f>
        <v>0</v>
      </c>
      <c r="V236" s="157">
        <f>'Quantitativos (A)'!T236*$D236*$E236</f>
        <v>0</v>
      </c>
      <c r="W236" s="157">
        <f>'Quantitativos (A)'!U236*$D236*$E236</f>
        <v>0</v>
      </c>
      <c r="X236" s="157">
        <f>'Quantitativos (A)'!V236*$D236*$E236</f>
        <v>0</v>
      </c>
      <c r="Y236" s="157">
        <f>'Quantitativos (A)'!W236*$D236*$E236</f>
        <v>0</v>
      </c>
      <c r="Z236" s="157">
        <f>'Quantitativos (A)'!X236*$D236*$E236</f>
        <v>1146.55</v>
      </c>
      <c r="AA236" s="157">
        <f>'Quantitativos (A)'!Y236*$D236*$E236</f>
        <v>1146.55</v>
      </c>
      <c r="AB236" s="157">
        <f>'Quantitativos (A)'!Z236*$D236*$E236</f>
        <v>1146.55</v>
      </c>
      <c r="AC236" s="157">
        <f>'Quantitativos (A)'!AA236*$D236*$E236</f>
        <v>1146.55</v>
      </c>
      <c r="AD236" s="157">
        <f>'Quantitativos (A)'!AB236*$D236*$E236</f>
        <v>1146.55</v>
      </c>
      <c r="AE236" s="157">
        <f>'Quantitativos (A)'!AC236*$D236*$E236</f>
        <v>1146.55</v>
      </c>
      <c r="AF236" s="157">
        <f>'Quantitativos (A)'!AD236*$D236*$E236</f>
        <v>1146.55</v>
      </c>
      <c r="AG236" s="157">
        <f>'Quantitativos (A)'!AE236*$D236*$E236</f>
        <v>1146.55</v>
      </c>
      <c r="AH236" s="157">
        <f>'Quantitativos (A)'!AF236*$D236*$E236</f>
        <v>1146.55</v>
      </c>
      <c r="AI236" s="158">
        <f>'Quantitativos (A)'!AG236*$D236*$E236</f>
        <v>1146.55</v>
      </c>
      <c r="AJ236" s="22"/>
    </row>
    <row r="237" spans="1:36" x14ac:dyDescent="0.25">
      <c r="A237" s="112"/>
      <c r="B237" s="69" t="s">
        <v>213</v>
      </c>
      <c r="C237" s="133" t="s">
        <v>59</v>
      </c>
      <c r="D237" s="157">
        <f>'Dados (F)'!$D$171</f>
        <v>1146.55</v>
      </c>
      <c r="E237" s="133">
        <f>IF('Dados (F)'!$D$35=1,1,'Dados (F)'!$C$39)</f>
        <v>1</v>
      </c>
      <c r="F237" s="157">
        <f>'Quantitativos (A)'!D237*$D237*$E237</f>
        <v>4586.2</v>
      </c>
      <c r="G237" s="157">
        <f>'Quantitativos (A)'!E237*$D237*$E237</f>
        <v>4586.2</v>
      </c>
      <c r="H237" s="157">
        <f>'Quantitativos (A)'!F237*$D237*$E237</f>
        <v>4586.2</v>
      </c>
      <c r="I237" s="157">
        <f>'Quantitativos (A)'!G237*$D237*$E237</f>
        <v>4586.2</v>
      </c>
      <c r="J237" s="157">
        <f>'Quantitativos (A)'!H237*$D237*$E237</f>
        <v>4586.2</v>
      </c>
      <c r="K237" s="157">
        <f>'Quantitativos (A)'!I237*$D237*$E237</f>
        <v>4586.2</v>
      </c>
      <c r="L237" s="157">
        <f>'Quantitativos (A)'!J237*$D237*$E237</f>
        <v>4586.2</v>
      </c>
      <c r="M237" s="157">
        <f>'Quantitativos (A)'!K237*$D237*$E237</f>
        <v>4586.2</v>
      </c>
      <c r="N237" s="157">
        <f>'Quantitativos (A)'!L237*$D237*$E237</f>
        <v>4586.2</v>
      </c>
      <c r="O237" s="157">
        <f>'Quantitativos (A)'!M237*$D237*$E237</f>
        <v>4586.2</v>
      </c>
      <c r="P237" s="157">
        <f>'Quantitativos (A)'!N237*$D237*$E237</f>
        <v>2293.1</v>
      </c>
      <c r="Q237" s="157">
        <f>'Quantitativos (A)'!O237*$D237*$E237</f>
        <v>2293.1</v>
      </c>
      <c r="R237" s="157">
        <f>'Quantitativos (A)'!P237*$D237*$E237</f>
        <v>2293.1</v>
      </c>
      <c r="S237" s="157">
        <f>'Quantitativos (A)'!Q237*$D237*$E237</f>
        <v>2293.1</v>
      </c>
      <c r="T237" s="157">
        <f>'Quantitativos (A)'!R237*$D237*$E237</f>
        <v>2293.1</v>
      </c>
      <c r="U237" s="157">
        <f>'Quantitativos (A)'!S237*$D237*$E237</f>
        <v>2293.1</v>
      </c>
      <c r="V237" s="157">
        <f>'Quantitativos (A)'!T237*$D237*$E237</f>
        <v>2293.1</v>
      </c>
      <c r="W237" s="157">
        <f>'Quantitativos (A)'!U237*$D237*$E237</f>
        <v>2293.1</v>
      </c>
      <c r="X237" s="157">
        <f>'Quantitativos (A)'!V237*$D237*$E237</f>
        <v>2293.1</v>
      </c>
      <c r="Y237" s="157">
        <f>'Quantitativos (A)'!W237*$D237*$E237</f>
        <v>2293.1</v>
      </c>
      <c r="Z237" s="157">
        <f>'Quantitativos (A)'!X237*$D237*$E237</f>
        <v>1146.55</v>
      </c>
      <c r="AA237" s="157">
        <f>'Quantitativos (A)'!Y237*$D237*$E237</f>
        <v>1146.55</v>
      </c>
      <c r="AB237" s="157">
        <f>'Quantitativos (A)'!Z237*$D237*$E237</f>
        <v>1146.55</v>
      </c>
      <c r="AC237" s="157">
        <f>'Quantitativos (A)'!AA237*$D237*$E237</f>
        <v>1146.55</v>
      </c>
      <c r="AD237" s="157">
        <f>'Quantitativos (A)'!AB237*$D237*$E237</f>
        <v>1146.55</v>
      </c>
      <c r="AE237" s="157">
        <f>'Quantitativos (A)'!AC237*$D237*$E237</f>
        <v>1146.55</v>
      </c>
      <c r="AF237" s="157">
        <f>'Quantitativos (A)'!AD237*$D237*$E237</f>
        <v>1146.55</v>
      </c>
      <c r="AG237" s="157">
        <f>'Quantitativos (A)'!AE237*$D237*$E237</f>
        <v>1146.55</v>
      </c>
      <c r="AH237" s="157">
        <f>'Quantitativos (A)'!AF237*$D237*$E237</f>
        <v>1146.55</v>
      </c>
      <c r="AI237" s="158">
        <f>'Quantitativos (A)'!AG237*$D237*$E237</f>
        <v>1146.55</v>
      </c>
      <c r="AJ237" s="22"/>
    </row>
    <row r="238" spans="1:36" x14ac:dyDescent="0.25">
      <c r="A238" s="112"/>
      <c r="B238" s="69" t="s">
        <v>214</v>
      </c>
      <c r="C238" s="133" t="s">
        <v>59</v>
      </c>
      <c r="D238" s="157">
        <f>'Dados (F)'!$D$172</f>
        <v>1227.43</v>
      </c>
      <c r="E238" s="133">
        <f>IF('Dados (F)'!$D$35=1,1,'Dados (F)'!$C$39)</f>
        <v>1</v>
      </c>
      <c r="F238" s="157">
        <f>'Quantitativos (A)'!D238*$D238*$E238</f>
        <v>1227.43</v>
      </c>
      <c r="G238" s="157">
        <f>'Quantitativos (A)'!E238*$D238*$E238</f>
        <v>1227.43</v>
      </c>
      <c r="H238" s="157">
        <f>'Quantitativos (A)'!F238*$D238*$E238</f>
        <v>1227.43</v>
      </c>
      <c r="I238" s="157">
        <f>'Quantitativos (A)'!G238*$D238*$E238</f>
        <v>1227.43</v>
      </c>
      <c r="J238" s="157">
        <f>'Quantitativos (A)'!H238*$D238*$E238</f>
        <v>1227.43</v>
      </c>
      <c r="K238" s="157">
        <f>'Quantitativos (A)'!I238*$D238*$E238</f>
        <v>1227.43</v>
      </c>
      <c r="L238" s="157">
        <f>'Quantitativos (A)'!J238*$D238*$E238</f>
        <v>1227.43</v>
      </c>
      <c r="M238" s="157">
        <f>'Quantitativos (A)'!K238*$D238*$E238</f>
        <v>1227.43</v>
      </c>
      <c r="N238" s="157">
        <f>'Quantitativos (A)'!L238*$D238*$E238</f>
        <v>1227.43</v>
      </c>
      <c r="O238" s="157">
        <f>'Quantitativos (A)'!M238*$D238*$E238</f>
        <v>1227.43</v>
      </c>
      <c r="P238" s="157">
        <f>'Quantitativos (A)'!N238*$D238*$E238</f>
        <v>2454.86</v>
      </c>
      <c r="Q238" s="157">
        <f>'Quantitativos (A)'!O238*$D238*$E238</f>
        <v>2454.86</v>
      </c>
      <c r="R238" s="157">
        <f>'Quantitativos (A)'!P238*$D238*$E238</f>
        <v>2454.86</v>
      </c>
      <c r="S238" s="157">
        <f>'Quantitativos (A)'!Q238*$D238*$E238</f>
        <v>2454.86</v>
      </c>
      <c r="T238" s="157">
        <f>'Quantitativos (A)'!R238*$D238*$E238</f>
        <v>2454.86</v>
      </c>
      <c r="U238" s="157">
        <f>'Quantitativos (A)'!S238*$D238*$E238</f>
        <v>2454.86</v>
      </c>
      <c r="V238" s="157">
        <f>'Quantitativos (A)'!T238*$D238*$E238</f>
        <v>2454.86</v>
      </c>
      <c r="W238" s="157">
        <f>'Quantitativos (A)'!U238*$D238*$E238</f>
        <v>2454.86</v>
      </c>
      <c r="X238" s="157">
        <f>'Quantitativos (A)'!V238*$D238*$E238</f>
        <v>2454.86</v>
      </c>
      <c r="Y238" s="157">
        <f>'Quantitativos (A)'!W238*$D238*$E238</f>
        <v>2454.86</v>
      </c>
      <c r="Z238" s="157">
        <f>'Quantitativos (A)'!X238*$D238*$E238</f>
        <v>0</v>
      </c>
      <c r="AA238" s="157">
        <f>'Quantitativos (A)'!Y238*$D238*$E238</f>
        <v>0</v>
      </c>
      <c r="AB238" s="157">
        <f>'Quantitativos (A)'!Z238*$D238*$E238</f>
        <v>0</v>
      </c>
      <c r="AC238" s="157">
        <f>'Quantitativos (A)'!AA238*$D238*$E238</f>
        <v>0</v>
      </c>
      <c r="AD238" s="157">
        <f>'Quantitativos (A)'!AB238*$D238*$E238</f>
        <v>0</v>
      </c>
      <c r="AE238" s="157">
        <f>'Quantitativos (A)'!AC238*$D238*$E238</f>
        <v>0</v>
      </c>
      <c r="AF238" s="157">
        <f>'Quantitativos (A)'!AD238*$D238*$E238</f>
        <v>0</v>
      </c>
      <c r="AG238" s="157">
        <f>'Quantitativos (A)'!AE238*$D238*$E238</f>
        <v>0</v>
      </c>
      <c r="AH238" s="157">
        <f>'Quantitativos (A)'!AF238*$D238*$E238</f>
        <v>0</v>
      </c>
      <c r="AI238" s="158">
        <f>'Quantitativos (A)'!AG238*$D238*$E238</f>
        <v>0</v>
      </c>
      <c r="AJ238" s="22"/>
    </row>
    <row r="239" spans="1:36" x14ac:dyDescent="0.25">
      <c r="A239" s="112"/>
      <c r="B239" s="69" t="s">
        <v>215</v>
      </c>
      <c r="C239" s="133" t="s">
        <v>59</v>
      </c>
      <c r="D239" s="157">
        <f>'Dados (F)'!$D$173</f>
        <v>929.21</v>
      </c>
      <c r="E239" s="133">
        <f>IF('Dados (F)'!$D$35=1,1,'Dados (F)'!$C$39)</f>
        <v>1</v>
      </c>
      <c r="F239" s="157">
        <f>'Quantitativos (A)'!D239*$D239*$E239</f>
        <v>0</v>
      </c>
      <c r="G239" s="157">
        <f>'Quantitativos (A)'!E239*$D239*$E239</f>
        <v>0</v>
      </c>
      <c r="H239" s="157">
        <f>'Quantitativos (A)'!F239*$D239*$E239</f>
        <v>0</v>
      </c>
      <c r="I239" s="157">
        <f>'Quantitativos (A)'!G239*$D239*$E239</f>
        <v>0</v>
      </c>
      <c r="J239" s="157">
        <f>'Quantitativos (A)'!H239*$D239*$E239</f>
        <v>0</v>
      </c>
      <c r="K239" s="157">
        <f>'Quantitativos (A)'!I239*$D239*$E239</f>
        <v>0</v>
      </c>
      <c r="L239" s="157">
        <f>'Quantitativos (A)'!J239*$D239*$E239</f>
        <v>0</v>
      </c>
      <c r="M239" s="157">
        <f>'Quantitativos (A)'!K239*$D239*$E239</f>
        <v>0</v>
      </c>
      <c r="N239" s="157">
        <f>'Quantitativos (A)'!L239*$D239*$E239</f>
        <v>0</v>
      </c>
      <c r="O239" s="157">
        <f>'Quantitativos (A)'!M239*$D239*$E239</f>
        <v>0</v>
      </c>
      <c r="P239" s="157">
        <f>'Quantitativos (A)'!N239*$D239*$E239</f>
        <v>0</v>
      </c>
      <c r="Q239" s="157">
        <f>'Quantitativos (A)'!O239*$D239*$E239</f>
        <v>0</v>
      </c>
      <c r="R239" s="157">
        <f>'Quantitativos (A)'!P239*$D239*$E239</f>
        <v>0</v>
      </c>
      <c r="S239" s="157">
        <f>'Quantitativos (A)'!Q239*$D239*$E239</f>
        <v>0</v>
      </c>
      <c r="T239" s="157">
        <f>'Quantitativos (A)'!R239*$D239*$E239</f>
        <v>0</v>
      </c>
      <c r="U239" s="157">
        <f>'Quantitativos (A)'!S239*$D239*$E239</f>
        <v>0</v>
      </c>
      <c r="V239" s="157">
        <f>'Quantitativos (A)'!T239*$D239*$E239</f>
        <v>0</v>
      </c>
      <c r="W239" s="157">
        <f>'Quantitativos (A)'!U239*$D239*$E239</f>
        <v>0</v>
      </c>
      <c r="X239" s="157">
        <f>'Quantitativos (A)'!V239*$D239*$E239</f>
        <v>0</v>
      </c>
      <c r="Y239" s="157">
        <f>'Quantitativos (A)'!W239*$D239*$E239</f>
        <v>0</v>
      </c>
      <c r="Z239" s="157">
        <f>'Quantitativos (A)'!X239*$D239*$E239</f>
        <v>0</v>
      </c>
      <c r="AA239" s="157">
        <f>'Quantitativos (A)'!Y239*$D239*$E239</f>
        <v>0</v>
      </c>
      <c r="AB239" s="157">
        <f>'Quantitativos (A)'!Z239*$D239*$E239</f>
        <v>0</v>
      </c>
      <c r="AC239" s="157">
        <f>'Quantitativos (A)'!AA239*$D239*$E239</f>
        <v>0</v>
      </c>
      <c r="AD239" s="157">
        <f>'Quantitativos (A)'!AB239*$D239*$E239</f>
        <v>0</v>
      </c>
      <c r="AE239" s="157">
        <f>'Quantitativos (A)'!AC239*$D239*$E239</f>
        <v>0</v>
      </c>
      <c r="AF239" s="157">
        <f>'Quantitativos (A)'!AD239*$D239*$E239</f>
        <v>0</v>
      </c>
      <c r="AG239" s="157">
        <f>'Quantitativos (A)'!AE239*$D239*$E239</f>
        <v>0</v>
      </c>
      <c r="AH239" s="157">
        <f>'Quantitativos (A)'!AF239*$D239*$E239</f>
        <v>0</v>
      </c>
      <c r="AI239" s="158">
        <f>'Quantitativos (A)'!AG239*$D239*$E239</f>
        <v>0</v>
      </c>
      <c r="AJ239" s="22"/>
    </row>
    <row r="240" spans="1:36" x14ac:dyDescent="0.25">
      <c r="A240" s="112"/>
      <c r="B240" s="69" t="s">
        <v>216</v>
      </c>
      <c r="C240" s="133" t="s">
        <v>59</v>
      </c>
      <c r="D240" s="157">
        <f>'Dados (F)'!$D$174</f>
        <v>929.21</v>
      </c>
      <c r="E240" s="133">
        <f>IF('Dados (F)'!$D$35=1,1,'Dados (F)'!$C$39)</f>
        <v>1</v>
      </c>
      <c r="F240" s="157">
        <f>'Quantitativos (A)'!D240*$D240*$E240</f>
        <v>0</v>
      </c>
      <c r="G240" s="157">
        <f>'Quantitativos (A)'!E240*$D240*$E240</f>
        <v>0</v>
      </c>
      <c r="H240" s="157">
        <f>'Quantitativos (A)'!F240*$D240*$E240</f>
        <v>0</v>
      </c>
      <c r="I240" s="157">
        <f>'Quantitativos (A)'!G240*$D240*$E240</f>
        <v>0</v>
      </c>
      <c r="J240" s="157">
        <f>'Quantitativos (A)'!H240*$D240*$E240</f>
        <v>0</v>
      </c>
      <c r="K240" s="157">
        <f>'Quantitativos (A)'!I240*$D240*$E240</f>
        <v>0</v>
      </c>
      <c r="L240" s="157">
        <f>'Quantitativos (A)'!J240*$D240*$E240</f>
        <v>0</v>
      </c>
      <c r="M240" s="157">
        <f>'Quantitativos (A)'!K240*$D240*$E240</f>
        <v>0</v>
      </c>
      <c r="N240" s="157">
        <f>'Quantitativos (A)'!L240*$D240*$E240</f>
        <v>0</v>
      </c>
      <c r="O240" s="157">
        <f>'Quantitativos (A)'!M240*$D240*$E240</f>
        <v>0</v>
      </c>
      <c r="P240" s="157">
        <f>'Quantitativos (A)'!N240*$D240*$E240</f>
        <v>0</v>
      </c>
      <c r="Q240" s="157">
        <f>'Quantitativos (A)'!O240*$D240*$E240</f>
        <v>0</v>
      </c>
      <c r="R240" s="157">
        <f>'Quantitativos (A)'!P240*$D240*$E240</f>
        <v>0</v>
      </c>
      <c r="S240" s="157">
        <f>'Quantitativos (A)'!Q240*$D240*$E240</f>
        <v>0</v>
      </c>
      <c r="T240" s="157">
        <f>'Quantitativos (A)'!R240*$D240*$E240</f>
        <v>0</v>
      </c>
      <c r="U240" s="157">
        <f>'Quantitativos (A)'!S240*$D240*$E240</f>
        <v>0</v>
      </c>
      <c r="V240" s="157">
        <f>'Quantitativos (A)'!T240*$D240*$E240</f>
        <v>0</v>
      </c>
      <c r="W240" s="157">
        <f>'Quantitativos (A)'!U240*$D240*$E240</f>
        <v>0</v>
      </c>
      <c r="X240" s="157">
        <f>'Quantitativos (A)'!V240*$D240*$E240</f>
        <v>0</v>
      </c>
      <c r="Y240" s="157">
        <f>'Quantitativos (A)'!W240*$D240*$E240</f>
        <v>0</v>
      </c>
      <c r="Z240" s="157">
        <f>'Quantitativos (A)'!X240*$D240*$E240</f>
        <v>0</v>
      </c>
      <c r="AA240" s="157">
        <f>'Quantitativos (A)'!Y240*$D240*$E240</f>
        <v>0</v>
      </c>
      <c r="AB240" s="157">
        <f>'Quantitativos (A)'!Z240*$D240*$E240</f>
        <v>0</v>
      </c>
      <c r="AC240" s="157">
        <f>'Quantitativos (A)'!AA240*$D240*$E240</f>
        <v>0</v>
      </c>
      <c r="AD240" s="157">
        <f>'Quantitativos (A)'!AB240*$D240*$E240</f>
        <v>0</v>
      </c>
      <c r="AE240" s="157">
        <f>'Quantitativos (A)'!AC240*$D240*$E240</f>
        <v>0</v>
      </c>
      <c r="AF240" s="157">
        <f>'Quantitativos (A)'!AD240*$D240*$E240</f>
        <v>0</v>
      </c>
      <c r="AG240" s="157">
        <f>'Quantitativos (A)'!AE240*$D240*$E240</f>
        <v>0</v>
      </c>
      <c r="AH240" s="157">
        <f>'Quantitativos (A)'!AF240*$D240*$E240</f>
        <v>0</v>
      </c>
      <c r="AI240" s="158">
        <f>'Quantitativos (A)'!AG240*$D240*$E240</f>
        <v>0</v>
      </c>
      <c r="AJ240" s="22"/>
    </row>
    <row r="241" spans="1:36" x14ac:dyDescent="0.25">
      <c r="A241" s="112"/>
      <c r="B241" s="69" t="s">
        <v>217</v>
      </c>
      <c r="C241" s="133" t="s">
        <v>59</v>
      </c>
      <c r="D241" s="157">
        <f>'Dados (F)'!$D$175</f>
        <v>929.21</v>
      </c>
      <c r="E241" s="133">
        <f>IF('Dados (F)'!$D$35=1,1,'Dados (F)'!$C$39)</f>
        <v>1</v>
      </c>
      <c r="F241" s="157">
        <f>'Quantitativos (A)'!D241*$D241*$E241</f>
        <v>0</v>
      </c>
      <c r="G241" s="157">
        <f>'Quantitativos (A)'!E241*$D241*$E241</f>
        <v>0</v>
      </c>
      <c r="H241" s="157">
        <f>'Quantitativos (A)'!F241*$D241*$E241</f>
        <v>0</v>
      </c>
      <c r="I241" s="157">
        <f>'Quantitativos (A)'!G241*$D241*$E241</f>
        <v>0</v>
      </c>
      <c r="J241" s="157">
        <f>'Quantitativos (A)'!H241*$D241*$E241</f>
        <v>0</v>
      </c>
      <c r="K241" s="157">
        <f>'Quantitativos (A)'!I241*$D241*$E241</f>
        <v>0</v>
      </c>
      <c r="L241" s="157">
        <f>'Quantitativos (A)'!J241*$D241*$E241</f>
        <v>0</v>
      </c>
      <c r="M241" s="157">
        <f>'Quantitativos (A)'!K241*$D241*$E241</f>
        <v>0</v>
      </c>
      <c r="N241" s="157">
        <f>'Quantitativos (A)'!L241*$D241*$E241</f>
        <v>0</v>
      </c>
      <c r="O241" s="157">
        <f>'Quantitativos (A)'!M241*$D241*$E241</f>
        <v>0</v>
      </c>
      <c r="P241" s="157">
        <f>'Quantitativos (A)'!N241*$D241*$E241</f>
        <v>1858.42</v>
      </c>
      <c r="Q241" s="157">
        <f>'Quantitativos (A)'!O241*$D241*$E241</f>
        <v>1858.42</v>
      </c>
      <c r="R241" s="157">
        <f>'Quantitativos (A)'!P241*$D241*$E241</f>
        <v>1858.42</v>
      </c>
      <c r="S241" s="157">
        <f>'Quantitativos (A)'!Q241*$D241*$E241</f>
        <v>1858.42</v>
      </c>
      <c r="T241" s="157">
        <f>'Quantitativos (A)'!R241*$D241*$E241</f>
        <v>1858.42</v>
      </c>
      <c r="U241" s="157">
        <f>'Quantitativos (A)'!S241*$D241*$E241</f>
        <v>1858.42</v>
      </c>
      <c r="V241" s="157">
        <f>'Quantitativos (A)'!T241*$D241*$E241</f>
        <v>1858.42</v>
      </c>
      <c r="W241" s="157">
        <f>'Quantitativos (A)'!U241*$D241*$E241</f>
        <v>1858.42</v>
      </c>
      <c r="X241" s="157">
        <f>'Quantitativos (A)'!V241*$D241*$E241</f>
        <v>1858.42</v>
      </c>
      <c r="Y241" s="157">
        <f>'Quantitativos (A)'!W241*$D241*$E241</f>
        <v>1858.42</v>
      </c>
      <c r="Z241" s="157">
        <f>'Quantitativos (A)'!X241*$D241*$E241</f>
        <v>0</v>
      </c>
      <c r="AA241" s="157">
        <f>'Quantitativos (A)'!Y241*$D241*$E241</f>
        <v>0</v>
      </c>
      <c r="AB241" s="157">
        <f>'Quantitativos (A)'!Z241*$D241*$E241</f>
        <v>0</v>
      </c>
      <c r="AC241" s="157">
        <f>'Quantitativos (A)'!AA241*$D241*$E241</f>
        <v>0</v>
      </c>
      <c r="AD241" s="157">
        <f>'Quantitativos (A)'!AB241*$D241*$E241</f>
        <v>0</v>
      </c>
      <c r="AE241" s="157">
        <f>'Quantitativos (A)'!AC241*$D241*$E241</f>
        <v>0</v>
      </c>
      <c r="AF241" s="157">
        <f>'Quantitativos (A)'!AD241*$D241*$E241</f>
        <v>0</v>
      </c>
      <c r="AG241" s="157">
        <f>'Quantitativos (A)'!AE241*$D241*$E241</f>
        <v>0</v>
      </c>
      <c r="AH241" s="157">
        <f>'Quantitativos (A)'!AF241*$D241*$E241</f>
        <v>0</v>
      </c>
      <c r="AI241" s="158">
        <f>'Quantitativos (A)'!AG241*$D241*$E241</f>
        <v>0</v>
      </c>
      <c r="AJ241" s="22"/>
    </row>
    <row r="242" spans="1:36" x14ac:dyDescent="0.25">
      <c r="A242" s="112"/>
      <c r="B242" s="69" t="s">
        <v>218</v>
      </c>
      <c r="C242" s="133" t="s">
        <v>59</v>
      </c>
      <c r="D242" s="157">
        <f>'Dados (F)'!$D$176</f>
        <v>1040</v>
      </c>
      <c r="E242" s="133">
        <f>IF('Dados (F)'!$D$35=1,1,'Dados (F)'!$C$39)</f>
        <v>1</v>
      </c>
      <c r="F242" s="157">
        <f>'Quantitativos (A)'!D242*$D242*$E242</f>
        <v>0</v>
      </c>
      <c r="G242" s="157">
        <f>'Quantitativos (A)'!E242*$D242*$E242</f>
        <v>0</v>
      </c>
      <c r="H242" s="157">
        <f>'Quantitativos (A)'!F242*$D242*$E242</f>
        <v>0</v>
      </c>
      <c r="I242" s="157">
        <f>'Quantitativos (A)'!G242*$D242*$E242</f>
        <v>0</v>
      </c>
      <c r="J242" s="157">
        <f>'Quantitativos (A)'!H242*$D242*$E242</f>
        <v>0</v>
      </c>
      <c r="K242" s="157">
        <f>'Quantitativos (A)'!I242*$D242*$E242</f>
        <v>0</v>
      </c>
      <c r="L242" s="157">
        <f>'Quantitativos (A)'!J242*$D242*$E242</f>
        <v>0</v>
      </c>
      <c r="M242" s="157">
        <f>'Quantitativos (A)'!K242*$D242*$E242</f>
        <v>0</v>
      </c>
      <c r="N242" s="157">
        <f>'Quantitativos (A)'!L242*$D242*$E242</f>
        <v>0</v>
      </c>
      <c r="O242" s="157">
        <f>'Quantitativos (A)'!M242*$D242*$E242</f>
        <v>0</v>
      </c>
      <c r="P242" s="157">
        <f>'Quantitativos (A)'!N242*$D242*$E242</f>
        <v>0</v>
      </c>
      <c r="Q242" s="157">
        <f>'Quantitativos (A)'!O242*$D242*$E242</f>
        <v>0</v>
      </c>
      <c r="R242" s="157">
        <f>'Quantitativos (A)'!P242*$D242*$E242</f>
        <v>0</v>
      </c>
      <c r="S242" s="157">
        <f>'Quantitativos (A)'!Q242*$D242*$E242</f>
        <v>0</v>
      </c>
      <c r="T242" s="157">
        <f>'Quantitativos (A)'!R242*$D242*$E242</f>
        <v>0</v>
      </c>
      <c r="U242" s="157">
        <f>'Quantitativos (A)'!S242*$D242*$E242</f>
        <v>0</v>
      </c>
      <c r="V242" s="157">
        <f>'Quantitativos (A)'!T242*$D242*$E242</f>
        <v>0</v>
      </c>
      <c r="W242" s="157">
        <f>'Quantitativos (A)'!U242*$D242*$E242</f>
        <v>0</v>
      </c>
      <c r="X242" s="157">
        <f>'Quantitativos (A)'!V242*$D242*$E242</f>
        <v>0</v>
      </c>
      <c r="Y242" s="157">
        <f>'Quantitativos (A)'!W242*$D242*$E242</f>
        <v>0</v>
      </c>
      <c r="Z242" s="157">
        <f>'Quantitativos (A)'!X242*$D242*$E242</f>
        <v>0</v>
      </c>
      <c r="AA242" s="157">
        <f>'Quantitativos (A)'!Y242*$D242*$E242</f>
        <v>0</v>
      </c>
      <c r="AB242" s="157">
        <f>'Quantitativos (A)'!Z242*$D242*$E242</f>
        <v>0</v>
      </c>
      <c r="AC242" s="157">
        <f>'Quantitativos (A)'!AA242*$D242*$E242</f>
        <v>0</v>
      </c>
      <c r="AD242" s="157">
        <f>'Quantitativos (A)'!AB242*$D242*$E242</f>
        <v>0</v>
      </c>
      <c r="AE242" s="157">
        <f>'Quantitativos (A)'!AC242*$D242*$E242</f>
        <v>0</v>
      </c>
      <c r="AF242" s="157">
        <f>'Quantitativos (A)'!AD242*$D242*$E242</f>
        <v>0</v>
      </c>
      <c r="AG242" s="157">
        <f>'Quantitativos (A)'!AE242*$D242*$E242</f>
        <v>0</v>
      </c>
      <c r="AH242" s="157">
        <f>'Quantitativos (A)'!AF242*$D242*$E242</f>
        <v>0</v>
      </c>
      <c r="AI242" s="158">
        <f>'Quantitativos (A)'!AG242*$D242*$E242</f>
        <v>0</v>
      </c>
      <c r="AJ242" s="22"/>
    </row>
    <row r="243" spans="1:36" x14ac:dyDescent="0.25">
      <c r="A243" s="112"/>
      <c r="B243" s="69" t="s">
        <v>221</v>
      </c>
      <c r="C243" s="133" t="s">
        <v>59</v>
      </c>
      <c r="D243" s="157">
        <f>'Dados (F)'!$D$179</f>
        <v>274.75</v>
      </c>
      <c r="E243" s="133">
        <f>IF('Dados (F)'!$D$35=1,1,'Dados (F)'!$C$39)</f>
        <v>1</v>
      </c>
      <c r="F243" s="157">
        <f>'Quantitativos (A)'!D243*$D243*$E243</f>
        <v>1099</v>
      </c>
      <c r="G243" s="157">
        <f>'Quantitativos (A)'!E243*$D243*$E243</f>
        <v>1099</v>
      </c>
      <c r="H243" s="157">
        <f>'Quantitativos (A)'!F243*$D243*$E243</f>
        <v>1099</v>
      </c>
      <c r="I243" s="157">
        <f>'Quantitativos (A)'!G243*$D243*$E243</f>
        <v>1099</v>
      </c>
      <c r="J243" s="157">
        <f>'Quantitativos (A)'!H243*$D243*$E243</f>
        <v>1099</v>
      </c>
      <c r="K243" s="157">
        <f>'Quantitativos (A)'!I243*$D243*$E243</f>
        <v>1099</v>
      </c>
      <c r="L243" s="157">
        <f>'Quantitativos (A)'!J243*$D243*$E243</f>
        <v>1099</v>
      </c>
      <c r="M243" s="157">
        <f>'Quantitativos (A)'!K243*$D243*$E243</f>
        <v>1099</v>
      </c>
      <c r="N243" s="157">
        <f>'Quantitativos (A)'!L243*$D243*$E243</f>
        <v>1099</v>
      </c>
      <c r="O243" s="157">
        <f>'Quantitativos (A)'!M243*$D243*$E243</f>
        <v>1099</v>
      </c>
      <c r="P243" s="157">
        <f>'Quantitativos (A)'!N243*$D243*$E243</f>
        <v>1099</v>
      </c>
      <c r="Q243" s="157">
        <f>'Quantitativos (A)'!O243*$D243*$E243</f>
        <v>1099</v>
      </c>
      <c r="R243" s="157">
        <f>'Quantitativos (A)'!P243*$D243*$E243</f>
        <v>1099</v>
      </c>
      <c r="S243" s="157">
        <f>'Quantitativos (A)'!Q243*$D243*$E243</f>
        <v>1099</v>
      </c>
      <c r="T243" s="157">
        <f>'Quantitativos (A)'!R243*$D243*$E243</f>
        <v>1099</v>
      </c>
      <c r="U243" s="157">
        <f>'Quantitativos (A)'!S243*$D243*$E243</f>
        <v>1099</v>
      </c>
      <c r="V243" s="157">
        <f>'Quantitativos (A)'!T243*$D243*$E243</f>
        <v>1099</v>
      </c>
      <c r="W243" s="157">
        <f>'Quantitativos (A)'!U243*$D243*$E243</f>
        <v>1099</v>
      </c>
      <c r="X243" s="157">
        <f>'Quantitativos (A)'!V243*$D243*$E243</f>
        <v>1099</v>
      </c>
      <c r="Y243" s="157">
        <f>'Quantitativos (A)'!W243*$D243*$E243</f>
        <v>1099</v>
      </c>
      <c r="Z243" s="157">
        <f>'Quantitativos (A)'!X243*$D243*$E243</f>
        <v>824.25</v>
      </c>
      <c r="AA243" s="157">
        <f>'Quantitativos (A)'!Y243*$D243*$E243</f>
        <v>824.25</v>
      </c>
      <c r="AB243" s="157">
        <f>'Quantitativos (A)'!Z243*$D243*$E243</f>
        <v>824.25</v>
      </c>
      <c r="AC243" s="157">
        <f>'Quantitativos (A)'!AA243*$D243*$E243</f>
        <v>824.25</v>
      </c>
      <c r="AD243" s="157">
        <f>'Quantitativos (A)'!AB243*$D243*$E243</f>
        <v>824.25</v>
      </c>
      <c r="AE243" s="157">
        <f>'Quantitativos (A)'!AC243*$D243*$E243</f>
        <v>824.25</v>
      </c>
      <c r="AF243" s="157">
        <f>'Quantitativos (A)'!AD243*$D243*$E243</f>
        <v>824.25</v>
      </c>
      <c r="AG243" s="157">
        <f>'Quantitativos (A)'!AE243*$D243*$E243</f>
        <v>824.25</v>
      </c>
      <c r="AH243" s="157">
        <f>'Quantitativos (A)'!AF243*$D243*$E243</f>
        <v>824.25</v>
      </c>
      <c r="AI243" s="158">
        <f>'Quantitativos (A)'!AG243*$D243*$E243</f>
        <v>824.25</v>
      </c>
      <c r="AJ243" s="22"/>
    </row>
    <row r="244" spans="1:36" x14ac:dyDescent="0.25">
      <c r="A244" s="112"/>
      <c r="B244" s="69" t="s">
        <v>222</v>
      </c>
      <c r="C244" s="133" t="s">
        <v>59</v>
      </c>
      <c r="D244" s="157">
        <f>'Dados (F)'!$D$180</f>
        <v>428.78</v>
      </c>
      <c r="E244" s="133">
        <f>IF('Dados (F)'!$D$35=1,1,'Dados (F)'!$C$39)</f>
        <v>1</v>
      </c>
      <c r="F244" s="157">
        <f>'Quantitativos (A)'!D244*$D244*$E244</f>
        <v>3001.46</v>
      </c>
      <c r="G244" s="157">
        <f>'Quantitativos (A)'!E244*$D244*$E244</f>
        <v>3001.46</v>
      </c>
      <c r="H244" s="157">
        <f>'Quantitativos (A)'!F244*$D244*$E244</f>
        <v>3001.46</v>
      </c>
      <c r="I244" s="157">
        <f>'Quantitativos (A)'!G244*$D244*$E244</f>
        <v>3001.46</v>
      </c>
      <c r="J244" s="157">
        <f>'Quantitativos (A)'!H244*$D244*$E244</f>
        <v>3001.46</v>
      </c>
      <c r="K244" s="157">
        <f>'Quantitativos (A)'!I244*$D244*$E244</f>
        <v>3001.46</v>
      </c>
      <c r="L244" s="157">
        <f>'Quantitativos (A)'!J244*$D244*$E244</f>
        <v>3001.46</v>
      </c>
      <c r="M244" s="157">
        <f>'Quantitativos (A)'!K244*$D244*$E244</f>
        <v>3001.46</v>
      </c>
      <c r="N244" s="157">
        <f>'Quantitativos (A)'!L244*$D244*$E244</f>
        <v>3001.46</v>
      </c>
      <c r="O244" s="157">
        <f>'Quantitativos (A)'!M244*$D244*$E244</f>
        <v>3001.46</v>
      </c>
      <c r="P244" s="157">
        <f>'Quantitativos (A)'!N244*$D244*$E244</f>
        <v>1715.12</v>
      </c>
      <c r="Q244" s="157">
        <f>'Quantitativos (A)'!O244*$D244*$E244</f>
        <v>1715.12</v>
      </c>
      <c r="R244" s="157">
        <f>'Quantitativos (A)'!P244*$D244*$E244</f>
        <v>1715.12</v>
      </c>
      <c r="S244" s="157">
        <f>'Quantitativos (A)'!Q244*$D244*$E244</f>
        <v>1715.12</v>
      </c>
      <c r="T244" s="157">
        <f>'Quantitativos (A)'!R244*$D244*$E244</f>
        <v>1715.12</v>
      </c>
      <c r="U244" s="157">
        <f>'Quantitativos (A)'!S244*$D244*$E244</f>
        <v>1715.12</v>
      </c>
      <c r="V244" s="157">
        <f>'Quantitativos (A)'!T244*$D244*$E244</f>
        <v>1715.12</v>
      </c>
      <c r="W244" s="157">
        <f>'Quantitativos (A)'!U244*$D244*$E244</f>
        <v>1715.12</v>
      </c>
      <c r="X244" s="157">
        <f>'Quantitativos (A)'!V244*$D244*$E244</f>
        <v>1715.12</v>
      </c>
      <c r="Y244" s="157">
        <f>'Quantitativos (A)'!W244*$D244*$E244</f>
        <v>1715.12</v>
      </c>
      <c r="Z244" s="157">
        <f>'Quantitativos (A)'!X244*$D244*$E244</f>
        <v>1715.12</v>
      </c>
      <c r="AA244" s="157">
        <f>'Quantitativos (A)'!Y244*$D244*$E244</f>
        <v>1715.12</v>
      </c>
      <c r="AB244" s="157">
        <f>'Quantitativos (A)'!Z244*$D244*$E244</f>
        <v>1715.12</v>
      </c>
      <c r="AC244" s="157">
        <f>'Quantitativos (A)'!AA244*$D244*$E244</f>
        <v>1715.12</v>
      </c>
      <c r="AD244" s="157">
        <f>'Quantitativos (A)'!AB244*$D244*$E244</f>
        <v>1715.12</v>
      </c>
      <c r="AE244" s="157">
        <f>'Quantitativos (A)'!AC244*$D244*$E244</f>
        <v>1715.12</v>
      </c>
      <c r="AF244" s="157">
        <f>'Quantitativos (A)'!AD244*$D244*$E244</f>
        <v>1715.12</v>
      </c>
      <c r="AG244" s="157">
        <f>'Quantitativos (A)'!AE244*$D244*$E244</f>
        <v>1715.12</v>
      </c>
      <c r="AH244" s="157">
        <f>'Quantitativos (A)'!AF244*$D244*$E244</f>
        <v>1715.12</v>
      </c>
      <c r="AI244" s="158">
        <f>'Quantitativos (A)'!AG244*$D244*$E244</f>
        <v>1715.12</v>
      </c>
      <c r="AJ244" s="22"/>
    </row>
    <row r="245" spans="1:36" x14ac:dyDescent="0.25">
      <c r="A245" s="112"/>
      <c r="B245" s="69" t="s">
        <v>223</v>
      </c>
      <c r="C245" s="133" t="s">
        <v>59</v>
      </c>
      <c r="D245" s="157">
        <f>'Dados (F)'!$D$181</f>
        <v>653.12</v>
      </c>
      <c r="E245" s="133">
        <f>IF('Dados (F)'!$D$35=1,1,'Dados (F)'!$C$39)</f>
        <v>1</v>
      </c>
      <c r="F245" s="157">
        <f>'Quantitativos (A)'!D245*$D245*$E245</f>
        <v>2612.48</v>
      </c>
      <c r="G245" s="157">
        <f>'Quantitativos (A)'!E245*$D245*$E245</f>
        <v>2612.48</v>
      </c>
      <c r="H245" s="157">
        <f>'Quantitativos (A)'!F245*$D245*$E245</f>
        <v>2612.48</v>
      </c>
      <c r="I245" s="157">
        <f>'Quantitativos (A)'!G245*$D245*$E245</f>
        <v>2612.48</v>
      </c>
      <c r="J245" s="157">
        <f>'Quantitativos (A)'!H245*$D245*$E245</f>
        <v>2612.48</v>
      </c>
      <c r="K245" s="157">
        <f>'Quantitativos (A)'!I245*$D245*$E245</f>
        <v>2612.48</v>
      </c>
      <c r="L245" s="157">
        <f>'Quantitativos (A)'!J245*$D245*$E245</f>
        <v>2612.48</v>
      </c>
      <c r="M245" s="157">
        <f>'Quantitativos (A)'!K245*$D245*$E245</f>
        <v>2612.48</v>
      </c>
      <c r="N245" s="157">
        <f>'Quantitativos (A)'!L245*$D245*$E245</f>
        <v>2612.48</v>
      </c>
      <c r="O245" s="157">
        <f>'Quantitativos (A)'!M245*$D245*$E245</f>
        <v>2612.48</v>
      </c>
      <c r="P245" s="157">
        <f>'Quantitativos (A)'!N245*$D245*$E245</f>
        <v>2612.48</v>
      </c>
      <c r="Q245" s="157">
        <f>'Quantitativos (A)'!O245*$D245*$E245</f>
        <v>2612.48</v>
      </c>
      <c r="R245" s="157">
        <f>'Quantitativos (A)'!P245*$D245*$E245</f>
        <v>2612.48</v>
      </c>
      <c r="S245" s="157">
        <f>'Quantitativos (A)'!Q245*$D245*$E245</f>
        <v>2612.48</v>
      </c>
      <c r="T245" s="157">
        <f>'Quantitativos (A)'!R245*$D245*$E245</f>
        <v>2612.48</v>
      </c>
      <c r="U245" s="157">
        <f>'Quantitativos (A)'!S245*$D245*$E245</f>
        <v>2612.48</v>
      </c>
      <c r="V245" s="157">
        <f>'Quantitativos (A)'!T245*$D245*$E245</f>
        <v>2612.48</v>
      </c>
      <c r="W245" s="157">
        <f>'Quantitativos (A)'!U245*$D245*$E245</f>
        <v>2612.48</v>
      </c>
      <c r="X245" s="157">
        <f>'Quantitativos (A)'!V245*$D245*$E245</f>
        <v>2612.48</v>
      </c>
      <c r="Y245" s="157">
        <f>'Quantitativos (A)'!W245*$D245*$E245</f>
        <v>2612.48</v>
      </c>
      <c r="Z245" s="157">
        <f>'Quantitativos (A)'!X245*$D245*$E245</f>
        <v>3265.6</v>
      </c>
      <c r="AA245" s="157">
        <f>'Quantitativos (A)'!Y245*$D245*$E245</f>
        <v>3265.6</v>
      </c>
      <c r="AB245" s="157">
        <f>'Quantitativos (A)'!Z245*$D245*$E245</f>
        <v>3265.6</v>
      </c>
      <c r="AC245" s="157">
        <f>'Quantitativos (A)'!AA245*$D245*$E245</f>
        <v>3265.6</v>
      </c>
      <c r="AD245" s="157">
        <f>'Quantitativos (A)'!AB245*$D245*$E245</f>
        <v>3265.6</v>
      </c>
      <c r="AE245" s="157">
        <f>'Quantitativos (A)'!AC245*$D245*$E245</f>
        <v>3265.6</v>
      </c>
      <c r="AF245" s="157">
        <f>'Quantitativos (A)'!AD245*$D245*$E245</f>
        <v>3265.6</v>
      </c>
      <c r="AG245" s="157">
        <f>'Quantitativos (A)'!AE245*$D245*$E245</f>
        <v>3265.6</v>
      </c>
      <c r="AH245" s="157">
        <f>'Quantitativos (A)'!AF245*$D245*$E245</f>
        <v>3265.6</v>
      </c>
      <c r="AI245" s="158">
        <f>'Quantitativos (A)'!AG245*$D245*$E245</f>
        <v>3265.6</v>
      </c>
      <c r="AJ245" s="22"/>
    </row>
    <row r="246" spans="1:36" x14ac:dyDescent="0.25">
      <c r="A246" s="112"/>
      <c r="B246" s="69" t="s">
        <v>224</v>
      </c>
      <c r="C246" s="133" t="s">
        <v>59</v>
      </c>
      <c r="D246" s="157">
        <f>'Dados (F)'!$D$182</f>
        <v>961.03</v>
      </c>
      <c r="E246" s="133">
        <f>IF('Dados (F)'!$D$35=1,1,'Dados (F)'!$C$39)</f>
        <v>1</v>
      </c>
      <c r="F246" s="157">
        <f>'Quantitativos (A)'!D246*$D246*$E246</f>
        <v>0</v>
      </c>
      <c r="G246" s="157">
        <f>'Quantitativos (A)'!E246*$D246*$E246</f>
        <v>0</v>
      </c>
      <c r="H246" s="157">
        <f>'Quantitativos (A)'!F246*$D246*$E246</f>
        <v>0</v>
      </c>
      <c r="I246" s="157">
        <f>'Quantitativos (A)'!G246*$D246*$E246</f>
        <v>0</v>
      </c>
      <c r="J246" s="157">
        <f>'Quantitativos (A)'!H246*$D246*$E246</f>
        <v>0</v>
      </c>
      <c r="K246" s="157">
        <f>'Quantitativos (A)'!I246*$D246*$E246</f>
        <v>0</v>
      </c>
      <c r="L246" s="157">
        <f>'Quantitativos (A)'!J246*$D246*$E246</f>
        <v>0</v>
      </c>
      <c r="M246" s="157">
        <f>'Quantitativos (A)'!K246*$D246*$E246</f>
        <v>0</v>
      </c>
      <c r="N246" s="157">
        <f>'Quantitativos (A)'!L246*$D246*$E246</f>
        <v>0</v>
      </c>
      <c r="O246" s="157">
        <f>'Quantitativos (A)'!M246*$D246*$E246</f>
        <v>0</v>
      </c>
      <c r="P246" s="157">
        <f>'Quantitativos (A)'!N246*$D246*$E246</f>
        <v>5766.18</v>
      </c>
      <c r="Q246" s="157">
        <f>'Quantitativos (A)'!O246*$D246*$E246</f>
        <v>5766.18</v>
      </c>
      <c r="R246" s="157">
        <f>'Quantitativos (A)'!P246*$D246*$E246</f>
        <v>5766.18</v>
      </c>
      <c r="S246" s="157">
        <f>'Quantitativos (A)'!Q246*$D246*$E246</f>
        <v>5766.18</v>
      </c>
      <c r="T246" s="157">
        <f>'Quantitativos (A)'!R246*$D246*$E246</f>
        <v>5766.18</v>
      </c>
      <c r="U246" s="157">
        <f>'Quantitativos (A)'!S246*$D246*$E246</f>
        <v>5766.18</v>
      </c>
      <c r="V246" s="157">
        <f>'Quantitativos (A)'!T246*$D246*$E246</f>
        <v>5766.18</v>
      </c>
      <c r="W246" s="157">
        <f>'Quantitativos (A)'!U246*$D246*$E246</f>
        <v>5766.18</v>
      </c>
      <c r="X246" s="157">
        <f>'Quantitativos (A)'!V246*$D246*$E246</f>
        <v>5766.18</v>
      </c>
      <c r="Y246" s="157">
        <f>'Quantitativos (A)'!W246*$D246*$E246</f>
        <v>5766.18</v>
      </c>
      <c r="Z246" s="157">
        <f>'Quantitativos (A)'!X246*$D246*$E246</f>
        <v>0</v>
      </c>
      <c r="AA246" s="157">
        <f>'Quantitativos (A)'!Y246*$D246*$E246</f>
        <v>0</v>
      </c>
      <c r="AB246" s="157">
        <f>'Quantitativos (A)'!Z246*$D246*$E246</f>
        <v>0</v>
      </c>
      <c r="AC246" s="157">
        <f>'Quantitativos (A)'!AA246*$D246*$E246</f>
        <v>0</v>
      </c>
      <c r="AD246" s="157">
        <f>'Quantitativos (A)'!AB246*$D246*$E246</f>
        <v>0</v>
      </c>
      <c r="AE246" s="157">
        <f>'Quantitativos (A)'!AC246*$D246*$E246</f>
        <v>0</v>
      </c>
      <c r="AF246" s="157">
        <f>'Quantitativos (A)'!AD246*$D246*$E246</f>
        <v>0</v>
      </c>
      <c r="AG246" s="157">
        <f>'Quantitativos (A)'!AE246*$D246*$E246</f>
        <v>0</v>
      </c>
      <c r="AH246" s="157">
        <f>'Quantitativos (A)'!AF246*$D246*$E246</f>
        <v>0</v>
      </c>
      <c r="AI246" s="158">
        <f>'Quantitativos (A)'!AG246*$D246*$E246</f>
        <v>0</v>
      </c>
      <c r="AJ246" s="22"/>
    </row>
    <row r="247" spans="1:36" x14ac:dyDescent="0.25">
      <c r="A247" s="112"/>
      <c r="B247" s="69" t="s">
        <v>225</v>
      </c>
      <c r="C247" s="133" t="s">
        <v>59</v>
      </c>
      <c r="D247" s="157">
        <f>'Dados (F)'!$D$183</f>
        <v>1484.19</v>
      </c>
      <c r="E247" s="133">
        <f>IF('Dados (F)'!$D$35=1,1,'Dados (F)'!$C$39)</f>
        <v>1</v>
      </c>
      <c r="F247" s="157">
        <f>'Quantitativos (A)'!D247*$D247*$E247</f>
        <v>0</v>
      </c>
      <c r="G247" s="157">
        <f>'Quantitativos (A)'!E247*$D247*$E247</f>
        <v>0</v>
      </c>
      <c r="H247" s="157">
        <f>'Quantitativos (A)'!F247*$D247*$E247</f>
        <v>0</v>
      </c>
      <c r="I247" s="157">
        <f>'Quantitativos (A)'!G247*$D247*$E247</f>
        <v>0</v>
      </c>
      <c r="J247" s="157">
        <f>'Quantitativos (A)'!H247*$D247*$E247</f>
        <v>0</v>
      </c>
      <c r="K247" s="157">
        <f>'Quantitativos (A)'!I247*$D247*$E247</f>
        <v>0</v>
      </c>
      <c r="L247" s="157">
        <f>'Quantitativos (A)'!J247*$D247*$E247</f>
        <v>0</v>
      </c>
      <c r="M247" s="157">
        <f>'Quantitativos (A)'!K247*$D247*$E247</f>
        <v>0</v>
      </c>
      <c r="N247" s="157">
        <f>'Quantitativos (A)'!L247*$D247*$E247</f>
        <v>0</v>
      </c>
      <c r="O247" s="157">
        <f>'Quantitativos (A)'!M247*$D247*$E247</f>
        <v>0</v>
      </c>
      <c r="P247" s="157">
        <f>'Quantitativos (A)'!N247*$D247*$E247</f>
        <v>0</v>
      </c>
      <c r="Q247" s="157">
        <f>'Quantitativos (A)'!O247*$D247*$E247</f>
        <v>0</v>
      </c>
      <c r="R247" s="157">
        <f>'Quantitativos (A)'!P247*$D247*$E247</f>
        <v>0</v>
      </c>
      <c r="S247" s="157">
        <f>'Quantitativos (A)'!Q247*$D247*$E247</f>
        <v>0</v>
      </c>
      <c r="T247" s="157">
        <f>'Quantitativos (A)'!R247*$D247*$E247</f>
        <v>0</v>
      </c>
      <c r="U247" s="157">
        <f>'Quantitativos (A)'!S247*$D247*$E247</f>
        <v>0</v>
      </c>
      <c r="V247" s="157">
        <f>'Quantitativos (A)'!T247*$D247*$E247</f>
        <v>0</v>
      </c>
      <c r="W247" s="157">
        <f>'Quantitativos (A)'!U247*$D247*$E247</f>
        <v>0</v>
      </c>
      <c r="X247" s="157">
        <f>'Quantitativos (A)'!V247*$D247*$E247</f>
        <v>0</v>
      </c>
      <c r="Y247" s="157">
        <f>'Quantitativos (A)'!W247*$D247*$E247</f>
        <v>0</v>
      </c>
      <c r="Z247" s="157">
        <f>'Quantitativos (A)'!X247*$D247*$E247</f>
        <v>0</v>
      </c>
      <c r="AA247" s="157">
        <f>'Quantitativos (A)'!Y247*$D247*$E247</f>
        <v>0</v>
      </c>
      <c r="AB247" s="157">
        <f>'Quantitativos (A)'!Z247*$D247*$E247</f>
        <v>0</v>
      </c>
      <c r="AC247" s="157">
        <f>'Quantitativos (A)'!AA247*$D247*$E247</f>
        <v>0</v>
      </c>
      <c r="AD247" s="157">
        <f>'Quantitativos (A)'!AB247*$D247*$E247</f>
        <v>0</v>
      </c>
      <c r="AE247" s="157">
        <f>'Quantitativos (A)'!AC247*$D247*$E247</f>
        <v>0</v>
      </c>
      <c r="AF247" s="157">
        <f>'Quantitativos (A)'!AD247*$D247*$E247</f>
        <v>0</v>
      </c>
      <c r="AG247" s="157">
        <f>'Quantitativos (A)'!AE247*$D247*$E247</f>
        <v>0</v>
      </c>
      <c r="AH247" s="157">
        <f>'Quantitativos (A)'!AF247*$D247*$E247</f>
        <v>0</v>
      </c>
      <c r="AI247" s="158">
        <f>'Quantitativos (A)'!AG247*$D247*$E247</f>
        <v>0</v>
      </c>
      <c r="AJ247" s="22"/>
    </row>
    <row r="248" spans="1:36" x14ac:dyDescent="0.25">
      <c r="A248" s="112"/>
      <c r="B248" s="69" t="s">
        <v>228</v>
      </c>
      <c r="C248" s="133" t="s">
        <v>59</v>
      </c>
      <c r="D248" s="157">
        <f>'Dados (F)'!$D$186</f>
        <v>154.55000000000001</v>
      </c>
      <c r="E248" s="133">
        <f>IF('Dados (F)'!$D$35=1,1,'Dados (F)'!$C$39)</f>
        <v>1</v>
      </c>
      <c r="F248" s="157">
        <f>'Quantitativos (A)'!D248*$D248*$E248</f>
        <v>1236.4000000000001</v>
      </c>
      <c r="G248" s="157">
        <f>'Quantitativos (A)'!E248*$D248*$E248</f>
        <v>1236.4000000000001</v>
      </c>
      <c r="H248" s="157">
        <f>'Quantitativos (A)'!F248*$D248*$E248</f>
        <v>1236.4000000000001</v>
      </c>
      <c r="I248" s="157">
        <f>'Quantitativos (A)'!G248*$D248*$E248</f>
        <v>1236.4000000000001</v>
      </c>
      <c r="J248" s="157">
        <f>'Quantitativos (A)'!H248*$D248*$E248</f>
        <v>1236.4000000000001</v>
      </c>
      <c r="K248" s="157">
        <f>'Quantitativos (A)'!I248*$D248*$E248</f>
        <v>1236.4000000000001</v>
      </c>
      <c r="L248" s="157">
        <f>'Quantitativos (A)'!J248*$D248*$E248</f>
        <v>1236.4000000000001</v>
      </c>
      <c r="M248" s="157">
        <f>'Quantitativos (A)'!K248*$D248*$E248</f>
        <v>1236.4000000000001</v>
      </c>
      <c r="N248" s="157">
        <f>'Quantitativos (A)'!L248*$D248*$E248</f>
        <v>1236.4000000000001</v>
      </c>
      <c r="O248" s="157">
        <f>'Quantitativos (A)'!M248*$D248*$E248</f>
        <v>1236.4000000000001</v>
      </c>
      <c r="P248" s="157">
        <f>'Quantitativos (A)'!N248*$D248*$E248</f>
        <v>618.20000000000005</v>
      </c>
      <c r="Q248" s="157">
        <f>'Quantitativos (A)'!O248*$D248*$E248</f>
        <v>618.20000000000005</v>
      </c>
      <c r="R248" s="157">
        <f>'Quantitativos (A)'!P248*$D248*$E248</f>
        <v>618.20000000000005</v>
      </c>
      <c r="S248" s="157">
        <f>'Quantitativos (A)'!Q248*$D248*$E248</f>
        <v>618.20000000000005</v>
      </c>
      <c r="T248" s="157">
        <f>'Quantitativos (A)'!R248*$D248*$E248</f>
        <v>618.20000000000005</v>
      </c>
      <c r="U248" s="157">
        <f>'Quantitativos (A)'!S248*$D248*$E248</f>
        <v>618.20000000000005</v>
      </c>
      <c r="V248" s="157">
        <f>'Quantitativos (A)'!T248*$D248*$E248</f>
        <v>618.20000000000005</v>
      </c>
      <c r="W248" s="157">
        <f>'Quantitativos (A)'!U248*$D248*$E248</f>
        <v>618.20000000000005</v>
      </c>
      <c r="X248" s="157">
        <f>'Quantitativos (A)'!V248*$D248*$E248</f>
        <v>618.20000000000005</v>
      </c>
      <c r="Y248" s="157">
        <f>'Quantitativos (A)'!W248*$D248*$E248</f>
        <v>618.20000000000005</v>
      </c>
      <c r="Z248" s="157">
        <f>'Quantitativos (A)'!X248*$D248*$E248</f>
        <v>1236.4000000000001</v>
      </c>
      <c r="AA248" s="157">
        <f>'Quantitativos (A)'!Y248*$D248*$E248</f>
        <v>1236.4000000000001</v>
      </c>
      <c r="AB248" s="157">
        <f>'Quantitativos (A)'!Z248*$D248*$E248</f>
        <v>1236.4000000000001</v>
      </c>
      <c r="AC248" s="157">
        <f>'Quantitativos (A)'!AA248*$D248*$E248</f>
        <v>1236.4000000000001</v>
      </c>
      <c r="AD248" s="157">
        <f>'Quantitativos (A)'!AB248*$D248*$E248</f>
        <v>1236.4000000000001</v>
      </c>
      <c r="AE248" s="157">
        <f>'Quantitativos (A)'!AC248*$D248*$E248</f>
        <v>1236.4000000000001</v>
      </c>
      <c r="AF248" s="157">
        <f>'Quantitativos (A)'!AD248*$D248*$E248</f>
        <v>1236.4000000000001</v>
      </c>
      <c r="AG248" s="157">
        <f>'Quantitativos (A)'!AE248*$D248*$E248</f>
        <v>1236.4000000000001</v>
      </c>
      <c r="AH248" s="157">
        <f>'Quantitativos (A)'!AF248*$D248*$E248</f>
        <v>1236.4000000000001</v>
      </c>
      <c r="AI248" s="158">
        <f>'Quantitativos (A)'!AG248*$D248*$E248</f>
        <v>1236.4000000000001</v>
      </c>
      <c r="AJ248" s="22"/>
    </row>
    <row r="249" spans="1:36" x14ac:dyDescent="0.25">
      <c r="A249" s="112"/>
      <c r="B249" s="69" t="s">
        <v>229</v>
      </c>
      <c r="C249" s="133" t="s">
        <v>59</v>
      </c>
      <c r="D249" s="157">
        <f>'Dados (F)'!$D$187</f>
        <v>235.27</v>
      </c>
      <c r="E249" s="133">
        <f>IF('Dados (F)'!$D$35=1,1,'Dados (F)'!$C$39)</f>
        <v>1</v>
      </c>
      <c r="F249" s="157">
        <f>'Quantitativos (A)'!D249*$D249*$E249</f>
        <v>941.08</v>
      </c>
      <c r="G249" s="157">
        <f>'Quantitativos (A)'!E249*$D249*$E249</f>
        <v>941.08</v>
      </c>
      <c r="H249" s="157">
        <f>'Quantitativos (A)'!F249*$D249*$E249</f>
        <v>941.08</v>
      </c>
      <c r="I249" s="157">
        <f>'Quantitativos (A)'!G249*$D249*$E249</f>
        <v>941.08</v>
      </c>
      <c r="J249" s="157">
        <f>'Quantitativos (A)'!H249*$D249*$E249</f>
        <v>941.08</v>
      </c>
      <c r="K249" s="157">
        <f>'Quantitativos (A)'!I249*$D249*$E249</f>
        <v>941.08</v>
      </c>
      <c r="L249" s="157">
        <f>'Quantitativos (A)'!J249*$D249*$E249</f>
        <v>941.08</v>
      </c>
      <c r="M249" s="157">
        <f>'Quantitativos (A)'!K249*$D249*$E249</f>
        <v>941.08</v>
      </c>
      <c r="N249" s="157">
        <f>'Quantitativos (A)'!L249*$D249*$E249</f>
        <v>941.08</v>
      </c>
      <c r="O249" s="157">
        <f>'Quantitativos (A)'!M249*$D249*$E249</f>
        <v>941.08</v>
      </c>
      <c r="P249" s="157">
        <f>'Quantitativos (A)'!N249*$D249*$E249</f>
        <v>2823.2400000000002</v>
      </c>
      <c r="Q249" s="157">
        <f>'Quantitativos (A)'!O249*$D249*$E249</f>
        <v>2823.2400000000002</v>
      </c>
      <c r="R249" s="157">
        <f>'Quantitativos (A)'!P249*$D249*$E249</f>
        <v>2823.2400000000002</v>
      </c>
      <c r="S249" s="157">
        <f>'Quantitativos (A)'!Q249*$D249*$E249</f>
        <v>2823.2400000000002</v>
      </c>
      <c r="T249" s="157">
        <f>'Quantitativos (A)'!R249*$D249*$E249</f>
        <v>2823.2400000000002</v>
      </c>
      <c r="U249" s="157">
        <f>'Quantitativos (A)'!S249*$D249*$E249</f>
        <v>2823.2400000000002</v>
      </c>
      <c r="V249" s="157">
        <f>'Quantitativos (A)'!T249*$D249*$E249</f>
        <v>2823.2400000000002</v>
      </c>
      <c r="W249" s="157">
        <f>'Quantitativos (A)'!U249*$D249*$E249</f>
        <v>2823.2400000000002</v>
      </c>
      <c r="X249" s="157">
        <f>'Quantitativos (A)'!V249*$D249*$E249</f>
        <v>2823.2400000000002</v>
      </c>
      <c r="Y249" s="157">
        <f>'Quantitativos (A)'!W249*$D249*$E249</f>
        <v>2823.2400000000002</v>
      </c>
      <c r="Z249" s="157">
        <f>'Quantitativos (A)'!X249*$D249*$E249</f>
        <v>1411.6200000000001</v>
      </c>
      <c r="AA249" s="157">
        <f>'Quantitativos (A)'!Y249*$D249*$E249</f>
        <v>1411.6200000000001</v>
      </c>
      <c r="AB249" s="157">
        <f>'Quantitativos (A)'!Z249*$D249*$E249</f>
        <v>1411.6200000000001</v>
      </c>
      <c r="AC249" s="157">
        <f>'Quantitativos (A)'!AA249*$D249*$E249</f>
        <v>1411.6200000000001</v>
      </c>
      <c r="AD249" s="157">
        <f>'Quantitativos (A)'!AB249*$D249*$E249</f>
        <v>1411.6200000000001</v>
      </c>
      <c r="AE249" s="157">
        <f>'Quantitativos (A)'!AC249*$D249*$E249</f>
        <v>1411.6200000000001</v>
      </c>
      <c r="AF249" s="157">
        <f>'Quantitativos (A)'!AD249*$D249*$E249</f>
        <v>1411.6200000000001</v>
      </c>
      <c r="AG249" s="157">
        <f>'Quantitativos (A)'!AE249*$D249*$E249</f>
        <v>1411.6200000000001</v>
      </c>
      <c r="AH249" s="157">
        <f>'Quantitativos (A)'!AF249*$D249*$E249</f>
        <v>1411.6200000000001</v>
      </c>
      <c r="AI249" s="158">
        <f>'Quantitativos (A)'!AG249*$D249*$E249</f>
        <v>1411.6200000000001</v>
      </c>
      <c r="AJ249" s="22"/>
    </row>
    <row r="250" spans="1:36" x14ac:dyDescent="0.25">
      <c r="A250" s="112"/>
      <c r="B250" s="69" t="s">
        <v>230</v>
      </c>
      <c r="C250" s="133" t="s">
        <v>59</v>
      </c>
      <c r="D250" s="157">
        <f>'Dados (F)'!$D$188</f>
        <v>309.11</v>
      </c>
      <c r="E250" s="133">
        <f>IF('Dados (F)'!$D$35=1,1,'Dados (F)'!$C$39)</f>
        <v>1</v>
      </c>
      <c r="F250" s="157">
        <f>'Quantitativos (A)'!D250*$D250*$E250</f>
        <v>1854.66</v>
      </c>
      <c r="G250" s="157">
        <f>'Quantitativos (A)'!E250*$D250*$E250</f>
        <v>1854.66</v>
      </c>
      <c r="H250" s="157">
        <f>'Quantitativos (A)'!F250*$D250*$E250</f>
        <v>1854.66</v>
      </c>
      <c r="I250" s="157">
        <f>'Quantitativos (A)'!G250*$D250*$E250</f>
        <v>1854.66</v>
      </c>
      <c r="J250" s="157">
        <f>'Quantitativos (A)'!H250*$D250*$E250</f>
        <v>1854.66</v>
      </c>
      <c r="K250" s="157">
        <f>'Quantitativos (A)'!I250*$D250*$E250</f>
        <v>1854.66</v>
      </c>
      <c r="L250" s="157">
        <f>'Quantitativos (A)'!J250*$D250*$E250</f>
        <v>1854.66</v>
      </c>
      <c r="M250" s="157">
        <f>'Quantitativos (A)'!K250*$D250*$E250</f>
        <v>1854.66</v>
      </c>
      <c r="N250" s="157">
        <f>'Quantitativos (A)'!L250*$D250*$E250</f>
        <v>1854.66</v>
      </c>
      <c r="O250" s="157">
        <f>'Quantitativos (A)'!M250*$D250*$E250</f>
        <v>1854.66</v>
      </c>
      <c r="P250" s="157">
        <f>'Quantitativos (A)'!N250*$D250*$E250</f>
        <v>3709.32</v>
      </c>
      <c r="Q250" s="157">
        <f>'Quantitativos (A)'!O250*$D250*$E250</f>
        <v>3709.32</v>
      </c>
      <c r="R250" s="157">
        <f>'Quantitativos (A)'!P250*$D250*$E250</f>
        <v>3709.32</v>
      </c>
      <c r="S250" s="157">
        <f>'Quantitativos (A)'!Q250*$D250*$E250</f>
        <v>3709.32</v>
      </c>
      <c r="T250" s="157">
        <f>'Quantitativos (A)'!R250*$D250*$E250</f>
        <v>3709.32</v>
      </c>
      <c r="U250" s="157">
        <f>'Quantitativos (A)'!S250*$D250*$E250</f>
        <v>3709.32</v>
      </c>
      <c r="V250" s="157">
        <f>'Quantitativos (A)'!T250*$D250*$E250</f>
        <v>3709.32</v>
      </c>
      <c r="W250" s="157">
        <f>'Quantitativos (A)'!U250*$D250*$E250</f>
        <v>3709.32</v>
      </c>
      <c r="X250" s="157">
        <f>'Quantitativos (A)'!V250*$D250*$E250</f>
        <v>3709.32</v>
      </c>
      <c r="Y250" s="157">
        <f>'Quantitativos (A)'!W250*$D250*$E250</f>
        <v>3709.32</v>
      </c>
      <c r="Z250" s="157">
        <f>'Quantitativos (A)'!X250*$D250*$E250</f>
        <v>3091.1000000000004</v>
      </c>
      <c r="AA250" s="157">
        <f>'Quantitativos (A)'!Y250*$D250*$E250</f>
        <v>3091.1000000000004</v>
      </c>
      <c r="AB250" s="157">
        <f>'Quantitativos (A)'!Z250*$D250*$E250</f>
        <v>3091.1000000000004</v>
      </c>
      <c r="AC250" s="157">
        <f>'Quantitativos (A)'!AA250*$D250*$E250</f>
        <v>3091.1000000000004</v>
      </c>
      <c r="AD250" s="157">
        <f>'Quantitativos (A)'!AB250*$D250*$E250</f>
        <v>3091.1000000000004</v>
      </c>
      <c r="AE250" s="157">
        <f>'Quantitativos (A)'!AC250*$D250*$E250</f>
        <v>3091.1000000000004</v>
      </c>
      <c r="AF250" s="157">
        <f>'Quantitativos (A)'!AD250*$D250*$E250</f>
        <v>3091.1000000000004</v>
      </c>
      <c r="AG250" s="157">
        <f>'Quantitativos (A)'!AE250*$D250*$E250</f>
        <v>3091.1000000000004</v>
      </c>
      <c r="AH250" s="157">
        <f>'Quantitativos (A)'!AF250*$D250*$E250</f>
        <v>3091.1000000000004</v>
      </c>
      <c r="AI250" s="158">
        <f>'Quantitativos (A)'!AG250*$D250*$E250</f>
        <v>3091.1000000000004</v>
      </c>
      <c r="AJ250" s="22"/>
    </row>
    <row r="251" spans="1:36" x14ac:dyDescent="0.25">
      <c r="A251" s="112"/>
      <c r="B251" s="69" t="s">
        <v>231</v>
      </c>
      <c r="C251" s="133" t="s">
        <v>59</v>
      </c>
      <c r="D251" s="157">
        <f>'Dados (F)'!$D$189</f>
        <v>470.48</v>
      </c>
      <c r="E251" s="133">
        <f>IF('Dados (F)'!$D$35=1,1,'Dados (F)'!$C$39)</f>
        <v>1</v>
      </c>
      <c r="F251" s="157">
        <f>'Quantitativos (A)'!D251*$D251*$E251</f>
        <v>0</v>
      </c>
      <c r="G251" s="157">
        <f>'Quantitativos (A)'!E251*$D251*$E251</f>
        <v>0</v>
      </c>
      <c r="H251" s="157">
        <f>'Quantitativos (A)'!F251*$D251*$E251</f>
        <v>0</v>
      </c>
      <c r="I251" s="157">
        <f>'Quantitativos (A)'!G251*$D251*$E251</f>
        <v>0</v>
      </c>
      <c r="J251" s="157">
        <f>'Quantitativos (A)'!H251*$D251*$E251</f>
        <v>0</v>
      </c>
      <c r="K251" s="157">
        <f>'Quantitativos (A)'!I251*$D251*$E251</f>
        <v>0</v>
      </c>
      <c r="L251" s="157">
        <f>'Quantitativos (A)'!J251*$D251*$E251</f>
        <v>0</v>
      </c>
      <c r="M251" s="157">
        <f>'Quantitativos (A)'!K251*$D251*$E251</f>
        <v>0</v>
      </c>
      <c r="N251" s="157">
        <f>'Quantitativos (A)'!L251*$D251*$E251</f>
        <v>0</v>
      </c>
      <c r="O251" s="157">
        <f>'Quantitativos (A)'!M251*$D251*$E251</f>
        <v>0</v>
      </c>
      <c r="P251" s="157">
        <f>'Quantitativos (A)'!N251*$D251*$E251</f>
        <v>0</v>
      </c>
      <c r="Q251" s="157">
        <f>'Quantitativos (A)'!O251*$D251*$E251</f>
        <v>0</v>
      </c>
      <c r="R251" s="157">
        <f>'Quantitativos (A)'!P251*$D251*$E251</f>
        <v>0</v>
      </c>
      <c r="S251" s="157">
        <f>'Quantitativos (A)'!Q251*$D251*$E251</f>
        <v>0</v>
      </c>
      <c r="T251" s="157">
        <f>'Quantitativos (A)'!R251*$D251*$E251</f>
        <v>0</v>
      </c>
      <c r="U251" s="157">
        <f>'Quantitativos (A)'!S251*$D251*$E251</f>
        <v>0</v>
      </c>
      <c r="V251" s="157">
        <f>'Quantitativos (A)'!T251*$D251*$E251</f>
        <v>0</v>
      </c>
      <c r="W251" s="157">
        <f>'Quantitativos (A)'!U251*$D251*$E251</f>
        <v>0</v>
      </c>
      <c r="X251" s="157">
        <f>'Quantitativos (A)'!V251*$D251*$E251</f>
        <v>0</v>
      </c>
      <c r="Y251" s="157">
        <f>'Quantitativos (A)'!W251*$D251*$E251</f>
        <v>0</v>
      </c>
      <c r="Z251" s="157">
        <f>'Quantitativos (A)'!X251*$D251*$E251</f>
        <v>0</v>
      </c>
      <c r="AA251" s="157">
        <f>'Quantitativos (A)'!Y251*$D251*$E251</f>
        <v>0</v>
      </c>
      <c r="AB251" s="157">
        <f>'Quantitativos (A)'!Z251*$D251*$E251</f>
        <v>0</v>
      </c>
      <c r="AC251" s="157">
        <f>'Quantitativos (A)'!AA251*$D251*$E251</f>
        <v>0</v>
      </c>
      <c r="AD251" s="157">
        <f>'Quantitativos (A)'!AB251*$D251*$E251</f>
        <v>0</v>
      </c>
      <c r="AE251" s="157">
        <f>'Quantitativos (A)'!AC251*$D251*$E251</f>
        <v>0</v>
      </c>
      <c r="AF251" s="157">
        <f>'Quantitativos (A)'!AD251*$D251*$E251</f>
        <v>0</v>
      </c>
      <c r="AG251" s="157">
        <f>'Quantitativos (A)'!AE251*$D251*$E251</f>
        <v>0</v>
      </c>
      <c r="AH251" s="157">
        <f>'Quantitativos (A)'!AF251*$D251*$E251</f>
        <v>0</v>
      </c>
      <c r="AI251" s="158">
        <f>'Quantitativos (A)'!AG251*$D251*$E251</f>
        <v>0</v>
      </c>
      <c r="AJ251" s="22"/>
    </row>
    <row r="252" spans="1:36" x14ac:dyDescent="0.25">
      <c r="A252" s="112"/>
      <c r="B252" s="69" t="s">
        <v>232</v>
      </c>
      <c r="C252" s="133" t="s">
        <v>59</v>
      </c>
      <c r="D252" s="157">
        <f>'Dados (F)'!$D$190</f>
        <v>658.66</v>
      </c>
      <c r="E252" s="133">
        <f>IF('Dados (F)'!$D$35=1,1,'Dados (F)'!$C$39)</f>
        <v>1</v>
      </c>
      <c r="F252" s="157">
        <f>'Quantitativos (A)'!D252*$D252*$E252</f>
        <v>0</v>
      </c>
      <c r="G252" s="157">
        <f>'Quantitativos (A)'!E252*$D252*$E252</f>
        <v>0</v>
      </c>
      <c r="H252" s="157">
        <f>'Quantitativos (A)'!F252*$D252*$E252</f>
        <v>0</v>
      </c>
      <c r="I252" s="157">
        <f>'Quantitativos (A)'!G252*$D252*$E252</f>
        <v>0</v>
      </c>
      <c r="J252" s="157">
        <f>'Quantitativos (A)'!H252*$D252*$E252</f>
        <v>0</v>
      </c>
      <c r="K252" s="157">
        <f>'Quantitativos (A)'!I252*$D252*$E252</f>
        <v>0</v>
      </c>
      <c r="L252" s="157">
        <f>'Quantitativos (A)'!J252*$D252*$E252</f>
        <v>0</v>
      </c>
      <c r="M252" s="157">
        <f>'Quantitativos (A)'!K252*$D252*$E252</f>
        <v>0</v>
      </c>
      <c r="N252" s="157">
        <f>'Quantitativos (A)'!L252*$D252*$E252</f>
        <v>0</v>
      </c>
      <c r="O252" s="157">
        <f>'Quantitativos (A)'!M252*$D252*$E252</f>
        <v>0</v>
      </c>
      <c r="P252" s="157">
        <f>'Quantitativos (A)'!N252*$D252*$E252</f>
        <v>0</v>
      </c>
      <c r="Q252" s="157">
        <f>'Quantitativos (A)'!O252*$D252*$E252</f>
        <v>0</v>
      </c>
      <c r="R252" s="157">
        <f>'Quantitativos (A)'!P252*$D252*$E252</f>
        <v>0</v>
      </c>
      <c r="S252" s="157">
        <f>'Quantitativos (A)'!Q252*$D252*$E252</f>
        <v>0</v>
      </c>
      <c r="T252" s="157">
        <f>'Quantitativos (A)'!R252*$D252*$E252</f>
        <v>0</v>
      </c>
      <c r="U252" s="157">
        <f>'Quantitativos (A)'!S252*$D252*$E252</f>
        <v>0</v>
      </c>
      <c r="V252" s="157">
        <f>'Quantitativos (A)'!T252*$D252*$E252</f>
        <v>0</v>
      </c>
      <c r="W252" s="157">
        <f>'Quantitativos (A)'!U252*$D252*$E252</f>
        <v>0</v>
      </c>
      <c r="X252" s="157">
        <f>'Quantitativos (A)'!V252*$D252*$E252</f>
        <v>0</v>
      </c>
      <c r="Y252" s="157">
        <f>'Quantitativos (A)'!W252*$D252*$E252</f>
        <v>0</v>
      </c>
      <c r="Z252" s="157">
        <f>'Quantitativos (A)'!X252*$D252*$E252</f>
        <v>0</v>
      </c>
      <c r="AA252" s="157">
        <f>'Quantitativos (A)'!Y252*$D252*$E252</f>
        <v>0</v>
      </c>
      <c r="AB252" s="157">
        <f>'Quantitativos (A)'!Z252*$D252*$E252</f>
        <v>0</v>
      </c>
      <c r="AC252" s="157">
        <f>'Quantitativos (A)'!AA252*$D252*$E252</f>
        <v>0</v>
      </c>
      <c r="AD252" s="157">
        <f>'Quantitativos (A)'!AB252*$D252*$E252</f>
        <v>0</v>
      </c>
      <c r="AE252" s="157">
        <f>'Quantitativos (A)'!AC252*$D252*$E252</f>
        <v>0</v>
      </c>
      <c r="AF252" s="157">
        <f>'Quantitativos (A)'!AD252*$D252*$E252</f>
        <v>0</v>
      </c>
      <c r="AG252" s="157">
        <f>'Quantitativos (A)'!AE252*$D252*$E252</f>
        <v>0</v>
      </c>
      <c r="AH252" s="157">
        <f>'Quantitativos (A)'!AF252*$D252*$E252</f>
        <v>0</v>
      </c>
      <c r="AI252" s="158">
        <f>'Quantitativos (A)'!AG252*$D252*$E252</f>
        <v>0</v>
      </c>
      <c r="AJ252" s="22"/>
    </row>
    <row r="253" spans="1:36" x14ac:dyDescent="0.25">
      <c r="A253" s="112"/>
      <c r="B253" s="120" t="s">
        <v>553</v>
      </c>
      <c r="C253" s="121"/>
      <c r="D253" s="155"/>
      <c r="E253" s="156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60"/>
      <c r="AJ253" s="22"/>
    </row>
    <row r="254" spans="1:36" x14ac:dyDescent="0.25">
      <c r="A254" s="112"/>
      <c r="B254" s="69" t="s">
        <v>241</v>
      </c>
      <c r="C254" s="133" t="s">
        <v>64</v>
      </c>
      <c r="D254" s="161">
        <f>'Dados (F)'!$D$192</f>
        <v>144.55000000000001</v>
      </c>
      <c r="E254" s="133">
        <f>IF('Dados (F)'!$D$35=1,1,'Dados (F)'!$C$39)</f>
        <v>1</v>
      </c>
      <c r="F254" s="157">
        <f>'Quantitativos (A)'!D254*$D254*$E254</f>
        <v>3469.2000000000003</v>
      </c>
      <c r="G254" s="157">
        <f>'Quantitativos (A)'!E254*$D254*$E254</f>
        <v>3469.2000000000003</v>
      </c>
      <c r="H254" s="157">
        <f>'Quantitativos (A)'!F254*$D254*$E254</f>
        <v>3469.2000000000003</v>
      </c>
      <c r="I254" s="157">
        <f>'Quantitativos (A)'!G254*$D254*$E254</f>
        <v>3469.2000000000003</v>
      </c>
      <c r="J254" s="157">
        <f>'Quantitativos (A)'!H254*$D254*$E254</f>
        <v>3469.2000000000003</v>
      </c>
      <c r="K254" s="157">
        <f>'Quantitativos (A)'!I254*$D254*$E254</f>
        <v>3469.2000000000003</v>
      </c>
      <c r="L254" s="157">
        <f>'Quantitativos (A)'!J254*$D254*$E254</f>
        <v>3469.2000000000003</v>
      </c>
      <c r="M254" s="157">
        <f>'Quantitativos (A)'!K254*$D254*$E254</f>
        <v>3469.2000000000003</v>
      </c>
      <c r="N254" s="157">
        <f>'Quantitativos (A)'!L254*$D254*$E254</f>
        <v>3469.2000000000003</v>
      </c>
      <c r="O254" s="157">
        <f>'Quantitativos (A)'!M254*$D254*$E254</f>
        <v>3469.2000000000003</v>
      </c>
      <c r="P254" s="157">
        <f>'Quantitativos (A)'!N254*$D254*$E254</f>
        <v>2601.9</v>
      </c>
      <c r="Q254" s="157">
        <f>'Quantitativos (A)'!O254*$D254*$E254</f>
        <v>2601.9</v>
      </c>
      <c r="R254" s="157">
        <f>'Quantitativos (A)'!P254*$D254*$E254</f>
        <v>2601.9</v>
      </c>
      <c r="S254" s="157">
        <f>'Quantitativos (A)'!Q254*$D254*$E254</f>
        <v>2601.9</v>
      </c>
      <c r="T254" s="157">
        <f>'Quantitativos (A)'!R254*$D254*$E254</f>
        <v>2601.9</v>
      </c>
      <c r="U254" s="157">
        <f>'Quantitativos (A)'!S254*$D254*$E254</f>
        <v>2601.9</v>
      </c>
      <c r="V254" s="157">
        <f>'Quantitativos (A)'!T254*$D254*$E254</f>
        <v>2601.9</v>
      </c>
      <c r="W254" s="157">
        <f>'Quantitativos (A)'!U254*$D254*$E254</f>
        <v>2601.9</v>
      </c>
      <c r="X254" s="157">
        <f>'Quantitativos (A)'!V254*$D254*$E254</f>
        <v>2601.9</v>
      </c>
      <c r="Y254" s="157">
        <f>'Quantitativos (A)'!W254*$D254*$E254</f>
        <v>2601.9</v>
      </c>
      <c r="Z254" s="157">
        <f>'Quantitativos (A)'!X254*$D254*$E254</f>
        <v>3469.2000000000003</v>
      </c>
      <c r="AA254" s="157">
        <f>'Quantitativos (A)'!Y254*$D254*$E254</f>
        <v>3469.2000000000003</v>
      </c>
      <c r="AB254" s="157">
        <f>'Quantitativos (A)'!Z254*$D254*$E254</f>
        <v>3469.2000000000003</v>
      </c>
      <c r="AC254" s="157">
        <f>'Quantitativos (A)'!AA254*$D254*$E254</f>
        <v>3469.2000000000003</v>
      </c>
      <c r="AD254" s="157">
        <f>'Quantitativos (A)'!AB254*$D254*$E254</f>
        <v>3469.2000000000003</v>
      </c>
      <c r="AE254" s="157">
        <f>'Quantitativos (A)'!AC254*$D254*$E254</f>
        <v>3469.2000000000003</v>
      </c>
      <c r="AF254" s="157">
        <f>'Quantitativos (A)'!AD254*$D254*$E254</f>
        <v>3469.2000000000003</v>
      </c>
      <c r="AG254" s="157">
        <f>'Quantitativos (A)'!AE254*$D254*$E254</f>
        <v>3469.2000000000003</v>
      </c>
      <c r="AH254" s="157">
        <f>'Quantitativos (A)'!AF254*$D254*$E254</f>
        <v>3469.2000000000003</v>
      </c>
      <c r="AI254" s="158">
        <f>'Quantitativos (A)'!AG254*$D254*$E254</f>
        <v>3469.2000000000003</v>
      </c>
      <c r="AJ254" s="22"/>
    </row>
    <row r="255" spans="1:36" x14ac:dyDescent="0.25">
      <c r="A255" s="112"/>
      <c r="B255" s="69" t="s">
        <v>242</v>
      </c>
      <c r="C255" s="133" t="s">
        <v>64</v>
      </c>
      <c r="D255" s="161">
        <f>'Dados (F)'!$D$193</f>
        <v>220.37</v>
      </c>
      <c r="E255" s="133">
        <f>IF('Dados (F)'!$D$35=1,1,'Dados (F)'!$C$39)</f>
        <v>1</v>
      </c>
      <c r="F255" s="157">
        <f>'Quantitativos (A)'!D255*$D255*$E255</f>
        <v>3966.66</v>
      </c>
      <c r="G255" s="157">
        <f>'Quantitativos (A)'!E255*$D255*$E255</f>
        <v>3966.66</v>
      </c>
      <c r="H255" s="157">
        <f>'Quantitativos (A)'!F255*$D255*$E255</f>
        <v>3966.66</v>
      </c>
      <c r="I255" s="157">
        <f>'Quantitativos (A)'!G255*$D255*$E255</f>
        <v>3966.66</v>
      </c>
      <c r="J255" s="157">
        <f>'Quantitativos (A)'!H255*$D255*$E255</f>
        <v>3966.66</v>
      </c>
      <c r="K255" s="157">
        <f>'Quantitativos (A)'!I255*$D255*$E255</f>
        <v>3966.66</v>
      </c>
      <c r="L255" s="157">
        <f>'Quantitativos (A)'!J255*$D255*$E255</f>
        <v>3966.66</v>
      </c>
      <c r="M255" s="157">
        <f>'Quantitativos (A)'!K255*$D255*$E255</f>
        <v>3966.66</v>
      </c>
      <c r="N255" s="157">
        <f>'Quantitativos (A)'!L255*$D255*$E255</f>
        <v>3966.66</v>
      </c>
      <c r="O255" s="157">
        <f>'Quantitativos (A)'!M255*$D255*$E255</f>
        <v>3966.66</v>
      </c>
      <c r="P255" s="157">
        <f>'Quantitativos (A)'!N255*$D255*$E255</f>
        <v>3966.66</v>
      </c>
      <c r="Q255" s="157">
        <f>'Quantitativos (A)'!O255*$D255*$E255</f>
        <v>3966.66</v>
      </c>
      <c r="R255" s="157">
        <f>'Quantitativos (A)'!P255*$D255*$E255</f>
        <v>3966.66</v>
      </c>
      <c r="S255" s="157">
        <f>'Quantitativos (A)'!Q255*$D255*$E255</f>
        <v>3966.66</v>
      </c>
      <c r="T255" s="157">
        <f>'Quantitativos (A)'!R255*$D255*$E255</f>
        <v>3966.66</v>
      </c>
      <c r="U255" s="157">
        <f>'Quantitativos (A)'!S255*$D255*$E255</f>
        <v>3966.66</v>
      </c>
      <c r="V255" s="157">
        <f>'Quantitativos (A)'!T255*$D255*$E255</f>
        <v>3966.66</v>
      </c>
      <c r="W255" s="157">
        <f>'Quantitativos (A)'!U255*$D255*$E255</f>
        <v>3966.66</v>
      </c>
      <c r="X255" s="157">
        <f>'Quantitativos (A)'!V255*$D255*$E255</f>
        <v>3966.66</v>
      </c>
      <c r="Y255" s="157">
        <f>'Quantitativos (A)'!W255*$D255*$E255</f>
        <v>3966.66</v>
      </c>
      <c r="Z255" s="157">
        <f>'Quantitativos (A)'!X255*$D255*$E255</f>
        <v>5288.88</v>
      </c>
      <c r="AA255" s="157">
        <f>'Quantitativos (A)'!Y255*$D255*$E255</f>
        <v>5288.88</v>
      </c>
      <c r="AB255" s="157">
        <f>'Quantitativos (A)'!Z255*$D255*$E255</f>
        <v>5288.88</v>
      </c>
      <c r="AC255" s="157">
        <f>'Quantitativos (A)'!AA255*$D255*$E255</f>
        <v>5288.88</v>
      </c>
      <c r="AD255" s="157">
        <f>'Quantitativos (A)'!AB255*$D255*$E255</f>
        <v>5288.88</v>
      </c>
      <c r="AE255" s="157">
        <f>'Quantitativos (A)'!AC255*$D255*$E255</f>
        <v>5288.88</v>
      </c>
      <c r="AF255" s="157">
        <f>'Quantitativos (A)'!AD255*$D255*$E255</f>
        <v>5288.88</v>
      </c>
      <c r="AG255" s="157">
        <f>'Quantitativos (A)'!AE255*$D255*$E255</f>
        <v>5288.88</v>
      </c>
      <c r="AH255" s="157">
        <f>'Quantitativos (A)'!AF255*$D255*$E255</f>
        <v>5288.88</v>
      </c>
      <c r="AI255" s="158">
        <f>'Quantitativos (A)'!AG255*$D255*$E255</f>
        <v>5288.88</v>
      </c>
      <c r="AJ255" s="22"/>
    </row>
    <row r="256" spans="1:36" x14ac:dyDescent="0.25">
      <c r="A256" s="112"/>
      <c r="B256" s="69" t="s">
        <v>243</v>
      </c>
      <c r="C256" s="133" t="s">
        <v>64</v>
      </c>
      <c r="D256" s="161">
        <f>'Dados (F)'!$D$194</f>
        <v>316.05</v>
      </c>
      <c r="E256" s="133">
        <f>IF('Dados (F)'!$D$35=1,1,'Dados (F)'!$C$39)</f>
        <v>1</v>
      </c>
      <c r="F256" s="157">
        <f>'Quantitativos (A)'!D256*$D256*$E256</f>
        <v>0</v>
      </c>
      <c r="G256" s="157">
        <f>'Quantitativos (A)'!E256*$D256*$E256</f>
        <v>0</v>
      </c>
      <c r="H256" s="157">
        <f>'Quantitativos (A)'!F256*$D256*$E256</f>
        <v>0</v>
      </c>
      <c r="I256" s="157">
        <f>'Quantitativos (A)'!G256*$D256*$E256</f>
        <v>0</v>
      </c>
      <c r="J256" s="157">
        <f>'Quantitativos (A)'!H256*$D256*$E256</f>
        <v>0</v>
      </c>
      <c r="K256" s="157">
        <f>'Quantitativos (A)'!I256*$D256*$E256</f>
        <v>0</v>
      </c>
      <c r="L256" s="157">
        <f>'Quantitativos (A)'!J256*$D256*$E256</f>
        <v>0</v>
      </c>
      <c r="M256" s="157">
        <f>'Quantitativos (A)'!K256*$D256*$E256</f>
        <v>0</v>
      </c>
      <c r="N256" s="157">
        <f>'Quantitativos (A)'!L256*$D256*$E256</f>
        <v>0</v>
      </c>
      <c r="O256" s="157">
        <f>'Quantitativos (A)'!M256*$D256*$E256</f>
        <v>0</v>
      </c>
      <c r="P256" s="157">
        <f>'Quantitativos (A)'!N256*$D256*$E256</f>
        <v>1896.3000000000002</v>
      </c>
      <c r="Q256" s="157">
        <f>'Quantitativos (A)'!O256*$D256*$E256</f>
        <v>1896.3000000000002</v>
      </c>
      <c r="R256" s="157">
        <f>'Quantitativos (A)'!P256*$D256*$E256</f>
        <v>1896.3000000000002</v>
      </c>
      <c r="S256" s="157">
        <f>'Quantitativos (A)'!Q256*$D256*$E256</f>
        <v>1896.3000000000002</v>
      </c>
      <c r="T256" s="157">
        <f>'Quantitativos (A)'!R256*$D256*$E256</f>
        <v>1896.3000000000002</v>
      </c>
      <c r="U256" s="157">
        <f>'Quantitativos (A)'!S256*$D256*$E256</f>
        <v>1896.3000000000002</v>
      </c>
      <c r="V256" s="157">
        <f>'Quantitativos (A)'!T256*$D256*$E256</f>
        <v>1896.3000000000002</v>
      </c>
      <c r="W256" s="157">
        <f>'Quantitativos (A)'!U256*$D256*$E256</f>
        <v>1896.3000000000002</v>
      </c>
      <c r="X256" s="157">
        <f>'Quantitativos (A)'!V256*$D256*$E256</f>
        <v>1896.3000000000002</v>
      </c>
      <c r="Y256" s="157">
        <f>'Quantitativos (A)'!W256*$D256*$E256</f>
        <v>1896.3000000000002</v>
      </c>
      <c r="Z256" s="157">
        <f>'Quantitativos (A)'!X256*$D256*$E256</f>
        <v>1896.3000000000002</v>
      </c>
      <c r="AA256" s="157">
        <f>'Quantitativos (A)'!Y256*$D256*$E256</f>
        <v>1896.3000000000002</v>
      </c>
      <c r="AB256" s="157">
        <f>'Quantitativos (A)'!Z256*$D256*$E256</f>
        <v>1896.3000000000002</v>
      </c>
      <c r="AC256" s="157">
        <f>'Quantitativos (A)'!AA256*$D256*$E256</f>
        <v>1896.3000000000002</v>
      </c>
      <c r="AD256" s="157">
        <f>'Quantitativos (A)'!AB256*$D256*$E256</f>
        <v>1896.3000000000002</v>
      </c>
      <c r="AE256" s="157">
        <f>'Quantitativos (A)'!AC256*$D256*$E256</f>
        <v>1896.3000000000002</v>
      </c>
      <c r="AF256" s="157">
        <f>'Quantitativos (A)'!AD256*$D256*$E256</f>
        <v>1896.3000000000002</v>
      </c>
      <c r="AG256" s="157">
        <f>'Quantitativos (A)'!AE256*$D256*$E256</f>
        <v>1896.3000000000002</v>
      </c>
      <c r="AH256" s="157">
        <f>'Quantitativos (A)'!AF256*$D256*$E256</f>
        <v>1896.3000000000002</v>
      </c>
      <c r="AI256" s="158">
        <f>'Quantitativos (A)'!AG256*$D256*$E256</f>
        <v>1896.3000000000002</v>
      </c>
      <c r="AJ256" s="22"/>
    </row>
    <row r="257" spans="1:36" x14ac:dyDescent="0.25">
      <c r="A257" s="112"/>
      <c r="B257" s="69" t="s">
        <v>244</v>
      </c>
      <c r="C257" s="133" t="s">
        <v>64</v>
      </c>
      <c r="D257" s="161">
        <f>'Dados (F)'!$D$195</f>
        <v>392.63</v>
      </c>
      <c r="E257" s="133">
        <f>IF('Dados (F)'!$D$35=1,1,'Dados (F)'!$C$39)</f>
        <v>1</v>
      </c>
      <c r="F257" s="157">
        <f>'Quantitativos (A)'!D257*$D257*$E257</f>
        <v>7067.34</v>
      </c>
      <c r="G257" s="157">
        <f>'Quantitativos (A)'!E257*$D257*$E257</f>
        <v>7067.34</v>
      </c>
      <c r="H257" s="157">
        <f>'Quantitativos (A)'!F257*$D257*$E257</f>
        <v>7067.34</v>
      </c>
      <c r="I257" s="157">
        <f>'Quantitativos (A)'!G257*$D257*$E257</f>
        <v>7067.34</v>
      </c>
      <c r="J257" s="157">
        <f>'Quantitativos (A)'!H257*$D257*$E257</f>
        <v>7067.34</v>
      </c>
      <c r="K257" s="157">
        <f>'Quantitativos (A)'!I257*$D257*$E257</f>
        <v>7067.34</v>
      </c>
      <c r="L257" s="157">
        <f>'Quantitativos (A)'!J257*$D257*$E257</f>
        <v>7067.34</v>
      </c>
      <c r="M257" s="157">
        <f>'Quantitativos (A)'!K257*$D257*$E257</f>
        <v>7067.34</v>
      </c>
      <c r="N257" s="157">
        <f>'Quantitativos (A)'!L257*$D257*$E257</f>
        <v>7067.34</v>
      </c>
      <c r="O257" s="157">
        <f>'Quantitativos (A)'!M257*$D257*$E257</f>
        <v>7067.34</v>
      </c>
      <c r="P257" s="157">
        <f>'Quantitativos (A)'!N257*$D257*$E257</f>
        <v>7067.34</v>
      </c>
      <c r="Q257" s="157">
        <f>'Quantitativos (A)'!O257*$D257*$E257</f>
        <v>7067.34</v>
      </c>
      <c r="R257" s="157">
        <f>'Quantitativos (A)'!P257*$D257*$E257</f>
        <v>7067.34</v>
      </c>
      <c r="S257" s="157">
        <f>'Quantitativos (A)'!Q257*$D257*$E257</f>
        <v>7067.34</v>
      </c>
      <c r="T257" s="157">
        <f>'Quantitativos (A)'!R257*$D257*$E257</f>
        <v>7067.34</v>
      </c>
      <c r="U257" s="157">
        <f>'Quantitativos (A)'!S257*$D257*$E257</f>
        <v>7067.34</v>
      </c>
      <c r="V257" s="157">
        <f>'Quantitativos (A)'!T257*$D257*$E257</f>
        <v>7067.34</v>
      </c>
      <c r="W257" s="157">
        <f>'Quantitativos (A)'!U257*$D257*$E257</f>
        <v>7067.34</v>
      </c>
      <c r="X257" s="157">
        <f>'Quantitativos (A)'!V257*$D257*$E257</f>
        <v>7067.34</v>
      </c>
      <c r="Y257" s="157">
        <f>'Quantitativos (A)'!W257*$D257*$E257</f>
        <v>7067.34</v>
      </c>
      <c r="Z257" s="157">
        <f>'Quantitativos (A)'!X257*$D257*$E257</f>
        <v>9423.119999999999</v>
      </c>
      <c r="AA257" s="157">
        <f>'Quantitativos (A)'!Y257*$D257*$E257</f>
        <v>9423.119999999999</v>
      </c>
      <c r="AB257" s="157">
        <f>'Quantitativos (A)'!Z257*$D257*$E257</f>
        <v>9423.119999999999</v>
      </c>
      <c r="AC257" s="157">
        <f>'Quantitativos (A)'!AA257*$D257*$E257</f>
        <v>9423.119999999999</v>
      </c>
      <c r="AD257" s="157">
        <f>'Quantitativos (A)'!AB257*$D257*$E257</f>
        <v>9423.119999999999</v>
      </c>
      <c r="AE257" s="157">
        <f>'Quantitativos (A)'!AC257*$D257*$E257</f>
        <v>9423.119999999999</v>
      </c>
      <c r="AF257" s="157">
        <f>'Quantitativos (A)'!AD257*$D257*$E257</f>
        <v>9423.119999999999</v>
      </c>
      <c r="AG257" s="157">
        <f>'Quantitativos (A)'!AE257*$D257*$E257</f>
        <v>9423.119999999999</v>
      </c>
      <c r="AH257" s="157">
        <f>'Quantitativos (A)'!AF257*$D257*$E257</f>
        <v>9423.119999999999</v>
      </c>
      <c r="AI257" s="158">
        <f>'Quantitativos (A)'!AG257*$D257*$E257</f>
        <v>9423.119999999999</v>
      </c>
      <c r="AJ257" s="22"/>
    </row>
    <row r="258" spans="1:36" x14ac:dyDescent="0.25">
      <c r="A258" s="112"/>
      <c r="B258" s="69" t="s">
        <v>246</v>
      </c>
      <c r="C258" s="133" t="s">
        <v>59</v>
      </c>
      <c r="D258" s="161">
        <f>'Dados (F)'!$D$197</f>
        <v>16.62</v>
      </c>
      <c r="E258" s="133">
        <f>IF('Dados (F)'!$D$35=1,1,'Dados (F)'!$C$39)</f>
        <v>1</v>
      </c>
      <c r="F258" s="157">
        <f>'Quantitativos (A)'!D258*$D258*$E258</f>
        <v>33.24</v>
      </c>
      <c r="G258" s="157">
        <f>'Quantitativos (A)'!E258*$D258*$E258</f>
        <v>33.24</v>
      </c>
      <c r="H258" s="157">
        <f>'Quantitativos (A)'!F258*$D258*$E258</f>
        <v>33.24</v>
      </c>
      <c r="I258" s="157">
        <f>'Quantitativos (A)'!G258*$D258*$E258</f>
        <v>33.24</v>
      </c>
      <c r="J258" s="157">
        <f>'Quantitativos (A)'!H258*$D258*$E258</f>
        <v>33.24</v>
      </c>
      <c r="K258" s="157">
        <f>'Quantitativos (A)'!I258*$D258*$E258</f>
        <v>33.24</v>
      </c>
      <c r="L258" s="157">
        <f>'Quantitativos (A)'!J258*$D258*$E258</f>
        <v>33.24</v>
      </c>
      <c r="M258" s="157">
        <f>'Quantitativos (A)'!K258*$D258*$E258</f>
        <v>33.24</v>
      </c>
      <c r="N258" s="157">
        <f>'Quantitativos (A)'!L258*$D258*$E258</f>
        <v>33.24</v>
      </c>
      <c r="O258" s="157">
        <f>'Quantitativos (A)'!M258*$D258*$E258</f>
        <v>33.24</v>
      </c>
      <c r="P258" s="157">
        <f>'Quantitativos (A)'!N258*$D258*$E258</f>
        <v>33.24</v>
      </c>
      <c r="Q258" s="157">
        <f>'Quantitativos (A)'!O258*$D258*$E258</f>
        <v>33.24</v>
      </c>
      <c r="R258" s="157">
        <f>'Quantitativos (A)'!P258*$D258*$E258</f>
        <v>33.24</v>
      </c>
      <c r="S258" s="157">
        <f>'Quantitativos (A)'!Q258*$D258*$E258</f>
        <v>33.24</v>
      </c>
      <c r="T258" s="157">
        <f>'Quantitativos (A)'!R258*$D258*$E258</f>
        <v>33.24</v>
      </c>
      <c r="U258" s="157">
        <f>'Quantitativos (A)'!S258*$D258*$E258</f>
        <v>33.24</v>
      </c>
      <c r="V258" s="157">
        <f>'Quantitativos (A)'!T258*$D258*$E258</f>
        <v>33.24</v>
      </c>
      <c r="W258" s="157">
        <f>'Quantitativos (A)'!U258*$D258*$E258</f>
        <v>33.24</v>
      </c>
      <c r="X258" s="157">
        <f>'Quantitativos (A)'!V258*$D258*$E258</f>
        <v>33.24</v>
      </c>
      <c r="Y258" s="157">
        <f>'Quantitativos (A)'!W258*$D258*$E258</f>
        <v>33.24</v>
      </c>
      <c r="Z258" s="157">
        <f>'Quantitativos (A)'!X258*$D258*$E258</f>
        <v>33.24</v>
      </c>
      <c r="AA258" s="157">
        <f>'Quantitativos (A)'!Y258*$D258*$E258</f>
        <v>33.24</v>
      </c>
      <c r="AB258" s="157">
        <f>'Quantitativos (A)'!Z258*$D258*$E258</f>
        <v>33.24</v>
      </c>
      <c r="AC258" s="157">
        <f>'Quantitativos (A)'!AA258*$D258*$E258</f>
        <v>33.24</v>
      </c>
      <c r="AD258" s="157">
        <f>'Quantitativos (A)'!AB258*$D258*$E258</f>
        <v>33.24</v>
      </c>
      <c r="AE258" s="157">
        <f>'Quantitativos (A)'!AC258*$D258*$E258</f>
        <v>33.24</v>
      </c>
      <c r="AF258" s="157">
        <f>'Quantitativos (A)'!AD258*$D258*$E258</f>
        <v>33.24</v>
      </c>
      <c r="AG258" s="157">
        <f>'Quantitativos (A)'!AE258*$D258*$E258</f>
        <v>33.24</v>
      </c>
      <c r="AH258" s="157">
        <f>'Quantitativos (A)'!AF258*$D258*$E258</f>
        <v>33.24</v>
      </c>
      <c r="AI258" s="158">
        <f>'Quantitativos (A)'!AG258*$D258*$E258</f>
        <v>33.24</v>
      </c>
      <c r="AJ258" s="22"/>
    </row>
    <row r="259" spans="1:36" x14ac:dyDescent="0.25">
      <c r="A259" s="112"/>
      <c r="B259" s="69" t="s">
        <v>250</v>
      </c>
      <c r="C259" s="133" t="s">
        <v>59</v>
      </c>
      <c r="D259" s="161">
        <f>'Dados (F)'!$D$201</f>
        <v>11.05</v>
      </c>
      <c r="E259" s="133">
        <f>IF('Dados (F)'!$D$35=1,1,'Dados (F)'!$C$39)</f>
        <v>1</v>
      </c>
      <c r="F259" s="157">
        <f>'Quantitativos (A)'!D259*$D259*$E259</f>
        <v>22.1</v>
      </c>
      <c r="G259" s="157">
        <f>'Quantitativos (A)'!E259*$D259*$E259</f>
        <v>22.1</v>
      </c>
      <c r="H259" s="157">
        <f>'Quantitativos (A)'!F259*$D259*$E259</f>
        <v>22.1</v>
      </c>
      <c r="I259" s="157">
        <f>'Quantitativos (A)'!G259*$D259*$E259</f>
        <v>22.1</v>
      </c>
      <c r="J259" s="157">
        <f>'Quantitativos (A)'!H259*$D259*$E259</f>
        <v>22.1</v>
      </c>
      <c r="K259" s="157">
        <f>'Quantitativos (A)'!I259*$D259*$E259</f>
        <v>22.1</v>
      </c>
      <c r="L259" s="157">
        <f>'Quantitativos (A)'!J259*$D259*$E259</f>
        <v>22.1</v>
      </c>
      <c r="M259" s="157">
        <f>'Quantitativos (A)'!K259*$D259*$E259</f>
        <v>22.1</v>
      </c>
      <c r="N259" s="157">
        <f>'Quantitativos (A)'!L259*$D259*$E259</f>
        <v>22.1</v>
      </c>
      <c r="O259" s="157">
        <f>'Quantitativos (A)'!M259*$D259*$E259</f>
        <v>22.1</v>
      </c>
      <c r="P259" s="157">
        <f>'Quantitativos (A)'!N259*$D259*$E259</f>
        <v>22.1</v>
      </c>
      <c r="Q259" s="157">
        <f>'Quantitativos (A)'!O259*$D259*$E259</f>
        <v>22.1</v>
      </c>
      <c r="R259" s="157">
        <f>'Quantitativos (A)'!P259*$D259*$E259</f>
        <v>22.1</v>
      </c>
      <c r="S259" s="157">
        <f>'Quantitativos (A)'!Q259*$D259*$E259</f>
        <v>22.1</v>
      </c>
      <c r="T259" s="157">
        <f>'Quantitativos (A)'!R259*$D259*$E259</f>
        <v>22.1</v>
      </c>
      <c r="U259" s="157">
        <f>'Quantitativos (A)'!S259*$D259*$E259</f>
        <v>22.1</v>
      </c>
      <c r="V259" s="157">
        <f>'Quantitativos (A)'!T259*$D259*$E259</f>
        <v>22.1</v>
      </c>
      <c r="W259" s="157">
        <f>'Quantitativos (A)'!U259*$D259*$E259</f>
        <v>22.1</v>
      </c>
      <c r="X259" s="157">
        <f>'Quantitativos (A)'!V259*$D259*$E259</f>
        <v>22.1</v>
      </c>
      <c r="Y259" s="157">
        <f>'Quantitativos (A)'!W259*$D259*$E259</f>
        <v>22.1</v>
      </c>
      <c r="Z259" s="157">
        <f>'Quantitativos (A)'!X259*$D259*$E259</f>
        <v>22.1</v>
      </c>
      <c r="AA259" s="157">
        <f>'Quantitativos (A)'!Y259*$D259*$E259</f>
        <v>22.1</v>
      </c>
      <c r="AB259" s="157">
        <f>'Quantitativos (A)'!Z259*$D259*$E259</f>
        <v>22.1</v>
      </c>
      <c r="AC259" s="157">
        <f>'Quantitativos (A)'!AA259*$D259*$E259</f>
        <v>22.1</v>
      </c>
      <c r="AD259" s="157">
        <f>'Quantitativos (A)'!AB259*$D259*$E259</f>
        <v>22.1</v>
      </c>
      <c r="AE259" s="157">
        <f>'Quantitativos (A)'!AC259*$D259*$E259</f>
        <v>22.1</v>
      </c>
      <c r="AF259" s="157">
        <f>'Quantitativos (A)'!AD259*$D259*$E259</f>
        <v>22.1</v>
      </c>
      <c r="AG259" s="157">
        <f>'Quantitativos (A)'!AE259*$D259*$E259</f>
        <v>22.1</v>
      </c>
      <c r="AH259" s="157">
        <f>'Quantitativos (A)'!AF259*$D259*$E259</f>
        <v>22.1</v>
      </c>
      <c r="AI259" s="158">
        <f>'Quantitativos (A)'!AG259*$D259*$E259</f>
        <v>22.1</v>
      </c>
      <c r="AJ259" s="22"/>
    </row>
    <row r="260" spans="1:36" x14ac:dyDescent="0.25">
      <c r="A260" s="112"/>
      <c r="B260" s="69" t="s">
        <v>251</v>
      </c>
      <c r="C260" s="133" t="s">
        <v>59</v>
      </c>
      <c r="D260" s="161">
        <f>'Dados (F)'!$D$202</f>
        <v>11.05</v>
      </c>
      <c r="E260" s="133">
        <f>IF('Dados (F)'!$D$35=1,1,'Dados (F)'!$C$39)</f>
        <v>1</v>
      </c>
      <c r="F260" s="157">
        <f>'Quantitativos (A)'!D260*$D260*$E260</f>
        <v>11.05</v>
      </c>
      <c r="G260" s="157">
        <f>'Quantitativos (A)'!E260*$D260*$E260</f>
        <v>11.05</v>
      </c>
      <c r="H260" s="157">
        <f>'Quantitativos (A)'!F260*$D260*$E260</f>
        <v>11.05</v>
      </c>
      <c r="I260" s="157">
        <f>'Quantitativos (A)'!G260*$D260*$E260</f>
        <v>11.05</v>
      </c>
      <c r="J260" s="157">
        <f>'Quantitativos (A)'!H260*$D260*$E260</f>
        <v>11.05</v>
      </c>
      <c r="K260" s="157">
        <f>'Quantitativos (A)'!I260*$D260*$E260</f>
        <v>11.05</v>
      </c>
      <c r="L260" s="157">
        <f>'Quantitativos (A)'!J260*$D260*$E260</f>
        <v>11.05</v>
      </c>
      <c r="M260" s="157">
        <f>'Quantitativos (A)'!K260*$D260*$E260</f>
        <v>11.05</v>
      </c>
      <c r="N260" s="157">
        <f>'Quantitativos (A)'!L260*$D260*$E260</f>
        <v>11.05</v>
      </c>
      <c r="O260" s="157">
        <f>'Quantitativos (A)'!M260*$D260*$E260</f>
        <v>11.05</v>
      </c>
      <c r="P260" s="157">
        <f>'Quantitativos (A)'!N260*$D260*$E260</f>
        <v>11.05</v>
      </c>
      <c r="Q260" s="157">
        <f>'Quantitativos (A)'!O260*$D260*$E260</f>
        <v>11.05</v>
      </c>
      <c r="R260" s="157">
        <f>'Quantitativos (A)'!P260*$D260*$E260</f>
        <v>11.05</v>
      </c>
      <c r="S260" s="157">
        <f>'Quantitativos (A)'!Q260*$D260*$E260</f>
        <v>11.05</v>
      </c>
      <c r="T260" s="157">
        <f>'Quantitativos (A)'!R260*$D260*$E260</f>
        <v>11.05</v>
      </c>
      <c r="U260" s="157">
        <f>'Quantitativos (A)'!S260*$D260*$E260</f>
        <v>11.05</v>
      </c>
      <c r="V260" s="157">
        <f>'Quantitativos (A)'!T260*$D260*$E260</f>
        <v>11.05</v>
      </c>
      <c r="W260" s="157">
        <f>'Quantitativos (A)'!U260*$D260*$E260</f>
        <v>11.05</v>
      </c>
      <c r="X260" s="157">
        <f>'Quantitativos (A)'!V260*$D260*$E260</f>
        <v>11.05</v>
      </c>
      <c r="Y260" s="157">
        <f>'Quantitativos (A)'!W260*$D260*$E260</f>
        <v>11.05</v>
      </c>
      <c r="Z260" s="157">
        <f>'Quantitativos (A)'!X260*$D260*$E260</f>
        <v>11.05</v>
      </c>
      <c r="AA260" s="157">
        <f>'Quantitativos (A)'!Y260*$D260*$E260</f>
        <v>11.05</v>
      </c>
      <c r="AB260" s="157">
        <f>'Quantitativos (A)'!Z260*$D260*$E260</f>
        <v>11.05</v>
      </c>
      <c r="AC260" s="157">
        <f>'Quantitativos (A)'!AA260*$D260*$E260</f>
        <v>11.05</v>
      </c>
      <c r="AD260" s="157">
        <f>'Quantitativos (A)'!AB260*$D260*$E260</f>
        <v>11.05</v>
      </c>
      <c r="AE260" s="157">
        <f>'Quantitativos (A)'!AC260*$D260*$E260</f>
        <v>11.05</v>
      </c>
      <c r="AF260" s="157">
        <f>'Quantitativos (A)'!AD260*$D260*$E260</f>
        <v>11.05</v>
      </c>
      <c r="AG260" s="157">
        <f>'Quantitativos (A)'!AE260*$D260*$E260</f>
        <v>11.05</v>
      </c>
      <c r="AH260" s="157">
        <f>'Quantitativos (A)'!AF260*$D260*$E260</f>
        <v>11.05</v>
      </c>
      <c r="AI260" s="158">
        <f>'Quantitativos (A)'!AG260*$D260*$E260</f>
        <v>11.05</v>
      </c>
      <c r="AJ260" s="22"/>
    </row>
    <row r="261" spans="1:36" x14ac:dyDescent="0.25">
      <c r="A261" s="112"/>
      <c r="B261" s="69" t="s">
        <v>254</v>
      </c>
      <c r="C261" s="133" t="s">
        <v>59</v>
      </c>
      <c r="D261" s="161">
        <f>'Dados (F)'!$D$205</f>
        <v>11.05</v>
      </c>
      <c r="E261" s="133">
        <f>IF('Dados (F)'!$D$35=1,1,'Dados (F)'!$C$39)</f>
        <v>1</v>
      </c>
      <c r="F261" s="157">
        <f>'Quantitativos (A)'!D261*$D261*$E261</f>
        <v>11.05</v>
      </c>
      <c r="G261" s="157">
        <f>'Quantitativos (A)'!E261*$D261*$E261</f>
        <v>11.05</v>
      </c>
      <c r="H261" s="157">
        <f>'Quantitativos (A)'!F261*$D261*$E261</f>
        <v>11.05</v>
      </c>
      <c r="I261" s="157">
        <f>'Quantitativos (A)'!G261*$D261*$E261</f>
        <v>11.05</v>
      </c>
      <c r="J261" s="157">
        <f>'Quantitativos (A)'!H261*$D261*$E261</f>
        <v>11.05</v>
      </c>
      <c r="K261" s="157">
        <f>'Quantitativos (A)'!I261*$D261*$E261</f>
        <v>11.05</v>
      </c>
      <c r="L261" s="157">
        <f>'Quantitativos (A)'!J261*$D261*$E261</f>
        <v>11.05</v>
      </c>
      <c r="M261" s="157">
        <f>'Quantitativos (A)'!K261*$D261*$E261</f>
        <v>11.05</v>
      </c>
      <c r="N261" s="157">
        <f>'Quantitativos (A)'!L261*$D261*$E261</f>
        <v>11.05</v>
      </c>
      <c r="O261" s="157">
        <f>'Quantitativos (A)'!M261*$D261*$E261</f>
        <v>11.05</v>
      </c>
      <c r="P261" s="157">
        <f>'Quantitativos (A)'!N261*$D261*$E261</f>
        <v>11.05</v>
      </c>
      <c r="Q261" s="157">
        <f>'Quantitativos (A)'!O261*$D261*$E261</f>
        <v>11.05</v>
      </c>
      <c r="R261" s="157">
        <f>'Quantitativos (A)'!P261*$D261*$E261</f>
        <v>11.05</v>
      </c>
      <c r="S261" s="157">
        <f>'Quantitativos (A)'!Q261*$D261*$E261</f>
        <v>11.05</v>
      </c>
      <c r="T261" s="157">
        <f>'Quantitativos (A)'!R261*$D261*$E261</f>
        <v>11.05</v>
      </c>
      <c r="U261" s="157">
        <f>'Quantitativos (A)'!S261*$D261*$E261</f>
        <v>11.05</v>
      </c>
      <c r="V261" s="157">
        <f>'Quantitativos (A)'!T261*$D261*$E261</f>
        <v>11.05</v>
      </c>
      <c r="W261" s="157">
        <f>'Quantitativos (A)'!U261*$D261*$E261</f>
        <v>11.05</v>
      </c>
      <c r="X261" s="157">
        <f>'Quantitativos (A)'!V261*$D261*$E261</f>
        <v>11.05</v>
      </c>
      <c r="Y261" s="157">
        <f>'Quantitativos (A)'!W261*$D261*$E261</f>
        <v>11.05</v>
      </c>
      <c r="Z261" s="157">
        <f>'Quantitativos (A)'!X261*$D261*$E261</f>
        <v>11.05</v>
      </c>
      <c r="AA261" s="157">
        <f>'Quantitativos (A)'!Y261*$D261*$E261</f>
        <v>11.05</v>
      </c>
      <c r="AB261" s="157">
        <f>'Quantitativos (A)'!Z261*$D261*$E261</f>
        <v>11.05</v>
      </c>
      <c r="AC261" s="157">
        <f>'Quantitativos (A)'!AA261*$D261*$E261</f>
        <v>11.05</v>
      </c>
      <c r="AD261" s="157">
        <f>'Quantitativos (A)'!AB261*$D261*$E261</f>
        <v>11.05</v>
      </c>
      <c r="AE261" s="157">
        <f>'Quantitativos (A)'!AC261*$D261*$E261</f>
        <v>11.05</v>
      </c>
      <c r="AF261" s="157">
        <f>'Quantitativos (A)'!AD261*$D261*$E261</f>
        <v>11.05</v>
      </c>
      <c r="AG261" s="157">
        <f>'Quantitativos (A)'!AE261*$D261*$E261</f>
        <v>11.05</v>
      </c>
      <c r="AH261" s="157">
        <f>'Quantitativos (A)'!AF261*$D261*$E261</f>
        <v>11.05</v>
      </c>
      <c r="AI261" s="158">
        <f>'Quantitativos (A)'!AG261*$D261*$E261</f>
        <v>11.05</v>
      </c>
      <c r="AJ261" s="22"/>
    </row>
    <row r="262" spans="1:36" x14ac:dyDescent="0.25">
      <c r="A262" s="112"/>
      <c r="B262" s="69" t="s">
        <v>255</v>
      </c>
      <c r="C262" s="133" t="s">
        <v>59</v>
      </c>
      <c r="D262" s="161">
        <f>'Dados (F)'!$D$206</f>
        <v>11.05</v>
      </c>
      <c r="E262" s="133">
        <f>IF('Dados (F)'!$D$35=1,1,'Dados (F)'!$C$39)</f>
        <v>1</v>
      </c>
      <c r="F262" s="157">
        <f>'Quantitativos (A)'!D262*$D262*$E262</f>
        <v>11.05</v>
      </c>
      <c r="G262" s="157">
        <f>'Quantitativos (A)'!E262*$D262*$E262</f>
        <v>11.05</v>
      </c>
      <c r="H262" s="157">
        <f>'Quantitativos (A)'!F262*$D262*$E262</f>
        <v>11.05</v>
      </c>
      <c r="I262" s="157">
        <f>'Quantitativos (A)'!G262*$D262*$E262</f>
        <v>11.05</v>
      </c>
      <c r="J262" s="157">
        <f>'Quantitativos (A)'!H262*$D262*$E262</f>
        <v>11.05</v>
      </c>
      <c r="K262" s="157">
        <f>'Quantitativos (A)'!I262*$D262*$E262</f>
        <v>11.05</v>
      </c>
      <c r="L262" s="157">
        <f>'Quantitativos (A)'!J262*$D262*$E262</f>
        <v>11.05</v>
      </c>
      <c r="M262" s="157">
        <f>'Quantitativos (A)'!K262*$D262*$E262</f>
        <v>11.05</v>
      </c>
      <c r="N262" s="157">
        <f>'Quantitativos (A)'!L262*$D262*$E262</f>
        <v>11.05</v>
      </c>
      <c r="O262" s="157">
        <f>'Quantitativos (A)'!M262*$D262*$E262</f>
        <v>11.05</v>
      </c>
      <c r="P262" s="157">
        <f>'Quantitativos (A)'!N262*$D262*$E262</f>
        <v>11.05</v>
      </c>
      <c r="Q262" s="157">
        <f>'Quantitativos (A)'!O262*$D262*$E262</f>
        <v>11.05</v>
      </c>
      <c r="R262" s="157">
        <f>'Quantitativos (A)'!P262*$D262*$E262</f>
        <v>11.05</v>
      </c>
      <c r="S262" s="157">
        <f>'Quantitativos (A)'!Q262*$D262*$E262</f>
        <v>11.05</v>
      </c>
      <c r="T262" s="157">
        <f>'Quantitativos (A)'!R262*$D262*$E262</f>
        <v>11.05</v>
      </c>
      <c r="U262" s="157">
        <f>'Quantitativos (A)'!S262*$D262*$E262</f>
        <v>11.05</v>
      </c>
      <c r="V262" s="157">
        <f>'Quantitativos (A)'!T262*$D262*$E262</f>
        <v>11.05</v>
      </c>
      <c r="W262" s="157">
        <f>'Quantitativos (A)'!U262*$D262*$E262</f>
        <v>11.05</v>
      </c>
      <c r="X262" s="157">
        <f>'Quantitativos (A)'!V262*$D262*$E262</f>
        <v>11.05</v>
      </c>
      <c r="Y262" s="157">
        <f>'Quantitativos (A)'!W262*$D262*$E262</f>
        <v>11.05</v>
      </c>
      <c r="Z262" s="157">
        <f>'Quantitativos (A)'!X262*$D262*$E262</f>
        <v>11.05</v>
      </c>
      <c r="AA262" s="157">
        <f>'Quantitativos (A)'!Y262*$D262*$E262</f>
        <v>11.05</v>
      </c>
      <c r="AB262" s="157">
        <f>'Quantitativos (A)'!Z262*$D262*$E262</f>
        <v>11.05</v>
      </c>
      <c r="AC262" s="157">
        <f>'Quantitativos (A)'!AA262*$D262*$E262</f>
        <v>11.05</v>
      </c>
      <c r="AD262" s="157">
        <f>'Quantitativos (A)'!AB262*$D262*$E262</f>
        <v>11.05</v>
      </c>
      <c r="AE262" s="157">
        <f>'Quantitativos (A)'!AC262*$D262*$E262</f>
        <v>11.05</v>
      </c>
      <c r="AF262" s="157">
        <f>'Quantitativos (A)'!AD262*$D262*$E262</f>
        <v>11.05</v>
      </c>
      <c r="AG262" s="157">
        <f>'Quantitativos (A)'!AE262*$D262*$E262</f>
        <v>11.05</v>
      </c>
      <c r="AH262" s="157">
        <f>'Quantitativos (A)'!AF262*$D262*$E262</f>
        <v>11.05</v>
      </c>
      <c r="AI262" s="158">
        <f>'Quantitativos (A)'!AG262*$D262*$E262</f>
        <v>11.05</v>
      </c>
      <c r="AJ262" s="22"/>
    </row>
    <row r="263" spans="1:36" x14ac:dyDescent="0.25">
      <c r="A263" s="112"/>
      <c r="B263" s="69" t="s">
        <v>256</v>
      </c>
      <c r="C263" s="133" t="s">
        <v>59</v>
      </c>
      <c r="D263" s="161">
        <f>'Dados (F)'!$D$207</f>
        <v>4.1399999999999997</v>
      </c>
      <c r="E263" s="133">
        <f>IF('Dados (F)'!$D$35=1,1,'Dados (F)'!$C$39)</f>
        <v>1</v>
      </c>
      <c r="F263" s="157">
        <f>'Quantitativos (A)'!D263*$D263*$E263</f>
        <v>0</v>
      </c>
      <c r="G263" s="157">
        <f>'Quantitativos (A)'!E263*$D263*$E263</f>
        <v>0</v>
      </c>
      <c r="H263" s="157">
        <f>'Quantitativos (A)'!F263*$D263*$E263</f>
        <v>0</v>
      </c>
      <c r="I263" s="157">
        <f>'Quantitativos (A)'!G263*$D263*$E263</f>
        <v>0</v>
      </c>
      <c r="J263" s="157">
        <f>'Quantitativos (A)'!H263*$D263*$E263</f>
        <v>0</v>
      </c>
      <c r="K263" s="157">
        <f>'Quantitativos (A)'!I263*$D263*$E263</f>
        <v>0</v>
      </c>
      <c r="L263" s="157">
        <f>'Quantitativos (A)'!J263*$D263*$E263</f>
        <v>0</v>
      </c>
      <c r="M263" s="157">
        <f>'Quantitativos (A)'!K263*$D263*$E263</f>
        <v>0</v>
      </c>
      <c r="N263" s="157">
        <f>'Quantitativos (A)'!L263*$D263*$E263</f>
        <v>0</v>
      </c>
      <c r="O263" s="157">
        <f>'Quantitativos (A)'!M263*$D263*$E263</f>
        <v>0</v>
      </c>
      <c r="P263" s="157">
        <f>'Quantitativos (A)'!N263*$D263*$E263</f>
        <v>4.1399999999999997</v>
      </c>
      <c r="Q263" s="157">
        <f>'Quantitativos (A)'!O263*$D263*$E263</f>
        <v>4.1399999999999997</v>
      </c>
      <c r="R263" s="157">
        <f>'Quantitativos (A)'!P263*$D263*$E263</f>
        <v>4.1399999999999997</v>
      </c>
      <c r="S263" s="157">
        <f>'Quantitativos (A)'!Q263*$D263*$E263</f>
        <v>4.1399999999999997</v>
      </c>
      <c r="T263" s="157">
        <f>'Quantitativos (A)'!R263*$D263*$E263</f>
        <v>4.1399999999999997</v>
      </c>
      <c r="U263" s="157">
        <f>'Quantitativos (A)'!S263*$D263*$E263</f>
        <v>4.1399999999999997</v>
      </c>
      <c r="V263" s="157">
        <f>'Quantitativos (A)'!T263*$D263*$E263</f>
        <v>4.1399999999999997</v>
      </c>
      <c r="W263" s="157">
        <f>'Quantitativos (A)'!U263*$D263*$E263</f>
        <v>4.1399999999999997</v>
      </c>
      <c r="X263" s="157">
        <f>'Quantitativos (A)'!V263*$D263*$E263</f>
        <v>4.1399999999999997</v>
      </c>
      <c r="Y263" s="157">
        <f>'Quantitativos (A)'!W263*$D263*$E263</f>
        <v>4.1399999999999997</v>
      </c>
      <c r="Z263" s="157">
        <f>'Quantitativos (A)'!X263*$D263*$E263</f>
        <v>4.1399999999999997</v>
      </c>
      <c r="AA263" s="157">
        <f>'Quantitativos (A)'!Y263*$D263*$E263</f>
        <v>4.1399999999999997</v>
      </c>
      <c r="AB263" s="157">
        <f>'Quantitativos (A)'!Z263*$D263*$E263</f>
        <v>4.1399999999999997</v>
      </c>
      <c r="AC263" s="157">
        <f>'Quantitativos (A)'!AA263*$D263*$E263</f>
        <v>4.1399999999999997</v>
      </c>
      <c r="AD263" s="157">
        <f>'Quantitativos (A)'!AB263*$D263*$E263</f>
        <v>4.1399999999999997</v>
      </c>
      <c r="AE263" s="157">
        <f>'Quantitativos (A)'!AC263*$D263*$E263</f>
        <v>4.1399999999999997</v>
      </c>
      <c r="AF263" s="157">
        <f>'Quantitativos (A)'!AD263*$D263*$E263</f>
        <v>4.1399999999999997</v>
      </c>
      <c r="AG263" s="157">
        <f>'Quantitativos (A)'!AE263*$D263*$E263</f>
        <v>4.1399999999999997</v>
      </c>
      <c r="AH263" s="157">
        <f>'Quantitativos (A)'!AF263*$D263*$E263</f>
        <v>4.1399999999999997</v>
      </c>
      <c r="AI263" s="158">
        <f>'Quantitativos (A)'!AG263*$D263*$E263</f>
        <v>4.1399999999999997</v>
      </c>
      <c r="AJ263" s="22"/>
    </row>
    <row r="264" spans="1:36" x14ac:dyDescent="0.25">
      <c r="A264" s="112"/>
      <c r="B264" s="69" t="s">
        <v>258</v>
      </c>
      <c r="C264" s="133" t="s">
        <v>59</v>
      </c>
      <c r="D264" s="161">
        <f>'Dados (F)'!$D$209</f>
        <v>19.36</v>
      </c>
      <c r="E264" s="133">
        <f>IF('Dados (F)'!$D$35=1,1,'Dados (F)'!$C$39)</f>
        <v>1</v>
      </c>
      <c r="F264" s="157">
        <f>'Quantitativos (A)'!D264*$D264*$E264</f>
        <v>19.36</v>
      </c>
      <c r="G264" s="157">
        <f>'Quantitativos (A)'!E264*$D264*$E264</f>
        <v>19.36</v>
      </c>
      <c r="H264" s="157">
        <f>'Quantitativos (A)'!F264*$D264*$E264</f>
        <v>19.36</v>
      </c>
      <c r="I264" s="157">
        <f>'Quantitativos (A)'!G264*$D264*$E264</f>
        <v>19.36</v>
      </c>
      <c r="J264" s="157">
        <f>'Quantitativos (A)'!H264*$D264*$E264</f>
        <v>19.36</v>
      </c>
      <c r="K264" s="157">
        <f>'Quantitativos (A)'!I264*$D264*$E264</f>
        <v>19.36</v>
      </c>
      <c r="L264" s="157">
        <f>'Quantitativos (A)'!J264*$D264*$E264</f>
        <v>19.36</v>
      </c>
      <c r="M264" s="157">
        <f>'Quantitativos (A)'!K264*$D264*$E264</f>
        <v>19.36</v>
      </c>
      <c r="N264" s="157">
        <f>'Quantitativos (A)'!L264*$D264*$E264</f>
        <v>19.36</v>
      </c>
      <c r="O264" s="157">
        <f>'Quantitativos (A)'!M264*$D264*$E264</f>
        <v>19.36</v>
      </c>
      <c r="P264" s="157">
        <f>'Quantitativos (A)'!N264*$D264*$E264</f>
        <v>19.36</v>
      </c>
      <c r="Q264" s="157">
        <f>'Quantitativos (A)'!O264*$D264*$E264</f>
        <v>19.36</v>
      </c>
      <c r="R264" s="157">
        <f>'Quantitativos (A)'!P264*$D264*$E264</f>
        <v>19.36</v>
      </c>
      <c r="S264" s="157">
        <f>'Quantitativos (A)'!Q264*$D264*$E264</f>
        <v>19.36</v>
      </c>
      <c r="T264" s="157">
        <f>'Quantitativos (A)'!R264*$D264*$E264</f>
        <v>19.36</v>
      </c>
      <c r="U264" s="157">
        <f>'Quantitativos (A)'!S264*$D264*$E264</f>
        <v>19.36</v>
      </c>
      <c r="V264" s="157">
        <f>'Quantitativos (A)'!T264*$D264*$E264</f>
        <v>19.36</v>
      </c>
      <c r="W264" s="157">
        <f>'Quantitativos (A)'!U264*$D264*$E264</f>
        <v>19.36</v>
      </c>
      <c r="X264" s="157">
        <f>'Quantitativos (A)'!V264*$D264*$E264</f>
        <v>19.36</v>
      </c>
      <c r="Y264" s="157">
        <f>'Quantitativos (A)'!W264*$D264*$E264</f>
        <v>19.36</v>
      </c>
      <c r="Z264" s="157">
        <f>'Quantitativos (A)'!X264*$D264*$E264</f>
        <v>19.36</v>
      </c>
      <c r="AA264" s="157">
        <f>'Quantitativos (A)'!Y264*$D264*$E264</f>
        <v>19.36</v>
      </c>
      <c r="AB264" s="157">
        <f>'Quantitativos (A)'!Z264*$D264*$E264</f>
        <v>19.36</v>
      </c>
      <c r="AC264" s="157">
        <f>'Quantitativos (A)'!AA264*$D264*$E264</f>
        <v>19.36</v>
      </c>
      <c r="AD264" s="157">
        <f>'Quantitativos (A)'!AB264*$D264*$E264</f>
        <v>19.36</v>
      </c>
      <c r="AE264" s="157">
        <f>'Quantitativos (A)'!AC264*$D264*$E264</f>
        <v>19.36</v>
      </c>
      <c r="AF264" s="157">
        <f>'Quantitativos (A)'!AD264*$D264*$E264</f>
        <v>19.36</v>
      </c>
      <c r="AG264" s="157">
        <f>'Quantitativos (A)'!AE264*$D264*$E264</f>
        <v>19.36</v>
      </c>
      <c r="AH264" s="157">
        <f>'Quantitativos (A)'!AF264*$D264*$E264</f>
        <v>19.36</v>
      </c>
      <c r="AI264" s="158">
        <f>'Quantitativos (A)'!AG264*$D264*$E264</f>
        <v>19.36</v>
      </c>
      <c r="AJ264" s="22"/>
    </row>
    <row r="265" spans="1:36" x14ac:dyDescent="0.25">
      <c r="A265" s="112"/>
      <c r="B265" s="69" t="s">
        <v>260</v>
      </c>
      <c r="C265" s="133" t="s">
        <v>59</v>
      </c>
      <c r="D265" s="161">
        <f>'Dados (F)'!$D$211</f>
        <v>6.5</v>
      </c>
      <c r="E265" s="133">
        <f>IF('Dados (F)'!$D$35=1,1,'Dados (F)'!$C$39)</f>
        <v>1</v>
      </c>
      <c r="F265" s="157">
        <f>'Quantitativos (A)'!D265*$D265*$E265</f>
        <v>13</v>
      </c>
      <c r="G265" s="157">
        <f>'Quantitativos (A)'!E265*$D265*$E265</f>
        <v>13</v>
      </c>
      <c r="H265" s="157">
        <f>'Quantitativos (A)'!F265*$D265*$E265</f>
        <v>13</v>
      </c>
      <c r="I265" s="157">
        <f>'Quantitativos (A)'!G265*$D265*$E265</f>
        <v>13</v>
      </c>
      <c r="J265" s="157">
        <f>'Quantitativos (A)'!H265*$D265*$E265</f>
        <v>13</v>
      </c>
      <c r="K265" s="157">
        <f>'Quantitativos (A)'!I265*$D265*$E265</f>
        <v>13</v>
      </c>
      <c r="L265" s="157">
        <f>'Quantitativos (A)'!J265*$D265*$E265</f>
        <v>13</v>
      </c>
      <c r="M265" s="157">
        <f>'Quantitativos (A)'!K265*$D265*$E265</f>
        <v>13</v>
      </c>
      <c r="N265" s="157">
        <f>'Quantitativos (A)'!L265*$D265*$E265</f>
        <v>13</v>
      </c>
      <c r="O265" s="157">
        <f>'Quantitativos (A)'!M265*$D265*$E265</f>
        <v>13</v>
      </c>
      <c r="P265" s="157">
        <f>'Quantitativos (A)'!N265*$D265*$E265</f>
        <v>13</v>
      </c>
      <c r="Q265" s="157">
        <f>'Quantitativos (A)'!O265*$D265*$E265</f>
        <v>13</v>
      </c>
      <c r="R265" s="157">
        <f>'Quantitativos (A)'!P265*$D265*$E265</f>
        <v>13</v>
      </c>
      <c r="S265" s="157">
        <f>'Quantitativos (A)'!Q265*$D265*$E265</f>
        <v>13</v>
      </c>
      <c r="T265" s="157">
        <f>'Quantitativos (A)'!R265*$D265*$E265</f>
        <v>13</v>
      </c>
      <c r="U265" s="157">
        <f>'Quantitativos (A)'!S265*$D265*$E265</f>
        <v>13</v>
      </c>
      <c r="V265" s="157">
        <f>'Quantitativos (A)'!T265*$D265*$E265</f>
        <v>13</v>
      </c>
      <c r="W265" s="157">
        <f>'Quantitativos (A)'!U265*$D265*$E265</f>
        <v>13</v>
      </c>
      <c r="X265" s="157">
        <f>'Quantitativos (A)'!V265*$D265*$E265</f>
        <v>13</v>
      </c>
      <c r="Y265" s="157">
        <f>'Quantitativos (A)'!W265*$D265*$E265</f>
        <v>13</v>
      </c>
      <c r="Z265" s="157">
        <f>'Quantitativos (A)'!X265*$D265*$E265</f>
        <v>13</v>
      </c>
      <c r="AA265" s="157">
        <f>'Quantitativos (A)'!Y265*$D265*$E265</f>
        <v>13</v>
      </c>
      <c r="AB265" s="157">
        <f>'Quantitativos (A)'!Z265*$D265*$E265</f>
        <v>13</v>
      </c>
      <c r="AC265" s="157">
        <f>'Quantitativos (A)'!AA265*$D265*$E265</f>
        <v>13</v>
      </c>
      <c r="AD265" s="157">
        <f>'Quantitativos (A)'!AB265*$D265*$E265</f>
        <v>13</v>
      </c>
      <c r="AE265" s="157">
        <f>'Quantitativos (A)'!AC265*$D265*$E265</f>
        <v>13</v>
      </c>
      <c r="AF265" s="157">
        <f>'Quantitativos (A)'!AD265*$D265*$E265</f>
        <v>13</v>
      </c>
      <c r="AG265" s="157">
        <f>'Quantitativos (A)'!AE265*$D265*$E265</f>
        <v>13</v>
      </c>
      <c r="AH265" s="157">
        <f>'Quantitativos (A)'!AF265*$D265*$E265</f>
        <v>13</v>
      </c>
      <c r="AI265" s="158">
        <f>'Quantitativos (A)'!AG265*$D265*$E265</f>
        <v>13</v>
      </c>
      <c r="AJ265" s="22"/>
    </row>
    <row r="266" spans="1:36" x14ac:dyDescent="0.25">
      <c r="A266" s="112"/>
      <c r="B266" s="69" t="s">
        <v>261</v>
      </c>
      <c r="C266" s="133" t="s">
        <v>59</v>
      </c>
      <c r="D266" s="161">
        <f>'Dados (F)'!$D$212</f>
        <v>12.8</v>
      </c>
      <c r="E266" s="133">
        <f>IF('Dados (F)'!$D$35=1,1,'Dados (F)'!$C$39)</f>
        <v>1</v>
      </c>
      <c r="F266" s="157">
        <f>'Quantitativos (A)'!D266*$D266*$E266</f>
        <v>64</v>
      </c>
      <c r="G266" s="157">
        <f>'Quantitativos (A)'!E266*$D266*$E266</f>
        <v>64</v>
      </c>
      <c r="H266" s="157">
        <f>'Quantitativos (A)'!F266*$D266*$E266</f>
        <v>64</v>
      </c>
      <c r="I266" s="157">
        <f>'Quantitativos (A)'!G266*$D266*$E266</f>
        <v>64</v>
      </c>
      <c r="J266" s="157">
        <f>'Quantitativos (A)'!H266*$D266*$E266</f>
        <v>64</v>
      </c>
      <c r="K266" s="157">
        <f>'Quantitativos (A)'!I266*$D266*$E266</f>
        <v>64</v>
      </c>
      <c r="L266" s="157">
        <f>'Quantitativos (A)'!J266*$D266*$E266</f>
        <v>64</v>
      </c>
      <c r="M266" s="157">
        <f>'Quantitativos (A)'!K266*$D266*$E266</f>
        <v>64</v>
      </c>
      <c r="N266" s="157">
        <f>'Quantitativos (A)'!L266*$D266*$E266</f>
        <v>64</v>
      </c>
      <c r="O266" s="157">
        <f>'Quantitativos (A)'!M266*$D266*$E266</f>
        <v>64</v>
      </c>
      <c r="P266" s="157">
        <f>'Quantitativos (A)'!N266*$D266*$E266</f>
        <v>89.600000000000009</v>
      </c>
      <c r="Q266" s="157">
        <f>'Quantitativos (A)'!O266*$D266*$E266</f>
        <v>89.600000000000009</v>
      </c>
      <c r="R266" s="157">
        <f>'Quantitativos (A)'!P266*$D266*$E266</f>
        <v>89.600000000000009</v>
      </c>
      <c r="S266" s="157">
        <f>'Quantitativos (A)'!Q266*$D266*$E266</f>
        <v>89.600000000000009</v>
      </c>
      <c r="T266" s="157">
        <f>'Quantitativos (A)'!R266*$D266*$E266</f>
        <v>89.600000000000009</v>
      </c>
      <c r="U266" s="157">
        <f>'Quantitativos (A)'!S266*$D266*$E266</f>
        <v>89.600000000000009</v>
      </c>
      <c r="V266" s="157">
        <f>'Quantitativos (A)'!T266*$D266*$E266</f>
        <v>89.600000000000009</v>
      </c>
      <c r="W266" s="157">
        <f>'Quantitativos (A)'!U266*$D266*$E266</f>
        <v>89.600000000000009</v>
      </c>
      <c r="X266" s="157">
        <f>'Quantitativos (A)'!V266*$D266*$E266</f>
        <v>89.600000000000009</v>
      </c>
      <c r="Y266" s="157">
        <f>'Quantitativos (A)'!W266*$D266*$E266</f>
        <v>89.600000000000009</v>
      </c>
      <c r="Z266" s="157">
        <f>'Quantitativos (A)'!X266*$D266*$E266</f>
        <v>89.600000000000009</v>
      </c>
      <c r="AA266" s="157">
        <f>'Quantitativos (A)'!Y266*$D266*$E266</f>
        <v>89.600000000000009</v>
      </c>
      <c r="AB266" s="157">
        <f>'Quantitativos (A)'!Z266*$D266*$E266</f>
        <v>89.600000000000009</v>
      </c>
      <c r="AC266" s="157">
        <f>'Quantitativos (A)'!AA266*$D266*$E266</f>
        <v>89.600000000000009</v>
      </c>
      <c r="AD266" s="157">
        <f>'Quantitativos (A)'!AB266*$D266*$E266</f>
        <v>89.600000000000009</v>
      </c>
      <c r="AE266" s="157">
        <f>'Quantitativos (A)'!AC266*$D266*$E266</f>
        <v>89.600000000000009</v>
      </c>
      <c r="AF266" s="157">
        <f>'Quantitativos (A)'!AD266*$D266*$E266</f>
        <v>89.600000000000009</v>
      </c>
      <c r="AG266" s="157">
        <f>'Quantitativos (A)'!AE266*$D266*$E266</f>
        <v>89.600000000000009</v>
      </c>
      <c r="AH266" s="157">
        <f>'Quantitativos (A)'!AF266*$D266*$E266</f>
        <v>89.600000000000009</v>
      </c>
      <c r="AI266" s="158">
        <f>'Quantitativos (A)'!AG266*$D266*$E266</f>
        <v>89.600000000000009</v>
      </c>
      <c r="AJ266" s="22"/>
    </row>
    <row r="267" spans="1:36" x14ac:dyDescent="0.25">
      <c r="A267" s="112"/>
      <c r="B267" s="69" t="s">
        <v>263</v>
      </c>
      <c r="C267" s="133" t="s">
        <v>59</v>
      </c>
      <c r="D267" s="161">
        <f>'Dados (F)'!$D$214</f>
        <v>46.73</v>
      </c>
      <c r="E267" s="133">
        <f>IF('Dados (F)'!$D$35=1,1,'Dados (F)'!$C$39)</f>
        <v>1</v>
      </c>
      <c r="F267" s="157">
        <f>'Quantitativos (A)'!D267*$D267*$E267</f>
        <v>186.92</v>
      </c>
      <c r="G267" s="157">
        <f>'Quantitativos (A)'!E267*$D267*$E267</f>
        <v>186.92</v>
      </c>
      <c r="H267" s="157">
        <f>'Quantitativos (A)'!F267*$D267*$E267</f>
        <v>186.92</v>
      </c>
      <c r="I267" s="157">
        <f>'Quantitativos (A)'!G267*$D267*$E267</f>
        <v>186.92</v>
      </c>
      <c r="J267" s="157">
        <f>'Quantitativos (A)'!H267*$D267*$E267</f>
        <v>186.92</v>
      </c>
      <c r="K267" s="157">
        <f>'Quantitativos (A)'!I267*$D267*$E267</f>
        <v>186.92</v>
      </c>
      <c r="L267" s="157">
        <f>'Quantitativos (A)'!J267*$D267*$E267</f>
        <v>186.92</v>
      </c>
      <c r="M267" s="157">
        <f>'Quantitativos (A)'!K267*$D267*$E267</f>
        <v>186.92</v>
      </c>
      <c r="N267" s="157">
        <f>'Quantitativos (A)'!L267*$D267*$E267</f>
        <v>186.92</v>
      </c>
      <c r="O267" s="157">
        <f>'Quantitativos (A)'!M267*$D267*$E267</f>
        <v>186.92</v>
      </c>
      <c r="P267" s="157">
        <f>'Quantitativos (A)'!N267*$D267*$E267</f>
        <v>327.10999999999996</v>
      </c>
      <c r="Q267" s="157">
        <f>'Quantitativos (A)'!O267*$D267*$E267</f>
        <v>327.10999999999996</v>
      </c>
      <c r="R267" s="157">
        <f>'Quantitativos (A)'!P267*$D267*$E267</f>
        <v>327.10999999999996</v>
      </c>
      <c r="S267" s="157">
        <f>'Quantitativos (A)'!Q267*$D267*$E267</f>
        <v>327.10999999999996</v>
      </c>
      <c r="T267" s="157">
        <f>'Quantitativos (A)'!R267*$D267*$E267</f>
        <v>327.10999999999996</v>
      </c>
      <c r="U267" s="157">
        <f>'Quantitativos (A)'!S267*$D267*$E267</f>
        <v>327.10999999999996</v>
      </c>
      <c r="V267" s="157">
        <f>'Quantitativos (A)'!T267*$D267*$E267</f>
        <v>327.10999999999996</v>
      </c>
      <c r="W267" s="157">
        <f>'Quantitativos (A)'!U267*$D267*$E267</f>
        <v>327.10999999999996</v>
      </c>
      <c r="X267" s="157">
        <f>'Quantitativos (A)'!V267*$D267*$E267</f>
        <v>327.10999999999996</v>
      </c>
      <c r="Y267" s="157">
        <f>'Quantitativos (A)'!W267*$D267*$E267</f>
        <v>327.10999999999996</v>
      </c>
      <c r="Z267" s="157">
        <f>'Quantitativos (A)'!X267*$D267*$E267</f>
        <v>233.64999999999998</v>
      </c>
      <c r="AA267" s="157">
        <f>'Quantitativos (A)'!Y267*$D267*$E267</f>
        <v>233.64999999999998</v>
      </c>
      <c r="AB267" s="157">
        <f>'Quantitativos (A)'!Z267*$D267*$E267</f>
        <v>233.64999999999998</v>
      </c>
      <c r="AC267" s="157">
        <f>'Quantitativos (A)'!AA267*$D267*$E267</f>
        <v>233.64999999999998</v>
      </c>
      <c r="AD267" s="157">
        <f>'Quantitativos (A)'!AB267*$D267*$E267</f>
        <v>233.64999999999998</v>
      </c>
      <c r="AE267" s="157">
        <f>'Quantitativos (A)'!AC267*$D267*$E267</f>
        <v>233.64999999999998</v>
      </c>
      <c r="AF267" s="157">
        <f>'Quantitativos (A)'!AD267*$D267*$E267</f>
        <v>233.64999999999998</v>
      </c>
      <c r="AG267" s="157">
        <f>'Quantitativos (A)'!AE267*$D267*$E267</f>
        <v>233.64999999999998</v>
      </c>
      <c r="AH267" s="157">
        <f>'Quantitativos (A)'!AF267*$D267*$E267</f>
        <v>233.64999999999998</v>
      </c>
      <c r="AI267" s="158">
        <f>'Quantitativos (A)'!AG267*$D267*$E267</f>
        <v>233.64999999999998</v>
      </c>
      <c r="AJ267" s="22"/>
    </row>
    <row r="268" spans="1:36" x14ac:dyDescent="0.25">
      <c r="A268" s="112"/>
      <c r="B268" s="120" t="s">
        <v>555</v>
      </c>
      <c r="C268" s="121"/>
      <c r="D268" s="155"/>
      <c r="E268" s="156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60"/>
      <c r="AJ268" s="22"/>
    </row>
    <row r="269" spans="1:36" x14ac:dyDescent="0.25">
      <c r="A269" s="112"/>
      <c r="B269" s="69" t="s">
        <v>274</v>
      </c>
      <c r="C269" s="133" t="s">
        <v>64</v>
      </c>
      <c r="D269" s="161">
        <f>'Dados (F)'!$D$216</f>
        <v>40.44</v>
      </c>
      <c r="E269" s="133">
        <f>IF('Dados (F)'!$D$35=1,1,'Dados (F)'!$C$39)</f>
        <v>1</v>
      </c>
      <c r="F269" s="157">
        <f>'Quantitativos (A)'!D269*$D269*$E269</f>
        <v>2426.3999999999996</v>
      </c>
      <c r="G269" s="157">
        <f>'Quantitativos (A)'!E269*$D269*$E269</f>
        <v>2426.3999999999996</v>
      </c>
      <c r="H269" s="157">
        <f>'Quantitativos (A)'!F269*$D269*$E269</f>
        <v>2426.3999999999996</v>
      </c>
      <c r="I269" s="157">
        <f>'Quantitativos (A)'!G269*$D269*$E269</f>
        <v>2426.3999999999996</v>
      </c>
      <c r="J269" s="157">
        <f>'Quantitativos (A)'!H269*$D269*$E269</f>
        <v>2426.3999999999996</v>
      </c>
      <c r="K269" s="157">
        <f>'Quantitativos (A)'!I269*$D269*$E269</f>
        <v>2426.3999999999996</v>
      </c>
      <c r="L269" s="157">
        <f>'Quantitativos (A)'!J269*$D269*$E269</f>
        <v>2426.3999999999996</v>
      </c>
      <c r="M269" s="157">
        <f>'Quantitativos (A)'!K269*$D269*$E269</f>
        <v>2426.3999999999996</v>
      </c>
      <c r="N269" s="157">
        <f>'Quantitativos (A)'!L269*$D269*$E269</f>
        <v>2426.3999999999996</v>
      </c>
      <c r="O269" s="157">
        <f>'Quantitativos (A)'!M269*$D269*$E269</f>
        <v>2426.3999999999996</v>
      </c>
      <c r="P269" s="157">
        <f>'Quantitativos (A)'!N269*$D269*$E269</f>
        <v>1941.12</v>
      </c>
      <c r="Q269" s="157">
        <f>'Quantitativos (A)'!O269*$D269*$E269</f>
        <v>1941.12</v>
      </c>
      <c r="R269" s="157">
        <f>'Quantitativos (A)'!P269*$D269*$E269</f>
        <v>1941.12</v>
      </c>
      <c r="S269" s="157">
        <f>'Quantitativos (A)'!Q269*$D269*$E269</f>
        <v>1941.12</v>
      </c>
      <c r="T269" s="157">
        <f>'Quantitativos (A)'!R269*$D269*$E269</f>
        <v>1941.12</v>
      </c>
      <c r="U269" s="157">
        <f>'Quantitativos (A)'!S269*$D269*$E269</f>
        <v>1941.12</v>
      </c>
      <c r="V269" s="157">
        <f>'Quantitativos (A)'!T269*$D269*$E269</f>
        <v>1941.12</v>
      </c>
      <c r="W269" s="157">
        <f>'Quantitativos (A)'!U269*$D269*$E269</f>
        <v>1941.12</v>
      </c>
      <c r="X269" s="157">
        <f>'Quantitativos (A)'!V269*$D269*$E269</f>
        <v>1941.12</v>
      </c>
      <c r="Y269" s="157">
        <f>'Quantitativos (A)'!W269*$D269*$E269</f>
        <v>1941.12</v>
      </c>
      <c r="Z269" s="157">
        <f>'Quantitativos (A)'!X269*$D269*$E269</f>
        <v>1941.12</v>
      </c>
      <c r="AA269" s="157">
        <f>'Quantitativos (A)'!Y269*$D269*$E269</f>
        <v>1941.12</v>
      </c>
      <c r="AB269" s="157">
        <f>'Quantitativos (A)'!Z269*$D269*$E269</f>
        <v>1941.12</v>
      </c>
      <c r="AC269" s="157">
        <f>'Quantitativos (A)'!AA269*$D269*$E269</f>
        <v>1941.12</v>
      </c>
      <c r="AD269" s="157">
        <f>'Quantitativos (A)'!AB269*$D269*$E269</f>
        <v>1941.12</v>
      </c>
      <c r="AE269" s="157">
        <f>'Quantitativos (A)'!AC269*$D269*$E269</f>
        <v>1941.12</v>
      </c>
      <c r="AF269" s="157">
        <f>'Quantitativos (A)'!AD269*$D269*$E269</f>
        <v>1941.12</v>
      </c>
      <c r="AG269" s="157">
        <f>'Quantitativos (A)'!AE269*$D269*$E269</f>
        <v>1941.12</v>
      </c>
      <c r="AH269" s="157">
        <f>'Quantitativos (A)'!AF269*$D269*$E269</f>
        <v>1941.12</v>
      </c>
      <c r="AI269" s="158">
        <f>'Quantitativos (A)'!AG269*$D269*$E269</f>
        <v>1941.12</v>
      </c>
      <c r="AJ269" s="22"/>
    </row>
    <row r="270" spans="1:36" x14ac:dyDescent="0.25">
      <c r="A270" s="112"/>
      <c r="B270" s="69" t="s">
        <v>275</v>
      </c>
      <c r="C270" s="133" t="s">
        <v>59</v>
      </c>
      <c r="D270" s="161">
        <f>'Dados (F)'!$D$217</f>
        <v>1.0900000000000001</v>
      </c>
      <c r="E270" s="133">
        <f>IF('Dados (F)'!$D$35=1,1,'Dados (F)'!$C$39)</f>
        <v>1</v>
      </c>
      <c r="F270" s="157">
        <f>'Quantitativos (A)'!D270*$D270*$E270</f>
        <v>1.0900000000000001</v>
      </c>
      <c r="G270" s="157">
        <f>'Quantitativos (A)'!E270*$D270*$E270</f>
        <v>1.0900000000000001</v>
      </c>
      <c r="H270" s="157">
        <f>'Quantitativos (A)'!F270*$D270*$E270</f>
        <v>1.0900000000000001</v>
      </c>
      <c r="I270" s="157">
        <f>'Quantitativos (A)'!G270*$D270*$E270</f>
        <v>1.0900000000000001</v>
      </c>
      <c r="J270" s="157">
        <f>'Quantitativos (A)'!H270*$D270*$E270</f>
        <v>1.0900000000000001</v>
      </c>
      <c r="K270" s="157">
        <f>'Quantitativos (A)'!I270*$D270*$E270</f>
        <v>1.0900000000000001</v>
      </c>
      <c r="L270" s="157">
        <f>'Quantitativos (A)'!J270*$D270*$E270</f>
        <v>1.0900000000000001</v>
      </c>
      <c r="M270" s="157">
        <f>'Quantitativos (A)'!K270*$D270*$E270</f>
        <v>1.0900000000000001</v>
      </c>
      <c r="N270" s="157">
        <f>'Quantitativos (A)'!L270*$D270*$E270</f>
        <v>1.0900000000000001</v>
      </c>
      <c r="O270" s="157">
        <f>'Quantitativos (A)'!M270*$D270*$E270</f>
        <v>1.0900000000000001</v>
      </c>
      <c r="P270" s="157">
        <f>'Quantitativos (A)'!N270*$D270*$E270</f>
        <v>1.0900000000000001</v>
      </c>
      <c r="Q270" s="157">
        <f>'Quantitativos (A)'!O270*$D270*$E270</f>
        <v>1.0900000000000001</v>
      </c>
      <c r="R270" s="157">
        <f>'Quantitativos (A)'!P270*$D270*$E270</f>
        <v>1.0900000000000001</v>
      </c>
      <c r="S270" s="157">
        <f>'Quantitativos (A)'!Q270*$D270*$E270</f>
        <v>1.0900000000000001</v>
      </c>
      <c r="T270" s="157">
        <f>'Quantitativos (A)'!R270*$D270*$E270</f>
        <v>1.0900000000000001</v>
      </c>
      <c r="U270" s="157">
        <f>'Quantitativos (A)'!S270*$D270*$E270</f>
        <v>1.0900000000000001</v>
      </c>
      <c r="V270" s="157">
        <f>'Quantitativos (A)'!T270*$D270*$E270</f>
        <v>1.0900000000000001</v>
      </c>
      <c r="W270" s="157">
        <f>'Quantitativos (A)'!U270*$D270*$E270</f>
        <v>1.0900000000000001</v>
      </c>
      <c r="X270" s="157">
        <f>'Quantitativos (A)'!V270*$D270*$E270</f>
        <v>1.0900000000000001</v>
      </c>
      <c r="Y270" s="157">
        <f>'Quantitativos (A)'!W270*$D270*$E270</f>
        <v>1.0900000000000001</v>
      </c>
      <c r="Z270" s="157">
        <f>'Quantitativos (A)'!X270*$D270*$E270</f>
        <v>1.0900000000000001</v>
      </c>
      <c r="AA270" s="157">
        <f>'Quantitativos (A)'!Y270*$D270*$E270</f>
        <v>1.0900000000000001</v>
      </c>
      <c r="AB270" s="157">
        <f>'Quantitativos (A)'!Z270*$D270*$E270</f>
        <v>1.0900000000000001</v>
      </c>
      <c r="AC270" s="157">
        <f>'Quantitativos (A)'!AA270*$D270*$E270</f>
        <v>1.0900000000000001</v>
      </c>
      <c r="AD270" s="157">
        <f>'Quantitativos (A)'!AB270*$D270*$E270</f>
        <v>1.0900000000000001</v>
      </c>
      <c r="AE270" s="157">
        <f>'Quantitativos (A)'!AC270*$D270*$E270</f>
        <v>1.0900000000000001</v>
      </c>
      <c r="AF270" s="157">
        <f>'Quantitativos (A)'!AD270*$D270*$E270</f>
        <v>1.0900000000000001</v>
      </c>
      <c r="AG270" s="157">
        <f>'Quantitativos (A)'!AE270*$D270*$E270</f>
        <v>1.0900000000000001</v>
      </c>
      <c r="AH270" s="157">
        <f>'Quantitativos (A)'!AF270*$D270*$E270</f>
        <v>1.0900000000000001</v>
      </c>
      <c r="AI270" s="158">
        <f>'Quantitativos (A)'!AG270*$D270*$E270</f>
        <v>1.0900000000000001</v>
      </c>
      <c r="AJ270" s="22"/>
    </row>
    <row r="271" spans="1:36" x14ac:dyDescent="0.25">
      <c r="A271" s="112"/>
      <c r="B271" s="69" t="s">
        <v>276</v>
      </c>
      <c r="C271" s="133" t="s">
        <v>59</v>
      </c>
      <c r="D271" s="161">
        <f>'Dados (F)'!$D$218</f>
        <v>1.0900000000000001</v>
      </c>
      <c r="E271" s="133">
        <f>IF('Dados (F)'!$D$35=1,1,'Dados (F)'!$C$39)</f>
        <v>1</v>
      </c>
      <c r="F271" s="157">
        <f>'Quantitativos (A)'!D271*$D271*$E271</f>
        <v>5.45</v>
      </c>
      <c r="G271" s="157">
        <f>'Quantitativos (A)'!E271*$D271*$E271</f>
        <v>5.45</v>
      </c>
      <c r="H271" s="157">
        <f>'Quantitativos (A)'!F271*$D271*$E271</f>
        <v>5.45</v>
      </c>
      <c r="I271" s="157">
        <f>'Quantitativos (A)'!G271*$D271*$E271</f>
        <v>5.45</v>
      </c>
      <c r="J271" s="157">
        <f>'Quantitativos (A)'!H271*$D271*$E271</f>
        <v>5.45</v>
      </c>
      <c r="K271" s="157">
        <f>'Quantitativos (A)'!I271*$D271*$E271</f>
        <v>5.45</v>
      </c>
      <c r="L271" s="157">
        <f>'Quantitativos (A)'!J271*$D271*$E271</f>
        <v>5.45</v>
      </c>
      <c r="M271" s="157">
        <f>'Quantitativos (A)'!K271*$D271*$E271</f>
        <v>5.45</v>
      </c>
      <c r="N271" s="157">
        <f>'Quantitativos (A)'!L271*$D271*$E271</f>
        <v>5.45</v>
      </c>
      <c r="O271" s="157">
        <f>'Quantitativos (A)'!M271*$D271*$E271</f>
        <v>5.45</v>
      </c>
      <c r="P271" s="157">
        <f>'Quantitativos (A)'!N271*$D271*$E271</f>
        <v>5.45</v>
      </c>
      <c r="Q271" s="157">
        <f>'Quantitativos (A)'!O271*$D271*$E271</f>
        <v>5.45</v>
      </c>
      <c r="R271" s="157">
        <f>'Quantitativos (A)'!P271*$D271*$E271</f>
        <v>5.45</v>
      </c>
      <c r="S271" s="157">
        <f>'Quantitativos (A)'!Q271*$D271*$E271</f>
        <v>5.45</v>
      </c>
      <c r="T271" s="157">
        <f>'Quantitativos (A)'!R271*$D271*$E271</f>
        <v>5.45</v>
      </c>
      <c r="U271" s="157">
        <f>'Quantitativos (A)'!S271*$D271*$E271</f>
        <v>5.45</v>
      </c>
      <c r="V271" s="157">
        <f>'Quantitativos (A)'!T271*$D271*$E271</f>
        <v>5.45</v>
      </c>
      <c r="W271" s="157">
        <f>'Quantitativos (A)'!U271*$D271*$E271</f>
        <v>5.45</v>
      </c>
      <c r="X271" s="157">
        <f>'Quantitativos (A)'!V271*$D271*$E271</f>
        <v>5.45</v>
      </c>
      <c r="Y271" s="157">
        <f>'Quantitativos (A)'!W271*$D271*$E271</f>
        <v>5.45</v>
      </c>
      <c r="Z271" s="157">
        <f>'Quantitativos (A)'!X271*$D271*$E271</f>
        <v>5.45</v>
      </c>
      <c r="AA271" s="157">
        <f>'Quantitativos (A)'!Y271*$D271*$E271</f>
        <v>5.45</v>
      </c>
      <c r="AB271" s="157">
        <f>'Quantitativos (A)'!Z271*$D271*$E271</f>
        <v>5.45</v>
      </c>
      <c r="AC271" s="157">
        <f>'Quantitativos (A)'!AA271*$D271*$E271</f>
        <v>5.45</v>
      </c>
      <c r="AD271" s="157">
        <f>'Quantitativos (A)'!AB271*$D271*$E271</f>
        <v>5.45</v>
      </c>
      <c r="AE271" s="157">
        <f>'Quantitativos (A)'!AC271*$D271*$E271</f>
        <v>5.45</v>
      </c>
      <c r="AF271" s="157">
        <f>'Quantitativos (A)'!AD271*$D271*$E271</f>
        <v>5.45</v>
      </c>
      <c r="AG271" s="157">
        <f>'Quantitativos (A)'!AE271*$D271*$E271</f>
        <v>5.45</v>
      </c>
      <c r="AH271" s="157">
        <f>'Quantitativos (A)'!AF271*$D271*$E271</f>
        <v>5.45</v>
      </c>
      <c r="AI271" s="158">
        <f>'Quantitativos (A)'!AG271*$D271*$E271</f>
        <v>5.45</v>
      </c>
      <c r="AJ271" s="22"/>
    </row>
    <row r="272" spans="1:36" x14ac:dyDescent="0.25">
      <c r="A272" s="112"/>
      <c r="B272" s="120" t="s">
        <v>556</v>
      </c>
      <c r="C272" s="121"/>
      <c r="D272" s="155"/>
      <c r="E272" s="156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60"/>
      <c r="AJ272" s="22"/>
    </row>
    <row r="273" spans="1:36" x14ac:dyDescent="0.25">
      <c r="A273" s="112"/>
      <c r="B273" s="69" t="s">
        <v>266</v>
      </c>
      <c r="C273" s="133" t="s">
        <v>64</v>
      </c>
      <c r="D273" s="161">
        <f>'Dados (F)'!$D$220</f>
        <v>28.56</v>
      </c>
      <c r="E273" s="133">
        <f>IF('Dados (F)'!$D$35=1,1,'Dados (F)'!$C$39)</f>
        <v>1</v>
      </c>
      <c r="F273" s="157">
        <f>'Quantitativos (A)'!D273*$D273*$E273</f>
        <v>685.43999999999994</v>
      </c>
      <c r="G273" s="157">
        <f>'Quantitativos (A)'!E273*$D273*$E273</f>
        <v>685.43999999999994</v>
      </c>
      <c r="H273" s="157">
        <f>'Quantitativos (A)'!F273*$D273*$E273</f>
        <v>685.43999999999994</v>
      </c>
      <c r="I273" s="157">
        <f>'Quantitativos (A)'!G273*$D273*$E273</f>
        <v>685.43999999999994</v>
      </c>
      <c r="J273" s="157">
        <f>'Quantitativos (A)'!H273*$D273*$E273</f>
        <v>685.43999999999994</v>
      </c>
      <c r="K273" s="157">
        <f>'Quantitativos (A)'!I273*$D273*$E273</f>
        <v>685.43999999999994</v>
      </c>
      <c r="L273" s="157">
        <f>'Quantitativos (A)'!J273*$D273*$E273</f>
        <v>685.43999999999994</v>
      </c>
      <c r="M273" s="157">
        <f>'Quantitativos (A)'!K273*$D273*$E273</f>
        <v>685.43999999999994</v>
      </c>
      <c r="N273" s="157">
        <f>'Quantitativos (A)'!L273*$D273*$E273</f>
        <v>685.43999999999994</v>
      </c>
      <c r="O273" s="157">
        <f>'Quantitativos (A)'!M273*$D273*$E273</f>
        <v>685.43999999999994</v>
      </c>
      <c r="P273" s="157">
        <f>'Quantitativos (A)'!N273*$D273*$E273</f>
        <v>685.43999999999994</v>
      </c>
      <c r="Q273" s="157">
        <f>'Quantitativos (A)'!O273*$D273*$E273</f>
        <v>685.43999999999994</v>
      </c>
      <c r="R273" s="157">
        <f>'Quantitativos (A)'!P273*$D273*$E273</f>
        <v>685.43999999999994</v>
      </c>
      <c r="S273" s="157">
        <f>'Quantitativos (A)'!Q273*$D273*$E273</f>
        <v>685.43999999999994</v>
      </c>
      <c r="T273" s="157">
        <f>'Quantitativos (A)'!R273*$D273*$E273</f>
        <v>685.43999999999994</v>
      </c>
      <c r="U273" s="157">
        <f>'Quantitativos (A)'!S273*$D273*$E273</f>
        <v>685.43999999999994</v>
      </c>
      <c r="V273" s="157">
        <f>'Quantitativos (A)'!T273*$D273*$E273</f>
        <v>685.43999999999994</v>
      </c>
      <c r="W273" s="157">
        <f>'Quantitativos (A)'!U273*$D273*$E273</f>
        <v>685.43999999999994</v>
      </c>
      <c r="X273" s="157">
        <f>'Quantitativos (A)'!V273*$D273*$E273</f>
        <v>685.43999999999994</v>
      </c>
      <c r="Y273" s="157">
        <f>'Quantitativos (A)'!W273*$D273*$E273</f>
        <v>685.43999999999994</v>
      </c>
      <c r="Z273" s="157">
        <f>'Quantitativos (A)'!X273*$D273*$E273</f>
        <v>685.43999999999994</v>
      </c>
      <c r="AA273" s="157">
        <f>'Quantitativos (A)'!Y273*$D273*$E273</f>
        <v>685.43999999999994</v>
      </c>
      <c r="AB273" s="157">
        <f>'Quantitativos (A)'!Z273*$D273*$E273</f>
        <v>685.43999999999994</v>
      </c>
      <c r="AC273" s="157">
        <f>'Quantitativos (A)'!AA273*$D273*$E273</f>
        <v>685.43999999999994</v>
      </c>
      <c r="AD273" s="157">
        <f>'Quantitativos (A)'!AB273*$D273*$E273</f>
        <v>685.43999999999994</v>
      </c>
      <c r="AE273" s="157">
        <f>'Quantitativos (A)'!AC273*$D273*$E273</f>
        <v>685.43999999999994</v>
      </c>
      <c r="AF273" s="157">
        <f>'Quantitativos (A)'!AD273*$D273*$E273</f>
        <v>685.43999999999994</v>
      </c>
      <c r="AG273" s="157">
        <f>'Quantitativos (A)'!AE273*$D273*$E273</f>
        <v>685.43999999999994</v>
      </c>
      <c r="AH273" s="157">
        <f>'Quantitativos (A)'!AF273*$D273*$E273</f>
        <v>685.43999999999994</v>
      </c>
      <c r="AI273" s="158">
        <f>'Quantitativos (A)'!AG273*$D273*$E273</f>
        <v>685.43999999999994</v>
      </c>
      <c r="AJ273" s="22"/>
    </row>
    <row r="274" spans="1:36" x14ac:dyDescent="0.25">
      <c r="A274" s="112"/>
      <c r="B274" s="120" t="s">
        <v>557</v>
      </c>
      <c r="C274" s="121"/>
      <c r="D274" s="155"/>
      <c r="E274" s="156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60"/>
      <c r="AJ274" s="22"/>
    </row>
    <row r="275" spans="1:36" x14ac:dyDescent="0.25">
      <c r="A275" s="112"/>
      <c r="B275" s="69" t="s">
        <v>267</v>
      </c>
      <c r="C275" s="133" t="s">
        <v>64</v>
      </c>
      <c r="D275" s="161">
        <f>'Dados (F)'!$D$221</f>
        <v>2.7</v>
      </c>
      <c r="E275" s="133">
        <f>IF('Dados (F)'!$D$35=1,1,'Dados (F)'!$C$39)</f>
        <v>1</v>
      </c>
      <c r="F275" s="157">
        <f>'Quantitativos (A)'!D275*$D275*$E275</f>
        <v>189</v>
      </c>
      <c r="G275" s="157">
        <f>'Quantitativos (A)'!E275*$D275*$E275</f>
        <v>189</v>
      </c>
      <c r="H275" s="157">
        <f>'Quantitativos (A)'!F275*$D275*$E275</f>
        <v>189</v>
      </c>
      <c r="I275" s="157">
        <f>'Quantitativos (A)'!G275*$D275*$E275</f>
        <v>189</v>
      </c>
      <c r="J275" s="157">
        <f>'Quantitativos (A)'!H275*$D275*$E275</f>
        <v>189</v>
      </c>
      <c r="K275" s="157">
        <f>'Quantitativos (A)'!I275*$D275*$E275</f>
        <v>189</v>
      </c>
      <c r="L275" s="157">
        <f>'Quantitativos (A)'!J275*$D275*$E275</f>
        <v>189</v>
      </c>
      <c r="M275" s="157">
        <f>'Quantitativos (A)'!K275*$D275*$E275</f>
        <v>189</v>
      </c>
      <c r="N275" s="157">
        <f>'Quantitativos (A)'!L275*$D275*$E275</f>
        <v>189</v>
      </c>
      <c r="O275" s="157">
        <f>'Quantitativos (A)'!M275*$D275*$E275</f>
        <v>189</v>
      </c>
      <c r="P275" s="157">
        <f>'Quantitativos (A)'!N275*$D275*$E275</f>
        <v>189</v>
      </c>
      <c r="Q275" s="157">
        <f>'Quantitativos (A)'!O275*$D275*$E275</f>
        <v>189</v>
      </c>
      <c r="R275" s="157">
        <f>'Quantitativos (A)'!P275*$D275*$E275</f>
        <v>189</v>
      </c>
      <c r="S275" s="157">
        <f>'Quantitativos (A)'!Q275*$D275*$E275</f>
        <v>189</v>
      </c>
      <c r="T275" s="157">
        <f>'Quantitativos (A)'!R275*$D275*$E275</f>
        <v>189</v>
      </c>
      <c r="U275" s="157">
        <f>'Quantitativos (A)'!S275*$D275*$E275</f>
        <v>189</v>
      </c>
      <c r="V275" s="157">
        <f>'Quantitativos (A)'!T275*$D275*$E275</f>
        <v>189</v>
      </c>
      <c r="W275" s="157">
        <f>'Quantitativos (A)'!U275*$D275*$E275</f>
        <v>189</v>
      </c>
      <c r="X275" s="157">
        <f>'Quantitativos (A)'!V275*$D275*$E275</f>
        <v>189</v>
      </c>
      <c r="Y275" s="157">
        <f>'Quantitativos (A)'!W275*$D275*$E275</f>
        <v>189</v>
      </c>
      <c r="Z275" s="157">
        <f>'Quantitativos (A)'!X275*$D275*$E275</f>
        <v>162</v>
      </c>
      <c r="AA275" s="157">
        <f>'Quantitativos (A)'!Y275*$D275*$E275</f>
        <v>162</v>
      </c>
      <c r="AB275" s="157">
        <f>'Quantitativos (A)'!Z275*$D275*$E275</f>
        <v>162</v>
      </c>
      <c r="AC275" s="157">
        <f>'Quantitativos (A)'!AA275*$D275*$E275</f>
        <v>162</v>
      </c>
      <c r="AD275" s="157">
        <f>'Quantitativos (A)'!AB275*$D275*$E275</f>
        <v>162</v>
      </c>
      <c r="AE275" s="157">
        <f>'Quantitativos (A)'!AC275*$D275*$E275</f>
        <v>162</v>
      </c>
      <c r="AF275" s="157">
        <f>'Quantitativos (A)'!AD275*$D275*$E275</f>
        <v>162</v>
      </c>
      <c r="AG275" s="157">
        <f>'Quantitativos (A)'!AE275*$D275*$E275</f>
        <v>162</v>
      </c>
      <c r="AH275" s="157">
        <f>'Quantitativos (A)'!AF275*$D275*$E275</f>
        <v>162</v>
      </c>
      <c r="AI275" s="158">
        <f>'Quantitativos (A)'!AG275*$D275*$E275</f>
        <v>162</v>
      </c>
      <c r="AJ275" s="22"/>
    </row>
    <row r="276" spans="1:36" x14ac:dyDescent="0.25">
      <c r="A276" s="112"/>
      <c r="B276" s="120" t="s">
        <v>558</v>
      </c>
      <c r="C276" s="121"/>
      <c r="D276" s="155"/>
      <c r="E276" s="156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60"/>
      <c r="AJ276" s="22"/>
    </row>
    <row r="277" spans="1:36" x14ac:dyDescent="0.25">
      <c r="A277" s="112"/>
      <c r="B277" s="69" t="s">
        <v>268</v>
      </c>
      <c r="C277" s="133" t="s">
        <v>59</v>
      </c>
      <c r="D277" s="161">
        <f>'Dados (F)'!$D$222</f>
        <v>247.55</v>
      </c>
      <c r="E277" s="133">
        <f>IF('Dados (F)'!$D$35=1,1,'Dados (F)'!$C$39)</f>
        <v>1</v>
      </c>
      <c r="F277" s="157">
        <f>'Quantitativos (A)'!D277*$D277*$E277</f>
        <v>495.1</v>
      </c>
      <c r="G277" s="157">
        <f>'Quantitativos (A)'!E277*$D277*$E277</f>
        <v>495.1</v>
      </c>
      <c r="H277" s="157">
        <f>'Quantitativos (A)'!F277*$D277*$E277</f>
        <v>495.1</v>
      </c>
      <c r="I277" s="157">
        <f>'Quantitativos (A)'!G277*$D277*$E277</f>
        <v>495.1</v>
      </c>
      <c r="J277" s="157">
        <f>'Quantitativos (A)'!H277*$D277*$E277</f>
        <v>495.1</v>
      </c>
      <c r="K277" s="157">
        <f>'Quantitativos (A)'!I277*$D277*$E277</f>
        <v>495.1</v>
      </c>
      <c r="L277" s="157">
        <f>'Quantitativos (A)'!J277*$D277*$E277</f>
        <v>495.1</v>
      </c>
      <c r="M277" s="157">
        <f>'Quantitativos (A)'!K277*$D277*$E277</f>
        <v>495.1</v>
      </c>
      <c r="N277" s="157">
        <f>'Quantitativos (A)'!L277*$D277*$E277</f>
        <v>495.1</v>
      </c>
      <c r="O277" s="157">
        <f>'Quantitativos (A)'!M277*$D277*$E277</f>
        <v>495.1</v>
      </c>
      <c r="P277" s="157">
        <f>'Quantitativos (A)'!N277*$D277*$E277</f>
        <v>495.1</v>
      </c>
      <c r="Q277" s="157">
        <f>'Quantitativos (A)'!O277*$D277*$E277</f>
        <v>495.1</v>
      </c>
      <c r="R277" s="157">
        <f>'Quantitativos (A)'!P277*$D277*$E277</f>
        <v>495.1</v>
      </c>
      <c r="S277" s="157">
        <f>'Quantitativos (A)'!Q277*$D277*$E277</f>
        <v>495.1</v>
      </c>
      <c r="T277" s="157">
        <f>'Quantitativos (A)'!R277*$D277*$E277</f>
        <v>495.1</v>
      </c>
      <c r="U277" s="157">
        <f>'Quantitativos (A)'!S277*$D277*$E277</f>
        <v>495.1</v>
      </c>
      <c r="V277" s="157">
        <f>'Quantitativos (A)'!T277*$D277*$E277</f>
        <v>495.1</v>
      </c>
      <c r="W277" s="157">
        <f>'Quantitativos (A)'!U277*$D277*$E277</f>
        <v>495.1</v>
      </c>
      <c r="X277" s="157">
        <f>'Quantitativos (A)'!V277*$D277*$E277</f>
        <v>495.1</v>
      </c>
      <c r="Y277" s="157">
        <f>'Quantitativos (A)'!W277*$D277*$E277</f>
        <v>495.1</v>
      </c>
      <c r="Z277" s="157">
        <f>'Quantitativos (A)'!X277*$D277*$E277</f>
        <v>247.55</v>
      </c>
      <c r="AA277" s="157">
        <f>'Quantitativos (A)'!Y277*$D277*$E277</f>
        <v>247.55</v>
      </c>
      <c r="AB277" s="157">
        <f>'Quantitativos (A)'!Z277*$D277*$E277</f>
        <v>247.55</v>
      </c>
      <c r="AC277" s="157">
        <f>'Quantitativos (A)'!AA277*$D277*$E277</f>
        <v>247.55</v>
      </c>
      <c r="AD277" s="157">
        <f>'Quantitativos (A)'!AB277*$D277*$E277</f>
        <v>247.55</v>
      </c>
      <c r="AE277" s="157">
        <f>'Quantitativos (A)'!AC277*$D277*$E277</f>
        <v>247.55</v>
      </c>
      <c r="AF277" s="157">
        <f>'Quantitativos (A)'!AD277*$D277*$E277</f>
        <v>247.55</v>
      </c>
      <c r="AG277" s="157">
        <f>'Quantitativos (A)'!AE277*$D277*$E277</f>
        <v>247.55</v>
      </c>
      <c r="AH277" s="157">
        <f>'Quantitativos (A)'!AF277*$D277*$E277</f>
        <v>247.55</v>
      </c>
      <c r="AI277" s="158">
        <f>'Quantitativos (A)'!AG277*$D277*$E277</f>
        <v>247.55</v>
      </c>
      <c r="AJ277" s="22"/>
    </row>
    <row r="278" spans="1:36" x14ac:dyDescent="0.25">
      <c r="A278" s="112"/>
      <c r="B278" s="69" t="s">
        <v>269</v>
      </c>
      <c r="C278" s="133" t="s">
        <v>59</v>
      </c>
      <c r="D278" s="161">
        <f>'Dados (F)'!$D$223</f>
        <v>342.04</v>
      </c>
      <c r="E278" s="133">
        <f>IF('Dados (F)'!$D$35=1,1,'Dados (F)'!$C$39)</f>
        <v>1</v>
      </c>
      <c r="F278" s="157">
        <f>'Quantitativos (A)'!D278*$D278*$E278</f>
        <v>684.08</v>
      </c>
      <c r="G278" s="157">
        <f>'Quantitativos (A)'!E278*$D278*$E278</f>
        <v>684.08</v>
      </c>
      <c r="H278" s="157">
        <f>'Quantitativos (A)'!F278*$D278*$E278</f>
        <v>684.08</v>
      </c>
      <c r="I278" s="157">
        <f>'Quantitativos (A)'!G278*$D278*$E278</f>
        <v>684.08</v>
      </c>
      <c r="J278" s="157">
        <f>'Quantitativos (A)'!H278*$D278*$E278</f>
        <v>684.08</v>
      </c>
      <c r="K278" s="157">
        <f>'Quantitativos (A)'!I278*$D278*$E278</f>
        <v>684.08</v>
      </c>
      <c r="L278" s="157">
        <f>'Quantitativos (A)'!J278*$D278*$E278</f>
        <v>684.08</v>
      </c>
      <c r="M278" s="157">
        <f>'Quantitativos (A)'!K278*$D278*$E278</f>
        <v>684.08</v>
      </c>
      <c r="N278" s="157">
        <f>'Quantitativos (A)'!L278*$D278*$E278</f>
        <v>684.08</v>
      </c>
      <c r="O278" s="157">
        <f>'Quantitativos (A)'!M278*$D278*$E278</f>
        <v>684.08</v>
      </c>
      <c r="P278" s="157">
        <f>'Quantitativos (A)'!N278*$D278*$E278</f>
        <v>2052.2400000000002</v>
      </c>
      <c r="Q278" s="157">
        <f>'Quantitativos (A)'!O278*$D278*$E278</f>
        <v>2052.2400000000002</v>
      </c>
      <c r="R278" s="157">
        <f>'Quantitativos (A)'!P278*$D278*$E278</f>
        <v>2052.2400000000002</v>
      </c>
      <c r="S278" s="157">
        <f>'Quantitativos (A)'!Q278*$D278*$E278</f>
        <v>2052.2400000000002</v>
      </c>
      <c r="T278" s="157">
        <f>'Quantitativos (A)'!R278*$D278*$E278</f>
        <v>2052.2400000000002</v>
      </c>
      <c r="U278" s="157">
        <f>'Quantitativos (A)'!S278*$D278*$E278</f>
        <v>2052.2400000000002</v>
      </c>
      <c r="V278" s="157">
        <f>'Quantitativos (A)'!T278*$D278*$E278</f>
        <v>2052.2400000000002</v>
      </c>
      <c r="W278" s="157">
        <f>'Quantitativos (A)'!U278*$D278*$E278</f>
        <v>2052.2400000000002</v>
      </c>
      <c r="X278" s="157">
        <f>'Quantitativos (A)'!V278*$D278*$E278</f>
        <v>2052.2400000000002</v>
      </c>
      <c r="Y278" s="157">
        <f>'Quantitativos (A)'!W278*$D278*$E278</f>
        <v>2052.2400000000002</v>
      </c>
      <c r="Z278" s="157">
        <f>'Quantitativos (A)'!X278*$D278*$E278</f>
        <v>1026.1200000000001</v>
      </c>
      <c r="AA278" s="157">
        <f>'Quantitativos (A)'!Y278*$D278*$E278</f>
        <v>1026.1200000000001</v>
      </c>
      <c r="AB278" s="157">
        <f>'Quantitativos (A)'!Z278*$D278*$E278</f>
        <v>1026.1200000000001</v>
      </c>
      <c r="AC278" s="157">
        <f>'Quantitativos (A)'!AA278*$D278*$E278</f>
        <v>1026.1200000000001</v>
      </c>
      <c r="AD278" s="157">
        <f>'Quantitativos (A)'!AB278*$D278*$E278</f>
        <v>1026.1200000000001</v>
      </c>
      <c r="AE278" s="157">
        <f>'Quantitativos (A)'!AC278*$D278*$E278</f>
        <v>1026.1200000000001</v>
      </c>
      <c r="AF278" s="157">
        <f>'Quantitativos (A)'!AD278*$D278*$E278</f>
        <v>1026.1200000000001</v>
      </c>
      <c r="AG278" s="157">
        <f>'Quantitativos (A)'!AE278*$D278*$E278</f>
        <v>1026.1200000000001</v>
      </c>
      <c r="AH278" s="157">
        <f>'Quantitativos (A)'!AF278*$D278*$E278</f>
        <v>1026.1200000000001</v>
      </c>
      <c r="AI278" s="158">
        <f>'Quantitativos (A)'!AG278*$D278*$E278</f>
        <v>1026.1200000000001</v>
      </c>
      <c r="AJ278" s="22"/>
    </row>
    <row r="279" spans="1:36" x14ac:dyDescent="0.25">
      <c r="A279" s="112"/>
      <c r="B279" s="69" t="s">
        <v>270</v>
      </c>
      <c r="C279" s="133" t="s">
        <v>59</v>
      </c>
      <c r="D279" s="161">
        <f>'Dados (F)'!$D$224</f>
        <v>612.70000000000005</v>
      </c>
      <c r="E279" s="133">
        <f>IF('Dados (F)'!$D$35=1,1,'Dados (F)'!$C$39)</f>
        <v>1</v>
      </c>
      <c r="F279" s="157">
        <f>'Quantitativos (A)'!D279*$D279*$E279</f>
        <v>1838.1000000000001</v>
      </c>
      <c r="G279" s="157">
        <f>'Quantitativos (A)'!E279*$D279*$E279</f>
        <v>1838.1000000000001</v>
      </c>
      <c r="H279" s="157">
        <f>'Quantitativos (A)'!F279*$D279*$E279</f>
        <v>1838.1000000000001</v>
      </c>
      <c r="I279" s="157">
        <f>'Quantitativos (A)'!G279*$D279*$E279</f>
        <v>1838.1000000000001</v>
      </c>
      <c r="J279" s="157">
        <f>'Quantitativos (A)'!H279*$D279*$E279</f>
        <v>1838.1000000000001</v>
      </c>
      <c r="K279" s="157">
        <f>'Quantitativos (A)'!I279*$D279*$E279</f>
        <v>1838.1000000000001</v>
      </c>
      <c r="L279" s="157">
        <f>'Quantitativos (A)'!J279*$D279*$E279</f>
        <v>1838.1000000000001</v>
      </c>
      <c r="M279" s="157">
        <f>'Quantitativos (A)'!K279*$D279*$E279</f>
        <v>1838.1000000000001</v>
      </c>
      <c r="N279" s="157">
        <f>'Quantitativos (A)'!L279*$D279*$E279</f>
        <v>1838.1000000000001</v>
      </c>
      <c r="O279" s="157">
        <f>'Quantitativos (A)'!M279*$D279*$E279</f>
        <v>1838.1000000000001</v>
      </c>
      <c r="P279" s="157">
        <f>'Quantitativos (A)'!N279*$D279*$E279</f>
        <v>3676.2000000000003</v>
      </c>
      <c r="Q279" s="157">
        <f>'Quantitativos (A)'!O279*$D279*$E279</f>
        <v>3676.2000000000003</v>
      </c>
      <c r="R279" s="157">
        <f>'Quantitativos (A)'!P279*$D279*$E279</f>
        <v>3676.2000000000003</v>
      </c>
      <c r="S279" s="157">
        <f>'Quantitativos (A)'!Q279*$D279*$E279</f>
        <v>3676.2000000000003</v>
      </c>
      <c r="T279" s="157">
        <f>'Quantitativos (A)'!R279*$D279*$E279</f>
        <v>3676.2000000000003</v>
      </c>
      <c r="U279" s="157">
        <f>'Quantitativos (A)'!S279*$D279*$E279</f>
        <v>3676.2000000000003</v>
      </c>
      <c r="V279" s="157">
        <f>'Quantitativos (A)'!T279*$D279*$E279</f>
        <v>3676.2000000000003</v>
      </c>
      <c r="W279" s="157">
        <f>'Quantitativos (A)'!U279*$D279*$E279</f>
        <v>3676.2000000000003</v>
      </c>
      <c r="X279" s="157">
        <f>'Quantitativos (A)'!V279*$D279*$E279</f>
        <v>3676.2000000000003</v>
      </c>
      <c r="Y279" s="157">
        <f>'Quantitativos (A)'!W279*$D279*$E279</f>
        <v>3676.2000000000003</v>
      </c>
      <c r="Z279" s="157">
        <f>'Quantitativos (A)'!X279*$D279*$E279</f>
        <v>1225.4000000000001</v>
      </c>
      <c r="AA279" s="157">
        <f>'Quantitativos (A)'!Y279*$D279*$E279</f>
        <v>1225.4000000000001</v>
      </c>
      <c r="AB279" s="157">
        <f>'Quantitativos (A)'!Z279*$D279*$E279</f>
        <v>1225.4000000000001</v>
      </c>
      <c r="AC279" s="157">
        <f>'Quantitativos (A)'!AA279*$D279*$E279</f>
        <v>1225.4000000000001</v>
      </c>
      <c r="AD279" s="157">
        <f>'Quantitativos (A)'!AB279*$D279*$E279</f>
        <v>1225.4000000000001</v>
      </c>
      <c r="AE279" s="157">
        <f>'Quantitativos (A)'!AC279*$D279*$E279</f>
        <v>1225.4000000000001</v>
      </c>
      <c r="AF279" s="157">
        <f>'Quantitativos (A)'!AD279*$D279*$E279</f>
        <v>1225.4000000000001</v>
      </c>
      <c r="AG279" s="157">
        <f>'Quantitativos (A)'!AE279*$D279*$E279</f>
        <v>1225.4000000000001</v>
      </c>
      <c r="AH279" s="157">
        <f>'Quantitativos (A)'!AF279*$D279*$E279</f>
        <v>1225.4000000000001</v>
      </c>
      <c r="AI279" s="158">
        <f>'Quantitativos (A)'!AG279*$D279*$E279</f>
        <v>1225.4000000000001</v>
      </c>
      <c r="AJ279" s="22"/>
    </row>
    <row r="280" spans="1:36" x14ac:dyDescent="0.25">
      <c r="A280" s="112"/>
      <c r="B280" s="69" t="s">
        <v>271</v>
      </c>
      <c r="C280" s="133" t="s">
        <v>59</v>
      </c>
      <c r="D280" s="161">
        <f>'Dados (F)'!$D$225</f>
        <v>986.11</v>
      </c>
      <c r="E280" s="133">
        <f>IF('Dados (F)'!$D$35=1,1,'Dados (F)'!$C$39)</f>
        <v>1</v>
      </c>
      <c r="F280" s="157">
        <f>'Quantitativos (A)'!D280*$D280*$E280</f>
        <v>0</v>
      </c>
      <c r="G280" s="157">
        <f>'Quantitativos (A)'!E280*$D280*$E280</f>
        <v>0</v>
      </c>
      <c r="H280" s="157">
        <f>'Quantitativos (A)'!F280*$D280*$E280</f>
        <v>0</v>
      </c>
      <c r="I280" s="157">
        <f>'Quantitativos (A)'!G280*$D280*$E280</f>
        <v>0</v>
      </c>
      <c r="J280" s="157">
        <f>'Quantitativos (A)'!H280*$D280*$E280</f>
        <v>0</v>
      </c>
      <c r="K280" s="157">
        <f>'Quantitativos (A)'!I280*$D280*$E280</f>
        <v>0</v>
      </c>
      <c r="L280" s="157">
        <f>'Quantitativos (A)'!J280*$D280*$E280</f>
        <v>0</v>
      </c>
      <c r="M280" s="157">
        <f>'Quantitativos (A)'!K280*$D280*$E280</f>
        <v>0</v>
      </c>
      <c r="N280" s="157">
        <f>'Quantitativos (A)'!L280*$D280*$E280</f>
        <v>0</v>
      </c>
      <c r="O280" s="157">
        <f>'Quantitativos (A)'!M280*$D280*$E280</f>
        <v>0</v>
      </c>
      <c r="P280" s="157">
        <f>'Quantitativos (A)'!N280*$D280*$E280</f>
        <v>0</v>
      </c>
      <c r="Q280" s="157">
        <f>'Quantitativos (A)'!O280*$D280*$E280</f>
        <v>0</v>
      </c>
      <c r="R280" s="157">
        <f>'Quantitativos (A)'!P280*$D280*$E280</f>
        <v>0</v>
      </c>
      <c r="S280" s="157">
        <f>'Quantitativos (A)'!Q280*$D280*$E280</f>
        <v>0</v>
      </c>
      <c r="T280" s="157">
        <f>'Quantitativos (A)'!R280*$D280*$E280</f>
        <v>0</v>
      </c>
      <c r="U280" s="157">
        <f>'Quantitativos (A)'!S280*$D280*$E280</f>
        <v>0</v>
      </c>
      <c r="V280" s="157">
        <f>'Quantitativos (A)'!T280*$D280*$E280</f>
        <v>0</v>
      </c>
      <c r="W280" s="157">
        <f>'Quantitativos (A)'!U280*$D280*$E280</f>
        <v>0</v>
      </c>
      <c r="X280" s="157">
        <f>'Quantitativos (A)'!V280*$D280*$E280</f>
        <v>0</v>
      </c>
      <c r="Y280" s="157">
        <f>'Quantitativos (A)'!W280*$D280*$E280</f>
        <v>0</v>
      </c>
      <c r="Z280" s="157">
        <f>'Quantitativos (A)'!X280*$D280*$E280</f>
        <v>0</v>
      </c>
      <c r="AA280" s="157">
        <f>'Quantitativos (A)'!Y280*$D280*$E280</f>
        <v>0</v>
      </c>
      <c r="AB280" s="157">
        <f>'Quantitativos (A)'!Z280*$D280*$E280</f>
        <v>0</v>
      </c>
      <c r="AC280" s="157">
        <f>'Quantitativos (A)'!AA280*$D280*$E280</f>
        <v>0</v>
      </c>
      <c r="AD280" s="157">
        <f>'Quantitativos (A)'!AB280*$D280*$E280</f>
        <v>0</v>
      </c>
      <c r="AE280" s="157">
        <f>'Quantitativos (A)'!AC280*$D280*$E280</f>
        <v>0</v>
      </c>
      <c r="AF280" s="157">
        <f>'Quantitativos (A)'!AD280*$D280*$E280</f>
        <v>0</v>
      </c>
      <c r="AG280" s="157">
        <f>'Quantitativos (A)'!AE280*$D280*$E280</f>
        <v>0</v>
      </c>
      <c r="AH280" s="157">
        <f>'Quantitativos (A)'!AF280*$D280*$E280</f>
        <v>0</v>
      </c>
      <c r="AI280" s="158">
        <f>'Quantitativos (A)'!AG280*$D280*$E280</f>
        <v>0</v>
      </c>
      <c r="AJ280" s="22"/>
    </row>
    <row r="281" spans="1:36" x14ac:dyDescent="0.25">
      <c r="A281" s="112"/>
      <c r="B281" s="69" t="s">
        <v>272</v>
      </c>
      <c r="C281" s="133" t="s">
        <v>59</v>
      </c>
      <c r="D281" s="161">
        <f>'Dados (F)'!$D$226</f>
        <v>1379.77</v>
      </c>
      <c r="E281" s="133">
        <f>IF('Dados (F)'!$D$35=1,1,'Dados (F)'!$C$39)</f>
        <v>1</v>
      </c>
      <c r="F281" s="157">
        <f>'Quantitativos (A)'!D281*$D281*$E281</f>
        <v>0</v>
      </c>
      <c r="G281" s="157">
        <f>'Quantitativos (A)'!E281*$D281*$E281</f>
        <v>0</v>
      </c>
      <c r="H281" s="157">
        <f>'Quantitativos (A)'!F281*$D281*$E281</f>
        <v>0</v>
      </c>
      <c r="I281" s="157">
        <f>'Quantitativos (A)'!G281*$D281*$E281</f>
        <v>0</v>
      </c>
      <c r="J281" s="157">
        <f>'Quantitativos (A)'!H281*$D281*$E281</f>
        <v>0</v>
      </c>
      <c r="K281" s="157">
        <f>'Quantitativos (A)'!I281*$D281*$E281</f>
        <v>0</v>
      </c>
      <c r="L281" s="157">
        <f>'Quantitativos (A)'!J281*$D281*$E281</f>
        <v>0</v>
      </c>
      <c r="M281" s="157">
        <f>'Quantitativos (A)'!K281*$D281*$E281</f>
        <v>0</v>
      </c>
      <c r="N281" s="157">
        <f>'Quantitativos (A)'!L281*$D281*$E281</f>
        <v>0</v>
      </c>
      <c r="O281" s="157">
        <f>'Quantitativos (A)'!M281*$D281*$E281</f>
        <v>0</v>
      </c>
      <c r="P281" s="157">
        <f>'Quantitativos (A)'!N281*$D281*$E281</f>
        <v>0</v>
      </c>
      <c r="Q281" s="157">
        <f>'Quantitativos (A)'!O281*$D281*$E281</f>
        <v>0</v>
      </c>
      <c r="R281" s="157">
        <f>'Quantitativos (A)'!P281*$D281*$E281</f>
        <v>0</v>
      </c>
      <c r="S281" s="157">
        <f>'Quantitativos (A)'!Q281*$D281*$E281</f>
        <v>0</v>
      </c>
      <c r="T281" s="157">
        <f>'Quantitativos (A)'!R281*$D281*$E281</f>
        <v>0</v>
      </c>
      <c r="U281" s="157">
        <f>'Quantitativos (A)'!S281*$D281*$E281</f>
        <v>0</v>
      </c>
      <c r="V281" s="157">
        <f>'Quantitativos (A)'!T281*$D281*$E281</f>
        <v>0</v>
      </c>
      <c r="W281" s="157">
        <f>'Quantitativos (A)'!U281*$D281*$E281</f>
        <v>0</v>
      </c>
      <c r="X281" s="157">
        <f>'Quantitativos (A)'!V281*$D281*$E281</f>
        <v>0</v>
      </c>
      <c r="Y281" s="157">
        <f>'Quantitativos (A)'!W281*$D281*$E281</f>
        <v>0</v>
      </c>
      <c r="Z281" s="157">
        <f>'Quantitativos (A)'!X281*$D281*$E281</f>
        <v>0</v>
      </c>
      <c r="AA281" s="157">
        <f>'Quantitativos (A)'!Y281*$D281*$E281</f>
        <v>0</v>
      </c>
      <c r="AB281" s="157">
        <f>'Quantitativos (A)'!Z281*$D281*$E281</f>
        <v>0</v>
      </c>
      <c r="AC281" s="157">
        <f>'Quantitativos (A)'!AA281*$D281*$E281</f>
        <v>0</v>
      </c>
      <c r="AD281" s="157">
        <f>'Quantitativos (A)'!AB281*$D281*$E281</f>
        <v>0</v>
      </c>
      <c r="AE281" s="157">
        <f>'Quantitativos (A)'!AC281*$D281*$E281</f>
        <v>0</v>
      </c>
      <c r="AF281" s="157">
        <f>'Quantitativos (A)'!AD281*$D281*$E281</f>
        <v>0</v>
      </c>
      <c r="AG281" s="157">
        <f>'Quantitativos (A)'!AE281*$D281*$E281</f>
        <v>0</v>
      </c>
      <c r="AH281" s="157">
        <f>'Quantitativos (A)'!AF281*$D281*$E281</f>
        <v>0</v>
      </c>
      <c r="AI281" s="158">
        <f>'Quantitativos (A)'!AG281*$D281*$E281</f>
        <v>0</v>
      </c>
      <c r="AJ281" s="22"/>
    </row>
    <row r="282" spans="1:36" x14ac:dyDescent="0.25">
      <c r="A282" s="112"/>
      <c r="B282" s="120" t="s">
        <v>559</v>
      </c>
      <c r="C282" s="121"/>
      <c r="D282" s="155"/>
      <c r="E282" s="156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60"/>
      <c r="AJ282" s="22"/>
    </row>
    <row r="283" spans="1:36" x14ac:dyDescent="0.25">
      <c r="A283" s="112"/>
      <c r="B283" s="69" t="s">
        <v>278</v>
      </c>
      <c r="C283" s="133" t="s">
        <v>59</v>
      </c>
      <c r="D283" s="161">
        <f>'Dados (F)'!$D$229</f>
        <v>86.13</v>
      </c>
      <c r="E283" s="133">
        <f>IF('Dados (F)'!$D$35=1,1,'Dados (F)'!$C$39)</f>
        <v>1</v>
      </c>
      <c r="F283" s="157">
        <f>'Quantitativos (A)'!D283*$D283*$E283</f>
        <v>86.13</v>
      </c>
      <c r="G283" s="157">
        <f>'Quantitativos (A)'!E283*$D283*$E283</f>
        <v>86.13</v>
      </c>
      <c r="H283" s="157">
        <f>'Quantitativos (A)'!F283*$D283*$E283</f>
        <v>86.13</v>
      </c>
      <c r="I283" s="157">
        <f>'Quantitativos (A)'!G283*$D283*$E283</f>
        <v>86.13</v>
      </c>
      <c r="J283" s="157">
        <f>'Quantitativos (A)'!H283*$D283*$E283</f>
        <v>86.13</v>
      </c>
      <c r="K283" s="157">
        <f>'Quantitativos (A)'!I283*$D283*$E283</f>
        <v>86.13</v>
      </c>
      <c r="L283" s="157">
        <f>'Quantitativos (A)'!J283*$D283*$E283</f>
        <v>86.13</v>
      </c>
      <c r="M283" s="157">
        <f>'Quantitativos (A)'!K283*$D283*$E283</f>
        <v>86.13</v>
      </c>
      <c r="N283" s="157">
        <f>'Quantitativos (A)'!L283*$D283*$E283</f>
        <v>86.13</v>
      </c>
      <c r="O283" s="157">
        <f>'Quantitativos (A)'!M283*$D283*$E283</f>
        <v>86.13</v>
      </c>
      <c r="P283" s="157">
        <f>'Quantitativos (A)'!N283*$D283*$E283</f>
        <v>86.13</v>
      </c>
      <c r="Q283" s="157">
        <f>'Quantitativos (A)'!O283*$D283*$E283</f>
        <v>86.13</v>
      </c>
      <c r="R283" s="157">
        <f>'Quantitativos (A)'!P283*$D283*$E283</f>
        <v>86.13</v>
      </c>
      <c r="S283" s="157">
        <f>'Quantitativos (A)'!Q283*$D283*$E283</f>
        <v>86.13</v>
      </c>
      <c r="T283" s="157">
        <f>'Quantitativos (A)'!R283*$D283*$E283</f>
        <v>86.13</v>
      </c>
      <c r="U283" s="157">
        <f>'Quantitativos (A)'!S283*$D283*$E283</f>
        <v>86.13</v>
      </c>
      <c r="V283" s="157">
        <f>'Quantitativos (A)'!T283*$D283*$E283</f>
        <v>86.13</v>
      </c>
      <c r="W283" s="157">
        <f>'Quantitativos (A)'!U283*$D283*$E283</f>
        <v>86.13</v>
      </c>
      <c r="X283" s="157">
        <f>'Quantitativos (A)'!V283*$D283*$E283</f>
        <v>86.13</v>
      </c>
      <c r="Y283" s="157">
        <f>'Quantitativos (A)'!W283*$D283*$E283</f>
        <v>86.13</v>
      </c>
      <c r="Z283" s="157">
        <f>'Quantitativos (A)'!X283*$D283*$E283</f>
        <v>86.13</v>
      </c>
      <c r="AA283" s="157">
        <f>'Quantitativos (A)'!Y283*$D283*$E283</f>
        <v>86.13</v>
      </c>
      <c r="AB283" s="157">
        <f>'Quantitativos (A)'!Z283*$D283*$E283</f>
        <v>86.13</v>
      </c>
      <c r="AC283" s="157">
        <f>'Quantitativos (A)'!AA283*$D283*$E283</f>
        <v>86.13</v>
      </c>
      <c r="AD283" s="157">
        <f>'Quantitativos (A)'!AB283*$D283*$E283</f>
        <v>86.13</v>
      </c>
      <c r="AE283" s="157">
        <f>'Quantitativos (A)'!AC283*$D283*$E283</f>
        <v>86.13</v>
      </c>
      <c r="AF283" s="157">
        <f>'Quantitativos (A)'!AD283*$D283*$E283</f>
        <v>86.13</v>
      </c>
      <c r="AG283" s="157">
        <f>'Quantitativos (A)'!AE283*$D283*$E283</f>
        <v>86.13</v>
      </c>
      <c r="AH283" s="157">
        <f>'Quantitativos (A)'!AF283*$D283*$E283</f>
        <v>86.13</v>
      </c>
      <c r="AI283" s="158">
        <f>'Quantitativos (A)'!AG283*$D283*$E283</f>
        <v>86.13</v>
      </c>
      <c r="AJ283" s="22"/>
    </row>
    <row r="284" spans="1:36" x14ac:dyDescent="0.25">
      <c r="A284" s="112"/>
      <c r="B284" s="69" t="s">
        <v>280</v>
      </c>
      <c r="C284" s="133" t="s">
        <v>59</v>
      </c>
      <c r="D284" s="161">
        <f>'Dados (F)'!$D$231</f>
        <v>517.41</v>
      </c>
      <c r="E284" s="133">
        <f>IF('Dados (F)'!$D$35=1,1,'Dados (F)'!$C$39)</f>
        <v>1</v>
      </c>
      <c r="F284" s="157">
        <f>'Quantitativos (A)'!D284*$D284*$E284</f>
        <v>517.41</v>
      </c>
      <c r="G284" s="157">
        <f>'Quantitativos (A)'!E284*$D284*$E284</f>
        <v>517.41</v>
      </c>
      <c r="H284" s="157">
        <f>'Quantitativos (A)'!F284*$D284*$E284</f>
        <v>517.41</v>
      </c>
      <c r="I284" s="157">
        <f>'Quantitativos (A)'!G284*$D284*$E284</f>
        <v>517.41</v>
      </c>
      <c r="J284" s="157">
        <f>'Quantitativos (A)'!H284*$D284*$E284</f>
        <v>517.41</v>
      </c>
      <c r="K284" s="157">
        <f>'Quantitativos (A)'!I284*$D284*$E284</f>
        <v>517.41</v>
      </c>
      <c r="L284" s="157">
        <f>'Quantitativos (A)'!J284*$D284*$E284</f>
        <v>517.41</v>
      </c>
      <c r="M284" s="157">
        <f>'Quantitativos (A)'!K284*$D284*$E284</f>
        <v>517.41</v>
      </c>
      <c r="N284" s="157">
        <f>'Quantitativos (A)'!L284*$D284*$E284</f>
        <v>517.41</v>
      </c>
      <c r="O284" s="157">
        <f>'Quantitativos (A)'!M284*$D284*$E284</f>
        <v>517.41</v>
      </c>
      <c r="P284" s="157">
        <f>'Quantitativos (A)'!N284*$D284*$E284</f>
        <v>0</v>
      </c>
      <c r="Q284" s="157">
        <f>'Quantitativos (A)'!O284*$D284*$E284</f>
        <v>0</v>
      </c>
      <c r="R284" s="157">
        <f>'Quantitativos (A)'!P284*$D284*$E284</f>
        <v>0</v>
      </c>
      <c r="S284" s="157">
        <f>'Quantitativos (A)'!Q284*$D284*$E284</f>
        <v>0</v>
      </c>
      <c r="T284" s="157">
        <f>'Quantitativos (A)'!R284*$D284*$E284</f>
        <v>0</v>
      </c>
      <c r="U284" s="157">
        <f>'Quantitativos (A)'!S284*$D284*$E284</f>
        <v>0</v>
      </c>
      <c r="V284" s="157">
        <f>'Quantitativos (A)'!T284*$D284*$E284</f>
        <v>0</v>
      </c>
      <c r="W284" s="157">
        <f>'Quantitativos (A)'!U284*$D284*$E284</f>
        <v>0</v>
      </c>
      <c r="X284" s="157">
        <f>'Quantitativos (A)'!V284*$D284*$E284</f>
        <v>0</v>
      </c>
      <c r="Y284" s="157">
        <f>'Quantitativos (A)'!W284*$D284*$E284</f>
        <v>0</v>
      </c>
      <c r="Z284" s="157">
        <f>'Quantitativos (A)'!X284*$D284*$E284</f>
        <v>0</v>
      </c>
      <c r="AA284" s="157">
        <f>'Quantitativos (A)'!Y284*$D284*$E284</f>
        <v>0</v>
      </c>
      <c r="AB284" s="157">
        <f>'Quantitativos (A)'!Z284*$D284*$E284</f>
        <v>0</v>
      </c>
      <c r="AC284" s="157">
        <f>'Quantitativos (A)'!AA284*$D284*$E284</f>
        <v>0</v>
      </c>
      <c r="AD284" s="157">
        <f>'Quantitativos (A)'!AB284*$D284*$E284</f>
        <v>0</v>
      </c>
      <c r="AE284" s="157">
        <f>'Quantitativos (A)'!AC284*$D284*$E284</f>
        <v>0</v>
      </c>
      <c r="AF284" s="157">
        <f>'Quantitativos (A)'!AD284*$D284*$E284</f>
        <v>0</v>
      </c>
      <c r="AG284" s="157">
        <f>'Quantitativos (A)'!AE284*$D284*$E284</f>
        <v>0</v>
      </c>
      <c r="AH284" s="157">
        <f>'Quantitativos (A)'!AF284*$D284*$E284</f>
        <v>0</v>
      </c>
      <c r="AI284" s="158">
        <f>'Quantitativos (A)'!AG284*$D284*$E284</f>
        <v>0</v>
      </c>
      <c r="AJ284" s="22"/>
    </row>
    <row r="285" spans="1:36" x14ac:dyDescent="0.25">
      <c r="A285" s="112"/>
      <c r="B285" s="69" t="s">
        <v>281</v>
      </c>
      <c r="C285" s="133" t="s">
        <v>59</v>
      </c>
      <c r="D285" s="161">
        <f>'Dados (F)'!$D$232</f>
        <v>517.41</v>
      </c>
      <c r="E285" s="133">
        <f>IF('Dados (F)'!$D$35=1,1,'Dados (F)'!$C$39)</f>
        <v>1</v>
      </c>
      <c r="F285" s="157">
        <f>'Quantitativos (A)'!D285*$D285*$E285</f>
        <v>0</v>
      </c>
      <c r="G285" s="157">
        <f>'Quantitativos (A)'!E285*$D285*$E285</f>
        <v>0</v>
      </c>
      <c r="H285" s="157">
        <f>'Quantitativos (A)'!F285*$D285*$E285</f>
        <v>0</v>
      </c>
      <c r="I285" s="157">
        <f>'Quantitativos (A)'!G285*$D285*$E285</f>
        <v>0</v>
      </c>
      <c r="J285" s="157">
        <f>'Quantitativos (A)'!H285*$D285*$E285</f>
        <v>0</v>
      </c>
      <c r="K285" s="157">
        <f>'Quantitativos (A)'!I285*$D285*$E285</f>
        <v>0</v>
      </c>
      <c r="L285" s="157">
        <f>'Quantitativos (A)'!J285*$D285*$E285</f>
        <v>0</v>
      </c>
      <c r="M285" s="157">
        <f>'Quantitativos (A)'!K285*$D285*$E285</f>
        <v>0</v>
      </c>
      <c r="N285" s="157">
        <f>'Quantitativos (A)'!L285*$D285*$E285</f>
        <v>0</v>
      </c>
      <c r="O285" s="157">
        <f>'Quantitativos (A)'!M285*$D285*$E285</f>
        <v>0</v>
      </c>
      <c r="P285" s="157">
        <f>'Quantitativos (A)'!N285*$D285*$E285</f>
        <v>1034.82</v>
      </c>
      <c r="Q285" s="157">
        <f>'Quantitativos (A)'!O285*$D285*$E285</f>
        <v>1034.82</v>
      </c>
      <c r="R285" s="157">
        <f>'Quantitativos (A)'!P285*$D285*$E285</f>
        <v>1034.82</v>
      </c>
      <c r="S285" s="157">
        <f>'Quantitativos (A)'!Q285*$D285*$E285</f>
        <v>1034.82</v>
      </c>
      <c r="T285" s="157">
        <f>'Quantitativos (A)'!R285*$D285*$E285</f>
        <v>1034.82</v>
      </c>
      <c r="U285" s="157">
        <f>'Quantitativos (A)'!S285*$D285*$E285</f>
        <v>1034.82</v>
      </c>
      <c r="V285" s="157">
        <f>'Quantitativos (A)'!T285*$D285*$E285</f>
        <v>1034.82</v>
      </c>
      <c r="W285" s="157">
        <f>'Quantitativos (A)'!U285*$D285*$E285</f>
        <v>1034.82</v>
      </c>
      <c r="X285" s="157">
        <f>'Quantitativos (A)'!V285*$D285*$E285</f>
        <v>1034.82</v>
      </c>
      <c r="Y285" s="157">
        <f>'Quantitativos (A)'!W285*$D285*$E285</f>
        <v>1034.82</v>
      </c>
      <c r="Z285" s="157">
        <f>'Quantitativos (A)'!X285*$D285*$E285</f>
        <v>0</v>
      </c>
      <c r="AA285" s="157">
        <f>'Quantitativos (A)'!Y285*$D285*$E285</f>
        <v>0</v>
      </c>
      <c r="AB285" s="157">
        <f>'Quantitativos (A)'!Z285*$D285*$E285</f>
        <v>0</v>
      </c>
      <c r="AC285" s="157">
        <f>'Quantitativos (A)'!AA285*$D285*$E285</f>
        <v>0</v>
      </c>
      <c r="AD285" s="157">
        <f>'Quantitativos (A)'!AB285*$D285*$E285</f>
        <v>0</v>
      </c>
      <c r="AE285" s="157">
        <f>'Quantitativos (A)'!AC285*$D285*$E285</f>
        <v>0</v>
      </c>
      <c r="AF285" s="157">
        <f>'Quantitativos (A)'!AD285*$D285*$E285</f>
        <v>0</v>
      </c>
      <c r="AG285" s="157">
        <f>'Quantitativos (A)'!AE285*$D285*$E285</f>
        <v>0</v>
      </c>
      <c r="AH285" s="157">
        <f>'Quantitativos (A)'!AF285*$D285*$E285</f>
        <v>0</v>
      </c>
      <c r="AI285" s="158">
        <f>'Quantitativos (A)'!AG285*$D285*$E285</f>
        <v>0</v>
      </c>
      <c r="AJ285" s="22"/>
    </row>
    <row r="286" spans="1:36" x14ac:dyDescent="0.25">
      <c r="A286" s="112"/>
      <c r="B286" s="69" t="s">
        <v>282</v>
      </c>
      <c r="C286" s="133" t="s">
        <v>59</v>
      </c>
      <c r="D286" s="161">
        <f>'Dados (F)'!$D$233</f>
        <v>517.41</v>
      </c>
      <c r="E286" s="133">
        <f>IF('Dados (F)'!$D$35=1,1,'Dados (F)'!$C$39)</f>
        <v>1</v>
      </c>
      <c r="F286" s="157">
        <f>'Quantitativos (A)'!D286*$D286*$E286</f>
        <v>0</v>
      </c>
      <c r="G286" s="157">
        <f>'Quantitativos (A)'!E286*$D286*$E286</f>
        <v>0</v>
      </c>
      <c r="H286" s="157">
        <f>'Quantitativos (A)'!F286*$D286*$E286</f>
        <v>0</v>
      </c>
      <c r="I286" s="157">
        <f>'Quantitativos (A)'!G286*$D286*$E286</f>
        <v>0</v>
      </c>
      <c r="J286" s="157">
        <f>'Quantitativos (A)'!H286*$D286*$E286</f>
        <v>0</v>
      </c>
      <c r="K286" s="157">
        <f>'Quantitativos (A)'!I286*$D286*$E286</f>
        <v>0</v>
      </c>
      <c r="L286" s="157">
        <f>'Quantitativos (A)'!J286*$D286*$E286</f>
        <v>0</v>
      </c>
      <c r="M286" s="157">
        <f>'Quantitativos (A)'!K286*$D286*$E286</f>
        <v>0</v>
      </c>
      <c r="N286" s="157">
        <f>'Quantitativos (A)'!L286*$D286*$E286</f>
        <v>0</v>
      </c>
      <c r="O286" s="157">
        <f>'Quantitativos (A)'!M286*$D286*$E286</f>
        <v>0</v>
      </c>
      <c r="P286" s="157">
        <f>'Quantitativos (A)'!N286*$D286*$E286</f>
        <v>0</v>
      </c>
      <c r="Q286" s="157">
        <f>'Quantitativos (A)'!O286*$D286*$E286</f>
        <v>0</v>
      </c>
      <c r="R286" s="157">
        <f>'Quantitativos (A)'!P286*$D286*$E286</f>
        <v>0</v>
      </c>
      <c r="S286" s="157">
        <f>'Quantitativos (A)'!Q286*$D286*$E286</f>
        <v>0</v>
      </c>
      <c r="T286" s="157">
        <f>'Quantitativos (A)'!R286*$D286*$E286</f>
        <v>0</v>
      </c>
      <c r="U286" s="157">
        <f>'Quantitativos (A)'!S286*$D286*$E286</f>
        <v>0</v>
      </c>
      <c r="V286" s="157">
        <f>'Quantitativos (A)'!T286*$D286*$E286</f>
        <v>0</v>
      </c>
      <c r="W286" s="157">
        <f>'Quantitativos (A)'!U286*$D286*$E286</f>
        <v>0</v>
      </c>
      <c r="X286" s="157">
        <f>'Quantitativos (A)'!V286*$D286*$E286</f>
        <v>0</v>
      </c>
      <c r="Y286" s="157">
        <f>'Quantitativos (A)'!W286*$D286*$E286</f>
        <v>0</v>
      </c>
      <c r="Z286" s="157">
        <f>'Quantitativos (A)'!X286*$D286*$E286</f>
        <v>517.41</v>
      </c>
      <c r="AA286" s="157">
        <f>'Quantitativos (A)'!Y286*$D286*$E286</f>
        <v>517.41</v>
      </c>
      <c r="AB286" s="157">
        <f>'Quantitativos (A)'!Z286*$D286*$E286</f>
        <v>517.41</v>
      </c>
      <c r="AC286" s="157">
        <f>'Quantitativos (A)'!AA286*$D286*$E286</f>
        <v>517.41</v>
      </c>
      <c r="AD286" s="157">
        <f>'Quantitativos (A)'!AB286*$D286*$E286</f>
        <v>517.41</v>
      </c>
      <c r="AE286" s="157">
        <f>'Quantitativos (A)'!AC286*$D286*$E286</f>
        <v>517.41</v>
      </c>
      <c r="AF286" s="157">
        <f>'Quantitativos (A)'!AD286*$D286*$E286</f>
        <v>517.41</v>
      </c>
      <c r="AG286" s="157">
        <f>'Quantitativos (A)'!AE286*$D286*$E286</f>
        <v>517.41</v>
      </c>
      <c r="AH286" s="157">
        <f>'Quantitativos (A)'!AF286*$D286*$E286</f>
        <v>517.41</v>
      </c>
      <c r="AI286" s="158">
        <f>'Quantitativos (A)'!AG286*$D286*$E286</f>
        <v>517.41</v>
      </c>
      <c r="AJ286" s="22"/>
    </row>
    <row r="287" spans="1:36" x14ac:dyDescent="0.25">
      <c r="A287" s="112"/>
      <c r="B287" s="120" t="s">
        <v>560</v>
      </c>
      <c r="C287" s="121"/>
      <c r="D287" s="155"/>
      <c r="E287" s="156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60"/>
      <c r="AJ287" s="22"/>
    </row>
    <row r="288" spans="1:36" x14ac:dyDescent="0.25">
      <c r="A288" s="112"/>
      <c r="B288" s="69" t="s">
        <v>284</v>
      </c>
      <c r="C288" s="133" t="s">
        <v>59</v>
      </c>
      <c r="D288" s="161">
        <f>'Dados (F)'!$D$235</f>
        <v>273.93</v>
      </c>
      <c r="E288" s="133">
        <f>IF('Dados (F)'!$D$35=1,1,'Dados (F)'!$C$39)</f>
        <v>1</v>
      </c>
      <c r="F288" s="157">
        <f>'Quantitativos (A)'!D288*$D288*$E288</f>
        <v>273.93</v>
      </c>
      <c r="G288" s="157">
        <f>'Quantitativos (A)'!E288*$D288*$E288</f>
        <v>273.93</v>
      </c>
      <c r="H288" s="157">
        <f>'Quantitativos (A)'!F288*$D288*$E288</f>
        <v>273.93</v>
      </c>
      <c r="I288" s="157">
        <f>'Quantitativos (A)'!G288*$D288*$E288</f>
        <v>273.93</v>
      </c>
      <c r="J288" s="157">
        <f>'Quantitativos (A)'!H288*$D288*$E288</f>
        <v>273.93</v>
      </c>
      <c r="K288" s="157">
        <f>'Quantitativos (A)'!I288*$D288*$E288</f>
        <v>273.93</v>
      </c>
      <c r="L288" s="157">
        <f>'Quantitativos (A)'!J288*$D288*$E288</f>
        <v>273.93</v>
      </c>
      <c r="M288" s="157">
        <f>'Quantitativos (A)'!K288*$D288*$E288</f>
        <v>273.93</v>
      </c>
      <c r="N288" s="157">
        <f>'Quantitativos (A)'!L288*$D288*$E288</f>
        <v>273.93</v>
      </c>
      <c r="O288" s="157">
        <f>'Quantitativos (A)'!M288*$D288*$E288</f>
        <v>273.93</v>
      </c>
      <c r="P288" s="157">
        <f>'Quantitativos (A)'!N288*$D288*$E288</f>
        <v>273.93</v>
      </c>
      <c r="Q288" s="157">
        <f>'Quantitativos (A)'!O288*$D288*$E288</f>
        <v>273.93</v>
      </c>
      <c r="R288" s="157">
        <f>'Quantitativos (A)'!P288*$D288*$E288</f>
        <v>273.93</v>
      </c>
      <c r="S288" s="157">
        <f>'Quantitativos (A)'!Q288*$D288*$E288</f>
        <v>273.93</v>
      </c>
      <c r="T288" s="157">
        <f>'Quantitativos (A)'!R288*$D288*$E288</f>
        <v>273.93</v>
      </c>
      <c r="U288" s="157">
        <f>'Quantitativos (A)'!S288*$D288*$E288</f>
        <v>273.93</v>
      </c>
      <c r="V288" s="157">
        <f>'Quantitativos (A)'!T288*$D288*$E288</f>
        <v>273.93</v>
      </c>
      <c r="W288" s="157">
        <f>'Quantitativos (A)'!U288*$D288*$E288</f>
        <v>273.93</v>
      </c>
      <c r="X288" s="157">
        <f>'Quantitativos (A)'!V288*$D288*$E288</f>
        <v>273.93</v>
      </c>
      <c r="Y288" s="157">
        <f>'Quantitativos (A)'!W288*$D288*$E288</f>
        <v>273.93</v>
      </c>
      <c r="Z288" s="157">
        <f>'Quantitativos (A)'!X288*$D288*$E288</f>
        <v>273.93</v>
      </c>
      <c r="AA288" s="157">
        <f>'Quantitativos (A)'!Y288*$D288*$E288</f>
        <v>273.93</v>
      </c>
      <c r="AB288" s="157">
        <f>'Quantitativos (A)'!Z288*$D288*$E288</f>
        <v>273.93</v>
      </c>
      <c r="AC288" s="157">
        <f>'Quantitativos (A)'!AA288*$D288*$E288</f>
        <v>273.93</v>
      </c>
      <c r="AD288" s="157">
        <f>'Quantitativos (A)'!AB288*$D288*$E288</f>
        <v>273.93</v>
      </c>
      <c r="AE288" s="157">
        <f>'Quantitativos (A)'!AC288*$D288*$E288</f>
        <v>273.93</v>
      </c>
      <c r="AF288" s="157">
        <f>'Quantitativos (A)'!AD288*$D288*$E288</f>
        <v>273.93</v>
      </c>
      <c r="AG288" s="157">
        <f>'Quantitativos (A)'!AE288*$D288*$E288</f>
        <v>273.93</v>
      </c>
      <c r="AH288" s="157">
        <f>'Quantitativos (A)'!AF288*$D288*$E288</f>
        <v>273.93</v>
      </c>
      <c r="AI288" s="158">
        <f>'Quantitativos (A)'!AG288*$D288*$E288</f>
        <v>273.93</v>
      </c>
      <c r="AJ288" s="22"/>
    </row>
    <row r="289" spans="1:36" x14ac:dyDescent="0.25">
      <c r="A289" s="112"/>
      <c r="B289" s="69" t="s">
        <v>285</v>
      </c>
      <c r="C289" s="133" t="s">
        <v>59</v>
      </c>
      <c r="D289" s="161">
        <f>'Dados (F)'!$D$236</f>
        <v>118.25</v>
      </c>
      <c r="E289" s="133">
        <f>IF('Dados (F)'!$D$35=1,1,'Dados (F)'!$C$39)</f>
        <v>1</v>
      </c>
      <c r="F289" s="157">
        <f>'Quantitativos (A)'!D289*$D289*$E289</f>
        <v>118.25</v>
      </c>
      <c r="G289" s="157">
        <f>'Quantitativos (A)'!E289*$D289*$E289</f>
        <v>118.25</v>
      </c>
      <c r="H289" s="157">
        <f>'Quantitativos (A)'!F289*$D289*$E289</f>
        <v>118.25</v>
      </c>
      <c r="I289" s="157">
        <f>'Quantitativos (A)'!G289*$D289*$E289</f>
        <v>118.25</v>
      </c>
      <c r="J289" s="157">
        <f>'Quantitativos (A)'!H289*$D289*$E289</f>
        <v>118.25</v>
      </c>
      <c r="K289" s="157">
        <f>'Quantitativos (A)'!I289*$D289*$E289</f>
        <v>118.25</v>
      </c>
      <c r="L289" s="157">
        <f>'Quantitativos (A)'!J289*$D289*$E289</f>
        <v>118.25</v>
      </c>
      <c r="M289" s="157">
        <f>'Quantitativos (A)'!K289*$D289*$E289</f>
        <v>118.25</v>
      </c>
      <c r="N289" s="157">
        <f>'Quantitativos (A)'!L289*$D289*$E289</f>
        <v>118.25</v>
      </c>
      <c r="O289" s="157">
        <f>'Quantitativos (A)'!M289*$D289*$E289</f>
        <v>118.25</v>
      </c>
      <c r="P289" s="157">
        <f>'Quantitativos (A)'!N289*$D289*$E289</f>
        <v>118.25</v>
      </c>
      <c r="Q289" s="157">
        <f>'Quantitativos (A)'!O289*$D289*$E289</f>
        <v>118.25</v>
      </c>
      <c r="R289" s="157">
        <f>'Quantitativos (A)'!P289*$D289*$E289</f>
        <v>118.25</v>
      </c>
      <c r="S289" s="157">
        <f>'Quantitativos (A)'!Q289*$D289*$E289</f>
        <v>118.25</v>
      </c>
      <c r="T289" s="157">
        <f>'Quantitativos (A)'!R289*$D289*$E289</f>
        <v>118.25</v>
      </c>
      <c r="U289" s="157">
        <f>'Quantitativos (A)'!S289*$D289*$E289</f>
        <v>118.25</v>
      </c>
      <c r="V289" s="157">
        <f>'Quantitativos (A)'!T289*$D289*$E289</f>
        <v>118.25</v>
      </c>
      <c r="W289" s="157">
        <f>'Quantitativos (A)'!U289*$D289*$E289</f>
        <v>118.25</v>
      </c>
      <c r="X289" s="157">
        <f>'Quantitativos (A)'!V289*$D289*$E289</f>
        <v>118.25</v>
      </c>
      <c r="Y289" s="157">
        <f>'Quantitativos (A)'!W289*$D289*$E289</f>
        <v>118.25</v>
      </c>
      <c r="Z289" s="157">
        <f>'Quantitativos (A)'!X289*$D289*$E289</f>
        <v>118.25</v>
      </c>
      <c r="AA289" s="157">
        <f>'Quantitativos (A)'!Y289*$D289*$E289</f>
        <v>118.25</v>
      </c>
      <c r="AB289" s="157">
        <f>'Quantitativos (A)'!Z289*$D289*$E289</f>
        <v>118.25</v>
      </c>
      <c r="AC289" s="157">
        <f>'Quantitativos (A)'!AA289*$D289*$E289</f>
        <v>118.25</v>
      </c>
      <c r="AD289" s="157">
        <f>'Quantitativos (A)'!AB289*$D289*$E289</f>
        <v>118.25</v>
      </c>
      <c r="AE289" s="157">
        <f>'Quantitativos (A)'!AC289*$D289*$E289</f>
        <v>118.25</v>
      </c>
      <c r="AF289" s="157">
        <f>'Quantitativos (A)'!AD289*$D289*$E289</f>
        <v>118.25</v>
      </c>
      <c r="AG289" s="157">
        <f>'Quantitativos (A)'!AE289*$D289*$E289</f>
        <v>118.25</v>
      </c>
      <c r="AH289" s="157">
        <f>'Quantitativos (A)'!AF289*$D289*$E289</f>
        <v>118.25</v>
      </c>
      <c r="AI289" s="158">
        <f>'Quantitativos (A)'!AG289*$D289*$E289</f>
        <v>118.25</v>
      </c>
      <c r="AJ289" s="22"/>
    </row>
    <row r="290" spans="1:36" x14ac:dyDescent="0.25">
      <c r="A290" s="112"/>
      <c r="B290" s="69" t="s">
        <v>286</v>
      </c>
      <c r="C290" s="133" t="s">
        <v>59</v>
      </c>
      <c r="D290" s="161">
        <f>'Dados (F)'!$D$237</f>
        <v>75.599999999999994</v>
      </c>
      <c r="E290" s="133">
        <f>IF('Dados (F)'!$D$35=1,1,'Dados (F)'!$C$39)</f>
        <v>1</v>
      </c>
      <c r="F290" s="157">
        <f>'Quantitativos (A)'!D290*$D290*$E290</f>
        <v>0</v>
      </c>
      <c r="G290" s="157">
        <f>'Quantitativos (A)'!E290*$D290*$E290</f>
        <v>0</v>
      </c>
      <c r="H290" s="157">
        <f>'Quantitativos (A)'!F290*$D290*$E290</f>
        <v>0</v>
      </c>
      <c r="I290" s="157">
        <f>'Quantitativos (A)'!G290*$D290*$E290</f>
        <v>0</v>
      </c>
      <c r="J290" s="157">
        <f>'Quantitativos (A)'!H290*$D290*$E290</f>
        <v>0</v>
      </c>
      <c r="K290" s="157">
        <f>'Quantitativos (A)'!I290*$D290*$E290</f>
        <v>0</v>
      </c>
      <c r="L290" s="157">
        <f>'Quantitativos (A)'!J290*$D290*$E290</f>
        <v>0</v>
      </c>
      <c r="M290" s="157">
        <f>'Quantitativos (A)'!K290*$D290*$E290</f>
        <v>0</v>
      </c>
      <c r="N290" s="157">
        <f>'Quantitativos (A)'!L290*$D290*$E290</f>
        <v>0</v>
      </c>
      <c r="O290" s="157">
        <f>'Quantitativos (A)'!M290*$D290*$E290</f>
        <v>0</v>
      </c>
      <c r="P290" s="157">
        <f>'Quantitativos (A)'!N290*$D290*$E290</f>
        <v>0</v>
      </c>
      <c r="Q290" s="157">
        <f>'Quantitativos (A)'!O290*$D290*$E290</f>
        <v>0</v>
      </c>
      <c r="R290" s="157">
        <f>'Quantitativos (A)'!P290*$D290*$E290</f>
        <v>0</v>
      </c>
      <c r="S290" s="157">
        <f>'Quantitativos (A)'!Q290*$D290*$E290</f>
        <v>0</v>
      </c>
      <c r="T290" s="157">
        <f>'Quantitativos (A)'!R290*$D290*$E290</f>
        <v>0</v>
      </c>
      <c r="U290" s="157">
        <f>'Quantitativos (A)'!S290*$D290*$E290</f>
        <v>0</v>
      </c>
      <c r="V290" s="157">
        <f>'Quantitativos (A)'!T290*$D290*$E290</f>
        <v>0</v>
      </c>
      <c r="W290" s="157">
        <f>'Quantitativos (A)'!U290*$D290*$E290</f>
        <v>0</v>
      </c>
      <c r="X290" s="157">
        <f>'Quantitativos (A)'!V290*$D290*$E290</f>
        <v>0</v>
      </c>
      <c r="Y290" s="157">
        <f>'Quantitativos (A)'!W290*$D290*$E290</f>
        <v>0</v>
      </c>
      <c r="Z290" s="157">
        <f>'Quantitativos (A)'!X290*$D290*$E290</f>
        <v>75.599999999999994</v>
      </c>
      <c r="AA290" s="157">
        <f>'Quantitativos (A)'!Y290*$D290*$E290</f>
        <v>75.599999999999994</v>
      </c>
      <c r="AB290" s="157">
        <f>'Quantitativos (A)'!Z290*$D290*$E290</f>
        <v>75.599999999999994</v>
      </c>
      <c r="AC290" s="157">
        <f>'Quantitativos (A)'!AA290*$D290*$E290</f>
        <v>75.599999999999994</v>
      </c>
      <c r="AD290" s="157">
        <f>'Quantitativos (A)'!AB290*$D290*$E290</f>
        <v>75.599999999999994</v>
      </c>
      <c r="AE290" s="157">
        <f>'Quantitativos (A)'!AC290*$D290*$E290</f>
        <v>75.599999999999994</v>
      </c>
      <c r="AF290" s="157">
        <f>'Quantitativos (A)'!AD290*$D290*$E290</f>
        <v>75.599999999999994</v>
      </c>
      <c r="AG290" s="157">
        <f>'Quantitativos (A)'!AE290*$D290*$E290</f>
        <v>75.599999999999994</v>
      </c>
      <c r="AH290" s="157">
        <f>'Quantitativos (A)'!AF290*$D290*$E290</f>
        <v>75.599999999999994</v>
      </c>
      <c r="AI290" s="158">
        <f>'Quantitativos (A)'!AG290*$D290*$E290</f>
        <v>75.599999999999994</v>
      </c>
      <c r="AJ290" s="22"/>
    </row>
    <row r="291" spans="1:36" x14ac:dyDescent="0.25">
      <c r="A291" s="112"/>
      <c r="B291" s="69" t="s">
        <v>287</v>
      </c>
      <c r="C291" s="133" t="s">
        <v>59</v>
      </c>
      <c r="D291" s="161">
        <f>'Dados (F)'!$D$238</f>
        <v>89.18</v>
      </c>
      <c r="E291" s="133">
        <f>IF('Dados (F)'!$D$35=1,1,'Dados (F)'!$C$39)</f>
        <v>1</v>
      </c>
      <c r="F291" s="157">
        <f>'Quantitativos (A)'!D291*$D291*$E291</f>
        <v>89.18</v>
      </c>
      <c r="G291" s="157">
        <f>'Quantitativos (A)'!E291*$D291*$E291</f>
        <v>89.18</v>
      </c>
      <c r="H291" s="157">
        <f>'Quantitativos (A)'!F291*$D291*$E291</f>
        <v>89.18</v>
      </c>
      <c r="I291" s="157">
        <f>'Quantitativos (A)'!G291*$D291*$E291</f>
        <v>89.18</v>
      </c>
      <c r="J291" s="157">
        <f>'Quantitativos (A)'!H291*$D291*$E291</f>
        <v>89.18</v>
      </c>
      <c r="K291" s="157">
        <f>'Quantitativos (A)'!I291*$D291*$E291</f>
        <v>89.18</v>
      </c>
      <c r="L291" s="157">
        <f>'Quantitativos (A)'!J291*$D291*$E291</f>
        <v>89.18</v>
      </c>
      <c r="M291" s="157">
        <f>'Quantitativos (A)'!K291*$D291*$E291</f>
        <v>89.18</v>
      </c>
      <c r="N291" s="157">
        <f>'Quantitativos (A)'!L291*$D291*$E291</f>
        <v>89.18</v>
      </c>
      <c r="O291" s="157">
        <f>'Quantitativos (A)'!M291*$D291*$E291</f>
        <v>89.18</v>
      </c>
      <c r="P291" s="157">
        <f>'Quantitativos (A)'!N291*$D291*$E291</f>
        <v>89.18</v>
      </c>
      <c r="Q291" s="157">
        <f>'Quantitativos (A)'!O291*$D291*$E291</f>
        <v>89.18</v>
      </c>
      <c r="R291" s="157">
        <f>'Quantitativos (A)'!P291*$D291*$E291</f>
        <v>89.18</v>
      </c>
      <c r="S291" s="157">
        <f>'Quantitativos (A)'!Q291*$D291*$E291</f>
        <v>89.18</v>
      </c>
      <c r="T291" s="157">
        <f>'Quantitativos (A)'!R291*$D291*$E291</f>
        <v>89.18</v>
      </c>
      <c r="U291" s="157">
        <f>'Quantitativos (A)'!S291*$D291*$E291</f>
        <v>89.18</v>
      </c>
      <c r="V291" s="157">
        <f>'Quantitativos (A)'!T291*$D291*$E291</f>
        <v>89.18</v>
      </c>
      <c r="W291" s="157">
        <f>'Quantitativos (A)'!U291*$D291*$E291</f>
        <v>89.18</v>
      </c>
      <c r="X291" s="157">
        <f>'Quantitativos (A)'!V291*$D291*$E291</f>
        <v>89.18</v>
      </c>
      <c r="Y291" s="157">
        <f>'Quantitativos (A)'!W291*$D291*$E291</f>
        <v>89.18</v>
      </c>
      <c r="Z291" s="157">
        <f>'Quantitativos (A)'!X291*$D291*$E291</f>
        <v>0</v>
      </c>
      <c r="AA291" s="157">
        <f>'Quantitativos (A)'!Y291*$D291*$E291</f>
        <v>0</v>
      </c>
      <c r="AB291" s="157">
        <f>'Quantitativos (A)'!Z291*$D291*$E291</f>
        <v>0</v>
      </c>
      <c r="AC291" s="157">
        <f>'Quantitativos (A)'!AA291*$D291*$E291</f>
        <v>0</v>
      </c>
      <c r="AD291" s="157">
        <f>'Quantitativos (A)'!AB291*$D291*$E291</f>
        <v>0</v>
      </c>
      <c r="AE291" s="157">
        <f>'Quantitativos (A)'!AC291*$D291*$E291</f>
        <v>0</v>
      </c>
      <c r="AF291" s="157">
        <f>'Quantitativos (A)'!AD291*$D291*$E291</f>
        <v>0</v>
      </c>
      <c r="AG291" s="157">
        <f>'Quantitativos (A)'!AE291*$D291*$E291</f>
        <v>0</v>
      </c>
      <c r="AH291" s="157">
        <f>'Quantitativos (A)'!AF291*$D291*$E291</f>
        <v>0</v>
      </c>
      <c r="AI291" s="158">
        <f>'Quantitativos (A)'!AG291*$D291*$E291</f>
        <v>0</v>
      </c>
      <c r="AJ291" s="22"/>
    </row>
    <row r="292" spans="1:36" x14ac:dyDescent="0.25">
      <c r="A292" s="112"/>
      <c r="B292" s="69" t="s">
        <v>289</v>
      </c>
      <c r="C292" s="133" t="s">
        <v>59</v>
      </c>
      <c r="D292" s="161">
        <f>'Dados (F)'!$D$240</f>
        <v>172.47</v>
      </c>
      <c r="E292" s="133">
        <f>IF('Dados (F)'!$D$35=1,1,'Dados (F)'!$C$39)</f>
        <v>1</v>
      </c>
      <c r="F292" s="157">
        <f>'Quantitativos (A)'!D292*$D292*$E292</f>
        <v>344.94</v>
      </c>
      <c r="G292" s="157">
        <f>'Quantitativos (A)'!E292*$D292*$E292</f>
        <v>344.94</v>
      </c>
      <c r="H292" s="157">
        <f>'Quantitativos (A)'!F292*$D292*$E292</f>
        <v>344.94</v>
      </c>
      <c r="I292" s="157">
        <f>'Quantitativos (A)'!G292*$D292*$E292</f>
        <v>344.94</v>
      </c>
      <c r="J292" s="157">
        <f>'Quantitativos (A)'!H292*$D292*$E292</f>
        <v>344.94</v>
      </c>
      <c r="K292" s="157">
        <f>'Quantitativos (A)'!I292*$D292*$E292</f>
        <v>344.94</v>
      </c>
      <c r="L292" s="157">
        <f>'Quantitativos (A)'!J292*$D292*$E292</f>
        <v>344.94</v>
      </c>
      <c r="M292" s="157">
        <f>'Quantitativos (A)'!K292*$D292*$E292</f>
        <v>344.94</v>
      </c>
      <c r="N292" s="157">
        <f>'Quantitativos (A)'!L292*$D292*$E292</f>
        <v>344.94</v>
      </c>
      <c r="O292" s="157">
        <f>'Quantitativos (A)'!M292*$D292*$E292</f>
        <v>344.94</v>
      </c>
      <c r="P292" s="157">
        <f>'Quantitativos (A)'!N292*$D292*$E292</f>
        <v>344.94</v>
      </c>
      <c r="Q292" s="157">
        <f>'Quantitativos (A)'!O292*$D292*$E292</f>
        <v>344.94</v>
      </c>
      <c r="R292" s="157">
        <f>'Quantitativos (A)'!P292*$D292*$E292</f>
        <v>344.94</v>
      </c>
      <c r="S292" s="157">
        <f>'Quantitativos (A)'!Q292*$D292*$E292</f>
        <v>344.94</v>
      </c>
      <c r="T292" s="157">
        <f>'Quantitativos (A)'!R292*$D292*$E292</f>
        <v>344.94</v>
      </c>
      <c r="U292" s="157">
        <f>'Quantitativos (A)'!S292*$D292*$E292</f>
        <v>344.94</v>
      </c>
      <c r="V292" s="157">
        <f>'Quantitativos (A)'!T292*$D292*$E292</f>
        <v>344.94</v>
      </c>
      <c r="W292" s="157">
        <f>'Quantitativos (A)'!U292*$D292*$E292</f>
        <v>344.94</v>
      </c>
      <c r="X292" s="157">
        <f>'Quantitativos (A)'!V292*$D292*$E292</f>
        <v>344.94</v>
      </c>
      <c r="Y292" s="157">
        <f>'Quantitativos (A)'!W292*$D292*$E292</f>
        <v>344.94</v>
      </c>
      <c r="Z292" s="157">
        <f>'Quantitativos (A)'!X292*$D292*$E292</f>
        <v>344.94</v>
      </c>
      <c r="AA292" s="157">
        <f>'Quantitativos (A)'!Y292*$D292*$E292</f>
        <v>344.94</v>
      </c>
      <c r="AB292" s="157">
        <f>'Quantitativos (A)'!Z292*$D292*$E292</f>
        <v>344.94</v>
      </c>
      <c r="AC292" s="157">
        <f>'Quantitativos (A)'!AA292*$D292*$E292</f>
        <v>344.94</v>
      </c>
      <c r="AD292" s="157">
        <f>'Quantitativos (A)'!AB292*$D292*$E292</f>
        <v>344.94</v>
      </c>
      <c r="AE292" s="157">
        <f>'Quantitativos (A)'!AC292*$D292*$E292</f>
        <v>344.94</v>
      </c>
      <c r="AF292" s="157">
        <f>'Quantitativos (A)'!AD292*$D292*$E292</f>
        <v>344.94</v>
      </c>
      <c r="AG292" s="157">
        <f>'Quantitativos (A)'!AE292*$D292*$E292</f>
        <v>344.94</v>
      </c>
      <c r="AH292" s="157">
        <f>'Quantitativos (A)'!AF292*$D292*$E292</f>
        <v>344.94</v>
      </c>
      <c r="AI292" s="158">
        <f>'Quantitativos (A)'!AG292*$D292*$E292</f>
        <v>344.94</v>
      </c>
      <c r="AJ292" s="22"/>
    </row>
    <row r="293" spans="1:36" x14ac:dyDescent="0.25">
      <c r="A293" s="112"/>
      <c r="B293" s="120" t="s">
        <v>561</v>
      </c>
      <c r="C293" s="121"/>
      <c r="D293" s="155"/>
      <c r="E293" s="156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60"/>
      <c r="AJ293" s="22"/>
    </row>
    <row r="294" spans="1:36" x14ac:dyDescent="0.25">
      <c r="A294" s="112"/>
      <c r="B294" s="120" t="s">
        <v>562</v>
      </c>
      <c r="C294" s="121"/>
      <c r="D294" s="155"/>
      <c r="E294" s="156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60"/>
      <c r="AJ294" s="22"/>
    </row>
    <row r="295" spans="1:36" ht="38.25" x14ac:dyDescent="0.25">
      <c r="A295" s="112"/>
      <c r="B295" s="69" t="s">
        <v>310</v>
      </c>
      <c r="C295" s="133" t="s">
        <v>64</v>
      </c>
      <c r="D295" s="157">
        <f>'Dados (F)'!$D$95</f>
        <v>5.09</v>
      </c>
      <c r="E295" s="133">
        <f>IF('Dados (F)'!$D$35=1,1,IF('Dados (F)'!$D$35=2,'Dados (F)'!$C$39,1))</f>
        <v>1</v>
      </c>
      <c r="F295" s="157">
        <f>'Quantitativos (A)'!D295*$D295*$E295</f>
        <v>152.69999999999999</v>
      </c>
      <c r="G295" s="157">
        <f>'Quantitativos (A)'!E295*$D295*$E295</f>
        <v>0</v>
      </c>
      <c r="H295" s="157">
        <f>'Quantitativos (A)'!F295*$D295*$E295</f>
        <v>0</v>
      </c>
      <c r="I295" s="157">
        <f>'Quantitativos (A)'!G295*$D295*$E295</f>
        <v>152.69999999999999</v>
      </c>
      <c r="J295" s="157">
        <f>'Quantitativos (A)'!H295*$D295*$E295</f>
        <v>0</v>
      </c>
      <c r="K295" s="157">
        <f>'Quantitativos (A)'!I295*$D295*$E295</f>
        <v>0</v>
      </c>
      <c r="L295" s="157">
        <f>'Quantitativos (A)'!J295*$D295*$E295</f>
        <v>152.69999999999999</v>
      </c>
      <c r="M295" s="157">
        <f>'Quantitativos (A)'!K295*$D295*$E295</f>
        <v>0</v>
      </c>
      <c r="N295" s="157">
        <f>'Quantitativos (A)'!L295*$D295*$E295</f>
        <v>152.69999999999999</v>
      </c>
      <c r="O295" s="157">
        <f>'Quantitativos (A)'!M295*$D295*$E295</f>
        <v>0</v>
      </c>
      <c r="P295" s="157">
        <f>'Quantitativos (A)'!N295*$D295*$E295</f>
        <v>152.69999999999999</v>
      </c>
      <c r="Q295" s="157">
        <f>'Quantitativos (A)'!O295*$D295*$E295</f>
        <v>0</v>
      </c>
      <c r="R295" s="157">
        <f>'Quantitativos (A)'!P295*$D295*$E295</f>
        <v>0</v>
      </c>
      <c r="S295" s="157">
        <f>'Quantitativos (A)'!Q295*$D295*$E295</f>
        <v>152.69999999999999</v>
      </c>
      <c r="T295" s="157">
        <f>'Quantitativos (A)'!R295*$D295*$E295</f>
        <v>0</v>
      </c>
      <c r="U295" s="157">
        <f>'Quantitativos (A)'!S295*$D295*$E295</f>
        <v>0</v>
      </c>
      <c r="V295" s="157">
        <f>'Quantitativos (A)'!T295*$D295*$E295</f>
        <v>152.69999999999999</v>
      </c>
      <c r="W295" s="157">
        <f>'Quantitativos (A)'!U295*$D295*$E295</f>
        <v>0</v>
      </c>
      <c r="X295" s="157">
        <f>'Quantitativos (A)'!V295*$D295*$E295</f>
        <v>152.69999999999999</v>
      </c>
      <c r="Y295" s="157">
        <f>'Quantitativos (A)'!W295*$D295*$E295</f>
        <v>0</v>
      </c>
      <c r="Z295" s="157">
        <f>'Quantitativos (A)'!X295*$D295*$E295</f>
        <v>152.69999999999999</v>
      </c>
      <c r="AA295" s="157">
        <f>'Quantitativos (A)'!Y295*$D295*$E295</f>
        <v>0</v>
      </c>
      <c r="AB295" s="157">
        <f>'Quantitativos (A)'!Z295*$D295*$E295</f>
        <v>0</v>
      </c>
      <c r="AC295" s="157">
        <f>'Quantitativos (A)'!AA295*$D295*$E295</f>
        <v>152.69999999999999</v>
      </c>
      <c r="AD295" s="157">
        <f>'Quantitativos (A)'!AB295*$D295*$E295</f>
        <v>0</v>
      </c>
      <c r="AE295" s="157">
        <f>'Quantitativos (A)'!AC295*$D295*$E295</f>
        <v>0</v>
      </c>
      <c r="AF295" s="157">
        <f>'Quantitativos (A)'!AD295*$D295*$E295</f>
        <v>152.69999999999999</v>
      </c>
      <c r="AG295" s="157">
        <f>'Quantitativos (A)'!AE295*$D295*$E295</f>
        <v>0</v>
      </c>
      <c r="AH295" s="157">
        <f>'Quantitativos (A)'!AF295*$D295*$E295</f>
        <v>152.69999999999999</v>
      </c>
      <c r="AI295" s="158">
        <f>'Quantitativos (A)'!AG295*$D295*$E295</f>
        <v>0</v>
      </c>
      <c r="AJ295" s="22"/>
    </row>
    <row r="296" spans="1:36" ht="38.25" x14ac:dyDescent="0.25">
      <c r="A296" s="112"/>
      <c r="B296" s="69" t="s">
        <v>313</v>
      </c>
      <c r="C296" s="133" t="s">
        <v>64</v>
      </c>
      <c r="D296" s="157">
        <f>'Dados (F)'!$D$98</f>
        <v>9.15</v>
      </c>
      <c r="E296" s="133">
        <f>IF('Dados (F)'!$D$35=1,1,IF('Dados (F)'!$D$35=2,'Dados (F)'!$C$39,1))</f>
        <v>1</v>
      </c>
      <c r="F296" s="157">
        <f>'Quantitativos (A)'!D296*$D296*$E296</f>
        <v>219.60000000000002</v>
      </c>
      <c r="G296" s="157">
        <f>'Quantitativos (A)'!E296*$D296*$E296</f>
        <v>329.40000000000003</v>
      </c>
      <c r="H296" s="157">
        <f>'Quantitativos (A)'!F296*$D296*$E296</f>
        <v>164.70000000000002</v>
      </c>
      <c r="I296" s="157">
        <f>'Quantitativos (A)'!G296*$D296*$E296</f>
        <v>219.60000000000002</v>
      </c>
      <c r="J296" s="157">
        <f>'Quantitativos (A)'!H296*$D296*$E296</f>
        <v>329.40000000000003</v>
      </c>
      <c r="K296" s="157">
        <f>'Quantitativos (A)'!I296*$D296*$E296</f>
        <v>164.70000000000002</v>
      </c>
      <c r="L296" s="157">
        <f>'Quantitativos (A)'!J296*$D296*$E296</f>
        <v>219.60000000000002</v>
      </c>
      <c r="M296" s="157">
        <f>'Quantitativos (A)'!K296*$D296*$E296</f>
        <v>164.70000000000002</v>
      </c>
      <c r="N296" s="157">
        <f>'Quantitativos (A)'!L296*$D296*$E296</f>
        <v>219.60000000000002</v>
      </c>
      <c r="O296" s="157">
        <f>'Quantitativos (A)'!M296*$D296*$E296</f>
        <v>164.70000000000002</v>
      </c>
      <c r="P296" s="157">
        <f>'Quantitativos (A)'!N296*$D296*$E296</f>
        <v>164.70000000000002</v>
      </c>
      <c r="Q296" s="157">
        <f>'Quantitativos (A)'!O296*$D296*$E296</f>
        <v>219.60000000000002</v>
      </c>
      <c r="R296" s="157">
        <f>'Quantitativos (A)'!P296*$D296*$E296</f>
        <v>164.70000000000002</v>
      </c>
      <c r="S296" s="157">
        <f>'Quantitativos (A)'!Q296*$D296*$E296</f>
        <v>164.70000000000002</v>
      </c>
      <c r="T296" s="157">
        <f>'Quantitativos (A)'!R296*$D296*$E296</f>
        <v>274.5</v>
      </c>
      <c r="U296" s="157">
        <f>'Quantitativos (A)'!S296*$D296*$E296</f>
        <v>164.70000000000002</v>
      </c>
      <c r="V296" s="157">
        <f>'Quantitativos (A)'!T296*$D296*$E296</f>
        <v>164.70000000000002</v>
      </c>
      <c r="W296" s="157">
        <f>'Quantitativos (A)'!U296*$D296*$E296</f>
        <v>164.70000000000002</v>
      </c>
      <c r="X296" s="157">
        <f>'Quantitativos (A)'!V296*$D296*$E296</f>
        <v>164.70000000000002</v>
      </c>
      <c r="Y296" s="157">
        <f>'Quantitativos (A)'!W296*$D296*$E296</f>
        <v>164.70000000000002</v>
      </c>
      <c r="Z296" s="157">
        <f>'Quantitativos (A)'!X296*$D296*$E296</f>
        <v>164.70000000000002</v>
      </c>
      <c r="AA296" s="157">
        <f>'Quantitativos (A)'!Y296*$D296*$E296</f>
        <v>219.60000000000002</v>
      </c>
      <c r="AB296" s="157">
        <f>'Quantitativos (A)'!Z296*$D296*$E296</f>
        <v>109.80000000000001</v>
      </c>
      <c r="AC296" s="157">
        <f>'Quantitativos (A)'!AA296*$D296*$E296</f>
        <v>164.70000000000002</v>
      </c>
      <c r="AD296" s="157">
        <f>'Quantitativos (A)'!AB296*$D296*$E296</f>
        <v>219.60000000000002</v>
      </c>
      <c r="AE296" s="157">
        <f>'Quantitativos (A)'!AC296*$D296*$E296</f>
        <v>109.80000000000001</v>
      </c>
      <c r="AF296" s="157">
        <f>'Quantitativos (A)'!AD296*$D296*$E296</f>
        <v>164.70000000000002</v>
      </c>
      <c r="AG296" s="157">
        <f>'Quantitativos (A)'!AE296*$D296*$E296</f>
        <v>109.80000000000001</v>
      </c>
      <c r="AH296" s="157">
        <f>'Quantitativos (A)'!AF296*$D296*$E296</f>
        <v>164.70000000000002</v>
      </c>
      <c r="AI296" s="158">
        <f>'Quantitativos (A)'!AG296*$D296*$E296</f>
        <v>109.80000000000001</v>
      </c>
      <c r="AJ296" s="22"/>
    </row>
    <row r="297" spans="1:36" ht="38.25" x14ac:dyDescent="0.25">
      <c r="A297" s="112"/>
      <c r="B297" s="69" t="s">
        <v>315</v>
      </c>
      <c r="C297" s="133" t="s">
        <v>64</v>
      </c>
      <c r="D297" s="157">
        <f>'Dados (F)'!$D$100</f>
        <v>11.87</v>
      </c>
      <c r="E297" s="133">
        <f>IF('Dados (F)'!$D$35=1,1,IF('Dados (F)'!$D$35=2,'Dados (F)'!$C$39,1))</f>
        <v>1</v>
      </c>
      <c r="F297" s="157">
        <f>'Quantitativos (A)'!D297*$D297*$E297</f>
        <v>0</v>
      </c>
      <c r="G297" s="157">
        <f>'Quantitativos (A)'!E297*$D297*$E297</f>
        <v>0</v>
      </c>
      <c r="H297" s="157">
        <f>'Quantitativos (A)'!F297*$D297*$E297</f>
        <v>0</v>
      </c>
      <c r="I297" s="157">
        <f>'Quantitativos (A)'!G297*$D297*$E297</f>
        <v>0</v>
      </c>
      <c r="J297" s="157">
        <f>'Quantitativos (A)'!H297*$D297*$E297</f>
        <v>0</v>
      </c>
      <c r="K297" s="157">
        <f>'Quantitativos (A)'!I297*$D297*$E297</f>
        <v>0</v>
      </c>
      <c r="L297" s="157">
        <f>'Quantitativos (A)'!J297*$D297*$E297</f>
        <v>0</v>
      </c>
      <c r="M297" s="157">
        <f>'Quantitativos (A)'!K297*$D297*$E297</f>
        <v>0</v>
      </c>
      <c r="N297" s="157">
        <f>'Quantitativos (A)'!L297*$D297*$E297</f>
        <v>0</v>
      </c>
      <c r="O297" s="157">
        <f>'Quantitativos (A)'!M297*$D297*$E297</f>
        <v>0</v>
      </c>
      <c r="P297" s="157">
        <f>'Quantitativos (A)'!N297*$D297*$E297</f>
        <v>0</v>
      </c>
      <c r="Q297" s="157">
        <f>'Quantitativos (A)'!O297*$D297*$E297</f>
        <v>0</v>
      </c>
      <c r="R297" s="157">
        <f>'Quantitativos (A)'!P297*$D297*$E297</f>
        <v>0</v>
      </c>
      <c r="S297" s="157">
        <f>'Quantitativos (A)'!Q297*$D297*$E297</f>
        <v>0</v>
      </c>
      <c r="T297" s="157">
        <f>'Quantitativos (A)'!R297*$D297*$E297</f>
        <v>0</v>
      </c>
      <c r="U297" s="157">
        <f>'Quantitativos (A)'!S297*$D297*$E297</f>
        <v>0</v>
      </c>
      <c r="V297" s="157">
        <f>'Quantitativos (A)'!T297*$D297*$E297</f>
        <v>0</v>
      </c>
      <c r="W297" s="157">
        <f>'Quantitativos (A)'!U297*$D297*$E297</f>
        <v>0</v>
      </c>
      <c r="X297" s="157">
        <f>'Quantitativos (A)'!V297*$D297*$E297</f>
        <v>0</v>
      </c>
      <c r="Y297" s="157">
        <f>'Quantitativos (A)'!W297*$D297*$E297</f>
        <v>0</v>
      </c>
      <c r="Z297" s="157">
        <f>'Quantitativos (A)'!X297*$D297*$E297</f>
        <v>0</v>
      </c>
      <c r="AA297" s="157">
        <f>'Quantitativos (A)'!Y297*$D297*$E297</f>
        <v>0</v>
      </c>
      <c r="AB297" s="157">
        <f>'Quantitativos (A)'!Z297*$D297*$E297</f>
        <v>0</v>
      </c>
      <c r="AC297" s="157">
        <f>'Quantitativos (A)'!AA297*$D297*$E297</f>
        <v>0</v>
      </c>
      <c r="AD297" s="157">
        <f>'Quantitativos (A)'!AB297*$D297*$E297</f>
        <v>0</v>
      </c>
      <c r="AE297" s="157">
        <f>'Quantitativos (A)'!AC297*$D297*$E297</f>
        <v>0</v>
      </c>
      <c r="AF297" s="157">
        <f>'Quantitativos (A)'!AD297*$D297*$E297</f>
        <v>0</v>
      </c>
      <c r="AG297" s="157">
        <f>'Quantitativos (A)'!AE297*$D297*$E297</f>
        <v>0</v>
      </c>
      <c r="AH297" s="157">
        <f>'Quantitativos (A)'!AF297*$D297*$E297</f>
        <v>0</v>
      </c>
      <c r="AI297" s="158">
        <f>'Quantitativos (A)'!AG297*$D297*$E297</f>
        <v>0</v>
      </c>
      <c r="AJ297" s="22"/>
    </row>
    <row r="298" spans="1:36" x14ac:dyDescent="0.25">
      <c r="A298" s="112"/>
      <c r="B298" s="69" t="s">
        <v>234</v>
      </c>
      <c r="C298" s="133" t="s">
        <v>64</v>
      </c>
      <c r="D298" s="157">
        <f>'Dados (F)'!$D$143</f>
        <v>242.78</v>
      </c>
      <c r="E298" s="133">
        <f>IF('Dados (F)'!$D$35=1,1,'Dados (F)'!$C$39)</f>
        <v>1</v>
      </c>
      <c r="F298" s="157">
        <f>'Quantitativos (A)'!D298*$D298*$E298</f>
        <v>7283.4</v>
      </c>
      <c r="G298" s="157">
        <f>'Quantitativos (A)'!E298*$D298*$E298</f>
        <v>0</v>
      </c>
      <c r="H298" s="157">
        <f>'Quantitativos (A)'!F298*$D298*$E298</f>
        <v>0</v>
      </c>
      <c r="I298" s="157">
        <f>'Quantitativos (A)'!G298*$D298*$E298</f>
        <v>7283.4</v>
      </c>
      <c r="J298" s="157">
        <f>'Quantitativos (A)'!H298*$D298*$E298</f>
        <v>0</v>
      </c>
      <c r="K298" s="157">
        <f>'Quantitativos (A)'!I298*$D298*$E298</f>
        <v>0</v>
      </c>
      <c r="L298" s="157">
        <f>'Quantitativos (A)'!J298*$D298*$E298</f>
        <v>7283.4</v>
      </c>
      <c r="M298" s="157">
        <f>'Quantitativos (A)'!K298*$D298*$E298</f>
        <v>0</v>
      </c>
      <c r="N298" s="157">
        <f>'Quantitativos (A)'!L298*$D298*$E298</f>
        <v>7283.4</v>
      </c>
      <c r="O298" s="157">
        <f>'Quantitativos (A)'!M298*$D298*$E298</f>
        <v>0</v>
      </c>
      <c r="P298" s="157">
        <f>'Quantitativos (A)'!N298*$D298*$E298</f>
        <v>7283.4</v>
      </c>
      <c r="Q298" s="157">
        <f>'Quantitativos (A)'!O298*$D298*$E298</f>
        <v>0</v>
      </c>
      <c r="R298" s="157">
        <f>'Quantitativos (A)'!P298*$D298*$E298</f>
        <v>0</v>
      </c>
      <c r="S298" s="157">
        <f>'Quantitativos (A)'!Q298*$D298*$E298</f>
        <v>7283.4</v>
      </c>
      <c r="T298" s="157">
        <f>'Quantitativos (A)'!R298*$D298*$E298</f>
        <v>0</v>
      </c>
      <c r="U298" s="157">
        <f>'Quantitativos (A)'!S298*$D298*$E298</f>
        <v>0</v>
      </c>
      <c r="V298" s="157">
        <f>'Quantitativos (A)'!T298*$D298*$E298</f>
        <v>7283.4</v>
      </c>
      <c r="W298" s="157">
        <f>'Quantitativos (A)'!U298*$D298*$E298</f>
        <v>0</v>
      </c>
      <c r="X298" s="157">
        <f>'Quantitativos (A)'!V298*$D298*$E298</f>
        <v>7283.4</v>
      </c>
      <c r="Y298" s="157">
        <f>'Quantitativos (A)'!W298*$D298*$E298</f>
        <v>0</v>
      </c>
      <c r="Z298" s="157">
        <f>'Quantitativos (A)'!X298*$D298*$E298</f>
        <v>7283.4</v>
      </c>
      <c r="AA298" s="157">
        <f>'Quantitativos (A)'!Y298*$D298*$E298</f>
        <v>0</v>
      </c>
      <c r="AB298" s="157">
        <f>'Quantitativos (A)'!Z298*$D298*$E298</f>
        <v>0</v>
      </c>
      <c r="AC298" s="157">
        <f>'Quantitativos (A)'!AA298*$D298*$E298</f>
        <v>7283.4</v>
      </c>
      <c r="AD298" s="157">
        <f>'Quantitativos (A)'!AB298*$D298*$E298</f>
        <v>0</v>
      </c>
      <c r="AE298" s="157">
        <f>'Quantitativos (A)'!AC298*$D298*$E298</f>
        <v>0</v>
      </c>
      <c r="AF298" s="157">
        <f>'Quantitativos (A)'!AD298*$D298*$E298</f>
        <v>7283.4</v>
      </c>
      <c r="AG298" s="157">
        <f>'Quantitativos (A)'!AE298*$D298*$E298</f>
        <v>0</v>
      </c>
      <c r="AH298" s="157">
        <f>'Quantitativos (A)'!AF298*$D298*$E298</f>
        <v>7283.4</v>
      </c>
      <c r="AI298" s="158">
        <f>'Quantitativos (A)'!AG298*$D298*$E298</f>
        <v>0</v>
      </c>
      <c r="AJ298" s="22"/>
    </row>
    <row r="299" spans="1:36" x14ac:dyDescent="0.25">
      <c r="A299" s="112"/>
      <c r="B299" s="69" t="s">
        <v>237</v>
      </c>
      <c r="C299" s="133" t="s">
        <v>64</v>
      </c>
      <c r="D299" s="157">
        <f>'Dados (F)'!$D$146</f>
        <v>438.48</v>
      </c>
      <c r="E299" s="133">
        <f>IF('Dados (F)'!$D$35=1,1,'Dados (F)'!$C$39)</f>
        <v>1</v>
      </c>
      <c r="F299" s="157">
        <f>'Quantitativos (A)'!D299*$D299*$E299</f>
        <v>10523.52</v>
      </c>
      <c r="G299" s="157">
        <f>'Quantitativos (A)'!E299*$D299*$E299</f>
        <v>15785.28</v>
      </c>
      <c r="H299" s="157">
        <f>'Quantitativos (A)'!F299*$D299*$E299</f>
        <v>7892.64</v>
      </c>
      <c r="I299" s="157">
        <f>'Quantitativos (A)'!G299*$D299*$E299</f>
        <v>10523.52</v>
      </c>
      <c r="J299" s="157">
        <f>'Quantitativos (A)'!H299*$D299*$E299</f>
        <v>15785.28</v>
      </c>
      <c r="K299" s="157">
        <f>'Quantitativos (A)'!I299*$D299*$E299</f>
        <v>7892.64</v>
      </c>
      <c r="L299" s="157">
        <f>'Quantitativos (A)'!J299*$D299*$E299</f>
        <v>10523.52</v>
      </c>
      <c r="M299" s="157">
        <f>'Quantitativos (A)'!K299*$D299*$E299</f>
        <v>7892.64</v>
      </c>
      <c r="N299" s="157">
        <f>'Quantitativos (A)'!L299*$D299*$E299</f>
        <v>10523.52</v>
      </c>
      <c r="O299" s="157">
        <f>'Quantitativos (A)'!M299*$D299*$E299</f>
        <v>7892.64</v>
      </c>
      <c r="P299" s="157">
        <f>'Quantitativos (A)'!N299*$D299*$E299</f>
        <v>7892.64</v>
      </c>
      <c r="Q299" s="157">
        <f>'Quantitativos (A)'!O299*$D299*$E299</f>
        <v>10523.52</v>
      </c>
      <c r="R299" s="157">
        <f>'Quantitativos (A)'!P299*$D299*$E299</f>
        <v>7892.64</v>
      </c>
      <c r="S299" s="157">
        <f>'Quantitativos (A)'!Q299*$D299*$E299</f>
        <v>7892.64</v>
      </c>
      <c r="T299" s="157">
        <f>'Quantitativos (A)'!R299*$D299*$E299</f>
        <v>13154.400000000001</v>
      </c>
      <c r="U299" s="157">
        <f>'Quantitativos (A)'!S299*$D299*$E299</f>
        <v>7892.64</v>
      </c>
      <c r="V299" s="157">
        <f>'Quantitativos (A)'!T299*$D299*$E299</f>
        <v>7892.64</v>
      </c>
      <c r="W299" s="157">
        <f>'Quantitativos (A)'!U299*$D299*$E299</f>
        <v>7892.64</v>
      </c>
      <c r="X299" s="157">
        <f>'Quantitativos (A)'!V299*$D299*$E299</f>
        <v>7892.64</v>
      </c>
      <c r="Y299" s="157">
        <f>'Quantitativos (A)'!W299*$D299*$E299</f>
        <v>7892.64</v>
      </c>
      <c r="Z299" s="157">
        <f>'Quantitativos (A)'!X299*$D299*$E299</f>
        <v>7892.64</v>
      </c>
      <c r="AA299" s="157">
        <f>'Quantitativos (A)'!Y299*$D299*$E299</f>
        <v>10523.52</v>
      </c>
      <c r="AB299" s="157">
        <f>'Quantitativos (A)'!Z299*$D299*$E299</f>
        <v>5261.76</v>
      </c>
      <c r="AC299" s="157">
        <f>'Quantitativos (A)'!AA299*$D299*$E299</f>
        <v>7892.64</v>
      </c>
      <c r="AD299" s="157">
        <f>'Quantitativos (A)'!AB299*$D299*$E299</f>
        <v>10523.52</v>
      </c>
      <c r="AE299" s="157">
        <f>'Quantitativos (A)'!AC299*$D299*$E299</f>
        <v>5261.76</v>
      </c>
      <c r="AF299" s="157">
        <f>'Quantitativos (A)'!AD299*$D299*$E299</f>
        <v>7892.64</v>
      </c>
      <c r="AG299" s="157">
        <f>'Quantitativos (A)'!AE299*$D299*$E299</f>
        <v>5261.76</v>
      </c>
      <c r="AH299" s="157">
        <f>'Quantitativos (A)'!AF299*$D299*$E299</f>
        <v>7892.64</v>
      </c>
      <c r="AI299" s="158">
        <f>'Quantitativos (A)'!AG299*$D299*$E299</f>
        <v>5261.76</v>
      </c>
      <c r="AJ299" s="22"/>
    </row>
    <row r="300" spans="1:36" x14ac:dyDescent="0.25">
      <c r="A300" s="112"/>
      <c r="B300" s="69" t="s">
        <v>239</v>
      </c>
      <c r="C300" s="133" t="s">
        <v>64</v>
      </c>
      <c r="D300" s="161">
        <f>'Dados (F)'!$D$148</f>
        <v>586.36</v>
      </c>
      <c r="E300" s="133">
        <f>IF('Dados (F)'!$D$35=1,1,'Dados (F)'!$C$39)</f>
        <v>1</v>
      </c>
      <c r="F300" s="157">
        <f>'Quantitativos (A)'!D300*$D300*$E300</f>
        <v>0</v>
      </c>
      <c r="G300" s="157">
        <f>'Quantitativos (A)'!E300*$D300*$E300</f>
        <v>0</v>
      </c>
      <c r="H300" s="157">
        <f>'Quantitativos (A)'!F300*$D300*$E300</f>
        <v>0</v>
      </c>
      <c r="I300" s="157">
        <f>'Quantitativos (A)'!G300*$D300*$E300</f>
        <v>0</v>
      </c>
      <c r="J300" s="157">
        <f>'Quantitativos (A)'!H300*$D300*$E300</f>
        <v>0</v>
      </c>
      <c r="K300" s="157">
        <f>'Quantitativos (A)'!I300*$D300*$E300</f>
        <v>0</v>
      </c>
      <c r="L300" s="157">
        <f>'Quantitativos (A)'!J300*$D300*$E300</f>
        <v>0</v>
      </c>
      <c r="M300" s="157">
        <f>'Quantitativos (A)'!K300*$D300*$E300</f>
        <v>0</v>
      </c>
      <c r="N300" s="157">
        <f>'Quantitativos (A)'!L300*$D300*$E300</f>
        <v>0</v>
      </c>
      <c r="O300" s="157">
        <f>'Quantitativos (A)'!M300*$D300*$E300</f>
        <v>0</v>
      </c>
      <c r="P300" s="157">
        <f>'Quantitativos (A)'!N300*$D300*$E300</f>
        <v>0</v>
      </c>
      <c r="Q300" s="157">
        <f>'Quantitativos (A)'!O300*$D300*$E300</f>
        <v>0</v>
      </c>
      <c r="R300" s="157">
        <f>'Quantitativos (A)'!P300*$D300*$E300</f>
        <v>0</v>
      </c>
      <c r="S300" s="157">
        <f>'Quantitativos (A)'!Q300*$D300*$E300</f>
        <v>0</v>
      </c>
      <c r="T300" s="157">
        <f>'Quantitativos (A)'!R300*$D300*$E300</f>
        <v>0</v>
      </c>
      <c r="U300" s="157">
        <f>'Quantitativos (A)'!S300*$D300*$E300</f>
        <v>0</v>
      </c>
      <c r="V300" s="157">
        <f>'Quantitativos (A)'!T300*$D300*$E300</f>
        <v>0</v>
      </c>
      <c r="W300" s="157">
        <f>'Quantitativos (A)'!U300*$D300*$E300</f>
        <v>0</v>
      </c>
      <c r="X300" s="157">
        <f>'Quantitativos (A)'!V300*$D300*$E300</f>
        <v>0</v>
      </c>
      <c r="Y300" s="157">
        <f>'Quantitativos (A)'!W300*$D300*$E300</f>
        <v>0</v>
      </c>
      <c r="Z300" s="157">
        <f>'Quantitativos (A)'!X300*$D300*$E300</f>
        <v>0</v>
      </c>
      <c r="AA300" s="157">
        <f>'Quantitativos (A)'!Y300*$D300*$E300</f>
        <v>0</v>
      </c>
      <c r="AB300" s="157">
        <f>'Quantitativos (A)'!Z300*$D300*$E300</f>
        <v>0</v>
      </c>
      <c r="AC300" s="157">
        <f>'Quantitativos (A)'!AA300*$D300*$E300</f>
        <v>0</v>
      </c>
      <c r="AD300" s="157">
        <f>'Quantitativos (A)'!AB300*$D300*$E300</f>
        <v>0</v>
      </c>
      <c r="AE300" s="157">
        <f>'Quantitativos (A)'!AC300*$D300*$E300</f>
        <v>0</v>
      </c>
      <c r="AF300" s="157">
        <f>'Quantitativos (A)'!AD300*$D300*$E300</f>
        <v>0</v>
      </c>
      <c r="AG300" s="157">
        <f>'Quantitativos (A)'!AE300*$D300*$E300</f>
        <v>0</v>
      </c>
      <c r="AH300" s="157">
        <f>'Quantitativos (A)'!AF300*$D300*$E300</f>
        <v>0</v>
      </c>
      <c r="AI300" s="158">
        <f>'Quantitativos (A)'!AG300*$D300*$E300</f>
        <v>0</v>
      </c>
      <c r="AJ300" s="22"/>
    </row>
    <row r="301" spans="1:36" x14ac:dyDescent="0.25">
      <c r="A301" s="112"/>
      <c r="B301" s="69" t="s">
        <v>193</v>
      </c>
      <c r="C301" s="133" t="s">
        <v>59</v>
      </c>
      <c r="D301" s="161">
        <f>'Dados (F)'!$D$150</f>
        <v>272.58999999999997</v>
      </c>
      <c r="E301" s="133">
        <f>IF('Dados (F)'!$D$35=1,1,'Dados (F)'!$C$39)</f>
        <v>1</v>
      </c>
      <c r="F301" s="157">
        <f>'Quantitativos (A)'!D301*$D301*$E301</f>
        <v>272.58999999999997</v>
      </c>
      <c r="G301" s="157">
        <f>'Quantitativos (A)'!E301*$D301*$E301</f>
        <v>0</v>
      </c>
      <c r="H301" s="157">
        <f>'Quantitativos (A)'!F301*$D301*$E301</f>
        <v>0</v>
      </c>
      <c r="I301" s="157">
        <f>'Quantitativos (A)'!G301*$D301*$E301</f>
        <v>272.58999999999997</v>
      </c>
      <c r="J301" s="157">
        <f>'Quantitativos (A)'!H301*$D301*$E301</f>
        <v>0</v>
      </c>
      <c r="K301" s="157">
        <f>'Quantitativos (A)'!I301*$D301*$E301</f>
        <v>0</v>
      </c>
      <c r="L301" s="157">
        <f>'Quantitativos (A)'!J301*$D301*$E301</f>
        <v>272.58999999999997</v>
      </c>
      <c r="M301" s="157">
        <f>'Quantitativos (A)'!K301*$D301*$E301</f>
        <v>0</v>
      </c>
      <c r="N301" s="157">
        <f>'Quantitativos (A)'!L301*$D301*$E301</f>
        <v>272.58999999999997</v>
      </c>
      <c r="O301" s="157">
        <f>'Quantitativos (A)'!M301*$D301*$E301</f>
        <v>0</v>
      </c>
      <c r="P301" s="157">
        <f>'Quantitativos (A)'!N301*$D301*$E301</f>
        <v>272.58999999999997</v>
      </c>
      <c r="Q301" s="157">
        <f>'Quantitativos (A)'!O301*$D301*$E301</f>
        <v>0</v>
      </c>
      <c r="R301" s="157">
        <f>'Quantitativos (A)'!P301*$D301*$E301</f>
        <v>0</v>
      </c>
      <c r="S301" s="157">
        <f>'Quantitativos (A)'!Q301*$D301*$E301</f>
        <v>272.58999999999997</v>
      </c>
      <c r="T301" s="157">
        <f>'Quantitativos (A)'!R301*$D301*$E301</f>
        <v>0</v>
      </c>
      <c r="U301" s="157">
        <f>'Quantitativos (A)'!S301*$D301*$E301</f>
        <v>0</v>
      </c>
      <c r="V301" s="157">
        <f>'Quantitativos (A)'!T301*$D301*$E301</f>
        <v>272.58999999999997</v>
      </c>
      <c r="W301" s="157">
        <f>'Quantitativos (A)'!U301*$D301*$E301</f>
        <v>0</v>
      </c>
      <c r="X301" s="157">
        <f>'Quantitativos (A)'!V301*$D301*$E301</f>
        <v>272.58999999999997</v>
      </c>
      <c r="Y301" s="157">
        <f>'Quantitativos (A)'!W301*$D301*$E301</f>
        <v>0</v>
      </c>
      <c r="Z301" s="157">
        <f>'Quantitativos (A)'!X301*$D301*$E301</f>
        <v>545.17999999999995</v>
      </c>
      <c r="AA301" s="157">
        <f>'Quantitativos (A)'!Y301*$D301*$E301</f>
        <v>0</v>
      </c>
      <c r="AB301" s="157">
        <f>'Quantitativos (A)'!Z301*$D301*$E301</f>
        <v>0</v>
      </c>
      <c r="AC301" s="157">
        <f>'Quantitativos (A)'!AA301*$D301*$E301</f>
        <v>545.17999999999995</v>
      </c>
      <c r="AD301" s="157">
        <f>'Quantitativos (A)'!AB301*$D301*$E301</f>
        <v>0</v>
      </c>
      <c r="AE301" s="157">
        <f>'Quantitativos (A)'!AC301*$D301*$E301</f>
        <v>0</v>
      </c>
      <c r="AF301" s="157">
        <f>'Quantitativos (A)'!AD301*$D301*$E301</f>
        <v>545.17999999999995</v>
      </c>
      <c r="AG301" s="157">
        <f>'Quantitativos (A)'!AE301*$D301*$E301</f>
        <v>0</v>
      </c>
      <c r="AH301" s="157">
        <f>'Quantitativos (A)'!AF301*$D301*$E301</f>
        <v>545.17999999999995</v>
      </c>
      <c r="AI301" s="158">
        <f>'Quantitativos (A)'!AG301*$D301*$E301</f>
        <v>0</v>
      </c>
      <c r="AJ301" s="22"/>
    </row>
    <row r="302" spans="1:36" x14ac:dyDescent="0.25">
      <c r="A302" s="112"/>
      <c r="B302" s="69" t="s">
        <v>194</v>
      </c>
      <c r="C302" s="133" t="s">
        <v>59</v>
      </c>
      <c r="D302" s="161">
        <f>'Dados (F)'!$D$151</f>
        <v>425.45</v>
      </c>
      <c r="E302" s="133">
        <f>IF('Dados (F)'!$D$35=1,1,'Dados (F)'!$C$39)</f>
        <v>1</v>
      </c>
      <c r="F302" s="157">
        <f>'Quantitativos (A)'!D302*$D302*$E302</f>
        <v>850.9</v>
      </c>
      <c r="G302" s="157">
        <f>'Quantitativos (A)'!E302*$D302*$E302</f>
        <v>0</v>
      </c>
      <c r="H302" s="157">
        <f>'Quantitativos (A)'!F302*$D302*$E302</f>
        <v>0</v>
      </c>
      <c r="I302" s="157">
        <f>'Quantitativos (A)'!G302*$D302*$E302</f>
        <v>850.9</v>
      </c>
      <c r="J302" s="157">
        <f>'Quantitativos (A)'!H302*$D302*$E302</f>
        <v>0</v>
      </c>
      <c r="K302" s="157">
        <f>'Quantitativos (A)'!I302*$D302*$E302</f>
        <v>0</v>
      </c>
      <c r="L302" s="157">
        <f>'Quantitativos (A)'!J302*$D302*$E302</f>
        <v>850.9</v>
      </c>
      <c r="M302" s="157">
        <f>'Quantitativos (A)'!K302*$D302*$E302</f>
        <v>0</v>
      </c>
      <c r="N302" s="157">
        <f>'Quantitativos (A)'!L302*$D302*$E302</f>
        <v>850.9</v>
      </c>
      <c r="O302" s="157">
        <f>'Quantitativos (A)'!M302*$D302*$E302</f>
        <v>0</v>
      </c>
      <c r="P302" s="157">
        <f>'Quantitativos (A)'!N302*$D302*$E302</f>
        <v>850.9</v>
      </c>
      <c r="Q302" s="157">
        <f>'Quantitativos (A)'!O302*$D302*$E302</f>
        <v>0</v>
      </c>
      <c r="R302" s="157">
        <f>'Quantitativos (A)'!P302*$D302*$E302</f>
        <v>0</v>
      </c>
      <c r="S302" s="157">
        <f>'Quantitativos (A)'!Q302*$D302*$E302</f>
        <v>850.9</v>
      </c>
      <c r="T302" s="157">
        <f>'Quantitativos (A)'!R302*$D302*$E302</f>
        <v>0</v>
      </c>
      <c r="U302" s="157">
        <f>'Quantitativos (A)'!S302*$D302*$E302</f>
        <v>0</v>
      </c>
      <c r="V302" s="157">
        <f>'Quantitativos (A)'!T302*$D302*$E302</f>
        <v>850.9</v>
      </c>
      <c r="W302" s="157">
        <f>'Quantitativos (A)'!U302*$D302*$E302</f>
        <v>0</v>
      </c>
      <c r="X302" s="157">
        <f>'Quantitativos (A)'!V302*$D302*$E302</f>
        <v>850.9</v>
      </c>
      <c r="Y302" s="157">
        <f>'Quantitativos (A)'!W302*$D302*$E302</f>
        <v>0</v>
      </c>
      <c r="Z302" s="157">
        <f>'Quantitativos (A)'!X302*$D302*$E302</f>
        <v>850.9</v>
      </c>
      <c r="AA302" s="157">
        <f>'Quantitativos (A)'!Y302*$D302*$E302</f>
        <v>0</v>
      </c>
      <c r="AB302" s="157">
        <f>'Quantitativos (A)'!Z302*$D302*$E302</f>
        <v>0</v>
      </c>
      <c r="AC302" s="157">
        <f>'Quantitativos (A)'!AA302*$D302*$E302</f>
        <v>850.9</v>
      </c>
      <c r="AD302" s="157">
        <f>'Quantitativos (A)'!AB302*$D302*$E302</f>
        <v>0</v>
      </c>
      <c r="AE302" s="157">
        <f>'Quantitativos (A)'!AC302*$D302*$E302</f>
        <v>0</v>
      </c>
      <c r="AF302" s="157">
        <f>'Quantitativos (A)'!AD302*$D302*$E302</f>
        <v>850.9</v>
      </c>
      <c r="AG302" s="157">
        <f>'Quantitativos (A)'!AE302*$D302*$E302</f>
        <v>0</v>
      </c>
      <c r="AH302" s="157">
        <f>'Quantitativos (A)'!AF302*$D302*$E302</f>
        <v>850.9</v>
      </c>
      <c r="AI302" s="158">
        <f>'Quantitativos (A)'!AG302*$D302*$E302</f>
        <v>0</v>
      </c>
      <c r="AJ302" s="22"/>
    </row>
    <row r="303" spans="1:36" x14ac:dyDescent="0.25">
      <c r="A303" s="112"/>
      <c r="B303" s="69" t="s">
        <v>197</v>
      </c>
      <c r="C303" s="133" t="s">
        <v>59</v>
      </c>
      <c r="D303" s="161">
        <f>'Dados (F)'!$D$154</f>
        <v>1096.29</v>
      </c>
      <c r="E303" s="133">
        <f>IF('Dados (F)'!$D$35=1,1,'Dados (F)'!$C$39)</f>
        <v>1</v>
      </c>
      <c r="F303" s="157">
        <f>'Quantitativos (A)'!D303*$D303*$E303</f>
        <v>3288.87</v>
      </c>
      <c r="G303" s="157">
        <f>'Quantitativos (A)'!E303*$D303*$E303</f>
        <v>3288.87</v>
      </c>
      <c r="H303" s="157">
        <f>'Quantitativos (A)'!F303*$D303*$E303</f>
        <v>2192.58</v>
      </c>
      <c r="I303" s="157">
        <f>'Quantitativos (A)'!G303*$D303*$E303</f>
        <v>3288.87</v>
      </c>
      <c r="J303" s="157">
        <f>'Quantitativos (A)'!H303*$D303*$E303</f>
        <v>3288.87</v>
      </c>
      <c r="K303" s="157">
        <f>'Quantitativos (A)'!I303*$D303*$E303</f>
        <v>2192.58</v>
      </c>
      <c r="L303" s="157">
        <f>'Quantitativos (A)'!J303*$D303*$E303</f>
        <v>3288.87</v>
      </c>
      <c r="M303" s="157">
        <f>'Quantitativos (A)'!K303*$D303*$E303</f>
        <v>2192.58</v>
      </c>
      <c r="N303" s="157">
        <f>'Quantitativos (A)'!L303*$D303*$E303</f>
        <v>3288.87</v>
      </c>
      <c r="O303" s="157">
        <f>'Quantitativos (A)'!M303*$D303*$E303</f>
        <v>2192.58</v>
      </c>
      <c r="P303" s="157">
        <f>'Quantitativos (A)'!N303*$D303*$E303</f>
        <v>1096.29</v>
      </c>
      <c r="Q303" s="157">
        <f>'Quantitativos (A)'!O303*$D303*$E303</f>
        <v>3288.87</v>
      </c>
      <c r="R303" s="157">
        <f>'Quantitativos (A)'!P303*$D303*$E303</f>
        <v>2192.58</v>
      </c>
      <c r="S303" s="157">
        <f>'Quantitativos (A)'!Q303*$D303*$E303</f>
        <v>1096.29</v>
      </c>
      <c r="T303" s="157">
        <f>'Quantitativos (A)'!R303*$D303*$E303</f>
        <v>3288.87</v>
      </c>
      <c r="U303" s="157">
        <f>'Quantitativos (A)'!S303*$D303*$E303</f>
        <v>2192.58</v>
      </c>
      <c r="V303" s="157">
        <f>'Quantitativos (A)'!T303*$D303*$E303</f>
        <v>1096.29</v>
      </c>
      <c r="W303" s="157">
        <f>'Quantitativos (A)'!U303*$D303*$E303</f>
        <v>2192.58</v>
      </c>
      <c r="X303" s="157">
        <f>'Quantitativos (A)'!V303*$D303*$E303</f>
        <v>1096.29</v>
      </c>
      <c r="Y303" s="157">
        <f>'Quantitativos (A)'!W303*$D303*$E303</f>
        <v>2192.58</v>
      </c>
      <c r="Z303" s="157">
        <f>'Quantitativos (A)'!X303*$D303*$E303</f>
        <v>1096.29</v>
      </c>
      <c r="AA303" s="157">
        <f>'Quantitativos (A)'!Y303*$D303*$E303</f>
        <v>1096.29</v>
      </c>
      <c r="AB303" s="157">
        <f>'Quantitativos (A)'!Z303*$D303*$E303</f>
        <v>0</v>
      </c>
      <c r="AC303" s="157">
        <f>'Quantitativos (A)'!AA303*$D303*$E303</f>
        <v>1096.29</v>
      </c>
      <c r="AD303" s="157">
        <f>'Quantitativos (A)'!AB303*$D303*$E303</f>
        <v>1096.29</v>
      </c>
      <c r="AE303" s="157">
        <f>'Quantitativos (A)'!AC303*$D303*$E303</f>
        <v>0</v>
      </c>
      <c r="AF303" s="157">
        <f>'Quantitativos (A)'!AD303*$D303*$E303</f>
        <v>1096.29</v>
      </c>
      <c r="AG303" s="157">
        <f>'Quantitativos (A)'!AE303*$D303*$E303</f>
        <v>0</v>
      </c>
      <c r="AH303" s="157">
        <f>'Quantitativos (A)'!AF303*$D303*$E303</f>
        <v>1096.29</v>
      </c>
      <c r="AI303" s="158">
        <f>'Quantitativos (A)'!AG303*$D303*$E303</f>
        <v>0</v>
      </c>
      <c r="AJ303" s="22"/>
    </row>
    <row r="304" spans="1:36" x14ac:dyDescent="0.25">
      <c r="A304" s="112"/>
      <c r="B304" s="69" t="s">
        <v>199</v>
      </c>
      <c r="C304" s="133" t="s">
        <v>59</v>
      </c>
      <c r="D304" s="161">
        <f>'Dados (F)'!$D$156</f>
        <v>2221.84</v>
      </c>
      <c r="E304" s="133">
        <f>IF('Dados (F)'!$D$35=1,1,'Dados (F)'!$C$39)</f>
        <v>1</v>
      </c>
      <c r="F304" s="157">
        <f>'Quantitativos (A)'!D304*$D304*$E304</f>
        <v>0</v>
      </c>
      <c r="G304" s="157">
        <f>'Quantitativos (A)'!E304*$D304*$E304</f>
        <v>0</v>
      </c>
      <c r="H304" s="157">
        <f>'Quantitativos (A)'!F304*$D304*$E304</f>
        <v>0</v>
      </c>
      <c r="I304" s="157">
        <f>'Quantitativos (A)'!G304*$D304*$E304</f>
        <v>0</v>
      </c>
      <c r="J304" s="157">
        <f>'Quantitativos (A)'!H304*$D304*$E304</f>
        <v>0</v>
      </c>
      <c r="K304" s="157">
        <f>'Quantitativos (A)'!I304*$D304*$E304</f>
        <v>0</v>
      </c>
      <c r="L304" s="157">
        <f>'Quantitativos (A)'!J304*$D304*$E304</f>
        <v>0</v>
      </c>
      <c r="M304" s="157">
        <f>'Quantitativos (A)'!K304*$D304*$E304</f>
        <v>0</v>
      </c>
      <c r="N304" s="157">
        <f>'Quantitativos (A)'!L304*$D304*$E304</f>
        <v>0</v>
      </c>
      <c r="O304" s="157">
        <f>'Quantitativos (A)'!M304*$D304*$E304</f>
        <v>0</v>
      </c>
      <c r="P304" s="157">
        <f>'Quantitativos (A)'!N304*$D304*$E304</f>
        <v>0</v>
      </c>
      <c r="Q304" s="157">
        <f>'Quantitativos (A)'!O304*$D304*$E304</f>
        <v>0</v>
      </c>
      <c r="R304" s="157">
        <f>'Quantitativos (A)'!P304*$D304*$E304</f>
        <v>0</v>
      </c>
      <c r="S304" s="157">
        <f>'Quantitativos (A)'!Q304*$D304*$E304</f>
        <v>0</v>
      </c>
      <c r="T304" s="157">
        <f>'Quantitativos (A)'!R304*$D304*$E304</f>
        <v>0</v>
      </c>
      <c r="U304" s="157">
        <f>'Quantitativos (A)'!S304*$D304*$E304</f>
        <v>0</v>
      </c>
      <c r="V304" s="157">
        <f>'Quantitativos (A)'!T304*$D304*$E304</f>
        <v>0</v>
      </c>
      <c r="W304" s="157">
        <f>'Quantitativos (A)'!U304*$D304*$E304</f>
        <v>0</v>
      </c>
      <c r="X304" s="157">
        <f>'Quantitativos (A)'!V304*$D304*$E304</f>
        <v>0</v>
      </c>
      <c r="Y304" s="157">
        <f>'Quantitativos (A)'!W304*$D304*$E304</f>
        <v>0</v>
      </c>
      <c r="Z304" s="157">
        <f>'Quantitativos (A)'!X304*$D304*$E304</f>
        <v>0</v>
      </c>
      <c r="AA304" s="157">
        <f>'Quantitativos (A)'!Y304*$D304*$E304</f>
        <v>0</v>
      </c>
      <c r="AB304" s="157">
        <f>'Quantitativos (A)'!Z304*$D304*$E304</f>
        <v>0</v>
      </c>
      <c r="AC304" s="157">
        <f>'Quantitativos (A)'!AA304*$D304*$E304</f>
        <v>0</v>
      </c>
      <c r="AD304" s="157">
        <f>'Quantitativos (A)'!AB304*$D304*$E304</f>
        <v>0</v>
      </c>
      <c r="AE304" s="157">
        <f>'Quantitativos (A)'!AC304*$D304*$E304</f>
        <v>0</v>
      </c>
      <c r="AF304" s="157">
        <f>'Quantitativos (A)'!AD304*$D304*$E304</f>
        <v>0</v>
      </c>
      <c r="AG304" s="157">
        <f>'Quantitativos (A)'!AE304*$D304*$E304</f>
        <v>0</v>
      </c>
      <c r="AH304" s="157">
        <f>'Quantitativos (A)'!AF304*$D304*$E304</f>
        <v>0</v>
      </c>
      <c r="AI304" s="158">
        <f>'Quantitativos (A)'!AG304*$D304*$E304</f>
        <v>0</v>
      </c>
      <c r="AJ304" s="22"/>
    </row>
    <row r="305" spans="1:36" x14ac:dyDescent="0.25">
      <c r="A305" s="112"/>
      <c r="B305" s="69" t="s">
        <v>204</v>
      </c>
      <c r="C305" s="133" t="s">
        <v>59</v>
      </c>
      <c r="D305" s="161">
        <f>'Dados (F)'!$D$161</f>
        <v>960.78</v>
      </c>
      <c r="E305" s="133">
        <f>IF('Dados (F)'!$D$35=1,1,'Dados (F)'!$C$39)</f>
        <v>1</v>
      </c>
      <c r="F305" s="157">
        <f>'Quantitativos (A)'!D305*$D305*$E305</f>
        <v>0</v>
      </c>
      <c r="G305" s="157">
        <f>'Quantitativos (A)'!E305*$D305*$E305</f>
        <v>0</v>
      </c>
      <c r="H305" s="157">
        <f>'Quantitativos (A)'!F305*$D305*$E305</f>
        <v>0</v>
      </c>
      <c r="I305" s="157">
        <f>'Quantitativos (A)'!G305*$D305*$E305</f>
        <v>0</v>
      </c>
      <c r="J305" s="157">
        <f>'Quantitativos (A)'!H305*$D305*$E305</f>
        <v>0</v>
      </c>
      <c r="K305" s="157">
        <f>'Quantitativos (A)'!I305*$D305*$E305</f>
        <v>0</v>
      </c>
      <c r="L305" s="157">
        <f>'Quantitativos (A)'!J305*$D305*$E305</f>
        <v>0</v>
      </c>
      <c r="M305" s="157">
        <f>'Quantitativos (A)'!K305*$D305*$E305</f>
        <v>0</v>
      </c>
      <c r="N305" s="157">
        <f>'Quantitativos (A)'!L305*$D305*$E305</f>
        <v>0</v>
      </c>
      <c r="O305" s="157">
        <f>'Quantitativos (A)'!M305*$D305*$E305</f>
        <v>0</v>
      </c>
      <c r="P305" s="157">
        <f>'Quantitativos (A)'!N305*$D305*$E305</f>
        <v>0</v>
      </c>
      <c r="Q305" s="157">
        <f>'Quantitativos (A)'!O305*$D305*$E305</f>
        <v>0</v>
      </c>
      <c r="R305" s="157">
        <f>'Quantitativos (A)'!P305*$D305*$E305</f>
        <v>0</v>
      </c>
      <c r="S305" s="157">
        <f>'Quantitativos (A)'!Q305*$D305*$E305</f>
        <v>0</v>
      </c>
      <c r="T305" s="157">
        <f>'Quantitativos (A)'!R305*$D305*$E305</f>
        <v>0</v>
      </c>
      <c r="U305" s="157">
        <f>'Quantitativos (A)'!S305*$D305*$E305</f>
        <v>0</v>
      </c>
      <c r="V305" s="157">
        <f>'Quantitativos (A)'!T305*$D305*$E305</f>
        <v>0</v>
      </c>
      <c r="W305" s="157">
        <f>'Quantitativos (A)'!U305*$D305*$E305</f>
        <v>0</v>
      </c>
      <c r="X305" s="157">
        <f>'Quantitativos (A)'!V305*$D305*$E305</f>
        <v>0</v>
      </c>
      <c r="Y305" s="157">
        <f>'Quantitativos (A)'!W305*$D305*$E305</f>
        <v>0</v>
      </c>
      <c r="Z305" s="157">
        <f>'Quantitativos (A)'!X305*$D305*$E305</f>
        <v>0</v>
      </c>
      <c r="AA305" s="157">
        <f>'Quantitativos (A)'!Y305*$D305*$E305</f>
        <v>0</v>
      </c>
      <c r="AB305" s="157">
        <f>'Quantitativos (A)'!Z305*$D305*$E305</f>
        <v>960.78</v>
      </c>
      <c r="AC305" s="157">
        <f>'Quantitativos (A)'!AA305*$D305*$E305</f>
        <v>0</v>
      </c>
      <c r="AD305" s="157">
        <f>'Quantitativos (A)'!AB305*$D305*$E305</f>
        <v>0</v>
      </c>
      <c r="AE305" s="157">
        <f>'Quantitativos (A)'!AC305*$D305*$E305</f>
        <v>960.78</v>
      </c>
      <c r="AF305" s="157">
        <f>'Quantitativos (A)'!AD305*$D305*$E305</f>
        <v>0</v>
      </c>
      <c r="AG305" s="157">
        <f>'Quantitativos (A)'!AE305*$D305*$E305</f>
        <v>960.78</v>
      </c>
      <c r="AH305" s="157">
        <f>'Quantitativos (A)'!AF305*$D305*$E305</f>
        <v>0</v>
      </c>
      <c r="AI305" s="158">
        <f>'Quantitativos (A)'!AG305*$D305*$E305</f>
        <v>960.78</v>
      </c>
      <c r="AJ305" s="22"/>
    </row>
    <row r="306" spans="1:36" x14ac:dyDescent="0.25">
      <c r="A306" s="112"/>
      <c r="B306" s="69" t="s">
        <v>320</v>
      </c>
      <c r="C306" s="133" t="s">
        <v>59</v>
      </c>
      <c r="D306" s="161">
        <f>'Dados (F)'!$D$167</f>
        <v>1530.02</v>
      </c>
      <c r="E306" s="133">
        <f>IF('Dados (F)'!$D$35=1,1,'Dados (F)'!$C$39)</f>
        <v>1</v>
      </c>
      <c r="F306" s="157">
        <f>'Quantitativos (A)'!D306*$D306*$E306</f>
        <v>0</v>
      </c>
      <c r="G306" s="157">
        <f>'Quantitativos (A)'!E306*$D306*$E306</f>
        <v>0</v>
      </c>
      <c r="H306" s="157">
        <f>'Quantitativos (A)'!F306*$D306*$E306</f>
        <v>0</v>
      </c>
      <c r="I306" s="157">
        <f>'Quantitativos (A)'!G306*$D306*$E306</f>
        <v>0</v>
      </c>
      <c r="J306" s="157">
        <f>'Quantitativos (A)'!H306*$D306*$E306</f>
        <v>0</v>
      </c>
      <c r="K306" s="157">
        <f>'Quantitativos (A)'!I306*$D306*$E306</f>
        <v>0</v>
      </c>
      <c r="L306" s="157">
        <f>'Quantitativos (A)'!J306*$D306*$E306</f>
        <v>0</v>
      </c>
      <c r="M306" s="157">
        <f>'Quantitativos (A)'!K306*$D306*$E306</f>
        <v>0</v>
      </c>
      <c r="N306" s="157">
        <f>'Quantitativos (A)'!L306*$D306*$E306</f>
        <v>0</v>
      </c>
      <c r="O306" s="157">
        <f>'Quantitativos (A)'!M306*$D306*$E306</f>
        <v>0</v>
      </c>
      <c r="P306" s="157">
        <f>'Quantitativos (A)'!N306*$D306*$E306</f>
        <v>0</v>
      </c>
      <c r="Q306" s="157">
        <f>'Quantitativos (A)'!O306*$D306*$E306</f>
        <v>0</v>
      </c>
      <c r="R306" s="157">
        <f>'Quantitativos (A)'!P306*$D306*$E306</f>
        <v>0</v>
      </c>
      <c r="S306" s="157">
        <f>'Quantitativos (A)'!Q306*$D306*$E306</f>
        <v>0</v>
      </c>
      <c r="T306" s="157">
        <f>'Quantitativos (A)'!R306*$D306*$E306</f>
        <v>0</v>
      </c>
      <c r="U306" s="157">
        <f>'Quantitativos (A)'!S306*$D306*$E306</f>
        <v>0</v>
      </c>
      <c r="V306" s="157">
        <f>'Quantitativos (A)'!T306*$D306*$E306</f>
        <v>0</v>
      </c>
      <c r="W306" s="157">
        <f>'Quantitativos (A)'!U306*$D306*$E306</f>
        <v>0</v>
      </c>
      <c r="X306" s="157">
        <f>'Quantitativos (A)'!V306*$D306*$E306</f>
        <v>0</v>
      </c>
      <c r="Y306" s="157">
        <f>'Quantitativos (A)'!W306*$D306*$E306</f>
        <v>0</v>
      </c>
      <c r="Z306" s="157">
        <f>'Quantitativos (A)'!X306*$D306*$E306</f>
        <v>0</v>
      </c>
      <c r="AA306" s="157">
        <f>'Quantitativos (A)'!Y306*$D306*$E306</f>
        <v>0</v>
      </c>
      <c r="AB306" s="157">
        <f>'Quantitativos (A)'!Z306*$D306*$E306</f>
        <v>0</v>
      </c>
      <c r="AC306" s="157">
        <f>'Quantitativos (A)'!AA306*$D306*$E306</f>
        <v>0</v>
      </c>
      <c r="AD306" s="157">
        <f>'Quantitativos (A)'!AB306*$D306*$E306</f>
        <v>0</v>
      </c>
      <c r="AE306" s="157">
        <f>'Quantitativos (A)'!AC306*$D306*$E306</f>
        <v>0</v>
      </c>
      <c r="AF306" s="157">
        <f>'Quantitativos (A)'!AD306*$D306*$E306</f>
        <v>0</v>
      </c>
      <c r="AG306" s="157">
        <f>'Quantitativos (A)'!AE306*$D306*$E306</f>
        <v>0</v>
      </c>
      <c r="AH306" s="157">
        <f>'Quantitativos (A)'!AF306*$D306*$E306</f>
        <v>0</v>
      </c>
      <c r="AI306" s="158">
        <f>'Quantitativos (A)'!AG306*$D306*$E306</f>
        <v>0</v>
      </c>
      <c r="AJ306" s="22"/>
    </row>
    <row r="307" spans="1:36" x14ac:dyDescent="0.25">
      <c r="A307" s="112"/>
      <c r="B307" s="69" t="s">
        <v>210</v>
      </c>
      <c r="C307" s="133" t="s">
        <v>59</v>
      </c>
      <c r="D307" s="161">
        <f>'Dados (F)'!$D$168</f>
        <v>190.25</v>
      </c>
      <c r="E307" s="133">
        <f>IF('Dados (F)'!$D$35=1,1,'Dados (F)'!$C$39)</f>
        <v>1</v>
      </c>
      <c r="F307" s="157">
        <f>'Quantitativos (A)'!D307*$D307*$E307</f>
        <v>380.5</v>
      </c>
      <c r="G307" s="157">
        <f>'Quantitativos (A)'!E307*$D307*$E307</f>
        <v>0</v>
      </c>
      <c r="H307" s="157">
        <f>'Quantitativos (A)'!F307*$D307*$E307</f>
        <v>0</v>
      </c>
      <c r="I307" s="157">
        <f>'Quantitativos (A)'!G307*$D307*$E307</f>
        <v>380.5</v>
      </c>
      <c r="J307" s="157">
        <f>'Quantitativos (A)'!H307*$D307*$E307</f>
        <v>0</v>
      </c>
      <c r="K307" s="157">
        <f>'Quantitativos (A)'!I307*$D307*$E307</f>
        <v>0</v>
      </c>
      <c r="L307" s="157">
        <f>'Quantitativos (A)'!J307*$D307*$E307</f>
        <v>380.5</v>
      </c>
      <c r="M307" s="157">
        <f>'Quantitativos (A)'!K307*$D307*$E307</f>
        <v>0</v>
      </c>
      <c r="N307" s="157">
        <f>'Quantitativos (A)'!L307*$D307*$E307</f>
        <v>380.5</v>
      </c>
      <c r="O307" s="157">
        <f>'Quantitativos (A)'!M307*$D307*$E307</f>
        <v>0</v>
      </c>
      <c r="P307" s="157">
        <f>'Quantitativos (A)'!N307*$D307*$E307</f>
        <v>380.5</v>
      </c>
      <c r="Q307" s="157">
        <f>'Quantitativos (A)'!O307*$D307*$E307</f>
        <v>0</v>
      </c>
      <c r="R307" s="157">
        <f>'Quantitativos (A)'!P307*$D307*$E307</f>
        <v>0</v>
      </c>
      <c r="S307" s="157">
        <f>'Quantitativos (A)'!Q307*$D307*$E307</f>
        <v>380.5</v>
      </c>
      <c r="T307" s="157">
        <f>'Quantitativos (A)'!R307*$D307*$E307</f>
        <v>0</v>
      </c>
      <c r="U307" s="157">
        <f>'Quantitativos (A)'!S307*$D307*$E307</f>
        <v>0</v>
      </c>
      <c r="V307" s="157">
        <f>'Quantitativos (A)'!T307*$D307*$E307</f>
        <v>380.5</v>
      </c>
      <c r="W307" s="157">
        <f>'Quantitativos (A)'!U307*$D307*$E307</f>
        <v>0</v>
      </c>
      <c r="X307" s="157">
        <f>'Quantitativos (A)'!V307*$D307*$E307</f>
        <v>380.5</v>
      </c>
      <c r="Y307" s="157">
        <f>'Quantitativos (A)'!W307*$D307*$E307</f>
        <v>0</v>
      </c>
      <c r="Z307" s="157">
        <f>'Quantitativos (A)'!X307*$D307*$E307</f>
        <v>380.5</v>
      </c>
      <c r="AA307" s="157">
        <f>'Quantitativos (A)'!Y307*$D307*$E307</f>
        <v>0</v>
      </c>
      <c r="AB307" s="157">
        <f>'Quantitativos (A)'!Z307*$D307*$E307</f>
        <v>0</v>
      </c>
      <c r="AC307" s="157">
        <f>'Quantitativos (A)'!AA307*$D307*$E307</f>
        <v>380.5</v>
      </c>
      <c r="AD307" s="157">
        <f>'Quantitativos (A)'!AB307*$D307*$E307</f>
        <v>0</v>
      </c>
      <c r="AE307" s="157">
        <f>'Quantitativos (A)'!AC307*$D307*$E307</f>
        <v>0</v>
      </c>
      <c r="AF307" s="157">
        <f>'Quantitativos (A)'!AD307*$D307*$E307</f>
        <v>380.5</v>
      </c>
      <c r="AG307" s="157">
        <f>'Quantitativos (A)'!AE307*$D307*$E307</f>
        <v>0</v>
      </c>
      <c r="AH307" s="157">
        <f>'Quantitativos (A)'!AF307*$D307*$E307</f>
        <v>380.5</v>
      </c>
      <c r="AI307" s="158">
        <f>'Quantitativos (A)'!AG307*$D307*$E307</f>
        <v>0</v>
      </c>
      <c r="AJ307" s="22"/>
    </row>
    <row r="308" spans="1:36" x14ac:dyDescent="0.25">
      <c r="A308" s="112"/>
      <c r="B308" s="69" t="s">
        <v>219</v>
      </c>
      <c r="C308" s="133" t="s">
        <v>59</v>
      </c>
      <c r="D308" s="161">
        <f>'Dados (F)'!$D$177</f>
        <v>735.39</v>
      </c>
      <c r="E308" s="133">
        <f>IF('Dados (F)'!$D$35=1,1,'Dados (F)'!$C$39)</f>
        <v>1</v>
      </c>
      <c r="F308" s="157">
        <f>'Quantitativos (A)'!D308*$D308*$E308</f>
        <v>1470.78</v>
      </c>
      <c r="G308" s="157">
        <f>'Quantitativos (A)'!E308*$D308*$E308</f>
        <v>0</v>
      </c>
      <c r="H308" s="157">
        <f>'Quantitativos (A)'!F308*$D308*$E308</f>
        <v>0</v>
      </c>
      <c r="I308" s="157">
        <f>'Quantitativos (A)'!G308*$D308*$E308</f>
        <v>1470.78</v>
      </c>
      <c r="J308" s="157">
        <f>'Quantitativos (A)'!H308*$D308*$E308</f>
        <v>0</v>
      </c>
      <c r="K308" s="157">
        <f>'Quantitativos (A)'!I308*$D308*$E308</f>
        <v>0</v>
      </c>
      <c r="L308" s="157">
        <f>'Quantitativos (A)'!J308*$D308*$E308</f>
        <v>1470.78</v>
      </c>
      <c r="M308" s="157">
        <f>'Quantitativos (A)'!K308*$D308*$E308</f>
        <v>0</v>
      </c>
      <c r="N308" s="157">
        <f>'Quantitativos (A)'!L308*$D308*$E308</f>
        <v>1470.78</v>
      </c>
      <c r="O308" s="157">
        <f>'Quantitativos (A)'!M308*$D308*$E308</f>
        <v>0</v>
      </c>
      <c r="P308" s="157">
        <f>'Quantitativos (A)'!N308*$D308*$E308</f>
        <v>1470.78</v>
      </c>
      <c r="Q308" s="157">
        <f>'Quantitativos (A)'!O308*$D308*$E308</f>
        <v>0</v>
      </c>
      <c r="R308" s="157">
        <f>'Quantitativos (A)'!P308*$D308*$E308</f>
        <v>0</v>
      </c>
      <c r="S308" s="157">
        <f>'Quantitativos (A)'!Q308*$D308*$E308</f>
        <v>1470.78</v>
      </c>
      <c r="T308" s="157">
        <f>'Quantitativos (A)'!R308*$D308*$E308</f>
        <v>0</v>
      </c>
      <c r="U308" s="157">
        <f>'Quantitativos (A)'!S308*$D308*$E308</f>
        <v>0</v>
      </c>
      <c r="V308" s="157">
        <f>'Quantitativos (A)'!T308*$D308*$E308</f>
        <v>1470.78</v>
      </c>
      <c r="W308" s="157">
        <f>'Quantitativos (A)'!U308*$D308*$E308</f>
        <v>0</v>
      </c>
      <c r="X308" s="157">
        <f>'Quantitativos (A)'!V308*$D308*$E308</f>
        <v>1470.78</v>
      </c>
      <c r="Y308" s="157">
        <f>'Quantitativos (A)'!W308*$D308*$E308</f>
        <v>0</v>
      </c>
      <c r="Z308" s="157">
        <f>'Quantitativos (A)'!X308*$D308*$E308</f>
        <v>1470.78</v>
      </c>
      <c r="AA308" s="157">
        <f>'Quantitativos (A)'!Y308*$D308*$E308</f>
        <v>1470.78</v>
      </c>
      <c r="AB308" s="157">
        <f>'Quantitativos (A)'!Z308*$D308*$E308</f>
        <v>0</v>
      </c>
      <c r="AC308" s="157">
        <f>'Quantitativos (A)'!AA308*$D308*$E308</f>
        <v>1470.78</v>
      </c>
      <c r="AD308" s="157">
        <f>'Quantitativos (A)'!AB308*$D308*$E308</f>
        <v>1470.78</v>
      </c>
      <c r="AE308" s="157">
        <f>'Quantitativos (A)'!AC308*$D308*$E308</f>
        <v>0</v>
      </c>
      <c r="AF308" s="157">
        <f>'Quantitativos (A)'!AD308*$D308*$E308</f>
        <v>1470.78</v>
      </c>
      <c r="AG308" s="157">
        <f>'Quantitativos (A)'!AE308*$D308*$E308</f>
        <v>0</v>
      </c>
      <c r="AH308" s="157">
        <f>'Quantitativos (A)'!AF308*$D308*$E308</f>
        <v>1470.78</v>
      </c>
      <c r="AI308" s="158">
        <f>'Quantitativos (A)'!AG308*$D308*$E308</f>
        <v>0</v>
      </c>
      <c r="AJ308" s="22"/>
    </row>
    <row r="309" spans="1:36" x14ac:dyDescent="0.25">
      <c r="A309" s="112"/>
      <c r="B309" s="69" t="s">
        <v>220</v>
      </c>
      <c r="C309" s="133" t="s">
        <v>59</v>
      </c>
      <c r="D309" s="161">
        <f>'Dados (F)'!$D$178</f>
        <v>1452.82</v>
      </c>
      <c r="E309" s="133">
        <f>IF('Dados (F)'!$D$35=1,1,'Dados (F)'!$C$39)</f>
        <v>1</v>
      </c>
      <c r="F309" s="157">
        <f>'Quantitativos (A)'!D309*$D309*$E309</f>
        <v>0</v>
      </c>
      <c r="G309" s="157">
        <f>'Quantitativos (A)'!E309*$D309*$E309</f>
        <v>0</v>
      </c>
      <c r="H309" s="157">
        <f>'Quantitativos (A)'!F309*$D309*$E309</f>
        <v>0</v>
      </c>
      <c r="I309" s="157">
        <f>'Quantitativos (A)'!G309*$D309*$E309</f>
        <v>0</v>
      </c>
      <c r="J309" s="157">
        <f>'Quantitativos (A)'!H309*$D309*$E309</f>
        <v>0</v>
      </c>
      <c r="K309" s="157">
        <f>'Quantitativos (A)'!I309*$D309*$E309</f>
        <v>0</v>
      </c>
      <c r="L309" s="157">
        <f>'Quantitativos (A)'!J309*$D309*$E309</f>
        <v>0</v>
      </c>
      <c r="M309" s="157">
        <f>'Quantitativos (A)'!K309*$D309*$E309</f>
        <v>0</v>
      </c>
      <c r="N309" s="157">
        <f>'Quantitativos (A)'!L309*$D309*$E309</f>
        <v>0</v>
      </c>
      <c r="O309" s="157">
        <f>'Quantitativos (A)'!M309*$D309*$E309</f>
        <v>0</v>
      </c>
      <c r="P309" s="157">
        <f>'Quantitativos (A)'!N309*$D309*$E309</f>
        <v>0</v>
      </c>
      <c r="Q309" s="157">
        <f>'Quantitativos (A)'!O309*$D309*$E309</f>
        <v>0</v>
      </c>
      <c r="R309" s="157">
        <f>'Quantitativos (A)'!P309*$D309*$E309</f>
        <v>0</v>
      </c>
      <c r="S309" s="157">
        <f>'Quantitativos (A)'!Q309*$D309*$E309</f>
        <v>0</v>
      </c>
      <c r="T309" s="157">
        <f>'Quantitativos (A)'!R309*$D309*$E309</f>
        <v>0</v>
      </c>
      <c r="U309" s="157">
        <f>'Quantitativos (A)'!S309*$D309*$E309</f>
        <v>0</v>
      </c>
      <c r="V309" s="157">
        <f>'Quantitativos (A)'!T309*$D309*$E309</f>
        <v>0</v>
      </c>
      <c r="W309" s="157">
        <f>'Quantitativos (A)'!U309*$D309*$E309</f>
        <v>0</v>
      </c>
      <c r="X309" s="157">
        <f>'Quantitativos (A)'!V309*$D309*$E309</f>
        <v>0</v>
      </c>
      <c r="Y309" s="157">
        <f>'Quantitativos (A)'!W309*$D309*$E309</f>
        <v>0</v>
      </c>
      <c r="Z309" s="157">
        <f>'Quantitativos (A)'!X309*$D309*$E309</f>
        <v>0</v>
      </c>
      <c r="AA309" s="157">
        <f>'Quantitativos (A)'!Y309*$D309*$E309</f>
        <v>0</v>
      </c>
      <c r="AB309" s="157">
        <f>'Quantitativos (A)'!Z309*$D309*$E309</f>
        <v>0</v>
      </c>
      <c r="AC309" s="157">
        <f>'Quantitativos (A)'!AA309*$D309*$E309</f>
        <v>0</v>
      </c>
      <c r="AD309" s="157">
        <f>'Quantitativos (A)'!AB309*$D309*$E309</f>
        <v>0</v>
      </c>
      <c r="AE309" s="157">
        <f>'Quantitativos (A)'!AC309*$D309*$E309</f>
        <v>0</v>
      </c>
      <c r="AF309" s="157">
        <f>'Quantitativos (A)'!AD309*$D309*$E309</f>
        <v>0</v>
      </c>
      <c r="AG309" s="157">
        <f>'Quantitativos (A)'!AE309*$D309*$E309</f>
        <v>0</v>
      </c>
      <c r="AH309" s="157">
        <f>'Quantitativos (A)'!AF309*$D309*$E309</f>
        <v>0</v>
      </c>
      <c r="AI309" s="158">
        <f>'Quantitativos (A)'!AG309*$D309*$E309</f>
        <v>0</v>
      </c>
      <c r="AJ309" s="22"/>
    </row>
    <row r="310" spans="1:36" x14ac:dyDescent="0.25">
      <c r="A310" s="112"/>
      <c r="B310" s="69" t="s">
        <v>221</v>
      </c>
      <c r="C310" s="133" t="s">
        <v>59</v>
      </c>
      <c r="D310" s="161">
        <f>'Dados (F)'!$D$179</f>
        <v>274.75</v>
      </c>
      <c r="E310" s="133">
        <f>IF('Dados (F)'!$D$35=1,1,'Dados (F)'!$C$39)</f>
        <v>1</v>
      </c>
      <c r="F310" s="157">
        <f>'Quantitativos (A)'!D310*$D310*$E310</f>
        <v>2198</v>
      </c>
      <c r="G310" s="157">
        <f>'Quantitativos (A)'!E310*$D310*$E310</f>
        <v>0</v>
      </c>
      <c r="H310" s="157">
        <f>'Quantitativos (A)'!F310*$D310*$E310</f>
        <v>824.25</v>
      </c>
      <c r="I310" s="157">
        <f>'Quantitativos (A)'!G310*$D310*$E310</f>
        <v>2198</v>
      </c>
      <c r="J310" s="157">
        <f>'Quantitativos (A)'!H310*$D310*$E310</f>
        <v>0</v>
      </c>
      <c r="K310" s="157">
        <f>'Quantitativos (A)'!I310*$D310*$E310</f>
        <v>824.25</v>
      </c>
      <c r="L310" s="157">
        <f>'Quantitativos (A)'!J310*$D310*$E310</f>
        <v>2198</v>
      </c>
      <c r="M310" s="157">
        <f>'Quantitativos (A)'!K310*$D310*$E310</f>
        <v>824.25</v>
      </c>
      <c r="N310" s="157">
        <f>'Quantitativos (A)'!L310*$D310*$E310</f>
        <v>2198</v>
      </c>
      <c r="O310" s="157">
        <f>'Quantitativos (A)'!M310*$D310*$E310</f>
        <v>824.25</v>
      </c>
      <c r="P310" s="157">
        <f>'Quantitativos (A)'!N310*$D310*$E310</f>
        <v>2198</v>
      </c>
      <c r="Q310" s="157">
        <f>'Quantitativos (A)'!O310*$D310*$E310</f>
        <v>0</v>
      </c>
      <c r="R310" s="157">
        <f>'Quantitativos (A)'!P310*$D310*$E310</f>
        <v>824.25</v>
      </c>
      <c r="S310" s="157">
        <f>'Quantitativos (A)'!Q310*$D310*$E310</f>
        <v>2198</v>
      </c>
      <c r="T310" s="157">
        <f>'Quantitativos (A)'!R310*$D310*$E310</f>
        <v>0</v>
      </c>
      <c r="U310" s="157">
        <f>'Quantitativos (A)'!S310*$D310*$E310</f>
        <v>824.25</v>
      </c>
      <c r="V310" s="157">
        <f>'Quantitativos (A)'!T310*$D310*$E310</f>
        <v>2198</v>
      </c>
      <c r="W310" s="157">
        <f>'Quantitativos (A)'!U310*$D310*$E310</f>
        <v>824.25</v>
      </c>
      <c r="X310" s="157">
        <f>'Quantitativos (A)'!V310*$D310*$E310</f>
        <v>2198</v>
      </c>
      <c r="Y310" s="157">
        <f>'Quantitativos (A)'!W310*$D310*$E310</f>
        <v>824.25</v>
      </c>
      <c r="Z310" s="157">
        <f>'Quantitativos (A)'!X310*$D310*$E310</f>
        <v>2198</v>
      </c>
      <c r="AA310" s="157">
        <f>'Quantitativos (A)'!Y310*$D310*$E310</f>
        <v>0</v>
      </c>
      <c r="AB310" s="157">
        <f>'Quantitativos (A)'!Z310*$D310*$E310</f>
        <v>0</v>
      </c>
      <c r="AC310" s="157">
        <f>'Quantitativos (A)'!AA310*$D310*$E310</f>
        <v>2198</v>
      </c>
      <c r="AD310" s="157">
        <f>'Quantitativos (A)'!AB310*$D310*$E310</f>
        <v>0</v>
      </c>
      <c r="AE310" s="157">
        <f>'Quantitativos (A)'!AC310*$D310*$E310</f>
        <v>0</v>
      </c>
      <c r="AF310" s="157">
        <f>'Quantitativos (A)'!AD310*$D310*$E310</f>
        <v>2198</v>
      </c>
      <c r="AG310" s="157">
        <f>'Quantitativos (A)'!AE310*$D310*$E310</f>
        <v>0</v>
      </c>
      <c r="AH310" s="157">
        <f>'Quantitativos (A)'!AF310*$D310*$E310</f>
        <v>2198</v>
      </c>
      <c r="AI310" s="158">
        <f>'Quantitativos (A)'!AG310*$D310*$E310</f>
        <v>0</v>
      </c>
      <c r="AJ310" s="22"/>
    </row>
    <row r="311" spans="1:36" x14ac:dyDescent="0.25">
      <c r="A311" s="112"/>
      <c r="B311" s="69" t="s">
        <v>224</v>
      </c>
      <c r="C311" s="133" t="s">
        <v>59</v>
      </c>
      <c r="D311" s="161">
        <f>'Dados (F)'!$D$182</f>
        <v>961.03</v>
      </c>
      <c r="E311" s="133">
        <f>IF('Dados (F)'!$D$35=1,1,'Dados (F)'!$C$39)</f>
        <v>1</v>
      </c>
      <c r="F311" s="157">
        <f>'Quantitativos (A)'!D311*$D311*$E311</f>
        <v>0</v>
      </c>
      <c r="G311" s="157">
        <f>'Quantitativos (A)'!E311*$D311*$E311</f>
        <v>2883.09</v>
      </c>
      <c r="H311" s="157">
        <f>'Quantitativos (A)'!F311*$D311*$E311</f>
        <v>0</v>
      </c>
      <c r="I311" s="157">
        <f>'Quantitativos (A)'!G311*$D311*$E311</f>
        <v>0</v>
      </c>
      <c r="J311" s="157">
        <f>'Quantitativos (A)'!H311*$D311*$E311</f>
        <v>2883.09</v>
      </c>
      <c r="K311" s="157">
        <f>'Quantitativos (A)'!I311*$D311*$E311</f>
        <v>0</v>
      </c>
      <c r="L311" s="157">
        <f>'Quantitativos (A)'!J311*$D311*$E311</f>
        <v>0</v>
      </c>
      <c r="M311" s="157">
        <f>'Quantitativos (A)'!K311*$D311*$E311</f>
        <v>0</v>
      </c>
      <c r="N311" s="157">
        <f>'Quantitativos (A)'!L311*$D311*$E311</f>
        <v>0</v>
      </c>
      <c r="O311" s="157">
        <f>'Quantitativos (A)'!M311*$D311*$E311</f>
        <v>0</v>
      </c>
      <c r="P311" s="157">
        <f>'Quantitativos (A)'!N311*$D311*$E311</f>
        <v>0</v>
      </c>
      <c r="Q311" s="157">
        <f>'Quantitativos (A)'!O311*$D311*$E311</f>
        <v>2883.09</v>
      </c>
      <c r="R311" s="157">
        <f>'Quantitativos (A)'!P311*$D311*$E311</f>
        <v>0</v>
      </c>
      <c r="S311" s="157">
        <f>'Quantitativos (A)'!Q311*$D311*$E311</f>
        <v>0</v>
      </c>
      <c r="T311" s="157">
        <f>'Quantitativos (A)'!R311*$D311*$E311</f>
        <v>2883.09</v>
      </c>
      <c r="U311" s="157">
        <f>'Quantitativos (A)'!S311*$D311*$E311</f>
        <v>0</v>
      </c>
      <c r="V311" s="157">
        <f>'Quantitativos (A)'!T311*$D311*$E311</f>
        <v>0</v>
      </c>
      <c r="W311" s="157">
        <f>'Quantitativos (A)'!U311*$D311*$E311</f>
        <v>0</v>
      </c>
      <c r="X311" s="157">
        <f>'Quantitativos (A)'!V311*$D311*$E311</f>
        <v>0</v>
      </c>
      <c r="Y311" s="157">
        <f>'Quantitativos (A)'!W311*$D311*$E311</f>
        <v>0</v>
      </c>
      <c r="Z311" s="157">
        <f>'Quantitativos (A)'!X311*$D311*$E311</f>
        <v>0</v>
      </c>
      <c r="AA311" s="157">
        <f>'Quantitativos (A)'!Y311*$D311*$E311</f>
        <v>961.03</v>
      </c>
      <c r="AB311" s="157">
        <f>'Quantitativos (A)'!Z311*$D311*$E311</f>
        <v>1922.06</v>
      </c>
      <c r="AC311" s="157">
        <f>'Quantitativos (A)'!AA311*$D311*$E311</f>
        <v>0</v>
      </c>
      <c r="AD311" s="157">
        <f>'Quantitativos (A)'!AB311*$D311*$E311</f>
        <v>961.03</v>
      </c>
      <c r="AE311" s="157">
        <f>'Quantitativos (A)'!AC311*$D311*$E311</f>
        <v>1922.06</v>
      </c>
      <c r="AF311" s="157">
        <f>'Quantitativos (A)'!AD311*$D311*$E311</f>
        <v>0</v>
      </c>
      <c r="AG311" s="157">
        <f>'Quantitativos (A)'!AE311*$D311*$E311</f>
        <v>1922.06</v>
      </c>
      <c r="AH311" s="157">
        <f>'Quantitativos (A)'!AF311*$D311*$E311</f>
        <v>0</v>
      </c>
      <c r="AI311" s="158">
        <f>'Quantitativos (A)'!AG311*$D311*$E311</f>
        <v>1922.06</v>
      </c>
      <c r="AJ311" s="22"/>
    </row>
    <row r="312" spans="1:36" x14ac:dyDescent="0.25">
      <c r="A312" s="112"/>
      <c r="B312" s="69" t="s">
        <v>226</v>
      </c>
      <c r="C312" s="133" t="s">
        <v>59</v>
      </c>
      <c r="D312" s="161">
        <f>'Dados (F)'!$D$184</f>
        <v>1998.66</v>
      </c>
      <c r="E312" s="133">
        <f>IF('Dados (F)'!$D$35=1,1,'Dados (F)'!$C$39)</f>
        <v>1</v>
      </c>
      <c r="F312" s="157">
        <f>'Quantitativos (A)'!D312*$D312*$E312</f>
        <v>0</v>
      </c>
      <c r="G312" s="157">
        <f>'Quantitativos (A)'!E312*$D312*$E312</f>
        <v>0</v>
      </c>
      <c r="H312" s="157">
        <f>'Quantitativos (A)'!F312*$D312*$E312</f>
        <v>0</v>
      </c>
      <c r="I312" s="157">
        <f>'Quantitativos (A)'!G312*$D312*$E312</f>
        <v>0</v>
      </c>
      <c r="J312" s="157">
        <f>'Quantitativos (A)'!H312*$D312*$E312</f>
        <v>0</v>
      </c>
      <c r="K312" s="157">
        <f>'Quantitativos (A)'!I312*$D312*$E312</f>
        <v>0</v>
      </c>
      <c r="L312" s="157">
        <f>'Quantitativos (A)'!J312*$D312*$E312</f>
        <v>0</v>
      </c>
      <c r="M312" s="157">
        <f>'Quantitativos (A)'!K312*$D312*$E312</f>
        <v>0</v>
      </c>
      <c r="N312" s="157">
        <f>'Quantitativos (A)'!L312*$D312*$E312</f>
        <v>0</v>
      </c>
      <c r="O312" s="157">
        <f>'Quantitativos (A)'!M312*$D312*$E312</f>
        <v>0</v>
      </c>
      <c r="P312" s="157">
        <f>'Quantitativos (A)'!N312*$D312*$E312</f>
        <v>0</v>
      </c>
      <c r="Q312" s="157">
        <f>'Quantitativos (A)'!O312*$D312*$E312</f>
        <v>0</v>
      </c>
      <c r="R312" s="157">
        <f>'Quantitativos (A)'!P312*$D312*$E312</f>
        <v>0</v>
      </c>
      <c r="S312" s="157">
        <f>'Quantitativos (A)'!Q312*$D312*$E312</f>
        <v>0</v>
      </c>
      <c r="T312" s="157">
        <f>'Quantitativos (A)'!R312*$D312*$E312</f>
        <v>0</v>
      </c>
      <c r="U312" s="157">
        <f>'Quantitativos (A)'!S312*$D312*$E312</f>
        <v>0</v>
      </c>
      <c r="V312" s="157">
        <f>'Quantitativos (A)'!T312*$D312*$E312</f>
        <v>0</v>
      </c>
      <c r="W312" s="157">
        <f>'Quantitativos (A)'!U312*$D312*$E312</f>
        <v>0</v>
      </c>
      <c r="X312" s="157">
        <f>'Quantitativos (A)'!V312*$D312*$E312</f>
        <v>0</v>
      </c>
      <c r="Y312" s="157">
        <f>'Quantitativos (A)'!W312*$D312*$E312</f>
        <v>0</v>
      </c>
      <c r="Z312" s="157">
        <f>'Quantitativos (A)'!X312*$D312*$E312</f>
        <v>0</v>
      </c>
      <c r="AA312" s="157">
        <f>'Quantitativos (A)'!Y312*$D312*$E312</f>
        <v>0</v>
      </c>
      <c r="AB312" s="157">
        <f>'Quantitativos (A)'!Z312*$D312*$E312</f>
        <v>0</v>
      </c>
      <c r="AC312" s="157">
        <f>'Quantitativos (A)'!AA312*$D312*$E312</f>
        <v>0</v>
      </c>
      <c r="AD312" s="157">
        <f>'Quantitativos (A)'!AB312*$D312*$E312</f>
        <v>0</v>
      </c>
      <c r="AE312" s="157">
        <f>'Quantitativos (A)'!AC312*$D312*$E312</f>
        <v>0</v>
      </c>
      <c r="AF312" s="157">
        <f>'Quantitativos (A)'!AD312*$D312*$E312</f>
        <v>0</v>
      </c>
      <c r="AG312" s="157">
        <f>'Quantitativos (A)'!AE312*$D312*$E312</f>
        <v>0</v>
      </c>
      <c r="AH312" s="157">
        <f>'Quantitativos (A)'!AF312*$D312*$E312</f>
        <v>0</v>
      </c>
      <c r="AI312" s="158">
        <f>'Quantitativos (A)'!AG312*$D312*$E312</f>
        <v>0</v>
      </c>
      <c r="AJ312" s="22"/>
    </row>
    <row r="313" spans="1:36" x14ac:dyDescent="0.25">
      <c r="A313" s="112"/>
      <c r="B313" s="69" t="s">
        <v>227</v>
      </c>
      <c r="C313" s="133" t="s">
        <v>59</v>
      </c>
      <c r="D313" s="161">
        <f>'Dados (F)'!$D$185</f>
        <v>710.38</v>
      </c>
      <c r="E313" s="133">
        <f>IF('Dados (F)'!$D$35=1,1,'Dados (F)'!$C$39)</f>
        <v>1</v>
      </c>
      <c r="F313" s="157">
        <f>'Quantitativos (A)'!D313*$D313*$E313</f>
        <v>1420.76</v>
      </c>
      <c r="G313" s="157">
        <f>'Quantitativos (A)'!E313*$D313*$E313</f>
        <v>0</v>
      </c>
      <c r="H313" s="157">
        <f>'Quantitativos (A)'!F313*$D313*$E313</f>
        <v>0</v>
      </c>
      <c r="I313" s="157">
        <f>'Quantitativos (A)'!G313*$D313*$E313</f>
        <v>1420.76</v>
      </c>
      <c r="J313" s="157">
        <f>'Quantitativos (A)'!H313*$D313*$E313</f>
        <v>0</v>
      </c>
      <c r="K313" s="157">
        <f>'Quantitativos (A)'!I313*$D313*$E313</f>
        <v>0</v>
      </c>
      <c r="L313" s="157">
        <f>'Quantitativos (A)'!J313*$D313*$E313</f>
        <v>1420.76</v>
      </c>
      <c r="M313" s="157">
        <f>'Quantitativos (A)'!K313*$D313*$E313</f>
        <v>0</v>
      </c>
      <c r="N313" s="157">
        <f>'Quantitativos (A)'!L313*$D313*$E313</f>
        <v>1420.76</v>
      </c>
      <c r="O313" s="157">
        <f>'Quantitativos (A)'!M313*$D313*$E313</f>
        <v>0</v>
      </c>
      <c r="P313" s="157">
        <f>'Quantitativos (A)'!N313*$D313*$E313</f>
        <v>1420.76</v>
      </c>
      <c r="Q313" s="157">
        <f>'Quantitativos (A)'!O313*$D313*$E313</f>
        <v>0</v>
      </c>
      <c r="R313" s="157">
        <f>'Quantitativos (A)'!P313*$D313*$E313</f>
        <v>0</v>
      </c>
      <c r="S313" s="157">
        <f>'Quantitativos (A)'!Q313*$D313*$E313</f>
        <v>1420.76</v>
      </c>
      <c r="T313" s="157">
        <f>'Quantitativos (A)'!R313*$D313*$E313</f>
        <v>0</v>
      </c>
      <c r="U313" s="157">
        <f>'Quantitativos (A)'!S313*$D313*$E313</f>
        <v>0</v>
      </c>
      <c r="V313" s="157">
        <f>'Quantitativos (A)'!T313*$D313*$E313</f>
        <v>1420.76</v>
      </c>
      <c r="W313" s="157">
        <f>'Quantitativos (A)'!U313*$D313*$E313</f>
        <v>0</v>
      </c>
      <c r="X313" s="157">
        <f>'Quantitativos (A)'!V313*$D313*$E313</f>
        <v>1420.76</v>
      </c>
      <c r="Y313" s="157">
        <f>'Quantitativos (A)'!W313*$D313*$E313</f>
        <v>0</v>
      </c>
      <c r="Z313" s="157">
        <f>'Quantitativos (A)'!X313*$D313*$E313</f>
        <v>1420.76</v>
      </c>
      <c r="AA313" s="157">
        <f>'Quantitativos (A)'!Y313*$D313*$E313</f>
        <v>0</v>
      </c>
      <c r="AB313" s="157">
        <f>'Quantitativos (A)'!Z313*$D313*$E313</f>
        <v>0</v>
      </c>
      <c r="AC313" s="157">
        <f>'Quantitativos (A)'!AA313*$D313*$E313</f>
        <v>1420.76</v>
      </c>
      <c r="AD313" s="157">
        <f>'Quantitativos (A)'!AB313*$D313*$E313</f>
        <v>0</v>
      </c>
      <c r="AE313" s="157">
        <f>'Quantitativos (A)'!AC313*$D313*$E313</f>
        <v>0</v>
      </c>
      <c r="AF313" s="157">
        <f>'Quantitativos (A)'!AD313*$D313*$E313</f>
        <v>1420.76</v>
      </c>
      <c r="AG313" s="157">
        <f>'Quantitativos (A)'!AE313*$D313*$E313</f>
        <v>0</v>
      </c>
      <c r="AH313" s="157">
        <f>'Quantitativos (A)'!AF313*$D313*$E313</f>
        <v>1420.76</v>
      </c>
      <c r="AI313" s="158">
        <f>'Quantitativos (A)'!AG313*$D313*$E313</f>
        <v>0</v>
      </c>
      <c r="AJ313" s="22"/>
    </row>
    <row r="314" spans="1:36" x14ac:dyDescent="0.25">
      <c r="A314" s="112"/>
      <c r="B314" s="69" t="s">
        <v>228</v>
      </c>
      <c r="C314" s="133" t="s">
        <v>59</v>
      </c>
      <c r="D314" s="161">
        <f>'Dados (F)'!$D$186</f>
        <v>154.55000000000001</v>
      </c>
      <c r="E314" s="133">
        <f>IF('Dados (F)'!$D$35=1,1,'Dados (F)'!$C$39)</f>
        <v>1</v>
      </c>
      <c r="F314" s="157">
        <f>'Quantitativos (A)'!D314*$D314*$E314</f>
        <v>927.30000000000007</v>
      </c>
      <c r="G314" s="157">
        <f>'Quantitativos (A)'!E314*$D314*$E314</f>
        <v>0</v>
      </c>
      <c r="H314" s="157">
        <f>'Quantitativos (A)'!F314*$D314*$E314</f>
        <v>0</v>
      </c>
      <c r="I314" s="157">
        <f>'Quantitativos (A)'!G314*$D314*$E314</f>
        <v>927.30000000000007</v>
      </c>
      <c r="J314" s="157">
        <f>'Quantitativos (A)'!H314*$D314*$E314</f>
        <v>0</v>
      </c>
      <c r="K314" s="157">
        <f>'Quantitativos (A)'!I314*$D314*$E314</f>
        <v>0</v>
      </c>
      <c r="L314" s="157">
        <f>'Quantitativos (A)'!J314*$D314*$E314</f>
        <v>927.30000000000007</v>
      </c>
      <c r="M314" s="157">
        <f>'Quantitativos (A)'!K314*$D314*$E314</f>
        <v>0</v>
      </c>
      <c r="N314" s="157">
        <f>'Quantitativos (A)'!L314*$D314*$E314</f>
        <v>927.30000000000007</v>
      </c>
      <c r="O314" s="157">
        <f>'Quantitativos (A)'!M314*$D314*$E314</f>
        <v>0</v>
      </c>
      <c r="P314" s="157">
        <f>'Quantitativos (A)'!N314*$D314*$E314</f>
        <v>1236.4000000000001</v>
      </c>
      <c r="Q314" s="157">
        <f>'Quantitativos (A)'!O314*$D314*$E314</f>
        <v>0</v>
      </c>
      <c r="R314" s="157">
        <f>'Quantitativos (A)'!P314*$D314*$E314</f>
        <v>0</v>
      </c>
      <c r="S314" s="157">
        <f>'Quantitativos (A)'!Q314*$D314*$E314</f>
        <v>1236.4000000000001</v>
      </c>
      <c r="T314" s="157">
        <f>'Quantitativos (A)'!R314*$D314*$E314</f>
        <v>0</v>
      </c>
      <c r="U314" s="157">
        <f>'Quantitativos (A)'!S314*$D314*$E314</f>
        <v>0</v>
      </c>
      <c r="V314" s="157">
        <f>'Quantitativos (A)'!T314*$D314*$E314</f>
        <v>1236.4000000000001</v>
      </c>
      <c r="W314" s="157">
        <f>'Quantitativos (A)'!U314*$D314*$E314</f>
        <v>0</v>
      </c>
      <c r="X314" s="157">
        <f>'Quantitativos (A)'!V314*$D314*$E314</f>
        <v>1236.4000000000001</v>
      </c>
      <c r="Y314" s="157">
        <f>'Quantitativos (A)'!W314*$D314*$E314</f>
        <v>0</v>
      </c>
      <c r="Z314" s="157">
        <f>'Quantitativos (A)'!X314*$D314*$E314</f>
        <v>1236.4000000000001</v>
      </c>
      <c r="AA314" s="157">
        <f>'Quantitativos (A)'!Y314*$D314*$E314</f>
        <v>0</v>
      </c>
      <c r="AB314" s="157">
        <f>'Quantitativos (A)'!Z314*$D314*$E314</f>
        <v>0</v>
      </c>
      <c r="AC314" s="157">
        <f>'Quantitativos (A)'!AA314*$D314*$E314</f>
        <v>1236.4000000000001</v>
      </c>
      <c r="AD314" s="157">
        <f>'Quantitativos (A)'!AB314*$D314*$E314</f>
        <v>0</v>
      </c>
      <c r="AE314" s="157">
        <f>'Quantitativos (A)'!AC314*$D314*$E314</f>
        <v>0</v>
      </c>
      <c r="AF314" s="157">
        <f>'Quantitativos (A)'!AD314*$D314*$E314</f>
        <v>1236.4000000000001</v>
      </c>
      <c r="AG314" s="157">
        <f>'Quantitativos (A)'!AE314*$D314*$E314</f>
        <v>0</v>
      </c>
      <c r="AH314" s="157">
        <f>'Quantitativos (A)'!AF314*$D314*$E314</f>
        <v>1236.4000000000001</v>
      </c>
      <c r="AI314" s="158">
        <f>'Quantitativos (A)'!AG314*$D314*$E314</f>
        <v>0</v>
      </c>
      <c r="AJ314" s="22"/>
    </row>
    <row r="315" spans="1:36" x14ac:dyDescent="0.25">
      <c r="A315" s="112"/>
      <c r="B315" s="69" t="s">
        <v>231</v>
      </c>
      <c r="C315" s="133" t="s">
        <v>59</v>
      </c>
      <c r="D315" s="161">
        <f>'Dados (F)'!$D$189</f>
        <v>470.48</v>
      </c>
      <c r="E315" s="133">
        <f>IF('Dados (F)'!$D$35=1,1,'Dados (F)'!$C$39)</f>
        <v>1</v>
      </c>
      <c r="F315" s="157">
        <f>'Quantitativos (A)'!D315*$D315*$E315</f>
        <v>3763.84</v>
      </c>
      <c r="G315" s="157">
        <f>'Quantitativos (A)'!E315*$D315*$E315</f>
        <v>3763.84</v>
      </c>
      <c r="H315" s="157">
        <f>'Quantitativos (A)'!F315*$D315*$E315</f>
        <v>2822.88</v>
      </c>
      <c r="I315" s="157">
        <f>'Quantitativos (A)'!G315*$D315*$E315</f>
        <v>3763.84</v>
      </c>
      <c r="J315" s="157">
        <f>'Quantitativos (A)'!H315*$D315*$E315</f>
        <v>3763.84</v>
      </c>
      <c r="K315" s="157">
        <f>'Quantitativos (A)'!I315*$D315*$E315</f>
        <v>2822.88</v>
      </c>
      <c r="L315" s="157">
        <f>'Quantitativos (A)'!J315*$D315*$E315</f>
        <v>3763.84</v>
      </c>
      <c r="M315" s="157">
        <f>'Quantitativos (A)'!K315*$D315*$E315</f>
        <v>2822.88</v>
      </c>
      <c r="N315" s="157">
        <f>'Quantitativos (A)'!L315*$D315*$E315</f>
        <v>3763.84</v>
      </c>
      <c r="O315" s="157">
        <f>'Quantitativos (A)'!M315*$D315*$E315</f>
        <v>2822.88</v>
      </c>
      <c r="P315" s="157">
        <f>'Quantitativos (A)'!N315*$D315*$E315</f>
        <v>2822.88</v>
      </c>
      <c r="Q315" s="157">
        <f>'Quantitativos (A)'!O315*$D315*$E315</f>
        <v>2822.88</v>
      </c>
      <c r="R315" s="157">
        <f>'Quantitativos (A)'!P315*$D315*$E315</f>
        <v>2822.88</v>
      </c>
      <c r="S315" s="157">
        <f>'Quantitativos (A)'!Q315*$D315*$E315</f>
        <v>2822.88</v>
      </c>
      <c r="T315" s="157">
        <f>'Quantitativos (A)'!R315*$D315*$E315</f>
        <v>2822.88</v>
      </c>
      <c r="U315" s="157">
        <f>'Quantitativos (A)'!S315*$D315*$E315</f>
        <v>2822.88</v>
      </c>
      <c r="V315" s="157">
        <f>'Quantitativos (A)'!T315*$D315*$E315</f>
        <v>2822.88</v>
      </c>
      <c r="W315" s="157">
        <f>'Quantitativos (A)'!U315*$D315*$E315</f>
        <v>2822.88</v>
      </c>
      <c r="X315" s="157">
        <f>'Quantitativos (A)'!V315*$D315*$E315</f>
        <v>2822.88</v>
      </c>
      <c r="Y315" s="157">
        <f>'Quantitativos (A)'!W315*$D315*$E315</f>
        <v>2822.88</v>
      </c>
      <c r="Z315" s="157">
        <f>'Quantitativos (A)'!X315*$D315*$E315</f>
        <v>2822.88</v>
      </c>
      <c r="AA315" s="157">
        <f>'Quantitativos (A)'!Y315*$D315*$E315</f>
        <v>2822.88</v>
      </c>
      <c r="AB315" s="157">
        <f>'Quantitativos (A)'!Z315*$D315*$E315</f>
        <v>2822.88</v>
      </c>
      <c r="AC315" s="157">
        <f>'Quantitativos (A)'!AA315*$D315*$E315</f>
        <v>2822.88</v>
      </c>
      <c r="AD315" s="157">
        <f>'Quantitativos (A)'!AB315*$D315*$E315</f>
        <v>2822.88</v>
      </c>
      <c r="AE315" s="157">
        <f>'Quantitativos (A)'!AC315*$D315*$E315</f>
        <v>2822.88</v>
      </c>
      <c r="AF315" s="157">
        <f>'Quantitativos (A)'!AD315*$D315*$E315</f>
        <v>2822.88</v>
      </c>
      <c r="AG315" s="157">
        <f>'Quantitativos (A)'!AE315*$D315*$E315</f>
        <v>2822.88</v>
      </c>
      <c r="AH315" s="157">
        <f>'Quantitativos (A)'!AF315*$D315*$E315</f>
        <v>2822.88</v>
      </c>
      <c r="AI315" s="158">
        <f>'Quantitativos (A)'!AG315*$D315*$E315</f>
        <v>2822.88</v>
      </c>
      <c r="AJ315" s="22"/>
    </row>
    <row r="316" spans="1:36" x14ac:dyDescent="0.25">
      <c r="A316" s="112"/>
      <c r="B316" s="69" t="s">
        <v>233</v>
      </c>
      <c r="C316" s="133" t="s">
        <v>59</v>
      </c>
      <c r="D316" s="161">
        <f>'Dados (F)'!$D$191</f>
        <v>806.56</v>
      </c>
      <c r="E316" s="133">
        <f>IF('Dados (F)'!$D$35=1,1,'Dados (F)'!$C$39)</f>
        <v>1</v>
      </c>
      <c r="F316" s="157">
        <f>'Quantitativos (A)'!D316*$D316*$E316</f>
        <v>0</v>
      </c>
      <c r="G316" s="157">
        <f>'Quantitativos (A)'!E316*$D316*$E316</f>
        <v>0</v>
      </c>
      <c r="H316" s="157">
        <f>'Quantitativos (A)'!F316*$D316*$E316</f>
        <v>0</v>
      </c>
      <c r="I316" s="157">
        <f>'Quantitativos (A)'!G316*$D316*$E316</f>
        <v>0</v>
      </c>
      <c r="J316" s="157">
        <f>'Quantitativos (A)'!H316*$D316*$E316</f>
        <v>0</v>
      </c>
      <c r="K316" s="157">
        <f>'Quantitativos (A)'!I316*$D316*$E316</f>
        <v>0</v>
      </c>
      <c r="L316" s="157">
        <f>'Quantitativos (A)'!J316*$D316*$E316</f>
        <v>0</v>
      </c>
      <c r="M316" s="157">
        <f>'Quantitativos (A)'!K316*$D316*$E316</f>
        <v>0</v>
      </c>
      <c r="N316" s="157">
        <f>'Quantitativos (A)'!L316*$D316*$E316</f>
        <v>0</v>
      </c>
      <c r="O316" s="157">
        <f>'Quantitativos (A)'!M316*$D316*$E316</f>
        <v>0</v>
      </c>
      <c r="P316" s="157">
        <f>'Quantitativos (A)'!N316*$D316*$E316</f>
        <v>0</v>
      </c>
      <c r="Q316" s="157">
        <f>'Quantitativos (A)'!O316*$D316*$E316</f>
        <v>0</v>
      </c>
      <c r="R316" s="157">
        <f>'Quantitativos (A)'!P316*$D316*$E316</f>
        <v>0</v>
      </c>
      <c r="S316" s="157">
        <f>'Quantitativos (A)'!Q316*$D316*$E316</f>
        <v>0</v>
      </c>
      <c r="T316" s="157">
        <f>'Quantitativos (A)'!R316*$D316*$E316</f>
        <v>0</v>
      </c>
      <c r="U316" s="157">
        <f>'Quantitativos (A)'!S316*$D316*$E316</f>
        <v>0</v>
      </c>
      <c r="V316" s="157">
        <f>'Quantitativos (A)'!T316*$D316*$E316</f>
        <v>0</v>
      </c>
      <c r="W316" s="157">
        <f>'Quantitativos (A)'!U316*$D316*$E316</f>
        <v>0</v>
      </c>
      <c r="X316" s="157">
        <f>'Quantitativos (A)'!V316*$D316*$E316</f>
        <v>0</v>
      </c>
      <c r="Y316" s="157">
        <f>'Quantitativos (A)'!W316*$D316*$E316</f>
        <v>0</v>
      </c>
      <c r="Z316" s="157">
        <f>'Quantitativos (A)'!X316*$D316*$E316</f>
        <v>0</v>
      </c>
      <c r="AA316" s="157">
        <f>'Quantitativos (A)'!Y316*$D316*$E316</f>
        <v>0</v>
      </c>
      <c r="AB316" s="157">
        <f>'Quantitativos (A)'!Z316*$D316*$E316</f>
        <v>0</v>
      </c>
      <c r="AC316" s="157">
        <f>'Quantitativos (A)'!AA316*$D316*$E316</f>
        <v>0</v>
      </c>
      <c r="AD316" s="157">
        <f>'Quantitativos (A)'!AB316*$D316*$E316</f>
        <v>0</v>
      </c>
      <c r="AE316" s="157">
        <f>'Quantitativos (A)'!AC316*$D316*$E316</f>
        <v>0</v>
      </c>
      <c r="AF316" s="157">
        <f>'Quantitativos (A)'!AD316*$D316*$E316</f>
        <v>0</v>
      </c>
      <c r="AG316" s="157">
        <f>'Quantitativos (A)'!AE316*$D316*$E316</f>
        <v>0</v>
      </c>
      <c r="AH316" s="157">
        <f>'Quantitativos (A)'!AF316*$D316*$E316</f>
        <v>0</v>
      </c>
      <c r="AI316" s="158">
        <f>'Quantitativos (A)'!AG316*$D316*$E316</f>
        <v>0</v>
      </c>
      <c r="AJ316" s="22"/>
    </row>
    <row r="317" spans="1:36" x14ac:dyDescent="0.25">
      <c r="A317" s="112"/>
      <c r="B317" s="120" t="s">
        <v>563</v>
      </c>
      <c r="C317" s="121"/>
      <c r="D317" s="155"/>
      <c r="E317" s="156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60"/>
      <c r="AJ317" s="22"/>
    </row>
    <row r="318" spans="1:36" x14ac:dyDescent="0.25">
      <c r="A318" s="112"/>
      <c r="B318" s="69" t="s">
        <v>241</v>
      </c>
      <c r="C318" s="133" t="s">
        <v>64</v>
      </c>
      <c r="D318" s="161">
        <f>'Dados (F)'!$D$192</f>
        <v>144.55000000000001</v>
      </c>
      <c r="E318" s="133">
        <f>IF('Dados (F)'!$D$35=1,1,'Dados (F)'!$C$39)</f>
        <v>1</v>
      </c>
      <c r="F318" s="157">
        <f>'Quantitativos (A)'!D318*$D318*$E318</f>
        <v>2601.9</v>
      </c>
      <c r="G318" s="157">
        <f>'Quantitativos (A)'!E318*$D318*$E318</f>
        <v>0</v>
      </c>
      <c r="H318" s="157">
        <f>'Quantitativos (A)'!F318*$D318*$E318</f>
        <v>0</v>
      </c>
      <c r="I318" s="157">
        <f>'Quantitativos (A)'!G318*$D318*$E318</f>
        <v>2601.9</v>
      </c>
      <c r="J318" s="157">
        <f>'Quantitativos (A)'!H318*$D318*$E318</f>
        <v>0</v>
      </c>
      <c r="K318" s="157">
        <f>'Quantitativos (A)'!I318*$D318*$E318</f>
        <v>0</v>
      </c>
      <c r="L318" s="157">
        <f>'Quantitativos (A)'!J318*$D318*$E318</f>
        <v>2601.9</v>
      </c>
      <c r="M318" s="157">
        <f>'Quantitativos (A)'!K318*$D318*$E318</f>
        <v>0</v>
      </c>
      <c r="N318" s="157">
        <f>'Quantitativos (A)'!L318*$D318*$E318</f>
        <v>2601.9</v>
      </c>
      <c r="O318" s="157">
        <f>'Quantitativos (A)'!M318*$D318*$E318</f>
        <v>0</v>
      </c>
      <c r="P318" s="157">
        <f>'Quantitativos (A)'!N318*$D318*$E318</f>
        <v>2601.9</v>
      </c>
      <c r="Q318" s="157">
        <f>'Quantitativos (A)'!O318*$D318*$E318</f>
        <v>0</v>
      </c>
      <c r="R318" s="157">
        <f>'Quantitativos (A)'!P318*$D318*$E318</f>
        <v>0</v>
      </c>
      <c r="S318" s="157">
        <f>'Quantitativos (A)'!Q318*$D318*$E318</f>
        <v>2601.9</v>
      </c>
      <c r="T318" s="157">
        <f>'Quantitativos (A)'!R318*$D318*$E318</f>
        <v>0</v>
      </c>
      <c r="U318" s="157">
        <f>'Quantitativos (A)'!S318*$D318*$E318</f>
        <v>0</v>
      </c>
      <c r="V318" s="157">
        <f>'Quantitativos (A)'!T318*$D318*$E318</f>
        <v>2601.9</v>
      </c>
      <c r="W318" s="157">
        <f>'Quantitativos (A)'!U318*$D318*$E318</f>
        <v>0</v>
      </c>
      <c r="X318" s="157">
        <f>'Quantitativos (A)'!V318*$D318*$E318</f>
        <v>2601.9</v>
      </c>
      <c r="Y318" s="157">
        <f>'Quantitativos (A)'!W318*$D318*$E318</f>
        <v>0</v>
      </c>
      <c r="Z318" s="157">
        <f>'Quantitativos (A)'!X318*$D318*$E318</f>
        <v>2601.9</v>
      </c>
      <c r="AA318" s="157">
        <f>'Quantitativos (A)'!Y318*$D318*$E318</f>
        <v>0</v>
      </c>
      <c r="AB318" s="157">
        <f>'Quantitativos (A)'!Z318*$D318*$E318</f>
        <v>0</v>
      </c>
      <c r="AC318" s="157">
        <f>'Quantitativos (A)'!AA318*$D318*$E318</f>
        <v>2601.9</v>
      </c>
      <c r="AD318" s="157">
        <f>'Quantitativos (A)'!AB318*$D318*$E318</f>
        <v>0</v>
      </c>
      <c r="AE318" s="157">
        <f>'Quantitativos (A)'!AC318*$D318*$E318</f>
        <v>0</v>
      </c>
      <c r="AF318" s="157">
        <f>'Quantitativos (A)'!AD318*$D318*$E318</f>
        <v>2601.9</v>
      </c>
      <c r="AG318" s="157">
        <f>'Quantitativos (A)'!AE318*$D318*$E318</f>
        <v>0</v>
      </c>
      <c r="AH318" s="157">
        <f>'Quantitativos (A)'!AF318*$D318*$E318</f>
        <v>2601.9</v>
      </c>
      <c r="AI318" s="158">
        <f>'Quantitativos (A)'!AG318*$D318*$E318</f>
        <v>0</v>
      </c>
      <c r="AJ318" s="22"/>
    </row>
    <row r="319" spans="1:36" x14ac:dyDescent="0.25">
      <c r="A319" s="112"/>
      <c r="B319" s="69" t="s">
        <v>242</v>
      </c>
      <c r="C319" s="133" t="s">
        <v>64</v>
      </c>
      <c r="D319" s="161">
        <f>'Dados (F)'!$D$193</f>
        <v>220.37</v>
      </c>
      <c r="E319" s="133">
        <f>IF('Dados (F)'!$D$35=1,1,'Dados (F)'!$C$39)</f>
        <v>1</v>
      </c>
      <c r="F319" s="157">
        <f>'Quantitativos (A)'!D319*$D319*$E319</f>
        <v>0</v>
      </c>
      <c r="G319" s="157">
        <f>'Quantitativos (A)'!E319*$D319*$E319</f>
        <v>0</v>
      </c>
      <c r="H319" s="157">
        <f>'Quantitativos (A)'!F319*$D319*$E319</f>
        <v>2644.44</v>
      </c>
      <c r="I319" s="157">
        <f>'Quantitativos (A)'!G319*$D319*$E319</f>
        <v>0</v>
      </c>
      <c r="J319" s="157">
        <f>'Quantitativos (A)'!H319*$D319*$E319</f>
        <v>0</v>
      </c>
      <c r="K319" s="157">
        <f>'Quantitativos (A)'!I319*$D319*$E319</f>
        <v>2644.44</v>
      </c>
      <c r="L319" s="157">
        <f>'Quantitativos (A)'!J319*$D319*$E319</f>
        <v>0</v>
      </c>
      <c r="M319" s="157">
        <f>'Quantitativos (A)'!K319*$D319*$E319</f>
        <v>2644.44</v>
      </c>
      <c r="N319" s="157">
        <f>'Quantitativos (A)'!L319*$D319*$E319</f>
        <v>0</v>
      </c>
      <c r="O319" s="157">
        <f>'Quantitativos (A)'!M319*$D319*$E319</f>
        <v>2644.44</v>
      </c>
      <c r="P319" s="157">
        <f>'Quantitativos (A)'!N319*$D319*$E319</f>
        <v>0</v>
      </c>
      <c r="Q319" s="157">
        <f>'Quantitativos (A)'!O319*$D319*$E319</f>
        <v>0</v>
      </c>
      <c r="R319" s="157">
        <f>'Quantitativos (A)'!P319*$D319*$E319</f>
        <v>3966.66</v>
      </c>
      <c r="S319" s="157">
        <f>'Quantitativos (A)'!Q319*$D319*$E319</f>
        <v>0</v>
      </c>
      <c r="T319" s="157">
        <f>'Quantitativos (A)'!R319*$D319*$E319</f>
        <v>0</v>
      </c>
      <c r="U319" s="157">
        <f>'Quantitativos (A)'!S319*$D319*$E319</f>
        <v>3966.66</v>
      </c>
      <c r="V319" s="157">
        <f>'Quantitativos (A)'!T319*$D319*$E319</f>
        <v>0</v>
      </c>
      <c r="W319" s="157">
        <f>'Quantitativos (A)'!U319*$D319*$E319</f>
        <v>3966.66</v>
      </c>
      <c r="X319" s="157">
        <f>'Quantitativos (A)'!V319*$D319*$E319</f>
        <v>0</v>
      </c>
      <c r="Y319" s="157">
        <f>'Quantitativos (A)'!W319*$D319*$E319</f>
        <v>3966.66</v>
      </c>
      <c r="Z319" s="157">
        <f>'Quantitativos (A)'!X319*$D319*$E319</f>
        <v>0</v>
      </c>
      <c r="AA319" s="157">
        <f>'Quantitativos (A)'!Y319*$D319*$E319</f>
        <v>0</v>
      </c>
      <c r="AB319" s="157">
        <f>'Quantitativos (A)'!Z319*$D319*$E319</f>
        <v>2644.44</v>
      </c>
      <c r="AC319" s="157">
        <f>'Quantitativos (A)'!AA319*$D319*$E319</f>
        <v>0</v>
      </c>
      <c r="AD319" s="157">
        <f>'Quantitativos (A)'!AB319*$D319*$E319</f>
        <v>0</v>
      </c>
      <c r="AE319" s="157">
        <f>'Quantitativos (A)'!AC319*$D319*$E319</f>
        <v>2644.44</v>
      </c>
      <c r="AF319" s="157">
        <f>'Quantitativos (A)'!AD319*$D319*$E319</f>
        <v>0</v>
      </c>
      <c r="AG319" s="157">
        <f>'Quantitativos (A)'!AE319*$D319*$E319</f>
        <v>2644.44</v>
      </c>
      <c r="AH319" s="157">
        <f>'Quantitativos (A)'!AF319*$D319*$E319</f>
        <v>0</v>
      </c>
      <c r="AI319" s="158">
        <f>'Quantitativos (A)'!AG319*$D319*$E319</f>
        <v>2644.44</v>
      </c>
      <c r="AJ319" s="22"/>
    </row>
    <row r="320" spans="1:36" x14ac:dyDescent="0.25">
      <c r="A320" s="112"/>
      <c r="B320" s="69" t="s">
        <v>243</v>
      </c>
      <c r="C320" s="133" t="s">
        <v>64</v>
      </c>
      <c r="D320" s="161">
        <f>'Dados (F)'!$D$194</f>
        <v>316.05</v>
      </c>
      <c r="E320" s="133">
        <f>IF('Dados (F)'!$D$35=1,1,'Dados (F)'!$C$39)</f>
        <v>1</v>
      </c>
      <c r="F320" s="157">
        <f>'Quantitativos (A)'!D320*$D320*$E320</f>
        <v>20859.3</v>
      </c>
      <c r="G320" s="157">
        <f>'Quantitativos (A)'!E320*$D320*$E320</f>
        <v>0</v>
      </c>
      <c r="H320" s="157">
        <f>'Quantitativos (A)'!F320*$D320*$E320</f>
        <v>0</v>
      </c>
      <c r="I320" s="157">
        <f>'Quantitativos (A)'!G320*$D320*$E320</f>
        <v>20859.3</v>
      </c>
      <c r="J320" s="157">
        <f>'Quantitativos (A)'!H320*$D320*$E320</f>
        <v>0</v>
      </c>
      <c r="K320" s="157">
        <f>'Quantitativos (A)'!I320*$D320*$E320</f>
        <v>0</v>
      </c>
      <c r="L320" s="157">
        <f>'Quantitativos (A)'!J320*$D320*$E320</f>
        <v>20859.3</v>
      </c>
      <c r="M320" s="157">
        <f>'Quantitativos (A)'!K320*$D320*$E320</f>
        <v>0</v>
      </c>
      <c r="N320" s="157">
        <f>'Quantitativos (A)'!L320*$D320*$E320</f>
        <v>20859.3</v>
      </c>
      <c r="O320" s="157">
        <f>'Quantitativos (A)'!M320*$D320*$E320</f>
        <v>0</v>
      </c>
      <c r="P320" s="157">
        <f>'Quantitativos (A)'!N320*$D320*$E320</f>
        <v>0</v>
      </c>
      <c r="Q320" s="157">
        <f>'Quantitativos (A)'!O320*$D320*$E320</f>
        <v>0</v>
      </c>
      <c r="R320" s="157">
        <f>'Quantitativos (A)'!P320*$D320*$E320</f>
        <v>0</v>
      </c>
      <c r="S320" s="157">
        <f>'Quantitativos (A)'!Q320*$D320*$E320</f>
        <v>0</v>
      </c>
      <c r="T320" s="157">
        <f>'Quantitativos (A)'!R320*$D320*$E320</f>
        <v>0</v>
      </c>
      <c r="U320" s="157">
        <f>'Quantitativos (A)'!S320*$D320*$E320</f>
        <v>0</v>
      </c>
      <c r="V320" s="157">
        <f>'Quantitativos (A)'!T320*$D320*$E320</f>
        <v>0</v>
      </c>
      <c r="W320" s="157">
        <f>'Quantitativos (A)'!U320*$D320*$E320</f>
        <v>0</v>
      </c>
      <c r="X320" s="157">
        <f>'Quantitativos (A)'!V320*$D320*$E320</f>
        <v>0</v>
      </c>
      <c r="Y320" s="157">
        <f>'Quantitativos (A)'!W320*$D320*$E320</f>
        <v>0</v>
      </c>
      <c r="Z320" s="157">
        <f>'Quantitativos (A)'!X320*$D320*$E320</f>
        <v>15170.400000000001</v>
      </c>
      <c r="AA320" s="157">
        <f>'Quantitativos (A)'!Y320*$D320*$E320</f>
        <v>0</v>
      </c>
      <c r="AB320" s="157">
        <f>'Quantitativos (A)'!Z320*$D320*$E320</f>
        <v>0</v>
      </c>
      <c r="AC320" s="157">
        <f>'Quantitativos (A)'!AA320*$D320*$E320</f>
        <v>15170.400000000001</v>
      </c>
      <c r="AD320" s="157">
        <f>'Quantitativos (A)'!AB320*$D320*$E320</f>
        <v>0</v>
      </c>
      <c r="AE320" s="157">
        <f>'Quantitativos (A)'!AC320*$D320*$E320</f>
        <v>0</v>
      </c>
      <c r="AF320" s="157">
        <f>'Quantitativos (A)'!AD320*$D320*$E320</f>
        <v>15170.400000000001</v>
      </c>
      <c r="AG320" s="157">
        <f>'Quantitativos (A)'!AE320*$D320*$E320</f>
        <v>0</v>
      </c>
      <c r="AH320" s="157">
        <f>'Quantitativos (A)'!AF320*$D320*$E320</f>
        <v>15170.400000000001</v>
      </c>
      <c r="AI320" s="158">
        <f>'Quantitativos (A)'!AG320*$D320*$E320</f>
        <v>0</v>
      </c>
      <c r="AJ320" s="22"/>
    </row>
    <row r="321" spans="1:36" x14ac:dyDescent="0.25">
      <c r="A321" s="112"/>
      <c r="B321" s="69" t="s">
        <v>244</v>
      </c>
      <c r="C321" s="133" t="s">
        <v>64</v>
      </c>
      <c r="D321" s="161">
        <f>'Dados (F)'!$D$195</f>
        <v>392.63</v>
      </c>
      <c r="E321" s="133">
        <f>IF('Dados (F)'!$D$35=1,1,'Dados (F)'!$C$39)</f>
        <v>1</v>
      </c>
      <c r="F321" s="157">
        <f>'Quantitativos (A)'!D321*$D321*$E321</f>
        <v>0</v>
      </c>
      <c r="G321" s="157">
        <f>'Quantitativos (A)'!E321*$D321*$E321</f>
        <v>11778.9</v>
      </c>
      <c r="H321" s="157">
        <f>'Quantitativos (A)'!F321*$D321*$E321</f>
        <v>0</v>
      </c>
      <c r="I321" s="157">
        <f>'Quantitativos (A)'!G321*$D321*$E321</f>
        <v>0</v>
      </c>
      <c r="J321" s="157">
        <f>'Quantitativos (A)'!H321*$D321*$E321</f>
        <v>11778.9</v>
      </c>
      <c r="K321" s="157">
        <f>'Quantitativos (A)'!I321*$D321*$E321</f>
        <v>0</v>
      </c>
      <c r="L321" s="157">
        <f>'Quantitativos (A)'!J321*$D321*$E321</f>
        <v>0</v>
      </c>
      <c r="M321" s="157">
        <f>'Quantitativos (A)'!K321*$D321*$E321</f>
        <v>0</v>
      </c>
      <c r="N321" s="157">
        <f>'Quantitativos (A)'!L321*$D321*$E321</f>
        <v>0</v>
      </c>
      <c r="O321" s="157">
        <f>'Quantitativos (A)'!M321*$D321*$E321</f>
        <v>0</v>
      </c>
      <c r="P321" s="157">
        <f>'Quantitativos (A)'!N321*$D321*$E321</f>
        <v>18846.239999999998</v>
      </c>
      <c r="Q321" s="157">
        <f>'Quantitativos (A)'!O321*$D321*$E321</f>
        <v>11778.9</v>
      </c>
      <c r="R321" s="157">
        <f>'Quantitativos (A)'!P321*$D321*$E321</f>
        <v>0</v>
      </c>
      <c r="S321" s="157">
        <f>'Quantitativos (A)'!Q321*$D321*$E321</f>
        <v>18846.239999999998</v>
      </c>
      <c r="T321" s="157">
        <f>'Quantitativos (A)'!R321*$D321*$E321</f>
        <v>11778.9</v>
      </c>
      <c r="U321" s="157">
        <f>'Quantitativos (A)'!S321*$D321*$E321</f>
        <v>0</v>
      </c>
      <c r="V321" s="157">
        <f>'Quantitativos (A)'!T321*$D321*$E321</f>
        <v>18846.239999999998</v>
      </c>
      <c r="W321" s="157">
        <f>'Quantitativos (A)'!U321*$D321*$E321</f>
        <v>0</v>
      </c>
      <c r="X321" s="157">
        <f>'Quantitativos (A)'!V321*$D321*$E321</f>
        <v>18846.239999999998</v>
      </c>
      <c r="Y321" s="157">
        <f>'Quantitativos (A)'!W321*$D321*$E321</f>
        <v>0</v>
      </c>
      <c r="Z321" s="157">
        <f>'Quantitativos (A)'!X321*$D321*$E321</f>
        <v>0</v>
      </c>
      <c r="AA321" s="157">
        <f>'Quantitativos (A)'!Y321*$D321*$E321</f>
        <v>9423.119999999999</v>
      </c>
      <c r="AB321" s="157">
        <f>'Quantitativos (A)'!Z321*$D321*$E321</f>
        <v>0</v>
      </c>
      <c r="AC321" s="157">
        <f>'Quantitativos (A)'!AA321*$D321*$E321</f>
        <v>0</v>
      </c>
      <c r="AD321" s="157">
        <f>'Quantitativos (A)'!AB321*$D321*$E321</f>
        <v>9423.119999999999</v>
      </c>
      <c r="AE321" s="157">
        <f>'Quantitativos (A)'!AC321*$D321*$E321</f>
        <v>0</v>
      </c>
      <c r="AF321" s="157">
        <f>'Quantitativos (A)'!AD321*$D321*$E321</f>
        <v>0</v>
      </c>
      <c r="AG321" s="157">
        <f>'Quantitativos (A)'!AE321*$D321*$E321</f>
        <v>0</v>
      </c>
      <c r="AH321" s="157">
        <f>'Quantitativos (A)'!AF321*$D321*$E321</f>
        <v>0</v>
      </c>
      <c r="AI321" s="158">
        <f>'Quantitativos (A)'!AG321*$D321*$E321</f>
        <v>0</v>
      </c>
      <c r="AJ321" s="22"/>
    </row>
    <row r="322" spans="1:36" x14ac:dyDescent="0.25">
      <c r="A322" s="112"/>
      <c r="B322" s="69" t="s">
        <v>245</v>
      </c>
      <c r="C322" s="133" t="s">
        <v>64</v>
      </c>
      <c r="D322" s="161">
        <f>'Dados (F)'!$D$196</f>
        <v>907.73</v>
      </c>
      <c r="E322" s="133">
        <f>IF('Dados (F)'!$D$35=1,1,'Dados (F)'!$C$39)</f>
        <v>1</v>
      </c>
      <c r="F322" s="157">
        <f>'Quantitativos (A)'!D322*$D322*$E322</f>
        <v>0</v>
      </c>
      <c r="G322" s="157">
        <f>'Quantitativos (A)'!E322*$D322*$E322</f>
        <v>0</v>
      </c>
      <c r="H322" s="157">
        <f>'Quantitativos (A)'!F322*$D322*$E322</f>
        <v>0</v>
      </c>
      <c r="I322" s="157">
        <f>'Quantitativos (A)'!G322*$D322*$E322</f>
        <v>0</v>
      </c>
      <c r="J322" s="157">
        <f>'Quantitativos (A)'!H322*$D322*$E322</f>
        <v>0</v>
      </c>
      <c r="K322" s="157">
        <f>'Quantitativos (A)'!I322*$D322*$E322</f>
        <v>0</v>
      </c>
      <c r="L322" s="157">
        <f>'Quantitativos (A)'!J322*$D322*$E322</f>
        <v>0</v>
      </c>
      <c r="M322" s="157">
        <f>'Quantitativos (A)'!K322*$D322*$E322</f>
        <v>0</v>
      </c>
      <c r="N322" s="157">
        <f>'Quantitativos (A)'!L322*$D322*$E322</f>
        <v>0</v>
      </c>
      <c r="O322" s="157">
        <f>'Quantitativos (A)'!M322*$D322*$E322</f>
        <v>0</v>
      </c>
      <c r="P322" s="157">
        <f>'Quantitativos (A)'!N322*$D322*$E322</f>
        <v>0</v>
      </c>
      <c r="Q322" s="157">
        <f>'Quantitativos (A)'!O322*$D322*$E322</f>
        <v>0</v>
      </c>
      <c r="R322" s="157">
        <f>'Quantitativos (A)'!P322*$D322*$E322</f>
        <v>0</v>
      </c>
      <c r="S322" s="157">
        <f>'Quantitativos (A)'!Q322*$D322*$E322</f>
        <v>0</v>
      </c>
      <c r="T322" s="157">
        <f>'Quantitativos (A)'!R322*$D322*$E322</f>
        <v>0</v>
      </c>
      <c r="U322" s="157">
        <f>'Quantitativos (A)'!S322*$D322*$E322</f>
        <v>0</v>
      </c>
      <c r="V322" s="157">
        <f>'Quantitativos (A)'!T322*$D322*$E322</f>
        <v>0</v>
      </c>
      <c r="W322" s="157">
        <f>'Quantitativos (A)'!U322*$D322*$E322</f>
        <v>0</v>
      </c>
      <c r="X322" s="157">
        <f>'Quantitativos (A)'!V322*$D322*$E322</f>
        <v>0</v>
      </c>
      <c r="Y322" s="157">
        <f>'Quantitativos (A)'!W322*$D322*$E322</f>
        <v>0</v>
      </c>
      <c r="Z322" s="157">
        <f>'Quantitativos (A)'!X322*$D322*$E322</f>
        <v>0</v>
      </c>
      <c r="AA322" s="157">
        <f>'Quantitativos (A)'!Y322*$D322*$E322</f>
        <v>0</v>
      </c>
      <c r="AB322" s="157">
        <f>'Quantitativos (A)'!Z322*$D322*$E322</f>
        <v>0</v>
      </c>
      <c r="AC322" s="157">
        <f>'Quantitativos (A)'!AA322*$D322*$E322</f>
        <v>0</v>
      </c>
      <c r="AD322" s="157">
        <f>'Quantitativos (A)'!AB322*$D322*$E322</f>
        <v>0</v>
      </c>
      <c r="AE322" s="157">
        <f>'Quantitativos (A)'!AC322*$D322*$E322</f>
        <v>0</v>
      </c>
      <c r="AF322" s="157">
        <f>'Quantitativos (A)'!AD322*$D322*$E322</f>
        <v>0</v>
      </c>
      <c r="AG322" s="157">
        <f>'Quantitativos (A)'!AE322*$D322*$E322</f>
        <v>0</v>
      </c>
      <c r="AH322" s="157">
        <f>'Quantitativos (A)'!AF322*$D322*$E322</f>
        <v>0</v>
      </c>
      <c r="AI322" s="158">
        <f>'Quantitativos (A)'!AG322*$D322*$E322</f>
        <v>0</v>
      </c>
      <c r="AJ322" s="22"/>
    </row>
    <row r="323" spans="1:36" x14ac:dyDescent="0.25">
      <c r="A323" s="112"/>
      <c r="B323" s="69" t="s">
        <v>246</v>
      </c>
      <c r="C323" s="133" t="s">
        <v>59</v>
      </c>
      <c r="D323" s="161">
        <f>'Dados (F)'!$D$197</f>
        <v>16.62</v>
      </c>
      <c r="E323" s="133">
        <f>IF('Dados (F)'!$D$35=1,1,'Dados (F)'!$C$39)</f>
        <v>1</v>
      </c>
      <c r="F323" s="157">
        <f>'Quantitativos (A)'!D323*$D323*$E323</f>
        <v>0</v>
      </c>
      <c r="G323" s="157">
        <f>'Quantitativos (A)'!E323*$D323*$E323</f>
        <v>0</v>
      </c>
      <c r="H323" s="157">
        <f>'Quantitativos (A)'!F323*$D323*$E323</f>
        <v>16.62</v>
      </c>
      <c r="I323" s="157">
        <f>'Quantitativos (A)'!G323*$D323*$E323</f>
        <v>0</v>
      </c>
      <c r="J323" s="157">
        <f>'Quantitativos (A)'!H323*$D323*$E323</f>
        <v>0</v>
      </c>
      <c r="K323" s="157">
        <f>'Quantitativos (A)'!I323*$D323*$E323</f>
        <v>16.62</v>
      </c>
      <c r="L323" s="157">
        <f>'Quantitativos (A)'!J323*$D323*$E323</f>
        <v>0</v>
      </c>
      <c r="M323" s="157">
        <f>'Quantitativos (A)'!K323*$D323*$E323</f>
        <v>16.62</v>
      </c>
      <c r="N323" s="157">
        <f>'Quantitativos (A)'!L323*$D323*$E323</f>
        <v>0</v>
      </c>
      <c r="O323" s="157">
        <f>'Quantitativos (A)'!M323*$D323*$E323</f>
        <v>16.62</v>
      </c>
      <c r="P323" s="157">
        <f>'Quantitativos (A)'!N323*$D323*$E323</f>
        <v>0</v>
      </c>
      <c r="Q323" s="157">
        <f>'Quantitativos (A)'!O323*$D323*$E323</f>
        <v>0</v>
      </c>
      <c r="R323" s="157">
        <f>'Quantitativos (A)'!P323*$D323*$E323</f>
        <v>199.44</v>
      </c>
      <c r="S323" s="157">
        <f>'Quantitativos (A)'!Q323*$D323*$E323</f>
        <v>0</v>
      </c>
      <c r="T323" s="157">
        <f>'Quantitativos (A)'!R323*$D323*$E323</f>
        <v>0</v>
      </c>
      <c r="U323" s="157">
        <f>'Quantitativos (A)'!S323*$D323*$E323</f>
        <v>199.44</v>
      </c>
      <c r="V323" s="157">
        <f>'Quantitativos (A)'!T323*$D323*$E323</f>
        <v>0</v>
      </c>
      <c r="W323" s="157">
        <f>'Quantitativos (A)'!U323*$D323*$E323</f>
        <v>199.44</v>
      </c>
      <c r="X323" s="157">
        <f>'Quantitativos (A)'!V323*$D323*$E323</f>
        <v>0</v>
      </c>
      <c r="Y323" s="157">
        <f>'Quantitativos (A)'!W323*$D323*$E323</f>
        <v>199.44</v>
      </c>
      <c r="Z323" s="157">
        <f>'Quantitativos (A)'!X323*$D323*$E323</f>
        <v>0</v>
      </c>
      <c r="AA323" s="157">
        <f>'Quantitativos (A)'!Y323*$D323*$E323</f>
        <v>0</v>
      </c>
      <c r="AB323" s="157">
        <f>'Quantitativos (A)'!Z323*$D323*$E323</f>
        <v>16.62</v>
      </c>
      <c r="AC323" s="157">
        <f>'Quantitativos (A)'!AA323*$D323*$E323</f>
        <v>0</v>
      </c>
      <c r="AD323" s="157">
        <f>'Quantitativos (A)'!AB323*$D323*$E323</f>
        <v>0</v>
      </c>
      <c r="AE323" s="157">
        <f>'Quantitativos (A)'!AC323*$D323*$E323</f>
        <v>16.62</v>
      </c>
      <c r="AF323" s="157">
        <f>'Quantitativos (A)'!AD323*$D323*$E323</f>
        <v>0</v>
      </c>
      <c r="AG323" s="157">
        <f>'Quantitativos (A)'!AE323*$D323*$E323</f>
        <v>16.62</v>
      </c>
      <c r="AH323" s="157">
        <f>'Quantitativos (A)'!AF323*$D323*$E323</f>
        <v>0</v>
      </c>
      <c r="AI323" s="158">
        <f>'Quantitativos (A)'!AG323*$D323*$E323</f>
        <v>16.62</v>
      </c>
      <c r="AJ323" s="22"/>
    </row>
    <row r="324" spans="1:36" x14ac:dyDescent="0.25">
      <c r="A324" s="112"/>
      <c r="B324" s="69" t="s">
        <v>247</v>
      </c>
      <c r="C324" s="133" t="s">
        <v>59</v>
      </c>
      <c r="D324" s="161">
        <f>'Dados (F)'!$D$198</f>
        <v>24.51</v>
      </c>
      <c r="E324" s="133">
        <f>IF('Dados (F)'!$D$35=1,1,'Dados (F)'!$C$39)</f>
        <v>1</v>
      </c>
      <c r="F324" s="157">
        <f>'Quantitativos (A)'!D324*$D324*$E324</f>
        <v>294.12</v>
      </c>
      <c r="G324" s="157">
        <f>'Quantitativos (A)'!E324*$D324*$E324</f>
        <v>0</v>
      </c>
      <c r="H324" s="157">
        <f>'Quantitativos (A)'!F324*$D324*$E324</f>
        <v>0</v>
      </c>
      <c r="I324" s="157">
        <f>'Quantitativos (A)'!G324*$D324*$E324</f>
        <v>294.12</v>
      </c>
      <c r="J324" s="157">
        <f>'Quantitativos (A)'!H324*$D324*$E324</f>
        <v>0</v>
      </c>
      <c r="K324" s="157">
        <f>'Quantitativos (A)'!I324*$D324*$E324</f>
        <v>0</v>
      </c>
      <c r="L324" s="157">
        <f>'Quantitativos (A)'!J324*$D324*$E324</f>
        <v>294.12</v>
      </c>
      <c r="M324" s="157">
        <f>'Quantitativos (A)'!K324*$D324*$E324</f>
        <v>0</v>
      </c>
      <c r="N324" s="157">
        <f>'Quantitativos (A)'!L324*$D324*$E324</f>
        <v>294.12</v>
      </c>
      <c r="O324" s="157">
        <f>'Quantitativos (A)'!M324*$D324*$E324</f>
        <v>0</v>
      </c>
      <c r="P324" s="157">
        <f>'Quantitativos (A)'!N324*$D324*$E324</f>
        <v>0</v>
      </c>
      <c r="Q324" s="157">
        <f>'Quantitativos (A)'!O324*$D324*$E324</f>
        <v>0</v>
      </c>
      <c r="R324" s="157">
        <f>'Quantitativos (A)'!P324*$D324*$E324</f>
        <v>0</v>
      </c>
      <c r="S324" s="157">
        <f>'Quantitativos (A)'!Q324*$D324*$E324</f>
        <v>0</v>
      </c>
      <c r="T324" s="157">
        <f>'Quantitativos (A)'!R324*$D324*$E324</f>
        <v>0</v>
      </c>
      <c r="U324" s="157">
        <f>'Quantitativos (A)'!S324*$D324*$E324</f>
        <v>0</v>
      </c>
      <c r="V324" s="157">
        <f>'Quantitativos (A)'!T324*$D324*$E324</f>
        <v>0</v>
      </c>
      <c r="W324" s="157">
        <f>'Quantitativos (A)'!U324*$D324*$E324</f>
        <v>0</v>
      </c>
      <c r="X324" s="157">
        <f>'Quantitativos (A)'!V324*$D324*$E324</f>
        <v>0</v>
      </c>
      <c r="Y324" s="157">
        <f>'Quantitativos (A)'!W324*$D324*$E324</f>
        <v>0</v>
      </c>
      <c r="Z324" s="157">
        <f>'Quantitativos (A)'!X324*$D324*$E324</f>
        <v>196.08</v>
      </c>
      <c r="AA324" s="157">
        <f>'Quantitativos (A)'!Y324*$D324*$E324</f>
        <v>0</v>
      </c>
      <c r="AB324" s="157">
        <f>'Quantitativos (A)'!Z324*$D324*$E324</f>
        <v>0</v>
      </c>
      <c r="AC324" s="157">
        <f>'Quantitativos (A)'!AA324*$D324*$E324</f>
        <v>196.08</v>
      </c>
      <c r="AD324" s="157">
        <f>'Quantitativos (A)'!AB324*$D324*$E324</f>
        <v>0</v>
      </c>
      <c r="AE324" s="157">
        <f>'Quantitativos (A)'!AC324*$D324*$E324</f>
        <v>0</v>
      </c>
      <c r="AF324" s="157">
        <f>'Quantitativos (A)'!AD324*$D324*$E324</f>
        <v>196.08</v>
      </c>
      <c r="AG324" s="157">
        <f>'Quantitativos (A)'!AE324*$D324*$E324</f>
        <v>0</v>
      </c>
      <c r="AH324" s="157">
        <f>'Quantitativos (A)'!AF324*$D324*$E324</f>
        <v>196.08</v>
      </c>
      <c r="AI324" s="158">
        <f>'Quantitativos (A)'!AG324*$D324*$E324</f>
        <v>0</v>
      </c>
      <c r="AJ324" s="22"/>
    </row>
    <row r="325" spans="1:36" x14ac:dyDescent="0.25">
      <c r="A325" s="112"/>
      <c r="B325" s="69" t="s">
        <v>248</v>
      </c>
      <c r="C325" s="133" t="s">
        <v>59</v>
      </c>
      <c r="D325" s="161">
        <f>'Dados (F)'!$D$199</f>
        <v>16.62</v>
      </c>
      <c r="E325" s="133">
        <f>IF('Dados (F)'!$D$35=1,1,'Dados (F)'!$C$39)</f>
        <v>1</v>
      </c>
      <c r="F325" s="157">
        <f>'Quantitativos (A)'!D325*$D325*$E325</f>
        <v>0</v>
      </c>
      <c r="G325" s="157">
        <f>'Quantitativos (A)'!E325*$D325*$E325</f>
        <v>33.24</v>
      </c>
      <c r="H325" s="157">
        <f>'Quantitativos (A)'!F325*$D325*$E325</f>
        <v>0</v>
      </c>
      <c r="I325" s="157">
        <f>'Quantitativos (A)'!G325*$D325*$E325</f>
        <v>0</v>
      </c>
      <c r="J325" s="157">
        <f>'Quantitativos (A)'!H325*$D325*$E325</f>
        <v>33.24</v>
      </c>
      <c r="K325" s="157">
        <f>'Quantitativos (A)'!I325*$D325*$E325</f>
        <v>0</v>
      </c>
      <c r="L325" s="157">
        <f>'Quantitativos (A)'!J325*$D325*$E325</f>
        <v>0</v>
      </c>
      <c r="M325" s="157">
        <f>'Quantitativos (A)'!K325*$D325*$E325</f>
        <v>0</v>
      </c>
      <c r="N325" s="157">
        <f>'Quantitativos (A)'!L325*$D325*$E325</f>
        <v>0</v>
      </c>
      <c r="O325" s="157">
        <f>'Quantitativos (A)'!M325*$D325*$E325</f>
        <v>0</v>
      </c>
      <c r="P325" s="157">
        <f>'Quantitativos (A)'!N325*$D325*$E325</f>
        <v>199.44</v>
      </c>
      <c r="Q325" s="157">
        <f>'Quantitativos (A)'!O325*$D325*$E325</f>
        <v>33.24</v>
      </c>
      <c r="R325" s="157">
        <f>'Quantitativos (A)'!P325*$D325*$E325</f>
        <v>0</v>
      </c>
      <c r="S325" s="157">
        <f>'Quantitativos (A)'!Q325*$D325*$E325</f>
        <v>199.44</v>
      </c>
      <c r="T325" s="157">
        <f>'Quantitativos (A)'!R325*$D325*$E325</f>
        <v>33.24</v>
      </c>
      <c r="U325" s="157">
        <f>'Quantitativos (A)'!S325*$D325*$E325</f>
        <v>0</v>
      </c>
      <c r="V325" s="157">
        <f>'Quantitativos (A)'!T325*$D325*$E325</f>
        <v>199.44</v>
      </c>
      <c r="W325" s="157">
        <f>'Quantitativos (A)'!U325*$D325*$E325</f>
        <v>0</v>
      </c>
      <c r="X325" s="157">
        <f>'Quantitativos (A)'!V325*$D325*$E325</f>
        <v>199.44</v>
      </c>
      <c r="Y325" s="157">
        <f>'Quantitativos (A)'!W325*$D325*$E325</f>
        <v>0</v>
      </c>
      <c r="Z325" s="157">
        <f>'Quantitativos (A)'!X325*$D325*$E325</f>
        <v>0</v>
      </c>
      <c r="AA325" s="157">
        <f>'Quantitativos (A)'!Y325*$D325*$E325</f>
        <v>33.24</v>
      </c>
      <c r="AB325" s="157">
        <f>'Quantitativos (A)'!Z325*$D325*$E325</f>
        <v>0</v>
      </c>
      <c r="AC325" s="157">
        <f>'Quantitativos (A)'!AA325*$D325*$E325</f>
        <v>0</v>
      </c>
      <c r="AD325" s="157">
        <f>'Quantitativos (A)'!AB325*$D325*$E325</f>
        <v>33.24</v>
      </c>
      <c r="AE325" s="157">
        <f>'Quantitativos (A)'!AC325*$D325*$E325</f>
        <v>0</v>
      </c>
      <c r="AF325" s="157">
        <f>'Quantitativos (A)'!AD325*$D325*$E325</f>
        <v>0</v>
      </c>
      <c r="AG325" s="157">
        <f>'Quantitativos (A)'!AE325*$D325*$E325</f>
        <v>0</v>
      </c>
      <c r="AH325" s="157">
        <f>'Quantitativos (A)'!AF325*$D325*$E325</f>
        <v>0</v>
      </c>
      <c r="AI325" s="158">
        <f>'Quantitativos (A)'!AG325*$D325*$E325</f>
        <v>0</v>
      </c>
      <c r="AJ325" s="22"/>
    </row>
    <row r="326" spans="1:36" x14ac:dyDescent="0.25">
      <c r="A326" s="112"/>
      <c r="B326" s="69" t="s">
        <v>249</v>
      </c>
      <c r="C326" s="133" t="s">
        <v>59</v>
      </c>
      <c r="D326" s="161">
        <f>'Dados (F)'!$D$200</f>
        <v>49.71</v>
      </c>
      <c r="E326" s="133">
        <f>IF('Dados (F)'!$D$35=1,1,'Dados (F)'!$C$39)</f>
        <v>1</v>
      </c>
      <c r="F326" s="157">
        <f>'Quantitativos (A)'!D326*$D326*$E326</f>
        <v>0</v>
      </c>
      <c r="G326" s="157">
        <f>'Quantitativos (A)'!E326*$D326*$E326</f>
        <v>0</v>
      </c>
      <c r="H326" s="157">
        <f>'Quantitativos (A)'!F326*$D326*$E326</f>
        <v>0</v>
      </c>
      <c r="I326" s="157">
        <f>'Quantitativos (A)'!G326*$D326*$E326</f>
        <v>0</v>
      </c>
      <c r="J326" s="157">
        <f>'Quantitativos (A)'!H326*$D326*$E326</f>
        <v>0</v>
      </c>
      <c r="K326" s="157">
        <f>'Quantitativos (A)'!I326*$D326*$E326</f>
        <v>0</v>
      </c>
      <c r="L326" s="157">
        <f>'Quantitativos (A)'!J326*$D326*$E326</f>
        <v>0</v>
      </c>
      <c r="M326" s="157">
        <f>'Quantitativos (A)'!K326*$D326*$E326</f>
        <v>0</v>
      </c>
      <c r="N326" s="157">
        <f>'Quantitativos (A)'!L326*$D326*$E326</f>
        <v>0</v>
      </c>
      <c r="O326" s="157">
        <f>'Quantitativos (A)'!M326*$D326*$E326</f>
        <v>0</v>
      </c>
      <c r="P326" s="157">
        <f>'Quantitativos (A)'!N326*$D326*$E326</f>
        <v>0</v>
      </c>
      <c r="Q326" s="157">
        <f>'Quantitativos (A)'!O326*$D326*$E326</f>
        <v>0</v>
      </c>
      <c r="R326" s="157">
        <f>'Quantitativos (A)'!P326*$D326*$E326</f>
        <v>0</v>
      </c>
      <c r="S326" s="157">
        <f>'Quantitativos (A)'!Q326*$D326*$E326</f>
        <v>0</v>
      </c>
      <c r="T326" s="157">
        <f>'Quantitativos (A)'!R326*$D326*$E326</f>
        <v>0</v>
      </c>
      <c r="U326" s="157">
        <f>'Quantitativos (A)'!S326*$D326*$E326</f>
        <v>0</v>
      </c>
      <c r="V326" s="157">
        <f>'Quantitativos (A)'!T326*$D326*$E326</f>
        <v>0</v>
      </c>
      <c r="W326" s="157">
        <f>'Quantitativos (A)'!U326*$D326*$E326</f>
        <v>0</v>
      </c>
      <c r="X326" s="157">
        <f>'Quantitativos (A)'!V326*$D326*$E326</f>
        <v>0</v>
      </c>
      <c r="Y326" s="157">
        <f>'Quantitativos (A)'!W326*$D326*$E326</f>
        <v>0</v>
      </c>
      <c r="Z326" s="157">
        <f>'Quantitativos (A)'!X326*$D326*$E326</f>
        <v>0</v>
      </c>
      <c r="AA326" s="157">
        <f>'Quantitativos (A)'!Y326*$D326*$E326</f>
        <v>0</v>
      </c>
      <c r="AB326" s="157">
        <f>'Quantitativos (A)'!Z326*$D326*$E326</f>
        <v>0</v>
      </c>
      <c r="AC326" s="157">
        <f>'Quantitativos (A)'!AA326*$D326*$E326</f>
        <v>0</v>
      </c>
      <c r="AD326" s="157">
        <f>'Quantitativos (A)'!AB326*$D326*$E326</f>
        <v>0</v>
      </c>
      <c r="AE326" s="157">
        <f>'Quantitativos (A)'!AC326*$D326*$E326</f>
        <v>0</v>
      </c>
      <c r="AF326" s="157">
        <f>'Quantitativos (A)'!AD326*$D326*$E326</f>
        <v>0</v>
      </c>
      <c r="AG326" s="157">
        <f>'Quantitativos (A)'!AE326*$D326*$E326</f>
        <v>0</v>
      </c>
      <c r="AH326" s="157">
        <f>'Quantitativos (A)'!AF326*$D326*$E326</f>
        <v>0</v>
      </c>
      <c r="AI326" s="158">
        <f>'Quantitativos (A)'!AG326*$D326*$E326</f>
        <v>0</v>
      </c>
      <c r="AJ326" s="22"/>
    </row>
    <row r="327" spans="1:36" x14ac:dyDescent="0.25">
      <c r="A327" s="112"/>
      <c r="B327" s="69" t="s">
        <v>251</v>
      </c>
      <c r="C327" s="133" t="s">
        <v>59</v>
      </c>
      <c r="D327" s="161">
        <f>'Dados (F)'!$D$202</f>
        <v>11.05</v>
      </c>
      <c r="E327" s="133">
        <f>IF('Dados (F)'!$D$35=1,1,'Dados (F)'!$C$39)</f>
        <v>1</v>
      </c>
      <c r="F327" s="157">
        <f>'Quantitativos (A)'!D327*$D327*$E327</f>
        <v>0</v>
      </c>
      <c r="G327" s="157">
        <f>'Quantitativos (A)'!E327*$D327*$E327</f>
        <v>0</v>
      </c>
      <c r="H327" s="157">
        <f>'Quantitativos (A)'!F327*$D327*$E327</f>
        <v>0</v>
      </c>
      <c r="I327" s="157">
        <f>'Quantitativos (A)'!G327*$D327*$E327</f>
        <v>0</v>
      </c>
      <c r="J327" s="157">
        <f>'Quantitativos (A)'!H327*$D327*$E327</f>
        <v>0</v>
      </c>
      <c r="K327" s="157">
        <f>'Quantitativos (A)'!I327*$D327*$E327</f>
        <v>0</v>
      </c>
      <c r="L327" s="157">
        <f>'Quantitativos (A)'!J327*$D327*$E327</f>
        <v>0</v>
      </c>
      <c r="M327" s="157">
        <f>'Quantitativos (A)'!K327*$D327*$E327</f>
        <v>0</v>
      </c>
      <c r="N327" s="157">
        <f>'Quantitativos (A)'!L327*$D327*$E327</f>
        <v>0</v>
      </c>
      <c r="O327" s="157">
        <f>'Quantitativos (A)'!M327*$D327*$E327</f>
        <v>0</v>
      </c>
      <c r="P327" s="157">
        <f>'Quantitativos (A)'!N327*$D327*$E327</f>
        <v>0</v>
      </c>
      <c r="Q327" s="157">
        <f>'Quantitativos (A)'!O327*$D327*$E327</f>
        <v>0</v>
      </c>
      <c r="R327" s="157">
        <f>'Quantitativos (A)'!P327*$D327*$E327</f>
        <v>0</v>
      </c>
      <c r="S327" s="157">
        <f>'Quantitativos (A)'!Q327*$D327*$E327</f>
        <v>0</v>
      </c>
      <c r="T327" s="157">
        <f>'Quantitativos (A)'!R327*$D327*$E327</f>
        <v>0</v>
      </c>
      <c r="U327" s="157">
        <f>'Quantitativos (A)'!S327*$D327*$E327</f>
        <v>0</v>
      </c>
      <c r="V327" s="157">
        <f>'Quantitativos (A)'!T327*$D327*$E327</f>
        <v>0</v>
      </c>
      <c r="W327" s="157">
        <f>'Quantitativos (A)'!U327*$D327*$E327</f>
        <v>0</v>
      </c>
      <c r="X327" s="157">
        <f>'Quantitativos (A)'!V327*$D327*$E327</f>
        <v>0</v>
      </c>
      <c r="Y327" s="157">
        <f>'Quantitativos (A)'!W327*$D327*$E327</f>
        <v>0</v>
      </c>
      <c r="Z327" s="157">
        <f>'Quantitativos (A)'!X327*$D327*$E327</f>
        <v>11.05</v>
      </c>
      <c r="AA327" s="157">
        <f>'Quantitativos (A)'!Y327*$D327*$E327</f>
        <v>0</v>
      </c>
      <c r="AB327" s="157">
        <f>'Quantitativos (A)'!Z327*$D327*$E327</f>
        <v>0</v>
      </c>
      <c r="AC327" s="157">
        <f>'Quantitativos (A)'!AA327*$D327*$E327</f>
        <v>11.05</v>
      </c>
      <c r="AD327" s="157">
        <f>'Quantitativos (A)'!AB327*$D327*$E327</f>
        <v>0</v>
      </c>
      <c r="AE327" s="157">
        <f>'Quantitativos (A)'!AC327*$D327*$E327</f>
        <v>0</v>
      </c>
      <c r="AF327" s="157">
        <f>'Quantitativos (A)'!AD327*$D327*$E327</f>
        <v>11.05</v>
      </c>
      <c r="AG327" s="157">
        <f>'Quantitativos (A)'!AE327*$D327*$E327</f>
        <v>0</v>
      </c>
      <c r="AH327" s="157">
        <f>'Quantitativos (A)'!AF327*$D327*$E327</f>
        <v>11.05</v>
      </c>
      <c r="AI327" s="158">
        <f>'Quantitativos (A)'!AG327*$D327*$E327</f>
        <v>0</v>
      </c>
      <c r="AJ327" s="22"/>
    </row>
    <row r="328" spans="1:36" x14ac:dyDescent="0.25">
      <c r="A328" s="112"/>
      <c r="B328" s="69" t="s">
        <v>253</v>
      </c>
      <c r="C328" s="133" t="s">
        <v>59</v>
      </c>
      <c r="D328" s="161">
        <f>'Dados (F)'!$D$203</f>
        <v>12.72</v>
      </c>
      <c r="E328" s="133">
        <f>IF('Dados (F)'!$D$35=1,1,'Dados (F)'!$C$39)</f>
        <v>1</v>
      </c>
      <c r="F328" s="157">
        <f>'Quantitativos (A)'!D328*$D328*$E328</f>
        <v>0</v>
      </c>
      <c r="G328" s="157">
        <f>'Quantitativos (A)'!E328*$D328*$E328</f>
        <v>0</v>
      </c>
      <c r="H328" s="157">
        <f>'Quantitativos (A)'!F328*$D328*$E328</f>
        <v>12.72</v>
      </c>
      <c r="I328" s="157">
        <f>'Quantitativos (A)'!G328*$D328*$E328</f>
        <v>0</v>
      </c>
      <c r="J328" s="157">
        <f>'Quantitativos (A)'!H328*$D328*$E328</f>
        <v>0</v>
      </c>
      <c r="K328" s="157">
        <f>'Quantitativos (A)'!I328*$D328*$E328</f>
        <v>12.72</v>
      </c>
      <c r="L328" s="157">
        <f>'Quantitativos (A)'!J328*$D328*$E328</f>
        <v>0</v>
      </c>
      <c r="M328" s="157">
        <f>'Quantitativos (A)'!K328*$D328*$E328</f>
        <v>12.72</v>
      </c>
      <c r="N328" s="157">
        <f>'Quantitativos (A)'!L328*$D328*$E328</f>
        <v>0</v>
      </c>
      <c r="O328" s="157">
        <f>'Quantitativos (A)'!M328*$D328*$E328</f>
        <v>12.72</v>
      </c>
      <c r="P328" s="157">
        <f>'Quantitativos (A)'!N328*$D328*$E328</f>
        <v>0</v>
      </c>
      <c r="Q328" s="157">
        <f>'Quantitativos (A)'!O328*$D328*$E328</f>
        <v>0</v>
      </c>
      <c r="R328" s="157">
        <f>'Quantitativos (A)'!P328*$D328*$E328</f>
        <v>12.72</v>
      </c>
      <c r="S328" s="157">
        <f>'Quantitativos (A)'!Q328*$D328*$E328</f>
        <v>0</v>
      </c>
      <c r="T328" s="157">
        <f>'Quantitativos (A)'!R328*$D328*$E328</f>
        <v>0</v>
      </c>
      <c r="U328" s="157">
        <f>'Quantitativos (A)'!S328*$D328*$E328</f>
        <v>12.72</v>
      </c>
      <c r="V328" s="157">
        <f>'Quantitativos (A)'!T328*$D328*$E328</f>
        <v>0</v>
      </c>
      <c r="W328" s="157">
        <f>'Quantitativos (A)'!U328*$D328*$E328</f>
        <v>12.72</v>
      </c>
      <c r="X328" s="157">
        <f>'Quantitativos (A)'!V328*$D328*$E328</f>
        <v>0</v>
      </c>
      <c r="Y328" s="157">
        <f>'Quantitativos (A)'!W328*$D328*$E328</f>
        <v>12.72</v>
      </c>
      <c r="Z328" s="157">
        <f>'Quantitativos (A)'!X328*$D328*$E328</f>
        <v>0</v>
      </c>
      <c r="AA328" s="157">
        <f>'Quantitativos (A)'!Y328*$D328*$E328</f>
        <v>0</v>
      </c>
      <c r="AB328" s="157">
        <f>'Quantitativos (A)'!Z328*$D328*$E328</f>
        <v>12.72</v>
      </c>
      <c r="AC328" s="157">
        <f>'Quantitativos (A)'!AA328*$D328*$E328</f>
        <v>0</v>
      </c>
      <c r="AD328" s="157">
        <f>'Quantitativos (A)'!AB328*$D328*$E328</f>
        <v>0</v>
      </c>
      <c r="AE328" s="157">
        <f>'Quantitativos (A)'!AC328*$D328*$E328</f>
        <v>12.72</v>
      </c>
      <c r="AF328" s="157">
        <f>'Quantitativos (A)'!AD328*$D328*$E328</f>
        <v>0</v>
      </c>
      <c r="AG328" s="157">
        <f>'Quantitativos (A)'!AE328*$D328*$E328</f>
        <v>12.72</v>
      </c>
      <c r="AH328" s="157">
        <f>'Quantitativos (A)'!AF328*$D328*$E328</f>
        <v>0</v>
      </c>
      <c r="AI328" s="158">
        <f>'Quantitativos (A)'!AG328*$D328*$E328</f>
        <v>12.72</v>
      </c>
      <c r="AJ328" s="22"/>
    </row>
    <row r="329" spans="1:36" x14ac:dyDescent="0.25">
      <c r="A329" s="112"/>
      <c r="B329" s="69" t="s">
        <v>252</v>
      </c>
      <c r="C329" s="133" t="s">
        <v>59</v>
      </c>
      <c r="D329" s="161">
        <f>'Dados (F)'!$D$204</f>
        <v>11.05</v>
      </c>
      <c r="E329" s="133">
        <f>IF('Dados (F)'!$D$35=1,1,'Dados (F)'!$C$39)</f>
        <v>1</v>
      </c>
      <c r="F329" s="157">
        <f>'Quantitativos (A)'!D329*$D329*$E329</f>
        <v>0</v>
      </c>
      <c r="G329" s="157">
        <f>'Quantitativos (A)'!E329*$D329*$E329</f>
        <v>0</v>
      </c>
      <c r="H329" s="157">
        <f>'Quantitativos (A)'!F329*$D329*$E329</f>
        <v>0</v>
      </c>
      <c r="I329" s="157">
        <f>'Quantitativos (A)'!G329*$D329*$E329</f>
        <v>0</v>
      </c>
      <c r="J329" s="157">
        <f>'Quantitativos (A)'!H329*$D329*$E329</f>
        <v>0</v>
      </c>
      <c r="K329" s="157">
        <f>'Quantitativos (A)'!I329*$D329*$E329</f>
        <v>0</v>
      </c>
      <c r="L329" s="157">
        <f>'Quantitativos (A)'!J329*$D329*$E329</f>
        <v>0</v>
      </c>
      <c r="M329" s="157">
        <f>'Quantitativos (A)'!K329*$D329*$E329</f>
        <v>0</v>
      </c>
      <c r="N329" s="157">
        <f>'Quantitativos (A)'!L329*$D329*$E329</f>
        <v>0</v>
      </c>
      <c r="O329" s="157">
        <f>'Quantitativos (A)'!M329*$D329*$E329</f>
        <v>0</v>
      </c>
      <c r="P329" s="157">
        <f>'Quantitativos (A)'!N329*$D329*$E329</f>
        <v>0</v>
      </c>
      <c r="Q329" s="157">
        <f>'Quantitativos (A)'!O329*$D329*$E329</f>
        <v>0</v>
      </c>
      <c r="R329" s="157">
        <f>'Quantitativos (A)'!P329*$D329*$E329</f>
        <v>0</v>
      </c>
      <c r="S329" s="157">
        <f>'Quantitativos (A)'!Q329*$D329*$E329</f>
        <v>0</v>
      </c>
      <c r="T329" s="157">
        <f>'Quantitativos (A)'!R329*$D329*$E329</f>
        <v>0</v>
      </c>
      <c r="U329" s="157">
        <f>'Quantitativos (A)'!S329*$D329*$E329</f>
        <v>0</v>
      </c>
      <c r="V329" s="157">
        <f>'Quantitativos (A)'!T329*$D329*$E329</f>
        <v>0</v>
      </c>
      <c r="W329" s="157">
        <f>'Quantitativos (A)'!U329*$D329*$E329</f>
        <v>0</v>
      </c>
      <c r="X329" s="157">
        <f>'Quantitativos (A)'!V329*$D329*$E329</f>
        <v>0</v>
      </c>
      <c r="Y329" s="157">
        <f>'Quantitativos (A)'!W329*$D329*$E329</f>
        <v>0</v>
      </c>
      <c r="Z329" s="157">
        <f>'Quantitativos (A)'!X329*$D329*$E329</f>
        <v>0</v>
      </c>
      <c r="AA329" s="157">
        <f>'Quantitativos (A)'!Y329*$D329*$E329</f>
        <v>11.05</v>
      </c>
      <c r="AB329" s="157">
        <f>'Quantitativos (A)'!Z329*$D329*$E329</f>
        <v>0</v>
      </c>
      <c r="AC329" s="157">
        <f>'Quantitativos (A)'!AA329*$D329*$E329</f>
        <v>0</v>
      </c>
      <c r="AD329" s="157">
        <f>'Quantitativos (A)'!AB329*$D329*$E329</f>
        <v>11.05</v>
      </c>
      <c r="AE329" s="157">
        <f>'Quantitativos (A)'!AC329*$D329*$E329</f>
        <v>0</v>
      </c>
      <c r="AF329" s="157">
        <f>'Quantitativos (A)'!AD329*$D329*$E329</f>
        <v>0</v>
      </c>
      <c r="AG329" s="157">
        <f>'Quantitativos (A)'!AE329*$D329*$E329</f>
        <v>0</v>
      </c>
      <c r="AH329" s="157">
        <f>'Quantitativos (A)'!AF329*$D329*$E329</f>
        <v>0</v>
      </c>
      <c r="AI329" s="158">
        <f>'Quantitativos (A)'!AG329*$D329*$E329</f>
        <v>0</v>
      </c>
      <c r="AJ329" s="22"/>
    </row>
    <row r="330" spans="1:36" x14ac:dyDescent="0.25">
      <c r="A330" s="112"/>
      <c r="B330" s="69" t="s">
        <v>254</v>
      </c>
      <c r="C330" s="133" t="s">
        <v>59</v>
      </c>
      <c r="D330" s="161">
        <f>'Dados (F)'!$D$205</f>
        <v>11.05</v>
      </c>
      <c r="E330" s="133">
        <f>IF('Dados (F)'!$D$35=1,1,'Dados (F)'!$C$39)</f>
        <v>1</v>
      </c>
      <c r="F330" s="157">
        <f>'Quantitativos (A)'!D330*$D330*$E330</f>
        <v>0</v>
      </c>
      <c r="G330" s="157">
        <f>'Quantitativos (A)'!E330*$D330*$E330</f>
        <v>0</v>
      </c>
      <c r="H330" s="157">
        <f>'Quantitativos (A)'!F330*$D330*$E330</f>
        <v>0</v>
      </c>
      <c r="I330" s="157">
        <f>'Quantitativos (A)'!G330*$D330*$E330</f>
        <v>0</v>
      </c>
      <c r="J330" s="157">
        <f>'Quantitativos (A)'!H330*$D330*$E330</f>
        <v>0</v>
      </c>
      <c r="K330" s="157">
        <f>'Quantitativos (A)'!I330*$D330*$E330</f>
        <v>0</v>
      </c>
      <c r="L330" s="157">
        <f>'Quantitativos (A)'!J330*$D330*$E330</f>
        <v>0</v>
      </c>
      <c r="M330" s="157">
        <f>'Quantitativos (A)'!K330*$D330*$E330</f>
        <v>0</v>
      </c>
      <c r="N330" s="157">
        <f>'Quantitativos (A)'!L330*$D330*$E330</f>
        <v>0</v>
      </c>
      <c r="O330" s="157">
        <f>'Quantitativos (A)'!M330*$D330*$E330</f>
        <v>0</v>
      </c>
      <c r="P330" s="157">
        <f>'Quantitativos (A)'!N330*$D330*$E330</f>
        <v>0</v>
      </c>
      <c r="Q330" s="157">
        <f>'Quantitativos (A)'!O330*$D330*$E330</f>
        <v>11.05</v>
      </c>
      <c r="R330" s="157">
        <f>'Quantitativos (A)'!P330*$D330*$E330</f>
        <v>0</v>
      </c>
      <c r="S330" s="157">
        <f>'Quantitativos (A)'!Q330*$D330*$E330</f>
        <v>0</v>
      </c>
      <c r="T330" s="157">
        <f>'Quantitativos (A)'!R330*$D330*$E330</f>
        <v>11.05</v>
      </c>
      <c r="U330" s="157">
        <f>'Quantitativos (A)'!S330*$D330*$E330</f>
        <v>0</v>
      </c>
      <c r="V330" s="157">
        <f>'Quantitativos (A)'!T330*$D330*$E330</f>
        <v>0</v>
      </c>
      <c r="W330" s="157">
        <f>'Quantitativos (A)'!U330*$D330*$E330</f>
        <v>0</v>
      </c>
      <c r="X330" s="157">
        <f>'Quantitativos (A)'!V330*$D330*$E330</f>
        <v>0</v>
      </c>
      <c r="Y330" s="157">
        <f>'Quantitativos (A)'!W330*$D330*$E330</f>
        <v>0</v>
      </c>
      <c r="Z330" s="157">
        <f>'Quantitativos (A)'!X330*$D330*$E330</f>
        <v>0</v>
      </c>
      <c r="AA330" s="157">
        <f>'Quantitativos (A)'!Y330*$D330*$E330</f>
        <v>0</v>
      </c>
      <c r="AB330" s="157">
        <f>'Quantitativos (A)'!Z330*$D330*$E330</f>
        <v>0</v>
      </c>
      <c r="AC330" s="157">
        <f>'Quantitativos (A)'!AA330*$D330*$E330</f>
        <v>0</v>
      </c>
      <c r="AD330" s="157">
        <f>'Quantitativos (A)'!AB330*$D330*$E330</f>
        <v>0</v>
      </c>
      <c r="AE330" s="157">
        <f>'Quantitativos (A)'!AC330*$D330*$E330</f>
        <v>0</v>
      </c>
      <c r="AF330" s="157">
        <f>'Quantitativos (A)'!AD330*$D330*$E330</f>
        <v>0</v>
      </c>
      <c r="AG330" s="157">
        <f>'Quantitativos (A)'!AE330*$D330*$E330</f>
        <v>0</v>
      </c>
      <c r="AH330" s="157">
        <f>'Quantitativos (A)'!AF330*$D330*$E330</f>
        <v>0</v>
      </c>
      <c r="AI330" s="158">
        <f>'Quantitativos (A)'!AG330*$D330*$E330</f>
        <v>0</v>
      </c>
      <c r="AJ330" s="22"/>
    </row>
    <row r="331" spans="1:36" x14ac:dyDescent="0.25">
      <c r="A331" s="112"/>
      <c r="B331" s="69" t="s">
        <v>255</v>
      </c>
      <c r="C331" s="133" t="s">
        <v>59</v>
      </c>
      <c r="D331" s="161">
        <f>'Dados (F)'!$D$206</f>
        <v>11.05</v>
      </c>
      <c r="E331" s="133">
        <f>IF('Dados (F)'!$D$35=1,1,'Dados (F)'!$C$39)</f>
        <v>1</v>
      </c>
      <c r="F331" s="157">
        <f>'Quantitativos (A)'!D331*$D331*$E331</f>
        <v>0</v>
      </c>
      <c r="G331" s="157">
        <f>'Quantitativos (A)'!E331*$D331*$E331</f>
        <v>11.05</v>
      </c>
      <c r="H331" s="157">
        <f>'Quantitativos (A)'!F331*$D331*$E331</f>
        <v>0</v>
      </c>
      <c r="I331" s="157">
        <f>'Quantitativos (A)'!G331*$D331*$E331</f>
        <v>0</v>
      </c>
      <c r="J331" s="157">
        <f>'Quantitativos (A)'!H331*$D331*$E331</f>
        <v>11.05</v>
      </c>
      <c r="K331" s="157">
        <f>'Quantitativos (A)'!I331*$D331*$E331</f>
        <v>0</v>
      </c>
      <c r="L331" s="157">
        <f>'Quantitativos (A)'!J331*$D331*$E331</f>
        <v>0</v>
      </c>
      <c r="M331" s="157">
        <f>'Quantitativos (A)'!K331*$D331*$E331</f>
        <v>0</v>
      </c>
      <c r="N331" s="157">
        <f>'Quantitativos (A)'!L331*$D331*$E331</f>
        <v>0</v>
      </c>
      <c r="O331" s="157">
        <f>'Quantitativos (A)'!M331*$D331*$E331</f>
        <v>0</v>
      </c>
      <c r="P331" s="157">
        <f>'Quantitativos (A)'!N331*$D331*$E331</f>
        <v>0</v>
      </c>
      <c r="Q331" s="157">
        <f>'Quantitativos (A)'!O331*$D331*$E331</f>
        <v>0</v>
      </c>
      <c r="R331" s="157">
        <f>'Quantitativos (A)'!P331*$D331*$E331</f>
        <v>0</v>
      </c>
      <c r="S331" s="157">
        <f>'Quantitativos (A)'!Q331*$D331*$E331</f>
        <v>0</v>
      </c>
      <c r="T331" s="157">
        <f>'Quantitativos (A)'!R331*$D331*$E331</f>
        <v>0</v>
      </c>
      <c r="U331" s="157">
        <f>'Quantitativos (A)'!S331*$D331*$E331</f>
        <v>0</v>
      </c>
      <c r="V331" s="157">
        <f>'Quantitativos (A)'!T331*$D331*$E331</f>
        <v>0</v>
      </c>
      <c r="W331" s="157">
        <f>'Quantitativos (A)'!U331*$D331*$E331</f>
        <v>0</v>
      </c>
      <c r="X331" s="157">
        <f>'Quantitativos (A)'!V331*$D331*$E331</f>
        <v>0</v>
      </c>
      <c r="Y331" s="157">
        <f>'Quantitativos (A)'!W331*$D331*$E331</f>
        <v>0</v>
      </c>
      <c r="Z331" s="157">
        <f>'Quantitativos (A)'!X331*$D331*$E331</f>
        <v>0</v>
      </c>
      <c r="AA331" s="157">
        <f>'Quantitativos (A)'!Y331*$D331*$E331</f>
        <v>0</v>
      </c>
      <c r="AB331" s="157">
        <f>'Quantitativos (A)'!Z331*$D331*$E331</f>
        <v>0</v>
      </c>
      <c r="AC331" s="157">
        <f>'Quantitativos (A)'!AA331*$D331*$E331</f>
        <v>0</v>
      </c>
      <c r="AD331" s="157">
        <f>'Quantitativos (A)'!AB331*$D331*$E331</f>
        <v>0</v>
      </c>
      <c r="AE331" s="157">
        <f>'Quantitativos (A)'!AC331*$D331*$E331</f>
        <v>0</v>
      </c>
      <c r="AF331" s="157">
        <f>'Quantitativos (A)'!AD331*$D331*$E331</f>
        <v>0</v>
      </c>
      <c r="AG331" s="157">
        <f>'Quantitativos (A)'!AE331*$D331*$E331</f>
        <v>0</v>
      </c>
      <c r="AH331" s="157">
        <f>'Quantitativos (A)'!AF331*$D331*$E331</f>
        <v>0</v>
      </c>
      <c r="AI331" s="158">
        <f>'Quantitativos (A)'!AG331*$D331*$E331</f>
        <v>0</v>
      </c>
      <c r="AJ331" s="22"/>
    </row>
    <row r="332" spans="1:36" x14ac:dyDescent="0.25">
      <c r="A332" s="112"/>
      <c r="B332" s="69" t="s">
        <v>257</v>
      </c>
      <c r="C332" s="133" t="s">
        <v>59</v>
      </c>
      <c r="D332" s="161">
        <f>'Dados (F)'!$D$208</f>
        <v>19.36</v>
      </c>
      <c r="E332" s="133">
        <f>IF('Dados (F)'!$D$35=1,1,'Dados (F)'!$C$39)</f>
        <v>1</v>
      </c>
      <c r="F332" s="157">
        <f>'Quantitativos (A)'!D332*$D332*$E332</f>
        <v>38.72</v>
      </c>
      <c r="G332" s="157">
        <f>'Quantitativos (A)'!E332*$D332*$E332</f>
        <v>0</v>
      </c>
      <c r="H332" s="157">
        <f>'Quantitativos (A)'!F332*$D332*$E332</f>
        <v>0</v>
      </c>
      <c r="I332" s="157">
        <f>'Quantitativos (A)'!G332*$D332*$E332</f>
        <v>38.72</v>
      </c>
      <c r="J332" s="157">
        <f>'Quantitativos (A)'!H332*$D332*$E332</f>
        <v>0</v>
      </c>
      <c r="K332" s="157">
        <f>'Quantitativos (A)'!I332*$D332*$E332</f>
        <v>0</v>
      </c>
      <c r="L332" s="157">
        <f>'Quantitativos (A)'!J332*$D332*$E332</f>
        <v>38.72</v>
      </c>
      <c r="M332" s="157">
        <f>'Quantitativos (A)'!K332*$D332*$E332</f>
        <v>0</v>
      </c>
      <c r="N332" s="157">
        <f>'Quantitativos (A)'!L332*$D332*$E332</f>
        <v>38.72</v>
      </c>
      <c r="O332" s="157">
        <f>'Quantitativos (A)'!M332*$D332*$E332</f>
        <v>0</v>
      </c>
      <c r="P332" s="157">
        <f>'Quantitativos (A)'!N332*$D332*$E332</f>
        <v>0</v>
      </c>
      <c r="Q332" s="157">
        <f>'Quantitativos (A)'!O332*$D332*$E332</f>
        <v>0</v>
      </c>
      <c r="R332" s="157">
        <f>'Quantitativos (A)'!P332*$D332*$E332</f>
        <v>0</v>
      </c>
      <c r="S332" s="157">
        <f>'Quantitativos (A)'!Q332*$D332*$E332</f>
        <v>0</v>
      </c>
      <c r="T332" s="157">
        <f>'Quantitativos (A)'!R332*$D332*$E332</f>
        <v>0</v>
      </c>
      <c r="U332" s="157">
        <f>'Quantitativos (A)'!S332*$D332*$E332</f>
        <v>0</v>
      </c>
      <c r="V332" s="157">
        <f>'Quantitativos (A)'!T332*$D332*$E332</f>
        <v>0</v>
      </c>
      <c r="W332" s="157">
        <f>'Quantitativos (A)'!U332*$D332*$E332</f>
        <v>0</v>
      </c>
      <c r="X332" s="157">
        <f>'Quantitativos (A)'!V332*$D332*$E332</f>
        <v>0</v>
      </c>
      <c r="Y332" s="157">
        <f>'Quantitativos (A)'!W332*$D332*$E332</f>
        <v>0</v>
      </c>
      <c r="Z332" s="157">
        <f>'Quantitativos (A)'!X332*$D332*$E332</f>
        <v>58.08</v>
      </c>
      <c r="AA332" s="157">
        <f>'Quantitativos (A)'!Y332*$D332*$E332</f>
        <v>0</v>
      </c>
      <c r="AB332" s="157">
        <f>'Quantitativos (A)'!Z332*$D332*$E332</f>
        <v>0</v>
      </c>
      <c r="AC332" s="157">
        <f>'Quantitativos (A)'!AA332*$D332*$E332</f>
        <v>58.08</v>
      </c>
      <c r="AD332" s="157">
        <f>'Quantitativos (A)'!AB332*$D332*$E332</f>
        <v>0</v>
      </c>
      <c r="AE332" s="157">
        <f>'Quantitativos (A)'!AC332*$D332*$E332</f>
        <v>0</v>
      </c>
      <c r="AF332" s="157">
        <f>'Quantitativos (A)'!AD332*$D332*$E332</f>
        <v>58.08</v>
      </c>
      <c r="AG332" s="157">
        <f>'Quantitativos (A)'!AE332*$D332*$E332</f>
        <v>0</v>
      </c>
      <c r="AH332" s="157">
        <f>'Quantitativos (A)'!AF332*$D332*$E332</f>
        <v>58.08</v>
      </c>
      <c r="AI332" s="158">
        <f>'Quantitativos (A)'!AG332*$D332*$E332</f>
        <v>0</v>
      </c>
      <c r="AJ332" s="22"/>
    </row>
    <row r="333" spans="1:36" x14ac:dyDescent="0.25">
      <c r="A333" s="112"/>
      <c r="B333" s="69" t="s">
        <v>258</v>
      </c>
      <c r="C333" s="133" t="s">
        <v>59</v>
      </c>
      <c r="D333" s="161">
        <f>'Dados (F)'!$D$209</f>
        <v>19.36</v>
      </c>
      <c r="E333" s="133">
        <f>IF('Dados (F)'!$D$35=1,1,'Dados (F)'!$C$39)</f>
        <v>1</v>
      </c>
      <c r="F333" s="157">
        <f>'Quantitativos (A)'!D333*$D333*$E333</f>
        <v>0</v>
      </c>
      <c r="G333" s="157">
        <f>'Quantitativos (A)'!E333*$D333*$E333</f>
        <v>38.72</v>
      </c>
      <c r="H333" s="157">
        <f>'Quantitativos (A)'!F333*$D333*$E333</f>
        <v>0</v>
      </c>
      <c r="I333" s="157">
        <f>'Quantitativos (A)'!G333*$D333*$E333</f>
        <v>0</v>
      </c>
      <c r="J333" s="157">
        <f>'Quantitativos (A)'!H333*$D333*$E333</f>
        <v>38.72</v>
      </c>
      <c r="K333" s="157">
        <f>'Quantitativos (A)'!I333*$D333*$E333</f>
        <v>0</v>
      </c>
      <c r="L333" s="157">
        <f>'Quantitativos (A)'!J333*$D333*$E333</f>
        <v>0</v>
      </c>
      <c r="M333" s="157">
        <f>'Quantitativos (A)'!K333*$D333*$E333</f>
        <v>0</v>
      </c>
      <c r="N333" s="157">
        <f>'Quantitativos (A)'!L333*$D333*$E333</f>
        <v>0</v>
      </c>
      <c r="O333" s="157">
        <f>'Quantitativos (A)'!M333*$D333*$E333</f>
        <v>0</v>
      </c>
      <c r="P333" s="157">
        <f>'Quantitativos (A)'!N333*$D333*$E333</f>
        <v>38.72</v>
      </c>
      <c r="Q333" s="157">
        <f>'Quantitativos (A)'!O333*$D333*$E333</f>
        <v>58.08</v>
      </c>
      <c r="R333" s="157">
        <f>'Quantitativos (A)'!P333*$D333*$E333</f>
        <v>0</v>
      </c>
      <c r="S333" s="157">
        <f>'Quantitativos (A)'!Q333*$D333*$E333</f>
        <v>38.72</v>
      </c>
      <c r="T333" s="157">
        <f>'Quantitativos (A)'!R333*$D333*$E333</f>
        <v>58.08</v>
      </c>
      <c r="U333" s="157">
        <f>'Quantitativos (A)'!S333*$D333*$E333</f>
        <v>0</v>
      </c>
      <c r="V333" s="157">
        <f>'Quantitativos (A)'!T333*$D333*$E333</f>
        <v>38.72</v>
      </c>
      <c r="W333" s="157">
        <f>'Quantitativos (A)'!U333*$D333*$E333</f>
        <v>0</v>
      </c>
      <c r="X333" s="157">
        <f>'Quantitativos (A)'!V333*$D333*$E333</f>
        <v>38.72</v>
      </c>
      <c r="Y333" s="157">
        <f>'Quantitativos (A)'!W333*$D333*$E333</f>
        <v>0</v>
      </c>
      <c r="Z333" s="157">
        <f>'Quantitativos (A)'!X333*$D333*$E333</f>
        <v>0</v>
      </c>
      <c r="AA333" s="157">
        <f>'Quantitativos (A)'!Y333*$D333*$E333</f>
        <v>58.08</v>
      </c>
      <c r="AB333" s="157">
        <f>'Quantitativos (A)'!Z333*$D333*$E333</f>
        <v>0</v>
      </c>
      <c r="AC333" s="157">
        <f>'Quantitativos (A)'!AA333*$D333*$E333</f>
        <v>0</v>
      </c>
      <c r="AD333" s="157">
        <f>'Quantitativos (A)'!AB333*$D333*$E333</f>
        <v>58.08</v>
      </c>
      <c r="AE333" s="157">
        <f>'Quantitativos (A)'!AC333*$D333*$E333</f>
        <v>0</v>
      </c>
      <c r="AF333" s="157">
        <f>'Quantitativos (A)'!AD333*$D333*$E333</f>
        <v>0</v>
      </c>
      <c r="AG333" s="157">
        <f>'Quantitativos (A)'!AE333*$D333*$E333</f>
        <v>0</v>
      </c>
      <c r="AH333" s="157">
        <f>'Quantitativos (A)'!AF333*$D333*$E333</f>
        <v>0</v>
      </c>
      <c r="AI333" s="158">
        <f>'Quantitativos (A)'!AG333*$D333*$E333</f>
        <v>0</v>
      </c>
      <c r="AJ333" s="22"/>
    </row>
    <row r="334" spans="1:36" x14ac:dyDescent="0.25">
      <c r="A334" s="112"/>
      <c r="B334" s="69" t="s">
        <v>259</v>
      </c>
      <c r="C334" s="133" t="s">
        <v>59</v>
      </c>
      <c r="D334" s="161">
        <f>'Dados (F)'!$D$210</f>
        <v>49.71</v>
      </c>
      <c r="E334" s="133">
        <f>IF('Dados (F)'!$D$35=1,1,'Dados (F)'!$C$39)</f>
        <v>1</v>
      </c>
      <c r="F334" s="157">
        <f>'Quantitativos (A)'!D334*$D334*$E334</f>
        <v>0</v>
      </c>
      <c r="G334" s="157">
        <f>'Quantitativos (A)'!E334*$D334*$E334</f>
        <v>0</v>
      </c>
      <c r="H334" s="157">
        <f>'Quantitativos (A)'!F334*$D334*$E334</f>
        <v>0</v>
      </c>
      <c r="I334" s="157">
        <f>'Quantitativos (A)'!G334*$D334*$E334</f>
        <v>0</v>
      </c>
      <c r="J334" s="157">
        <f>'Quantitativos (A)'!H334*$D334*$E334</f>
        <v>0</v>
      </c>
      <c r="K334" s="157">
        <f>'Quantitativos (A)'!I334*$D334*$E334</f>
        <v>0</v>
      </c>
      <c r="L334" s="157">
        <f>'Quantitativos (A)'!J334*$D334*$E334</f>
        <v>0</v>
      </c>
      <c r="M334" s="157">
        <f>'Quantitativos (A)'!K334*$D334*$E334</f>
        <v>0</v>
      </c>
      <c r="N334" s="157">
        <f>'Quantitativos (A)'!L334*$D334*$E334</f>
        <v>0</v>
      </c>
      <c r="O334" s="157">
        <f>'Quantitativos (A)'!M334*$D334*$E334</f>
        <v>0</v>
      </c>
      <c r="P334" s="157">
        <f>'Quantitativos (A)'!N334*$D334*$E334</f>
        <v>0</v>
      </c>
      <c r="Q334" s="157">
        <f>'Quantitativos (A)'!O334*$D334*$E334</f>
        <v>0</v>
      </c>
      <c r="R334" s="157">
        <f>'Quantitativos (A)'!P334*$D334*$E334</f>
        <v>0</v>
      </c>
      <c r="S334" s="157">
        <f>'Quantitativos (A)'!Q334*$D334*$E334</f>
        <v>0</v>
      </c>
      <c r="T334" s="157">
        <f>'Quantitativos (A)'!R334*$D334*$E334</f>
        <v>0</v>
      </c>
      <c r="U334" s="157">
        <f>'Quantitativos (A)'!S334*$D334*$E334</f>
        <v>0</v>
      </c>
      <c r="V334" s="157">
        <f>'Quantitativos (A)'!T334*$D334*$E334</f>
        <v>0</v>
      </c>
      <c r="W334" s="157">
        <f>'Quantitativos (A)'!U334*$D334*$E334</f>
        <v>0</v>
      </c>
      <c r="X334" s="157">
        <f>'Quantitativos (A)'!V334*$D334*$E334</f>
        <v>0</v>
      </c>
      <c r="Y334" s="157">
        <f>'Quantitativos (A)'!W334*$D334*$E334</f>
        <v>0</v>
      </c>
      <c r="Z334" s="157">
        <f>'Quantitativos (A)'!X334*$D334*$E334</f>
        <v>0</v>
      </c>
      <c r="AA334" s="157">
        <f>'Quantitativos (A)'!Y334*$D334*$E334</f>
        <v>0</v>
      </c>
      <c r="AB334" s="157">
        <f>'Quantitativos (A)'!Z334*$D334*$E334</f>
        <v>0</v>
      </c>
      <c r="AC334" s="157">
        <f>'Quantitativos (A)'!AA334*$D334*$E334</f>
        <v>0</v>
      </c>
      <c r="AD334" s="157">
        <f>'Quantitativos (A)'!AB334*$D334*$E334</f>
        <v>0</v>
      </c>
      <c r="AE334" s="157">
        <f>'Quantitativos (A)'!AC334*$D334*$E334</f>
        <v>0</v>
      </c>
      <c r="AF334" s="157">
        <f>'Quantitativos (A)'!AD334*$D334*$E334</f>
        <v>0</v>
      </c>
      <c r="AG334" s="157">
        <f>'Quantitativos (A)'!AE334*$D334*$E334</f>
        <v>0</v>
      </c>
      <c r="AH334" s="157">
        <f>'Quantitativos (A)'!AF334*$D334*$E334</f>
        <v>0</v>
      </c>
      <c r="AI334" s="158">
        <f>'Quantitativos (A)'!AG334*$D334*$E334</f>
        <v>0</v>
      </c>
      <c r="AJ334" s="22"/>
    </row>
    <row r="335" spans="1:36" x14ac:dyDescent="0.25">
      <c r="A335" s="112"/>
      <c r="B335" s="69" t="s">
        <v>260</v>
      </c>
      <c r="C335" s="133" t="s">
        <v>59</v>
      </c>
      <c r="D335" s="161">
        <f>'Dados (F)'!$D$211</f>
        <v>6.5</v>
      </c>
      <c r="E335" s="133">
        <f>IF('Dados (F)'!$D$35=1,1,'Dados (F)'!$C$39)</f>
        <v>1</v>
      </c>
      <c r="F335" s="157">
        <f>'Quantitativos (A)'!D335*$D335*$E335</f>
        <v>6.5</v>
      </c>
      <c r="G335" s="157">
        <f>'Quantitativos (A)'!E335*$D335*$E335</f>
        <v>0</v>
      </c>
      <c r="H335" s="157">
        <f>'Quantitativos (A)'!F335*$D335*$E335</f>
        <v>0</v>
      </c>
      <c r="I335" s="157">
        <f>'Quantitativos (A)'!G335*$D335*$E335</f>
        <v>6.5</v>
      </c>
      <c r="J335" s="157">
        <f>'Quantitativos (A)'!H335*$D335*$E335</f>
        <v>0</v>
      </c>
      <c r="K335" s="157">
        <f>'Quantitativos (A)'!I335*$D335*$E335</f>
        <v>0</v>
      </c>
      <c r="L335" s="157">
        <f>'Quantitativos (A)'!J335*$D335*$E335</f>
        <v>6.5</v>
      </c>
      <c r="M335" s="157">
        <f>'Quantitativos (A)'!K335*$D335*$E335</f>
        <v>0</v>
      </c>
      <c r="N335" s="157">
        <f>'Quantitativos (A)'!L335*$D335*$E335</f>
        <v>6.5</v>
      </c>
      <c r="O335" s="157">
        <f>'Quantitativos (A)'!M335*$D335*$E335</f>
        <v>0</v>
      </c>
      <c r="P335" s="157">
        <f>'Quantitativos (A)'!N335*$D335*$E335</f>
        <v>6.5</v>
      </c>
      <c r="Q335" s="157">
        <f>'Quantitativos (A)'!O335*$D335*$E335</f>
        <v>0</v>
      </c>
      <c r="R335" s="157">
        <f>'Quantitativos (A)'!P335*$D335*$E335</f>
        <v>0</v>
      </c>
      <c r="S335" s="157">
        <f>'Quantitativos (A)'!Q335*$D335*$E335</f>
        <v>6.5</v>
      </c>
      <c r="T335" s="157">
        <f>'Quantitativos (A)'!R335*$D335*$E335</f>
        <v>0</v>
      </c>
      <c r="U335" s="157">
        <f>'Quantitativos (A)'!S335*$D335*$E335</f>
        <v>0</v>
      </c>
      <c r="V335" s="157">
        <f>'Quantitativos (A)'!T335*$D335*$E335</f>
        <v>6.5</v>
      </c>
      <c r="W335" s="157">
        <f>'Quantitativos (A)'!U335*$D335*$E335</f>
        <v>0</v>
      </c>
      <c r="X335" s="157">
        <f>'Quantitativos (A)'!V335*$D335*$E335</f>
        <v>6.5</v>
      </c>
      <c r="Y335" s="157">
        <f>'Quantitativos (A)'!W335*$D335*$E335</f>
        <v>0</v>
      </c>
      <c r="Z335" s="157">
        <f>'Quantitativos (A)'!X335*$D335*$E335</f>
        <v>13</v>
      </c>
      <c r="AA335" s="157">
        <f>'Quantitativos (A)'!Y335*$D335*$E335</f>
        <v>0</v>
      </c>
      <c r="AB335" s="157">
        <f>'Quantitativos (A)'!Z335*$D335*$E335</f>
        <v>0</v>
      </c>
      <c r="AC335" s="157">
        <f>'Quantitativos (A)'!AA335*$D335*$E335</f>
        <v>13</v>
      </c>
      <c r="AD335" s="157">
        <f>'Quantitativos (A)'!AB335*$D335*$E335</f>
        <v>0</v>
      </c>
      <c r="AE335" s="157">
        <f>'Quantitativos (A)'!AC335*$D335*$E335</f>
        <v>0</v>
      </c>
      <c r="AF335" s="157">
        <f>'Quantitativos (A)'!AD335*$D335*$E335</f>
        <v>13</v>
      </c>
      <c r="AG335" s="157">
        <f>'Quantitativos (A)'!AE335*$D335*$E335</f>
        <v>0</v>
      </c>
      <c r="AH335" s="157">
        <f>'Quantitativos (A)'!AF335*$D335*$E335</f>
        <v>13</v>
      </c>
      <c r="AI335" s="158">
        <f>'Quantitativos (A)'!AG335*$D335*$E335</f>
        <v>0</v>
      </c>
      <c r="AJ335" s="22"/>
    </row>
    <row r="336" spans="1:36" x14ac:dyDescent="0.25">
      <c r="A336" s="112"/>
      <c r="B336" s="69" t="s">
        <v>261</v>
      </c>
      <c r="C336" s="133" t="s">
        <v>59</v>
      </c>
      <c r="D336" s="161">
        <f>'Dados (F)'!$D$212</f>
        <v>12.8</v>
      </c>
      <c r="E336" s="133">
        <f>IF('Dados (F)'!$D$35=1,1,'Dados (F)'!$C$39)</f>
        <v>1</v>
      </c>
      <c r="F336" s="157">
        <f>'Quantitativos (A)'!D336*$D336*$E336</f>
        <v>0</v>
      </c>
      <c r="G336" s="157">
        <f>'Quantitativos (A)'!E336*$D336*$E336</f>
        <v>0</v>
      </c>
      <c r="H336" s="157">
        <f>'Quantitativos (A)'!F336*$D336*$E336</f>
        <v>38.400000000000006</v>
      </c>
      <c r="I336" s="157">
        <f>'Quantitativos (A)'!G336*$D336*$E336</f>
        <v>0</v>
      </c>
      <c r="J336" s="157">
        <f>'Quantitativos (A)'!H336*$D336*$E336</f>
        <v>0</v>
      </c>
      <c r="K336" s="157">
        <f>'Quantitativos (A)'!I336*$D336*$E336</f>
        <v>38.400000000000006</v>
      </c>
      <c r="L336" s="157">
        <f>'Quantitativos (A)'!J336*$D336*$E336</f>
        <v>0</v>
      </c>
      <c r="M336" s="157">
        <f>'Quantitativos (A)'!K336*$D336*$E336</f>
        <v>38.400000000000006</v>
      </c>
      <c r="N336" s="157">
        <f>'Quantitativos (A)'!L336*$D336*$E336</f>
        <v>0</v>
      </c>
      <c r="O336" s="157">
        <f>'Quantitativos (A)'!M336*$D336*$E336</f>
        <v>38.400000000000006</v>
      </c>
      <c r="P336" s="157">
        <f>'Quantitativos (A)'!N336*$D336*$E336</f>
        <v>0</v>
      </c>
      <c r="Q336" s="157">
        <f>'Quantitativos (A)'!O336*$D336*$E336</f>
        <v>0</v>
      </c>
      <c r="R336" s="157">
        <f>'Quantitativos (A)'!P336*$D336*$E336</f>
        <v>12.8</v>
      </c>
      <c r="S336" s="157">
        <f>'Quantitativos (A)'!Q336*$D336*$E336</f>
        <v>0</v>
      </c>
      <c r="T336" s="157">
        <f>'Quantitativos (A)'!R336*$D336*$E336</f>
        <v>0</v>
      </c>
      <c r="U336" s="157">
        <f>'Quantitativos (A)'!S336*$D336*$E336</f>
        <v>12.8</v>
      </c>
      <c r="V336" s="157">
        <f>'Quantitativos (A)'!T336*$D336*$E336</f>
        <v>0</v>
      </c>
      <c r="W336" s="157">
        <f>'Quantitativos (A)'!U336*$D336*$E336</f>
        <v>12.8</v>
      </c>
      <c r="X336" s="157">
        <f>'Quantitativos (A)'!V336*$D336*$E336</f>
        <v>0</v>
      </c>
      <c r="Y336" s="157">
        <f>'Quantitativos (A)'!W336*$D336*$E336</f>
        <v>12.8</v>
      </c>
      <c r="Z336" s="157">
        <f>'Quantitativos (A)'!X336*$D336*$E336</f>
        <v>0</v>
      </c>
      <c r="AA336" s="157">
        <f>'Quantitativos (A)'!Y336*$D336*$E336</f>
        <v>0</v>
      </c>
      <c r="AB336" s="157">
        <f>'Quantitativos (A)'!Z336*$D336*$E336</f>
        <v>12.8</v>
      </c>
      <c r="AC336" s="157">
        <f>'Quantitativos (A)'!AA336*$D336*$E336</f>
        <v>0</v>
      </c>
      <c r="AD336" s="157">
        <f>'Quantitativos (A)'!AB336*$D336*$E336</f>
        <v>0</v>
      </c>
      <c r="AE336" s="157">
        <f>'Quantitativos (A)'!AC336*$D336*$E336</f>
        <v>12.8</v>
      </c>
      <c r="AF336" s="157">
        <f>'Quantitativos (A)'!AD336*$D336*$E336</f>
        <v>0</v>
      </c>
      <c r="AG336" s="157">
        <f>'Quantitativos (A)'!AE336*$D336*$E336</f>
        <v>12.8</v>
      </c>
      <c r="AH336" s="157">
        <f>'Quantitativos (A)'!AF336*$D336*$E336</f>
        <v>0</v>
      </c>
      <c r="AI336" s="158">
        <f>'Quantitativos (A)'!AG336*$D336*$E336</f>
        <v>12.8</v>
      </c>
      <c r="AJ336" s="22"/>
    </row>
    <row r="337" spans="1:36" x14ac:dyDescent="0.25">
      <c r="A337" s="112"/>
      <c r="B337" s="69" t="s">
        <v>262</v>
      </c>
      <c r="C337" s="133" t="s">
        <v>59</v>
      </c>
      <c r="D337" s="161">
        <f>'Dados (F)'!$D$213</f>
        <v>18.5</v>
      </c>
      <c r="E337" s="133">
        <f>IF('Dados (F)'!$D$35=1,1,'Dados (F)'!$C$39)</f>
        <v>1</v>
      </c>
      <c r="F337" s="157">
        <f>'Quantitativos (A)'!D337*$D337*$E337</f>
        <v>333</v>
      </c>
      <c r="G337" s="157">
        <f>'Quantitativos (A)'!E337*$D337*$E337</f>
        <v>0</v>
      </c>
      <c r="H337" s="157">
        <f>'Quantitativos (A)'!F337*$D337*$E337</f>
        <v>0</v>
      </c>
      <c r="I337" s="157">
        <f>'Quantitativos (A)'!G337*$D337*$E337</f>
        <v>333</v>
      </c>
      <c r="J337" s="157">
        <f>'Quantitativos (A)'!H337*$D337*$E337</f>
        <v>0</v>
      </c>
      <c r="K337" s="157">
        <f>'Quantitativos (A)'!I337*$D337*$E337</f>
        <v>0</v>
      </c>
      <c r="L337" s="157">
        <f>'Quantitativos (A)'!J337*$D337*$E337</f>
        <v>333</v>
      </c>
      <c r="M337" s="157">
        <f>'Quantitativos (A)'!K337*$D337*$E337</f>
        <v>0</v>
      </c>
      <c r="N337" s="157">
        <f>'Quantitativos (A)'!L337*$D337*$E337</f>
        <v>333</v>
      </c>
      <c r="O337" s="157">
        <f>'Quantitativos (A)'!M337*$D337*$E337</f>
        <v>0</v>
      </c>
      <c r="P337" s="157">
        <f>'Quantitativos (A)'!N337*$D337*$E337</f>
        <v>0</v>
      </c>
      <c r="Q337" s="157">
        <f>'Quantitativos (A)'!O337*$D337*$E337</f>
        <v>0</v>
      </c>
      <c r="R337" s="157">
        <f>'Quantitativos (A)'!P337*$D337*$E337</f>
        <v>0</v>
      </c>
      <c r="S337" s="157">
        <f>'Quantitativos (A)'!Q337*$D337*$E337</f>
        <v>0</v>
      </c>
      <c r="T337" s="157">
        <f>'Quantitativos (A)'!R337*$D337*$E337</f>
        <v>0</v>
      </c>
      <c r="U337" s="157">
        <f>'Quantitativos (A)'!S337*$D337*$E337</f>
        <v>0</v>
      </c>
      <c r="V337" s="157">
        <f>'Quantitativos (A)'!T337*$D337*$E337</f>
        <v>0</v>
      </c>
      <c r="W337" s="157">
        <f>'Quantitativos (A)'!U337*$D337*$E337</f>
        <v>0</v>
      </c>
      <c r="X337" s="157">
        <f>'Quantitativos (A)'!V337*$D337*$E337</f>
        <v>0</v>
      </c>
      <c r="Y337" s="157">
        <f>'Quantitativos (A)'!W337*$D337*$E337</f>
        <v>0</v>
      </c>
      <c r="Z337" s="157">
        <f>'Quantitativos (A)'!X337*$D337*$E337</f>
        <v>74</v>
      </c>
      <c r="AA337" s="157">
        <f>'Quantitativos (A)'!Y337*$D337*$E337</f>
        <v>0</v>
      </c>
      <c r="AB337" s="157">
        <f>'Quantitativos (A)'!Z337*$D337*$E337</f>
        <v>0</v>
      </c>
      <c r="AC337" s="157">
        <f>'Quantitativos (A)'!AA337*$D337*$E337</f>
        <v>74</v>
      </c>
      <c r="AD337" s="157">
        <f>'Quantitativos (A)'!AB337*$D337*$E337</f>
        <v>0</v>
      </c>
      <c r="AE337" s="157">
        <f>'Quantitativos (A)'!AC337*$D337*$E337</f>
        <v>0</v>
      </c>
      <c r="AF337" s="157">
        <f>'Quantitativos (A)'!AD337*$D337*$E337</f>
        <v>74</v>
      </c>
      <c r="AG337" s="157">
        <f>'Quantitativos (A)'!AE337*$D337*$E337</f>
        <v>0</v>
      </c>
      <c r="AH337" s="157">
        <f>'Quantitativos (A)'!AF337*$D337*$E337</f>
        <v>74</v>
      </c>
      <c r="AI337" s="158">
        <f>'Quantitativos (A)'!AG337*$D337*$E337</f>
        <v>0</v>
      </c>
      <c r="AJ337" s="22"/>
    </row>
    <row r="338" spans="1:36" x14ac:dyDescent="0.25">
      <c r="A338" s="112"/>
      <c r="B338" s="69" t="s">
        <v>263</v>
      </c>
      <c r="C338" s="133" t="s">
        <v>59</v>
      </c>
      <c r="D338" s="161">
        <f>'Dados (F)'!$D$214</f>
        <v>46.73</v>
      </c>
      <c r="E338" s="133">
        <f>IF('Dados (F)'!$D$35=1,1,'Dados (F)'!$C$39)</f>
        <v>1</v>
      </c>
      <c r="F338" s="157">
        <f>'Quantitativos (A)'!D338*$D338*$E338</f>
        <v>0</v>
      </c>
      <c r="G338" s="157">
        <f>'Quantitativos (A)'!E338*$D338*$E338</f>
        <v>186.92</v>
      </c>
      <c r="H338" s="157">
        <f>'Quantitativos (A)'!F338*$D338*$E338</f>
        <v>0</v>
      </c>
      <c r="I338" s="157">
        <f>'Quantitativos (A)'!G338*$D338*$E338</f>
        <v>0</v>
      </c>
      <c r="J338" s="157">
        <f>'Quantitativos (A)'!H338*$D338*$E338</f>
        <v>186.92</v>
      </c>
      <c r="K338" s="157">
        <f>'Quantitativos (A)'!I338*$D338*$E338</f>
        <v>0</v>
      </c>
      <c r="L338" s="157">
        <f>'Quantitativos (A)'!J338*$D338*$E338</f>
        <v>0</v>
      </c>
      <c r="M338" s="157">
        <f>'Quantitativos (A)'!K338*$D338*$E338</f>
        <v>0</v>
      </c>
      <c r="N338" s="157">
        <f>'Quantitativos (A)'!L338*$D338*$E338</f>
        <v>0</v>
      </c>
      <c r="O338" s="157">
        <f>'Quantitativos (A)'!M338*$D338*$E338</f>
        <v>0</v>
      </c>
      <c r="P338" s="157">
        <f>'Quantitativos (A)'!N338*$D338*$E338</f>
        <v>841.14</v>
      </c>
      <c r="Q338" s="157">
        <f>'Quantitativos (A)'!O338*$D338*$E338</f>
        <v>93.46</v>
      </c>
      <c r="R338" s="157">
        <f>'Quantitativos (A)'!P338*$D338*$E338</f>
        <v>0</v>
      </c>
      <c r="S338" s="157">
        <f>'Quantitativos (A)'!Q338*$D338*$E338</f>
        <v>841.14</v>
      </c>
      <c r="T338" s="157">
        <f>'Quantitativos (A)'!R338*$D338*$E338</f>
        <v>93.46</v>
      </c>
      <c r="U338" s="157">
        <f>'Quantitativos (A)'!S338*$D338*$E338</f>
        <v>0</v>
      </c>
      <c r="V338" s="157">
        <f>'Quantitativos (A)'!T338*$D338*$E338</f>
        <v>841.14</v>
      </c>
      <c r="W338" s="157">
        <f>'Quantitativos (A)'!U338*$D338*$E338</f>
        <v>0</v>
      </c>
      <c r="X338" s="157">
        <f>'Quantitativos (A)'!V338*$D338*$E338</f>
        <v>841.14</v>
      </c>
      <c r="Y338" s="157">
        <f>'Quantitativos (A)'!W338*$D338*$E338</f>
        <v>0</v>
      </c>
      <c r="Z338" s="157">
        <f>'Quantitativos (A)'!X338*$D338*$E338</f>
        <v>0</v>
      </c>
      <c r="AA338" s="157">
        <f>'Quantitativos (A)'!Y338*$D338*$E338</f>
        <v>93.46</v>
      </c>
      <c r="AB338" s="157">
        <f>'Quantitativos (A)'!Z338*$D338*$E338</f>
        <v>0</v>
      </c>
      <c r="AC338" s="157">
        <f>'Quantitativos (A)'!AA338*$D338*$E338</f>
        <v>0</v>
      </c>
      <c r="AD338" s="157">
        <f>'Quantitativos (A)'!AB338*$D338*$E338</f>
        <v>93.46</v>
      </c>
      <c r="AE338" s="157">
        <f>'Quantitativos (A)'!AC338*$D338*$E338</f>
        <v>0</v>
      </c>
      <c r="AF338" s="157">
        <f>'Quantitativos (A)'!AD338*$D338*$E338</f>
        <v>0</v>
      </c>
      <c r="AG338" s="157">
        <f>'Quantitativos (A)'!AE338*$D338*$E338</f>
        <v>0</v>
      </c>
      <c r="AH338" s="157">
        <f>'Quantitativos (A)'!AF338*$D338*$E338</f>
        <v>0</v>
      </c>
      <c r="AI338" s="158">
        <f>'Quantitativos (A)'!AG338*$D338*$E338</f>
        <v>0</v>
      </c>
      <c r="AJ338" s="22"/>
    </row>
    <row r="339" spans="1:36" x14ac:dyDescent="0.25">
      <c r="A339" s="112"/>
      <c r="B339" s="69" t="s">
        <v>264</v>
      </c>
      <c r="C339" s="133" t="s">
        <v>59</v>
      </c>
      <c r="D339" s="161">
        <f>'Dados (F)'!$D$215</f>
        <v>85.02</v>
      </c>
      <c r="E339" s="133">
        <f>IF('Dados (F)'!$D$35=1,1,'Dados (F)'!$C$39)</f>
        <v>1</v>
      </c>
      <c r="F339" s="157">
        <f>'Quantitativos (A)'!D339*$D339*$E339</f>
        <v>0</v>
      </c>
      <c r="G339" s="157">
        <f>'Quantitativos (A)'!E339*$D339*$E339</f>
        <v>0</v>
      </c>
      <c r="H339" s="157">
        <f>'Quantitativos (A)'!F339*$D339*$E339</f>
        <v>0</v>
      </c>
      <c r="I339" s="157">
        <f>'Quantitativos (A)'!G339*$D339*$E339</f>
        <v>0</v>
      </c>
      <c r="J339" s="157">
        <f>'Quantitativos (A)'!H339*$D339*$E339</f>
        <v>0</v>
      </c>
      <c r="K339" s="157">
        <f>'Quantitativos (A)'!I339*$D339*$E339</f>
        <v>0</v>
      </c>
      <c r="L339" s="157">
        <f>'Quantitativos (A)'!J339*$D339*$E339</f>
        <v>0</v>
      </c>
      <c r="M339" s="157">
        <f>'Quantitativos (A)'!K339*$D339*$E339</f>
        <v>0</v>
      </c>
      <c r="N339" s="157">
        <f>'Quantitativos (A)'!L339*$D339*$E339</f>
        <v>0</v>
      </c>
      <c r="O339" s="157">
        <f>'Quantitativos (A)'!M339*$D339*$E339</f>
        <v>0</v>
      </c>
      <c r="P339" s="157">
        <f>'Quantitativos (A)'!N339*$D339*$E339</f>
        <v>0</v>
      </c>
      <c r="Q339" s="157">
        <f>'Quantitativos (A)'!O339*$D339*$E339</f>
        <v>0</v>
      </c>
      <c r="R339" s="157">
        <f>'Quantitativos (A)'!P339*$D339*$E339</f>
        <v>0</v>
      </c>
      <c r="S339" s="157">
        <f>'Quantitativos (A)'!Q339*$D339*$E339</f>
        <v>0</v>
      </c>
      <c r="T339" s="157">
        <f>'Quantitativos (A)'!R339*$D339*$E339</f>
        <v>0</v>
      </c>
      <c r="U339" s="157">
        <f>'Quantitativos (A)'!S339*$D339*$E339</f>
        <v>0</v>
      </c>
      <c r="V339" s="157">
        <f>'Quantitativos (A)'!T339*$D339*$E339</f>
        <v>0</v>
      </c>
      <c r="W339" s="157">
        <f>'Quantitativos (A)'!U339*$D339*$E339</f>
        <v>0</v>
      </c>
      <c r="X339" s="157">
        <f>'Quantitativos (A)'!V339*$D339*$E339</f>
        <v>0</v>
      </c>
      <c r="Y339" s="157">
        <f>'Quantitativos (A)'!W339*$D339*$E339</f>
        <v>0</v>
      </c>
      <c r="Z339" s="157">
        <f>'Quantitativos (A)'!X339*$D339*$E339</f>
        <v>0</v>
      </c>
      <c r="AA339" s="157">
        <f>'Quantitativos (A)'!Y339*$D339*$E339</f>
        <v>0</v>
      </c>
      <c r="AB339" s="157">
        <f>'Quantitativos (A)'!Z339*$D339*$E339</f>
        <v>0</v>
      </c>
      <c r="AC339" s="157">
        <f>'Quantitativos (A)'!AA339*$D339*$E339</f>
        <v>0</v>
      </c>
      <c r="AD339" s="157">
        <f>'Quantitativos (A)'!AB339*$D339*$E339</f>
        <v>0</v>
      </c>
      <c r="AE339" s="157">
        <f>'Quantitativos (A)'!AC339*$D339*$E339</f>
        <v>0</v>
      </c>
      <c r="AF339" s="157">
        <f>'Quantitativos (A)'!AD339*$D339*$E339</f>
        <v>0</v>
      </c>
      <c r="AG339" s="157">
        <f>'Quantitativos (A)'!AE339*$D339*$E339</f>
        <v>0</v>
      </c>
      <c r="AH339" s="157">
        <f>'Quantitativos (A)'!AF339*$D339*$E339</f>
        <v>0</v>
      </c>
      <c r="AI339" s="158">
        <f>'Quantitativos (A)'!AG339*$D339*$E339</f>
        <v>0</v>
      </c>
      <c r="AJ339" s="22"/>
    </row>
    <row r="340" spans="1:36" x14ac:dyDescent="0.25">
      <c r="A340" s="112"/>
      <c r="B340" s="120" t="s">
        <v>564</v>
      </c>
      <c r="C340" s="121"/>
      <c r="D340" s="155"/>
      <c r="E340" s="156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60"/>
      <c r="AJ340" s="22"/>
    </row>
    <row r="341" spans="1:36" x14ac:dyDescent="0.25">
      <c r="A341" s="112"/>
      <c r="B341" s="69" t="s">
        <v>265</v>
      </c>
      <c r="C341" s="133" t="s">
        <v>64</v>
      </c>
      <c r="D341" s="161">
        <f>'Dados (F)'!$D$219</f>
        <v>30.03</v>
      </c>
      <c r="E341" s="133">
        <f>IF('Dados (F)'!$D$35=1,1,'Dados (F)'!$C$39)</f>
        <v>1</v>
      </c>
      <c r="F341" s="157">
        <f>'Quantitativos (A)'!D341*$D341*$E341</f>
        <v>1081.08</v>
      </c>
      <c r="G341" s="157">
        <f>'Quantitativos (A)'!E341*$D341*$E341</f>
        <v>540.54</v>
      </c>
      <c r="H341" s="157">
        <f>'Quantitativos (A)'!F341*$D341*$E341</f>
        <v>180.18</v>
      </c>
      <c r="I341" s="157">
        <f>'Quantitativos (A)'!G341*$D341*$E341</f>
        <v>1081.08</v>
      </c>
      <c r="J341" s="157">
        <f>'Quantitativos (A)'!H341*$D341*$E341</f>
        <v>540.54</v>
      </c>
      <c r="K341" s="157">
        <f>'Quantitativos (A)'!I341*$D341*$E341</f>
        <v>180.18</v>
      </c>
      <c r="L341" s="157">
        <f>'Quantitativos (A)'!J341*$D341*$E341</f>
        <v>1081.08</v>
      </c>
      <c r="M341" s="157">
        <f>'Quantitativos (A)'!K341*$D341*$E341</f>
        <v>180.18</v>
      </c>
      <c r="N341" s="157">
        <f>'Quantitativos (A)'!L341*$D341*$E341</f>
        <v>1081.08</v>
      </c>
      <c r="O341" s="157">
        <f>'Quantitativos (A)'!M341*$D341*$E341</f>
        <v>180.18</v>
      </c>
      <c r="P341" s="157">
        <f>'Quantitativos (A)'!N341*$D341*$E341</f>
        <v>1081.08</v>
      </c>
      <c r="Q341" s="157">
        <f>'Quantitativos (A)'!O341*$D341*$E341</f>
        <v>1081.08</v>
      </c>
      <c r="R341" s="157">
        <f>'Quantitativos (A)'!P341*$D341*$E341</f>
        <v>720.72</v>
      </c>
      <c r="S341" s="157">
        <f>'Quantitativos (A)'!Q341*$D341*$E341</f>
        <v>1081.08</v>
      </c>
      <c r="T341" s="157">
        <f>'Quantitativos (A)'!R341*$D341*$E341</f>
        <v>1081.08</v>
      </c>
      <c r="U341" s="157">
        <f>'Quantitativos (A)'!S341*$D341*$E341</f>
        <v>720.72</v>
      </c>
      <c r="V341" s="157">
        <f>'Quantitativos (A)'!T341*$D341*$E341</f>
        <v>1081.08</v>
      </c>
      <c r="W341" s="157">
        <f>'Quantitativos (A)'!U341*$D341*$E341</f>
        <v>720.72</v>
      </c>
      <c r="X341" s="157">
        <f>'Quantitativos (A)'!V341*$D341*$E341</f>
        <v>1081.08</v>
      </c>
      <c r="Y341" s="157">
        <f>'Quantitativos (A)'!W341*$D341*$E341</f>
        <v>720.72</v>
      </c>
      <c r="Z341" s="157">
        <f>'Quantitativos (A)'!X341*$D341*$E341</f>
        <v>540.54</v>
      </c>
      <c r="AA341" s="157">
        <f>'Quantitativos (A)'!Y341*$D341*$E341</f>
        <v>540.54</v>
      </c>
      <c r="AB341" s="157">
        <f>'Quantitativos (A)'!Z341*$D341*$E341</f>
        <v>0</v>
      </c>
      <c r="AC341" s="157">
        <f>'Quantitativos (A)'!AA341*$D341*$E341</f>
        <v>540.54</v>
      </c>
      <c r="AD341" s="157">
        <f>'Quantitativos (A)'!AB341*$D341*$E341</f>
        <v>540.54</v>
      </c>
      <c r="AE341" s="157">
        <f>'Quantitativos (A)'!AC341*$D341*$E341</f>
        <v>0</v>
      </c>
      <c r="AF341" s="157">
        <f>'Quantitativos (A)'!AD341*$D341*$E341</f>
        <v>540.54</v>
      </c>
      <c r="AG341" s="157">
        <f>'Quantitativos (A)'!AE341*$D341*$E341</f>
        <v>0</v>
      </c>
      <c r="AH341" s="157">
        <f>'Quantitativos (A)'!AF341*$D341*$E341</f>
        <v>540.54</v>
      </c>
      <c r="AI341" s="158">
        <f>'Quantitativos (A)'!AG341*$D341*$E341</f>
        <v>0</v>
      </c>
      <c r="AJ341" s="22"/>
    </row>
    <row r="342" spans="1:36" x14ac:dyDescent="0.25">
      <c r="A342" s="112"/>
      <c r="B342" s="120" t="s">
        <v>565</v>
      </c>
      <c r="C342" s="121"/>
      <c r="D342" s="155"/>
      <c r="E342" s="156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60"/>
      <c r="AJ342" s="22"/>
    </row>
    <row r="343" spans="1:36" x14ac:dyDescent="0.25">
      <c r="A343" s="112"/>
      <c r="B343" s="69" t="s">
        <v>268</v>
      </c>
      <c r="C343" s="133" t="s">
        <v>59</v>
      </c>
      <c r="D343" s="161">
        <f>'Dados (F)'!$D$222</f>
        <v>247.55</v>
      </c>
      <c r="E343" s="133">
        <f>IF('Dados (F)'!$D$35=1,1,'Dados (F)'!$C$39)</f>
        <v>1</v>
      </c>
      <c r="F343" s="157">
        <f>'Quantitativos (A)'!D343*$D343*$E343</f>
        <v>495.1</v>
      </c>
      <c r="G343" s="157">
        <f>'Quantitativos (A)'!E343*$D343*$E343</f>
        <v>0</v>
      </c>
      <c r="H343" s="157">
        <f>'Quantitativos (A)'!F343*$D343*$E343</f>
        <v>0</v>
      </c>
      <c r="I343" s="157">
        <f>'Quantitativos (A)'!G343*$D343*$E343</f>
        <v>495.1</v>
      </c>
      <c r="J343" s="157">
        <f>'Quantitativos (A)'!H343*$D343*$E343</f>
        <v>0</v>
      </c>
      <c r="K343" s="157">
        <f>'Quantitativos (A)'!I343*$D343*$E343</f>
        <v>0</v>
      </c>
      <c r="L343" s="157">
        <f>'Quantitativos (A)'!J343*$D343*$E343</f>
        <v>495.1</v>
      </c>
      <c r="M343" s="157">
        <f>'Quantitativos (A)'!K343*$D343*$E343</f>
        <v>0</v>
      </c>
      <c r="N343" s="157">
        <f>'Quantitativos (A)'!L343*$D343*$E343</f>
        <v>495.1</v>
      </c>
      <c r="O343" s="157">
        <f>'Quantitativos (A)'!M343*$D343*$E343</f>
        <v>0</v>
      </c>
      <c r="P343" s="157">
        <f>'Quantitativos (A)'!N343*$D343*$E343</f>
        <v>495.1</v>
      </c>
      <c r="Q343" s="157">
        <f>'Quantitativos (A)'!O343*$D343*$E343</f>
        <v>0</v>
      </c>
      <c r="R343" s="157">
        <f>'Quantitativos (A)'!P343*$D343*$E343</f>
        <v>0</v>
      </c>
      <c r="S343" s="157">
        <f>'Quantitativos (A)'!Q343*$D343*$E343</f>
        <v>495.1</v>
      </c>
      <c r="T343" s="157">
        <f>'Quantitativos (A)'!R343*$D343*$E343</f>
        <v>0</v>
      </c>
      <c r="U343" s="157">
        <f>'Quantitativos (A)'!S343*$D343*$E343</f>
        <v>0</v>
      </c>
      <c r="V343" s="157">
        <f>'Quantitativos (A)'!T343*$D343*$E343</f>
        <v>495.1</v>
      </c>
      <c r="W343" s="157">
        <f>'Quantitativos (A)'!U343*$D343*$E343</f>
        <v>0</v>
      </c>
      <c r="X343" s="157">
        <f>'Quantitativos (A)'!V343*$D343*$E343</f>
        <v>495.1</v>
      </c>
      <c r="Y343" s="157">
        <f>'Quantitativos (A)'!W343*$D343*$E343</f>
        <v>0</v>
      </c>
      <c r="Z343" s="157">
        <f>'Quantitativos (A)'!X343*$D343*$E343</f>
        <v>495.1</v>
      </c>
      <c r="AA343" s="157">
        <f>'Quantitativos (A)'!Y343*$D343*$E343</f>
        <v>0</v>
      </c>
      <c r="AB343" s="157">
        <f>'Quantitativos (A)'!Z343*$D343*$E343</f>
        <v>0</v>
      </c>
      <c r="AC343" s="157">
        <f>'Quantitativos (A)'!AA343*$D343*$E343</f>
        <v>495.1</v>
      </c>
      <c r="AD343" s="157">
        <f>'Quantitativos (A)'!AB343*$D343*$E343</f>
        <v>0</v>
      </c>
      <c r="AE343" s="157">
        <f>'Quantitativos (A)'!AC343*$D343*$E343</f>
        <v>0</v>
      </c>
      <c r="AF343" s="157">
        <f>'Quantitativos (A)'!AD343*$D343*$E343</f>
        <v>495.1</v>
      </c>
      <c r="AG343" s="157">
        <f>'Quantitativos (A)'!AE343*$D343*$E343</f>
        <v>0</v>
      </c>
      <c r="AH343" s="157">
        <f>'Quantitativos (A)'!AF343*$D343*$E343</f>
        <v>495.1</v>
      </c>
      <c r="AI343" s="158">
        <f>'Quantitativos (A)'!AG343*$D343*$E343</f>
        <v>0</v>
      </c>
      <c r="AJ343" s="22"/>
    </row>
    <row r="344" spans="1:36" x14ac:dyDescent="0.25">
      <c r="A344" s="112"/>
      <c r="B344" s="69" t="s">
        <v>271</v>
      </c>
      <c r="C344" s="133" t="s">
        <v>59</v>
      </c>
      <c r="D344" s="161">
        <f>'Dados (F)'!$D$225</f>
        <v>986.11</v>
      </c>
      <c r="E344" s="133">
        <f>IF('Dados (F)'!$D$35=1,1,'Dados (F)'!$C$39)</f>
        <v>1</v>
      </c>
      <c r="F344" s="157">
        <f>'Quantitativos (A)'!D344*$D344*$E344</f>
        <v>2958.33</v>
      </c>
      <c r="G344" s="157">
        <f>'Quantitativos (A)'!E344*$D344*$E344</f>
        <v>2958.33</v>
      </c>
      <c r="H344" s="157">
        <f>'Quantitativos (A)'!F344*$D344*$E344</f>
        <v>986.11</v>
      </c>
      <c r="I344" s="157">
        <f>'Quantitativos (A)'!G344*$D344*$E344</f>
        <v>2958.33</v>
      </c>
      <c r="J344" s="157">
        <f>'Quantitativos (A)'!H344*$D344*$E344</f>
        <v>2958.33</v>
      </c>
      <c r="K344" s="157">
        <f>'Quantitativos (A)'!I344*$D344*$E344</f>
        <v>986.11</v>
      </c>
      <c r="L344" s="157">
        <f>'Quantitativos (A)'!J344*$D344*$E344</f>
        <v>2958.33</v>
      </c>
      <c r="M344" s="157">
        <f>'Quantitativos (A)'!K344*$D344*$E344</f>
        <v>986.11</v>
      </c>
      <c r="N344" s="157">
        <f>'Quantitativos (A)'!L344*$D344*$E344</f>
        <v>2958.33</v>
      </c>
      <c r="O344" s="157">
        <f>'Quantitativos (A)'!M344*$D344*$E344</f>
        <v>986.11</v>
      </c>
      <c r="P344" s="157">
        <f>'Quantitativos (A)'!N344*$D344*$E344</f>
        <v>2958.33</v>
      </c>
      <c r="Q344" s="157">
        <f>'Quantitativos (A)'!O344*$D344*$E344</f>
        <v>2958.33</v>
      </c>
      <c r="R344" s="157">
        <f>'Quantitativos (A)'!P344*$D344*$E344</f>
        <v>986.11</v>
      </c>
      <c r="S344" s="157">
        <f>'Quantitativos (A)'!Q344*$D344*$E344</f>
        <v>2958.33</v>
      </c>
      <c r="T344" s="157">
        <f>'Quantitativos (A)'!R344*$D344*$E344</f>
        <v>2958.33</v>
      </c>
      <c r="U344" s="157">
        <f>'Quantitativos (A)'!S344*$D344*$E344</f>
        <v>986.11</v>
      </c>
      <c r="V344" s="157">
        <f>'Quantitativos (A)'!T344*$D344*$E344</f>
        <v>2958.33</v>
      </c>
      <c r="W344" s="157">
        <f>'Quantitativos (A)'!U344*$D344*$E344</f>
        <v>986.11</v>
      </c>
      <c r="X344" s="157">
        <f>'Quantitativos (A)'!V344*$D344*$E344</f>
        <v>2958.33</v>
      </c>
      <c r="Y344" s="157">
        <f>'Quantitativos (A)'!W344*$D344*$E344</f>
        <v>986.11</v>
      </c>
      <c r="Z344" s="157">
        <f>'Quantitativos (A)'!X344*$D344*$E344</f>
        <v>2958.33</v>
      </c>
      <c r="AA344" s="157">
        <f>'Quantitativos (A)'!Y344*$D344*$E344</f>
        <v>1972.22</v>
      </c>
      <c r="AB344" s="157">
        <f>'Quantitativos (A)'!Z344*$D344*$E344</f>
        <v>986.11</v>
      </c>
      <c r="AC344" s="157">
        <f>'Quantitativos (A)'!AA344*$D344*$E344</f>
        <v>2958.33</v>
      </c>
      <c r="AD344" s="157">
        <f>'Quantitativos (A)'!AB344*$D344*$E344</f>
        <v>1972.22</v>
      </c>
      <c r="AE344" s="157">
        <f>'Quantitativos (A)'!AC344*$D344*$E344</f>
        <v>986.11</v>
      </c>
      <c r="AF344" s="157">
        <f>'Quantitativos (A)'!AD344*$D344*$E344</f>
        <v>2958.33</v>
      </c>
      <c r="AG344" s="157">
        <f>'Quantitativos (A)'!AE344*$D344*$E344</f>
        <v>986.11</v>
      </c>
      <c r="AH344" s="157">
        <f>'Quantitativos (A)'!AF344*$D344*$E344</f>
        <v>2958.33</v>
      </c>
      <c r="AI344" s="158">
        <f>'Quantitativos (A)'!AG344*$D344*$E344</f>
        <v>986.11</v>
      </c>
      <c r="AJ344" s="22"/>
    </row>
    <row r="345" spans="1:36" x14ac:dyDescent="0.25">
      <c r="A345" s="112"/>
      <c r="B345" s="69" t="s">
        <v>273</v>
      </c>
      <c r="C345" s="133" t="s">
        <v>59</v>
      </c>
      <c r="D345" s="161">
        <f>'Dados (F)'!$D$227</f>
        <v>2500.84</v>
      </c>
      <c r="E345" s="133">
        <f>IF('Dados (F)'!$D$35=1,1,'Dados (F)'!$C$39)</f>
        <v>1</v>
      </c>
      <c r="F345" s="157">
        <f>'Quantitativos (A)'!D345*$D345*$E345</f>
        <v>0</v>
      </c>
      <c r="G345" s="157">
        <f>'Quantitativos (A)'!E345*$D345*$E345</f>
        <v>0</v>
      </c>
      <c r="H345" s="157">
        <f>'Quantitativos (A)'!F345*$D345*$E345</f>
        <v>0</v>
      </c>
      <c r="I345" s="157">
        <f>'Quantitativos (A)'!G345*$D345*$E345</f>
        <v>0</v>
      </c>
      <c r="J345" s="157">
        <f>'Quantitativos (A)'!H345*$D345*$E345</f>
        <v>0</v>
      </c>
      <c r="K345" s="157">
        <f>'Quantitativos (A)'!I345*$D345*$E345</f>
        <v>0</v>
      </c>
      <c r="L345" s="157">
        <f>'Quantitativos (A)'!J345*$D345*$E345</f>
        <v>0</v>
      </c>
      <c r="M345" s="157">
        <f>'Quantitativos (A)'!K345*$D345*$E345</f>
        <v>0</v>
      </c>
      <c r="N345" s="157">
        <f>'Quantitativos (A)'!L345*$D345*$E345</f>
        <v>0</v>
      </c>
      <c r="O345" s="157">
        <f>'Quantitativos (A)'!M345*$D345*$E345</f>
        <v>0</v>
      </c>
      <c r="P345" s="157">
        <f>'Quantitativos (A)'!N345*$D345*$E345</f>
        <v>0</v>
      </c>
      <c r="Q345" s="157">
        <f>'Quantitativos (A)'!O345*$D345*$E345</f>
        <v>0</v>
      </c>
      <c r="R345" s="157">
        <f>'Quantitativos (A)'!P345*$D345*$E345</f>
        <v>0</v>
      </c>
      <c r="S345" s="157">
        <f>'Quantitativos (A)'!Q345*$D345*$E345</f>
        <v>0</v>
      </c>
      <c r="T345" s="157">
        <f>'Quantitativos (A)'!R345*$D345*$E345</f>
        <v>0</v>
      </c>
      <c r="U345" s="157">
        <f>'Quantitativos (A)'!S345*$D345*$E345</f>
        <v>0</v>
      </c>
      <c r="V345" s="157">
        <f>'Quantitativos (A)'!T345*$D345*$E345</f>
        <v>0</v>
      </c>
      <c r="W345" s="157">
        <f>'Quantitativos (A)'!U345*$D345*$E345</f>
        <v>0</v>
      </c>
      <c r="X345" s="157">
        <f>'Quantitativos (A)'!V345*$D345*$E345</f>
        <v>0</v>
      </c>
      <c r="Y345" s="157">
        <f>'Quantitativos (A)'!W345*$D345*$E345</f>
        <v>0</v>
      </c>
      <c r="Z345" s="157">
        <f>'Quantitativos (A)'!X345*$D345*$E345</f>
        <v>0</v>
      </c>
      <c r="AA345" s="157">
        <f>'Quantitativos (A)'!Y345*$D345*$E345</f>
        <v>0</v>
      </c>
      <c r="AB345" s="157">
        <f>'Quantitativos (A)'!Z345*$D345*$E345</f>
        <v>0</v>
      </c>
      <c r="AC345" s="157">
        <f>'Quantitativos (A)'!AA345*$D345*$E345</f>
        <v>0</v>
      </c>
      <c r="AD345" s="157">
        <f>'Quantitativos (A)'!AB345*$D345*$E345</f>
        <v>0</v>
      </c>
      <c r="AE345" s="157">
        <f>'Quantitativos (A)'!AC345*$D345*$E345</f>
        <v>0</v>
      </c>
      <c r="AF345" s="157">
        <f>'Quantitativos (A)'!AD345*$D345*$E345</f>
        <v>0</v>
      </c>
      <c r="AG345" s="157">
        <f>'Quantitativos (A)'!AE345*$D345*$E345</f>
        <v>0</v>
      </c>
      <c r="AH345" s="157">
        <f>'Quantitativos (A)'!AF345*$D345*$E345</f>
        <v>0</v>
      </c>
      <c r="AI345" s="158">
        <f>'Quantitativos (A)'!AG345*$D345*$E345</f>
        <v>0</v>
      </c>
      <c r="AJ345" s="22"/>
    </row>
    <row r="346" spans="1:36" x14ac:dyDescent="0.25">
      <c r="A346" s="112"/>
      <c r="B346" s="120" t="s">
        <v>566</v>
      </c>
      <c r="C346" s="121"/>
      <c r="D346" s="155"/>
      <c r="E346" s="156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60"/>
      <c r="AJ346" s="22"/>
    </row>
    <row r="347" spans="1:36" x14ac:dyDescent="0.25">
      <c r="A347" s="112"/>
      <c r="B347" s="69" t="s">
        <v>277</v>
      </c>
      <c r="C347" s="133" t="s">
        <v>59</v>
      </c>
      <c r="D347" s="161">
        <f>'Dados (F)'!$D$228</f>
        <v>86.13</v>
      </c>
      <c r="E347" s="133">
        <f>IF('Dados (F)'!$D$35=1,1,'Dados (F)'!$C$39)</f>
        <v>1</v>
      </c>
      <c r="F347" s="157">
        <f>'Quantitativos (A)'!D347*$D347*$E347</f>
        <v>0</v>
      </c>
      <c r="G347" s="157">
        <f>'Quantitativos (A)'!E347*$D347*$E347</f>
        <v>0</v>
      </c>
      <c r="H347" s="157">
        <f>'Quantitativos (A)'!F347*$D347*$E347</f>
        <v>0</v>
      </c>
      <c r="I347" s="157">
        <f>'Quantitativos (A)'!G347*$D347*$E347</f>
        <v>0</v>
      </c>
      <c r="J347" s="157">
        <f>'Quantitativos (A)'!H347*$D347*$E347</f>
        <v>0</v>
      </c>
      <c r="K347" s="157">
        <f>'Quantitativos (A)'!I347*$D347*$E347</f>
        <v>0</v>
      </c>
      <c r="L347" s="157">
        <f>'Quantitativos (A)'!J347*$D347*$E347</f>
        <v>0</v>
      </c>
      <c r="M347" s="157">
        <f>'Quantitativos (A)'!K347*$D347*$E347</f>
        <v>0</v>
      </c>
      <c r="N347" s="157">
        <f>'Quantitativos (A)'!L347*$D347*$E347</f>
        <v>0</v>
      </c>
      <c r="O347" s="157">
        <f>'Quantitativos (A)'!M347*$D347*$E347</f>
        <v>0</v>
      </c>
      <c r="P347" s="157">
        <f>'Quantitativos (A)'!N347*$D347*$E347</f>
        <v>0</v>
      </c>
      <c r="Q347" s="157">
        <f>'Quantitativos (A)'!O347*$D347*$E347</f>
        <v>0</v>
      </c>
      <c r="R347" s="157">
        <f>'Quantitativos (A)'!P347*$D347*$E347</f>
        <v>0</v>
      </c>
      <c r="S347" s="157">
        <f>'Quantitativos (A)'!Q347*$D347*$E347</f>
        <v>0</v>
      </c>
      <c r="T347" s="157">
        <f>'Quantitativos (A)'!R347*$D347*$E347</f>
        <v>0</v>
      </c>
      <c r="U347" s="157">
        <f>'Quantitativos (A)'!S347*$D347*$E347</f>
        <v>0</v>
      </c>
      <c r="V347" s="157">
        <f>'Quantitativos (A)'!T347*$D347*$E347</f>
        <v>0</v>
      </c>
      <c r="W347" s="157">
        <f>'Quantitativos (A)'!U347*$D347*$E347</f>
        <v>0</v>
      </c>
      <c r="X347" s="157">
        <f>'Quantitativos (A)'!V347*$D347*$E347</f>
        <v>0</v>
      </c>
      <c r="Y347" s="157">
        <f>'Quantitativos (A)'!W347*$D347*$E347</f>
        <v>0</v>
      </c>
      <c r="Z347" s="157">
        <f>'Quantitativos (A)'!X347*$D347*$E347</f>
        <v>86.13</v>
      </c>
      <c r="AA347" s="157">
        <f>'Quantitativos (A)'!Y347*$D347*$E347</f>
        <v>0</v>
      </c>
      <c r="AB347" s="157">
        <f>'Quantitativos (A)'!Z347*$D347*$E347</f>
        <v>0</v>
      </c>
      <c r="AC347" s="157">
        <f>'Quantitativos (A)'!AA347*$D347*$E347</f>
        <v>86.13</v>
      </c>
      <c r="AD347" s="157">
        <f>'Quantitativos (A)'!AB347*$D347*$E347</f>
        <v>0</v>
      </c>
      <c r="AE347" s="157">
        <f>'Quantitativos (A)'!AC347*$D347*$E347</f>
        <v>0</v>
      </c>
      <c r="AF347" s="157">
        <f>'Quantitativos (A)'!AD347*$D347*$E347</f>
        <v>86.13</v>
      </c>
      <c r="AG347" s="157">
        <f>'Quantitativos (A)'!AE347*$D347*$E347</f>
        <v>0</v>
      </c>
      <c r="AH347" s="157">
        <f>'Quantitativos (A)'!AF347*$D347*$E347</f>
        <v>86.13</v>
      </c>
      <c r="AI347" s="158">
        <f>'Quantitativos (A)'!AG347*$D347*$E347</f>
        <v>0</v>
      </c>
      <c r="AJ347" s="22"/>
    </row>
    <row r="348" spans="1:36" x14ac:dyDescent="0.25">
      <c r="A348" s="112"/>
      <c r="B348" s="69" t="s">
        <v>278</v>
      </c>
      <c r="C348" s="133" t="s">
        <v>59</v>
      </c>
      <c r="D348" s="161">
        <f>'Dados (F)'!$D$229</f>
        <v>86.13</v>
      </c>
      <c r="E348" s="133">
        <f>IF('Dados (F)'!$D$35=1,1,'Dados (F)'!$C$39)</f>
        <v>1</v>
      </c>
      <c r="F348" s="157">
        <f>'Quantitativos (A)'!D348*$D348*$E348</f>
        <v>86.13</v>
      </c>
      <c r="G348" s="157">
        <f>'Quantitativos (A)'!E348*$D348*$E348</f>
        <v>0</v>
      </c>
      <c r="H348" s="157">
        <f>'Quantitativos (A)'!F348*$D348*$E348</f>
        <v>0</v>
      </c>
      <c r="I348" s="157">
        <f>'Quantitativos (A)'!G348*$D348*$E348</f>
        <v>86.13</v>
      </c>
      <c r="J348" s="157">
        <f>'Quantitativos (A)'!H348*$D348*$E348</f>
        <v>0</v>
      </c>
      <c r="K348" s="157">
        <f>'Quantitativos (A)'!I348*$D348*$E348</f>
        <v>0</v>
      </c>
      <c r="L348" s="157">
        <f>'Quantitativos (A)'!J348*$D348*$E348</f>
        <v>86.13</v>
      </c>
      <c r="M348" s="157">
        <f>'Quantitativos (A)'!K348*$D348*$E348</f>
        <v>0</v>
      </c>
      <c r="N348" s="157">
        <f>'Quantitativos (A)'!L348*$D348*$E348</f>
        <v>86.13</v>
      </c>
      <c r="O348" s="157">
        <f>'Quantitativos (A)'!M348*$D348*$E348</f>
        <v>0</v>
      </c>
      <c r="P348" s="157">
        <f>'Quantitativos (A)'!N348*$D348*$E348</f>
        <v>86.13</v>
      </c>
      <c r="Q348" s="157">
        <f>'Quantitativos (A)'!O348*$D348*$E348</f>
        <v>0</v>
      </c>
      <c r="R348" s="157">
        <f>'Quantitativos (A)'!P348*$D348*$E348</f>
        <v>0</v>
      </c>
      <c r="S348" s="157">
        <f>'Quantitativos (A)'!Q348*$D348*$E348</f>
        <v>86.13</v>
      </c>
      <c r="T348" s="157">
        <f>'Quantitativos (A)'!R348*$D348*$E348</f>
        <v>0</v>
      </c>
      <c r="U348" s="157">
        <f>'Quantitativos (A)'!S348*$D348*$E348</f>
        <v>0</v>
      </c>
      <c r="V348" s="157">
        <f>'Quantitativos (A)'!T348*$D348*$E348</f>
        <v>86.13</v>
      </c>
      <c r="W348" s="157">
        <f>'Quantitativos (A)'!U348*$D348*$E348</f>
        <v>0</v>
      </c>
      <c r="X348" s="157">
        <f>'Quantitativos (A)'!V348*$D348*$E348</f>
        <v>86.13</v>
      </c>
      <c r="Y348" s="157">
        <f>'Quantitativos (A)'!W348*$D348*$E348</f>
        <v>0</v>
      </c>
      <c r="Z348" s="157">
        <f>'Quantitativos (A)'!X348*$D348*$E348</f>
        <v>0</v>
      </c>
      <c r="AA348" s="157">
        <f>'Quantitativos (A)'!Y348*$D348*$E348</f>
        <v>0</v>
      </c>
      <c r="AB348" s="157">
        <f>'Quantitativos (A)'!Z348*$D348*$E348</f>
        <v>0</v>
      </c>
      <c r="AC348" s="157">
        <f>'Quantitativos (A)'!AA348*$D348*$E348</f>
        <v>0</v>
      </c>
      <c r="AD348" s="157">
        <f>'Quantitativos (A)'!AB348*$D348*$E348</f>
        <v>0</v>
      </c>
      <c r="AE348" s="157">
        <f>'Quantitativos (A)'!AC348*$D348*$E348</f>
        <v>0</v>
      </c>
      <c r="AF348" s="157">
        <f>'Quantitativos (A)'!AD348*$D348*$E348</f>
        <v>0</v>
      </c>
      <c r="AG348" s="157">
        <f>'Quantitativos (A)'!AE348*$D348*$E348</f>
        <v>0</v>
      </c>
      <c r="AH348" s="157">
        <f>'Quantitativos (A)'!AF348*$D348*$E348</f>
        <v>0</v>
      </c>
      <c r="AI348" s="158">
        <f>'Quantitativos (A)'!AG348*$D348*$E348</f>
        <v>0</v>
      </c>
      <c r="AJ348" s="22"/>
    </row>
    <row r="349" spans="1:36" x14ac:dyDescent="0.25">
      <c r="A349" s="112"/>
      <c r="B349" s="69" t="s">
        <v>279</v>
      </c>
      <c r="C349" s="133" t="s">
        <v>59</v>
      </c>
      <c r="D349" s="161">
        <f>'Dados (F)'!$D$230</f>
        <v>373.09</v>
      </c>
      <c r="E349" s="133">
        <f>IF('Dados (F)'!$D$35=1,1,'Dados (F)'!$C$39)</f>
        <v>1</v>
      </c>
      <c r="F349" s="157">
        <f>'Quantitativos (A)'!D349*$D349*$E349</f>
        <v>0</v>
      </c>
      <c r="G349" s="157">
        <f>'Quantitativos (A)'!E349*$D349*$E349</f>
        <v>0</v>
      </c>
      <c r="H349" s="157">
        <f>'Quantitativos (A)'!F349*$D349*$E349</f>
        <v>0</v>
      </c>
      <c r="I349" s="157">
        <f>'Quantitativos (A)'!G349*$D349*$E349</f>
        <v>0</v>
      </c>
      <c r="J349" s="157">
        <f>'Quantitativos (A)'!H349*$D349*$E349</f>
        <v>0</v>
      </c>
      <c r="K349" s="157">
        <f>'Quantitativos (A)'!I349*$D349*$E349</f>
        <v>0</v>
      </c>
      <c r="L349" s="157">
        <f>'Quantitativos (A)'!J349*$D349*$E349</f>
        <v>0</v>
      </c>
      <c r="M349" s="157">
        <f>'Quantitativos (A)'!K349*$D349*$E349</f>
        <v>0</v>
      </c>
      <c r="N349" s="157">
        <f>'Quantitativos (A)'!L349*$D349*$E349</f>
        <v>0</v>
      </c>
      <c r="O349" s="157">
        <f>'Quantitativos (A)'!M349*$D349*$E349</f>
        <v>0</v>
      </c>
      <c r="P349" s="157">
        <f>'Quantitativos (A)'!N349*$D349*$E349</f>
        <v>0</v>
      </c>
      <c r="Q349" s="157">
        <f>'Quantitativos (A)'!O349*$D349*$E349</f>
        <v>0</v>
      </c>
      <c r="R349" s="157">
        <f>'Quantitativos (A)'!P349*$D349*$E349</f>
        <v>0</v>
      </c>
      <c r="S349" s="157">
        <f>'Quantitativos (A)'!Q349*$D349*$E349</f>
        <v>0</v>
      </c>
      <c r="T349" s="157">
        <f>'Quantitativos (A)'!R349*$D349*$E349</f>
        <v>0</v>
      </c>
      <c r="U349" s="157">
        <f>'Quantitativos (A)'!S349*$D349*$E349</f>
        <v>0</v>
      </c>
      <c r="V349" s="157">
        <f>'Quantitativos (A)'!T349*$D349*$E349</f>
        <v>0</v>
      </c>
      <c r="W349" s="157">
        <f>'Quantitativos (A)'!U349*$D349*$E349</f>
        <v>0</v>
      </c>
      <c r="X349" s="157">
        <f>'Quantitativos (A)'!V349*$D349*$E349</f>
        <v>0</v>
      </c>
      <c r="Y349" s="157">
        <f>'Quantitativos (A)'!W349*$D349*$E349</f>
        <v>0</v>
      </c>
      <c r="Z349" s="157">
        <f>'Quantitativos (A)'!X349*$D349*$E349</f>
        <v>0</v>
      </c>
      <c r="AA349" s="157">
        <f>'Quantitativos (A)'!Y349*$D349*$E349</f>
        <v>0</v>
      </c>
      <c r="AB349" s="157">
        <f>'Quantitativos (A)'!Z349*$D349*$E349</f>
        <v>0</v>
      </c>
      <c r="AC349" s="157">
        <f>'Quantitativos (A)'!AA349*$D349*$E349</f>
        <v>0</v>
      </c>
      <c r="AD349" s="157">
        <f>'Quantitativos (A)'!AB349*$D349*$E349</f>
        <v>0</v>
      </c>
      <c r="AE349" s="157">
        <f>'Quantitativos (A)'!AC349*$D349*$E349</f>
        <v>0</v>
      </c>
      <c r="AF349" s="157">
        <f>'Quantitativos (A)'!AD349*$D349*$E349</f>
        <v>0</v>
      </c>
      <c r="AG349" s="157">
        <f>'Quantitativos (A)'!AE349*$D349*$E349</f>
        <v>0</v>
      </c>
      <c r="AH349" s="157">
        <f>'Quantitativos (A)'!AF349*$D349*$E349</f>
        <v>0</v>
      </c>
      <c r="AI349" s="158">
        <f>'Quantitativos (A)'!AG349*$D349*$E349</f>
        <v>0</v>
      </c>
      <c r="AJ349" s="22"/>
    </row>
    <row r="350" spans="1:36" x14ac:dyDescent="0.25">
      <c r="A350" s="112"/>
      <c r="B350" s="69" t="s">
        <v>283</v>
      </c>
      <c r="C350" s="133" t="s">
        <v>59</v>
      </c>
      <c r="D350" s="161">
        <f>'Dados (F)'!$D$234</f>
        <v>92.22</v>
      </c>
      <c r="E350" s="133">
        <f>IF('Dados (F)'!$D$35=1,1,'Dados (F)'!$C$39)</f>
        <v>1</v>
      </c>
      <c r="F350" s="157">
        <f>'Quantitativos (A)'!D350*$D350*$E350</f>
        <v>0</v>
      </c>
      <c r="G350" s="157">
        <f>'Quantitativos (A)'!E350*$D350*$E350</f>
        <v>184.44</v>
      </c>
      <c r="H350" s="157">
        <f>'Quantitativos (A)'!F350*$D350*$E350</f>
        <v>0</v>
      </c>
      <c r="I350" s="157">
        <f>'Quantitativos (A)'!G350*$D350*$E350</f>
        <v>0</v>
      </c>
      <c r="J350" s="157">
        <f>'Quantitativos (A)'!H350*$D350*$E350</f>
        <v>184.44</v>
      </c>
      <c r="K350" s="157">
        <f>'Quantitativos (A)'!I350*$D350*$E350</f>
        <v>0</v>
      </c>
      <c r="L350" s="157">
        <f>'Quantitativos (A)'!J350*$D350*$E350</f>
        <v>0</v>
      </c>
      <c r="M350" s="157">
        <f>'Quantitativos (A)'!K350*$D350*$E350</f>
        <v>0</v>
      </c>
      <c r="N350" s="157">
        <f>'Quantitativos (A)'!L350*$D350*$E350</f>
        <v>0</v>
      </c>
      <c r="O350" s="157">
        <f>'Quantitativos (A)'!M350*$D350*$E350</f>
        <v>0</v>
      </c>
      <c r="P350" s="157">
        <f>'Quantitativos (A)'!N350*$D350*$E350</f>
        <v>0</v>
      </c>
      <c r="Q350" s="157">
        <f>'Quantitativos (A)'!O350*$D350*$E350</f>
        <v>184.44</v>
      </c>
      <c r="R350" s="157">
        <f>'Quantitativos (A)'!P350*$D350*$E350</f>
        <v>0</v>
      </c>
      <c r="S350" s="157">
        <f>'Quantitativos (A)'!Q350*$D350*$E350</f>
        <v>0</v>
      </c>
      <c r="T350" s="157">
        <f>'Quantitativos (A)'!R350*$D350*$E350</f>
        <v>184.44</v>
      </c>
      <c r="U350" s="157">
        <f>'Quantitativos (A)'!S350*$D350*$E350</f>
        <v>0</v>
      </c>
      <c r="V350" s="157">
        <f>'Quantitativos (A)'!T350*$D350*$E350</f>
        <v>0</v>
      </c>
      <c r="W350" s="157">
        <f>'Quantitativos (A)'!U350*$D350*$E350</f>
        <v>0</v>
      </c>
      <c r="X350" s="157">
        <f>'Quantitativos (A)'!V350*$D350*$E350</f>
        <v>0</v>
      </c>
      <c r="Y350" s="157">
        <f>'Quantitativos (A)'!W350*$D350*$E350</f>
        <v>0</v>
      </c>
      <c r="Z350" s="157">
        <f>'Quantitativos (A)'!X350*$D350*$E350</f>
        <v>0</v>
      </c>
      <c r="AA350" s="157">
        <f>'Quantitativos (A)'!Y350*$D350*$E350</f>
        <v>184.44</v>
      </c>
      <c r="AB350" s="157">
        <f>'Quantitativos (A)'!Z350*$D350*$E350</f>
        <v>0</v>
      </c>
      <c r="AC350" s="157">
        <f>'Quantitativos (A)'!AA350*$D350*$E350</f>
        <v>0</v>
      </c>
      <c r="AD350" s="157">
        <f>'Quantitativos (A)'!AB350*$D350*$E350</f>
        <v>184.44</v>
      </c>
      <c r="AE350" s="157">
        <f>'Quantitativos (A)'!AC350*$D350*$E350</f>
        <v>0</v>
      </c>
      <c r="AF350" s="157">
        <f>'Quantitativos (A)'!AD350*$D350*$E350</f>
        <v>0</v>
      </c>
      <c r="AG350" s="157">
        <f>'Quantitativos (A)'!AE350*$D350*$E350</f>
        <v>0</v>
      </c>
      <c r="AH350" s="157">
        <f>'Quantitativos (A)'!AF350*$D350*$E350</f>
        <v>0</v>
      </c>
      <c r="AI350" s="158">
        <f>'Quantitativos (A)'!AG350*$D350*$E350</f>
        <v>0</v>
      </c>
      <c r="AJ350" s="22"/>
    </row>
    <row r="351" spans="1:36" x14ac:dyDescent="0.25">
      <c r="A351" s="112"/>
      <c r="B351" s="120" t="s">
        <v>567</v>
      </c>
      <c r="C351" s="121"/>
      <c r="D351" s="155"/>
      <c r="E351" s="156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60"/>
      <c r="AJ351" s="22"/>
    </row>
    <row r="352" spans="1:36" x14ac:dyDescent="0.25">
      <c r="A352" s="112"/>
      <c r="B352" s="69" t="s">
        <v>286</v>
      </c>
      <c r="C352" s="133" t="s">
        <v>59</v>
      </c>
      <c r="D352" s="161">
        <f>'Dados (F)'!$D$237</f>
        <v>75.599999999999994</v>
      </c>
      <c r="E352" s="133">
        <f>IF('Dados (F)'!$D$35=1,1,'Dados (F)'!$C$39)</f>
        <v>1</v>
      </c>
      <c r="F352" s="157">
        <f>'Quantitativos (A)'!D352*$D352*$E352</f>
        <v>0</v>
      </c>
      <c r="G352" s="157">
        <f>'Quantitativos (A)'!E352*$D352*$E352</f>
        <v>0</v>
      </c>
      <c r="H352" s="157">
        <f>'Quantitativos (A)'!F352*$D352*$E352</f>
        <v>0</v>
      </c>
      <c r="I352" s="157">
        <f>'Quantitativos (A)'!G352*$D352*$E352</f>
        <v>0</v>
      </c>
      <c r="J352" s="157">
        <f>'Quantitativos (A)'!H352*$D352*$E352</f>
        <v>0</v>
      </c>
      <c r="K352" s="157">
        <f>'Quantitativos (A)'!I352*$D352*$E352</f>
        <v>0</v>
      </c>
      <c r="L352" s="157">
        <f>'Quantitativos (A)'!J352*$D352*$E352</f>
        <v>0</v>
      </c>
      <c r="M352" s="157">
        <f>'Quantitativos (A)'!K352*$D352*$E352</f>
        <v>0</v>
      </c>
      <c r="N352" s="157">
        <f>'Quantitativos (A)'!L352*$D352*$E352</f>
        <v>0</v>
      </c>
      <c r="O352" s="157">
        <f>'Quantitativos (A)'!M352*$D352*$E352</f>
        <v>0</v>
      </c>
      <c r="P352" s="157">
        <f>'Quantitativos (A)'!N352*$D352*$E352</f>
        <v>0</v>
      </c>
      <c r="Q352" s="157">
        <f>'Quantitativos (A)'!O352*$D352*$E352</f>
        <v>0</v>
      </c>
      <c r="R352" s="157">
        <f>'Quantitativos (A)'!P352*$D352*$E352</f>
        <v>0</v>
      </c>
      <c r="S352" s="157">
        <f>'Quantitativos (A)'!Q352*$D352*$E352</f>
        <v>0</v>
      </c>
      <c r="T352" s="157">
        <f>'Quantitativos (A)'!R352*$D352*$E352</f>
        <v>0</v>
      </c>
      <c r="U352" s="157">
        <f>'Quantitativos (A)'!S352*$D352*$E352</f>
        <v>0</v>
      </c>
      <c r="V352" s="157">
        <f>'Quantitativos (A)'!T352*$D352*$E352</f>
        <v>0</v>
      </c>
      <c r="W352" s="157">
        <f>'Quantitativos (A)'!U352*$D352*$E352</f>
        <v>0</v>
      </c>
      <c r="X352" s="157">
        <f>'Quantitativos (A)'!V352*$D352*$E352</f>
        <v>0</v>
      </c>
      <c r="Y352" s="157">
        <f>'Quantitativos (A)'!W352*$D352*$E352</f>
        <v>0</v>
      </c>
      <c r="Z352" s="157">
        <f>'Quantitativos (A)'!X352*$D352*$E352</f>
        <v>604.79999999999995</v>
      </c>
      <c r="AA352" s="157">
        <f>'Quantitativos (A)'!Y352*$D352*$E352</f>
        <v>0</v>
      </c>
      <c r="AB352" s="157">
        <f>'Quantitativos (A)'!Z352*$D352*$E352</f>
        <v>0</v>
      </c>
      <c r="AC352" s="157">
        <f>'Quantitativos (A)'!AA352*$D352*$E352</f>
        <v>604.79999999999995</v>
      </c>
      <c r="AD352" s="157">
        <f>'Quantitativos (A)'!AB352*$D352*$E352</f>
        <v>0</v>
      </c>
      <c r="AE352" s="157">
        <f>'Quantitativos (A)'!AC352*$D352*$E352</f>
        <v>0</v>
      </c>
      <c r="AF352" s="157">
        <f>'Quantitativos (A)'!AD352*$D352*$E352</f>
        <v>604.79999999999995</v>
      </c>
      <c r="AG352" s="157">
        <f>'Quantitativos (A)'!AE352*$D352*$E352</f>
        <v>0</v>
      </c>
      <c r="AH352" s="157">
        <f>'Quantitativos (A)'!AF352*$D352*$E352</f>
        <v>604.79999999999995</v>
      </c>
      <c r="AI352" s="158">
        <f>'Quantitativos (A)'!AG352*$D352*$E352</f>
        <v>0</v>
      </c>
      <c r="AJ352" s="22"/>
    </row>
    <row r="353" spans="1:36" x14ac:dyDescent="0.25">
      <c r="A353" s="112"/>
      <c r="B353" s="69" t="s">
        <v>287</v>
      </c>
      <c r="C353" s="133" t="s">
        <v>59</v>
      </c>
      <c r="D353" s="161">
        <f>'Dados (F)'!$D$238</f>
        <v>89.18</v>
      </c>
      <c r="E353" s="133">
        <f>IF('Dados (F)'!$D$35=1,1,'Dados (F)'!$C$39)</f>
        <v>1</v>
      </c>
      <c r="F353" s="157">
        <f>'Quantitativos (A)'!D353*$D353*$E353</f>
        <v>1070.1600000000001</v>
      </c>
      <c r="G353" s="157">
        <f>'Quantitativos (A)'!E353*$D353*$E353</f>
        <v>178.36</v>
      </c>
      <c r="H353" s="157">
        <f>'Quantitativos (A)'!F353*$D353*$E353</f>
        <v>0</v>
      </c>
      <c r="I353" s="157">
        <f>'Quantitativos (A)'!G353*$D353*$E353</f>
        <v>1070.1600000000001</v>
      </c>
      <c r="J353" s="157">
        <f>'Quantitativos (A)'!H353*$D353*$E353</f>
        <v>178.36</v>
      </c>
      <c r="K353" s="157">
        <f>'Quantitativos (A)'!I353*$D353*$E353</f>
        <v>0</v>
      </c>
      <c r="L353" s="157">
        <f>'Quantitativos (A)'!J353*$D353*$E353</f>
        <v>1070.1600000000001</v>
      </c>
      <c r="M353" s="157">
        <f>'Quantitativos (A)'!K353*$D353*$E353</f>
        <v>0</v>
      </c>
      <c r="N353" s="157">
        <f>'Quantitativos (A)'!L353*$D353*$E353</f>
        <v>1070.1600000000001</v>
      </c>
      <c r="O353" s="157">
        <f>'Quantitativos (A)'!M353*$D353*$E353</f>
        <v>0</v>
      </c>
      <c r="P353" s="157">
        <f>'Quantitativos (A)'!N353*$D353*$E353</f>
        <v>1070.1600000000001</v>
      </c>
      <c r="Q353" s="157">
        <f>'Quantitativos (A)'!O353*$D353*$E353</f>
        <v>89.18</v>
      </c>
      <c r="R353" s="157">
        <f>'Quantitativos (A)'!P353*$D353*$E353</f>
        <v>0</v>
      </c>
      <c r="S353" s="157">
        <f>'Quantitativos (A)'!Q353*$D353*$E353</f>
        <v>1070.1600000000001</v>
      </c>
      <c r="T353" s="157">
        <f>'Quantitativos (A)'!R353*$D353*$E353</f>
        <v>89.18</v>
      </c>
      <c r="U353" s="157">
        <f>'Quantitativos (A)'!S353*$D353*$E353</f>
        <v>0</v>
      </c>
      <c r="V353" s="157">
        <f>'Quantitativos (A)'!T353*$D353*$E353</f>
        <v>1070.1600000000001</v>
      </c>
      <c r="W353" s="157">
        <f>'Quantitativos (A)'!U353*$D353*$E353</f>
        <v>0</v>
      </c>
      <c r="X353" s="157">
        <f>'Quantitativos (A)'!V353*$D353*$E353</f>
        <v>1070.1600000000001</v>
      </c>
      <c r="Y353" s="157">
        <f>'Quantitativos (A)'!W353*$D353*$E353</f>
        <v>0</v>
      </c>
      <c r="Z353" s="157">
        <f>'Quantitativos (A)'!X353*$D353*$E353</f>
        <v>0</v>
      </c>
      <c r="AA353" s="157">
        <f>'Quantitativos (A)'!Y353*$D353*$E353</f>
        <v>0</v>
      </c>
      <c r="AB353" s="157">
        <f>'Quantitativos (A)'!Z353*$D353*$E353</f>
        <v>0</v>
      </c>
      <c r="AC353" s="157">
        <f>'Quantitativos (A)'!AA353*$D353*$E353</f>
        <v>0</v>
      </c>
      <c r="AD353" s="157">
        <f>'Quantitativos (A)'!AB353*$D353*$E353</f>
        <v>0</v>
      </c>
      <c r="AE353" s="157">
        <f>'Quantitativos (A)'!AC353*$D353*$E353</f>
        <v>0</v>
      </c>
      <c r="AF353" s="157">
        <f>'Quantitativos (A)'!AD353*$D353*$E353</f>
        <v>0</v>
      </c>
      <c r="AG353" s="157">
        <f>'Quantitativos (A)'!AE353*$D353*$E353</f>
        <v>0</v>
      </c>
      <c r="AH353" s="157">
        <f>'Quantitativos (A)'!AF353*$D353*$E353</f>
        <v>0</v>
      </c>
      <c r="AI353" s="158">
        <f>'Quantitativos (A)'!AG353*$D353*$E353</f>
        <v>0</v>
      </c>
      <c r="AJ353" s="22"/>
    </row>
    <row r="354" spans="1:36" x14ac:dyDescent="0.25">
      <c r="A354" s="112"/>
      <c r="B354" s="69" t="s">
        <v>288</v>
      </c>
      <c r="C354" s="133" t="s">
        <v>59</v>
      </c>
      <c r="D354" s="161">
        <f>'Dados (F)'!$D$239</f>
        <v>296.25</v>
      </c>
      <c r="E354" s="133">
        <f>IF('Dados (F)'!$D$35=1,1,'Dados (F)'!$C$39)</f>
        <v>1</v>
      </c>
      <c r="F354" s="157">
        <f>'Quantitativos (A)'!D354*$D354*$E354</f>
        <v>0</v>
      </c>
      <c r="G354" s="157">
        <f>'Quantitativos (A)'!E354*$D354*$E354</f>
        <v>0</v>
      </c>
      <c r="H354" s="157">
        <f>'Quantitativos (A)'!F354*$D354*$E354</f>
        <v>0</v>
      </c>
      <c r="I354" s="157">
        <f>'Quantitativos (A)'!G354*$D354*$E354</f>
        <v>0</v>
      </c>
      <c r="J354" s="157">
        <f>'Quantitativos (A)'!H354*$D354*$E354</f>
        <v>0</v>
      </c>
      <c r="K354" s="157">
        <f>'Quantitativos (A)'!I354*$D354*$E354</f>
        <v>0</v>
      </c>
      <c r="L354" s="157">
        <f>'Quantitativos (A)'!J354*$D354*$E354</f>
        <v>0</v>
      </c>
      <c r="M354" s="157">
        <f>'Quantitativos (A)'!K354*$D354*$E354</f>
        <v>0</v>
      </c>
      <c r="N354" s="157">
        <f>'Quantitativos (A)'!L354*$D354*$E354</f>
        <v>0</v>
      </c>
      <c r="O354" s="157">
        <f>'Quantitativos (A)'!M354*$D354*$E354</f>
        <v>0</v>
      </c>
      <c r="P354" s="157">
        <f>'Quantitativos (A)'!N354*$D354*$E354</f>
        <v>0</v>
      </c>
      <c r="Q354" s="157">
        <f>'Quantitativos (A)'!O354*$D354*$E354</f>
        <v>0</v>
      </c>
      <c r="R354" s="157">
        <f>'Quantitativos (A)'!P354*$D354*$E354</f>
        <v>0</v>
      </c>
      <c r="S354" s="157">
        <f>'Quantitativos (A)'!Q354*$D354*$E354</f>
        <v>0</v>
      </c>
      <c r="T354" s="157">
        <f>'Quantitativos (A)'!R354*$D354*$E354</f>
        <v>0</v>
      </c>
      <c r="U354" s="157">
        <f>'Quantitativos (A)'!S354*$D354*$E354</f>
        <v>0</v>
      </c>
      <c r="V354" s="157">
        <f>'Quantitativos (A)'!T354*$D354*$E354</f>
        <v>0</v>
      </c>
      <c r="W354" s="157">
        <f>'Quantitativos (A)'!U354*$D354*$E354</f>
        <v>0</v>
      </c>
      <c r="X354" s="157">
        <f>'Quantitativos (A)'!V354*$D354*$E354</f>
        <v>0</v>
      </c>
      <c r="Y354" s="157">
        <f>'Quantitativos (A)'!W354*$D354*$E354</f>
        <v>0</v>
      </c>
      <c r="Z354" s="157">
        <f>'Quantitativos (A)'!X354*$D354*$E354</f>
        <v>0</v>
      </c>
      <c r="AA354" s="157">
        <f>'Quantitativos (A)'!Y354*$D354*$E354</f>
        <v>0</v>
      </c>
      <c r="AB354" s="157">
        <f>'Quantitativos (A)'!Z354*$D354*$E354</f>
        <v>0</v>
      </c>
      <c r="AC354" s="157">
        <f>'Quantitativos (A)'!AA354*$D354*$E354</f>
        <v>0</v>
      </c>
      <c r="AD354" s="157">
        <f>'Quantitativos (A)'!AB354*$D354*$E354</f>
        <v>0</v>
      </c>
      <c r="AE354" s="157">
        <f>'Quantitativos (A)'!AC354*$D354*$E354</f>
        <v>0</v>
      </c>
      <c r="AF354" s="157">
        <f>'Quantitativos (A)'!AD354*$D354*$E354</f>
        <v>0</v>
      </c>
      <c r="AG354" s="157">
        <f>'Quantitativos (A)'!AE354*$D354*$E354</f>
        <v>0</v>
      </c>
      <c r="AH354" s="157">
        <f>'Quantitativos (A)'!AF354*$D354*$E354</f>
        <v>0</v>
      </c>
      <c r="AI354" s="158">
        <f>'Quantitativos (A)'!AG354*$D354*$E354</f>
        <v>0</v>
      </c>
      <c r="AJ354" s="22"/>
    </row>
    <row r="355" spans="1:36" x14ac:dyDescent="0.25">
      <c r="A355" s="112"/>
      <c r="B355" s="120" t="s">
        <v>569</v>
      </c>
      <c r="C355" s="121"/>
      <c r="D355" s="155"/>
      <c r="E355" s="156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60"/>
      <c r="AJ355" s="22"/>
    </row>
    <row r="356" spans="1:36" x14ac:dyDescent="0.25">
      <c r="A356" s="112"/>
      <c r="B356" s="120" t="s">
        <v>570</v>
      </c>
      <c r="C356" s="121"/>
      <c r="D356" s="155"/>
      <c r="E356" s="156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60"/>
      <c r="AJ356" s="22"/>
    </row>
    <row r="357" spans="1:36" x14ac:dyDescent="0.25">
      <c r="A357" s="112"/>
      <c r="B357" s="27" t="s">
        <v>78</v>
      </c>
      <c r="C357" s="67" t="s">
        <v>59</v>
      </c>
      <c r="D357" s="157">
        <f>'Dados (F)'!$D$241</f>
        <v>20290.759999999998</v>
      </c>
      <c r="E357" s="125">
        <f>IF('Dados (F)'!$D$35=1,1,'Dados (F)'!$C$39)</f>
        <v>1</v>
      </c>
      <c r="F357" s="157">
        <f>'Quantitativos (A)'!D357*$D357*$E357</f>
        <v>20290.759999999998</v>
      </c>
      <c r="G357" s="157">
        <f>'Quantitativos (A)'!E357*$D357*$E357</f>
        <v>20290.759999999998</v>
      </c>
      <c r="H357" s="157">
        <f>'Quantitativos (A)'!F357*$D357*$E357</f>
        <v>20290.759999999998</v>
      </c>
      <c r="I357" s="157">
        <f>'Quantitativos (A)'!G357*$D357*$E357</f>
        <v>20290.759999999998</v>
      </c>
      <c r="J357" s="157">
        <f>'Quantitativos (A)'!H357*$D357*$E357</f>
        <v>20290.759999999998</v>
      </c>
      <c r="K357" s="157">
        <f>'Quantitativos (A)'!I357*$D357*$E357</f>
        <v>20290.759999999998</v>
      </c>
      <c r="L357" s="157">
        <f>'Quantitativos (A)'!J357*$D357*$E357</f>
        <v>20290.759999999998</v>
      </c>
      <c r="M357" s="157">
        <f>'Quantitativos (A)'!K357*$D357*$E357</f>
        <v>20290.759999999998</v>
      </c>
      <c r="N357" s="157">
        <f>'Quantitativos (A)'!L357*$D357*$E357</f>
        <v>20290.759999999998</v>
      </c>
      <c r="O357" s="157">
        <f>'Quantitativos (A)'!M357*$D357*$E357</f>
        <v>20290.759999999998</v>
      </c>
      <c r="P357" s="157">
        <f>'Quantitativos (A)'!N357*$D357*$E357</f>
        <v>20290.759999999998</v>
      </c>
      <c r="Q357" s="157">
        <f>'Quantitativos (A)'!O357*$D357*$E357</f>
        <v>20290.759999999998</v>
      </c>
      <c r="R357" s="157">
        <f>'Quantitativos (A)'!P357*$D357*$E357</f>
        <v>20290.759999999998</v>
      </c>
      <c r="S357" s="157">
        <f>'Quantitativos (A)'!Q357*$D357*$E357</f>
        <v>20290.759999999998</v>
      </c>
      <c r="T357" s="157">
        <f>'Quantitativos (A)'!R357*$D357*$E357</f>
        <v>20290.759999999998</v>
      </c>
      <c r="U357" s="157">
        <f>'Quantitativos (A)'!S357*$D357*$E357</f>
        <v>20290.759999999998</v>
      </c>
      <c r="V357" s="157">
        <f>'Quantitativos (A)'!T357*$D357*$E357</f>
        <v>20290.759999999998</v>
      </c>
      <c r="W357" s="157">
        <f>'Quantitativos (A)'!U357*$D357*$E357</f>
        <v>20290.759999999998</v>
      </c>
      <c r="X357" s="157">
        <f>'Quantitativos (A)'!V357*$D357*$E357</f>
        <v>20290.759999999998</v>
      </c>
      <c r="Y357" s="157">
        <f>'Quantitativos (A)'!W357*$D357*$E357</f>
        <v>20290.759999999998</v>
      </c>
      <c r="Z357" s="157">
        <f>'Quantitativos (A)'!X357*$D357*$E357</f>
        <v>20290.759999999998</v>
      </c>
      <c r="AA357" s="157">
        <f>'Quantitativos (A)'!Y357*$D357*$E357</f>
        <v>20290.759999999998</v>
      </c>
      <c r="AB357" s="157">
        <f>'Quantitativos (A)'!Z357*$D357*$E357</f>
        <v>20290.759999999998</v>
      </c>
      <c r="AC357" s="157">
        <f>'Quantitativos (A)'!AA357*$D357*$E357</f>
        <v>20290.759999999998</v>
      </c>
      <c r="AD357" s="157">
        <f>'Quantitativos (A)'!AB357*$D357*$E357</f>
        <v>20290.759999999998</v>
      </c>
      <c r="AE357" s="157">
        <f>'Quantitativos (A)'!AC357*$D357*$E357</f>
        <v>20290.759999999998</v>
      </c>
      <c r="AF357" s="157">
        <f>'Quantitativos (A)'!AD357*$D357*$E357</f>
        <v>20290.759999999998</v>
      </c>
      <c r="AG357" s="157">
        <f>'Quantitativos (A)'!AE357*$D357*$E357</f>
        <v>20290.759999999998</v>
      </c>
      <c r="AH357" s="157">
        <f>'Quantitativos (A)'!AF357*$D357*$E357</f>
        <v>20290.759999999998</v>
      </c>
      <c r="AI357" s="158">
        <f>'Quantitativos (A)'!AG357*$D357*$E357</f>
        <v>20290.759999999998</v>
      </c>
      <c r="AJ357" s="22"/>
    </row>
    <row r="358" spans="1:36" x14ac:dyDescent="0.25">
      <c r="A358" s="112"/>
      <c r="B358" s="27" t="s">
        <v>79</v>
      </c>
      <c r="C358" s="67" t="s">
        <v>59</v>
      </c>
      <c r="D358" s="157">
        <f>'Dados (F)'!$D$242</f>
        <v>14511.99</v>
      </c>
      <c r="E358" s="125">
        <f>IF('Dados (F)'!$D$35=1,1,'Dados (F)'!$C$39)</f>
        <v>1</v>
      </c>
      <c r="F358" s="157">
        <f>'Quantitativos (A)'!D358*$D358*$E358</f>
        <v>14511.99</v>
      </c>
      <c r="G358" s="157">
        <f>'Quantitativos (A)'!E358*$D358*$E358</f>
        <v>14511.99</v>
      </c>
      <c r="H358" s="157">
        <f>'Quantitativos (A)'!F358*$D358*$E358</f>
        <v>14511.99</v>
      </c>
      <c r="I358" s="157">
        <f>'Quantitativos (A)'!G358*$D358*$E358</f>
        <v>14511.99</v>
      </c>
      <c r="J358" s="157">
        <f>'Quantitativos (A)'!H358*$D358*$E358</f>
        <v>14511.99</v>
      </c>
      <c r="K358" s="157">
        <f>'Quantitativos (A)'!I358*$D358*$E358</f>
        <v>14511.99</v>
      </c>
      <c r="L358" s="157">
        <f>'Quantitativos (A)'!J358*$D358*$E358</f>
        <v>14511.99</v>
      </c>
      <c r="M358" s="157">
        <f>'Quantitativos (A)'!K358*$D358*$E358</f>
        <v>14511.99</v>
      </c>
      <c r="N358" s="157">
        <f>'Quantitativos (A)'!L358*$D358*$E358</f>
        <v>14511.99</v>
      </c>
      <c r="O358" s="157">
        <f>'Quantitativos (A)'!M358*$D358*$E358</f>
        <v>14511.99</v>
      </c>
      <c r="P358" s="157">
        <f>'Quantitativos (A)'!N358*$D358*$E358</f>
        <v>14511.99</v>
      </c>
      <c r="Q358" s="157">
        <f>'Quantitativos (A)'!O358*$D358*$E358</f>
        <v>14511.99</v>
      </c>
      <c r="R358" s="157">
        <f>'Quantitativos (A)'!P358*$D358*$E358</f>
        <v>14511.99</v>
      </c>
      <c r="S358" s="157">
        <f>'Quantitativos (A)'!Q358*$D358*$E358</f>
        <v>14511.99</v>
      </c>
      <c r="T358" s="157">
        <f>'Quantitativos (A)'!R358*$D358*$E358</f>
        <v>14511.99</v>
      </c>
      <c r="U358" s="157">
        <f>'Quantitativos (A)'!S358*$D358*$E358</f>
        <v>14511.99</v>
      </c>
      <c r="V358" s="157">
        <f>'Quantitativos (A)'!T358*$D358*$E358</f>
        <v>14511.99</v>
      </c>
      <c r="W358" s="157">
        <f>'Quantitativos (A)'!U358*$D358*$E358</f>
        <v>14511.99</v>
      </c>
      <c r="X358" s="157">
        <f>'Quantitativos (A)'!V358*$D358*$E358</f>
        <v>14511.99</v>
      </c>
      <c r="Y358" s="157">
        <f>'Quantitativos (A)'!W358*$D358*$E358</f>
        <v>14511.99</v>
      </c>
      <c r="Z358" s="157">
        <f>'Quantitativos (A)'!X358*$D358*$E358</f>
        <v>14511.99</v>
      </c>
      <c r="AA358" s="157">
        <f>'Quantitativos (A)'!Y358*$D358*$E358</f>
        <v>14511.99</v>
      </c>
      <c r="AB358" s="157">
        <f>'Quantitativos (A)'!Z358*$D358*$E358</f>
        <v>14511.99</v>
      </c>
      <c r="AC358" s="157">
        <f>'Quantitativos (A)'!AA358*$D358*$E358</f>
        <v>14511.99</v>
      </c>
      <c r="AD358" s="157">
        <f>'Quantitativos (A)'!AB358*$D358*$E358</f>
        <v>14511.99</v>
      </c>
      <c r="AE358" s="157">
        <f>'Quantitativos (A)'!AC358*$D358*$E358</f>
        <v>14511.99</v>
      </c>
      <c r="AF358" s="157">
        <f>'Quantitativos (A)'!AD358*$D358*$E358</f>
        <v>14511.99</v>
      </c>
      <c r="AG358" s="157">
        <f>'Quantitativos (A)'!AE358*$D358*$E358</f>
        <v>14511.99</v>
      </c>
      <c r="AH358" s="157">
        <f>'Quantitativos (A)'!AF358*$D358*$E358</f>
        <v>14511.99</v>
      </c>
      <c r="AI358" s="158">
        <f>'Quantitativos (A)'!AG358*$D358*$E358</f>
        <v>14511.99</v>
      </c>
      <c r="AJ358" s="22"/>
    </row>
    <row r="359" spans="1:36" x14ac:dyDescent="0.25">
      <c r="A359" s="112"/>
      <c r="B359" s="27" t="s">
        <v>80</v>
      </c>
      <c r="C359" s="67" t="s">
        <v>59</v>
      </c>
      <c r="D359" s="157">
        <f>'Dados (F)'!$D$243</f>
        <v>65711.62</v>
      </c>
      <c r="E359" s="125">
        <f>IF('Dados (F)'!$D$35=1,1,'Dados (F)'!$C$39)</f>
        <v>1</v>
      </c>
      <c r="F359" s="157">
        <f>'Quantitativos (A)'!D359*$D359*$E359</f>
        <v>65711.62</v>
      </c>
      <c r="G359" s="157">
        <f>'Quantitativos (A)'!E359*$D359*$E359</f>
        <v>65711.62</v>
      </c>
      <c r="H359" s="157">
        <f>'Quantitativos (A)'!F359*$D359*$E359</f>
        <v>65711.62</v>
      </c>
      <c r="I359" s="157">
        <f>'Quantitativos (A)'!G359*$D359*$E359</f>
        <v>65711.62</v>
      </c>
      <c r="J359" s="157">
        <f>'Quantitativos (A)'!H359*$D359*$E359</f>
        <v>65711.62</v>
      </c>
      <c r="K359" s="157">
        <f>'Quantitativos (A)'!I359*$D359*$E359</f>
        <v>65711.62</v>
      </c>
      <c r="L359" s="157">
        <f>'Quantitativos (A)'!J359*$D359*$E359</f>
        <v>65711.62</v>
      </c>
      <c r="M359" s="157">
        <f>'Quantitativos (A)'!K359*$D359*$E359</f>
        <v>65711.62</v>
      </c>
      <c r="N359" s="157">
        <f>'Quantitativos (A)'!L359*$D359*$E359</f>
        <v>65711.62</v>
      </c>
      <c r="O359" s="157">
        <f>'Quantitativos (A)'!M359*$D359*$E359</f>
        <v>65711.62</v>
      </c>
      <c r="P359" s="157">
        <f>'Quantitativos (A)'!N359*$D359*$E359</f>
        <v>65711.62</v>
      </c>
      <c r="Q359" s="157">
        <f>'Quantitativos (A)'!O359*$D359*$E359</f>
        <v>65711.62</v>
      </c>
      <c r="R359" s="157">
        <f>'Quantitativos (A)'!P359*$D359*$E359</f>
        <v>65711.62</v>
      </c>
      <c r="S359" s="157">
        <f>'Quantitativos (A)'!Q359*$D359*$E359</f>
        <v>65711.62</v>
      </c>
      <c r="T359" s="157">
        <f>'Quantitativos (A)'!R359*$D359*$E359</f>
        <v>65711.62</v>
      </c>
      <c r="U359" s="157">
        <f>'Quantitativos (A)'!S359*$D359*$E359</f>
        <v>65711.62</v>
      </c>
      <c r="V359" s="157">
        <f>'Quantitativos (A)'!T359*$D359*$E359</f>
        <v>65711.62</v>
      </c>
      <c r="W359" s="157">
        <f>'Quantitativos (A)'!U359*$D359*$E359</f>
        <v>65711.62</v>
      </c>
      <c r="X359" s="157">
        <f>'Quantitativos (A)'!V359*$D359*$E359</f>
        <v>65711.62</v>
      </c>
      <c r="Y359" s="157">
        <f>'Quantitativos (A)'!W359*$D359*$E359</f>
        <v>65711.62</v>
      </c>
      <c r="Z359" s="157">
        <f>'Quantitativos (A)'!X359*$D359*$E359</f>
        <v>65711.62</v>
      </c>
      <c r="AA359" s="157">
        <f>'Quantitativos (A)'!Y359*$D359*$E359</f>
        <v>65711.62</v>
      </c>
      <c r="AB359" s="157">
        <f>'Quantitativos (A)'!Z359*$D359*$E359</f>
        <v>65711.62</v>
      </c>
      <c r="AC359" s="157">
        <f>'Quantitativos (A)'!AA359*$D359*$E359</f>
        <v>65711.62</v>
      </c>
      <c r="AD359" s="157">
        <f>'Quantitativos (A)'!AB359*$D359*$E359</f>
        <v>65711.62</v>
      </c>
      <c r="AE359" s="157">
        <f>'Quantitativos (A)'!AC359*$D359*$E359</f>
        <v>65711.62</v>
      </c>
      <c r="AF359" s="157">
        <f>'Quantitativos (A)'!AD359*$D359*$E359</f>
        <v>65711.62</v>
      </c>
      <c r="AG359" s="157">
        <f>'Quantitativos (A)'!AE359*$D359*$E359</f>
        <v>65711.62</v>
      </c>
      <c r="AH359" s="157">
        <f>'Quantitativos (A)'!AF359*$D359*$E359</f>
        <v>65711.62</v>
      </c>
      <c r="AI359" s="158">
        <f>'Quantitativos (A)'!AG359*$D359*$E359</f>
        <v>65711.62</v>
      </c>
      <c r="AJ359" s="22"/>
    </row>
    <row r="360" spans="1:36" x14ac:dyDescent="0.25">
      <c r="A360" s="112"/>
      <c r="B360" s="27" t="s">
        <v>568</v>
      </c>
      <c r="C360" s="67" t="s">
        <v>59</v>
      </c>
      <c r="D360" s="157">
        <f>'Dados (F)'!$D$244</f>
        <v>6046.65</v>
      </c>
      <c r="E360" s="125">
        <f>IF('Dados (F)'!$D$35=1,1,'Dados (F)'!$C$39)</f>
        <v>1</v>
      </c>
      <c r="F360" s="157">
        <f>'Quantitativos (A)'!D360*$D360*$E360</f>
        <v>6046.65</v>
      </c>
      <c r="G360" s="157">
        <f>'Quantitativos (A)'!E360*$D360*$E360</f>
        <v>6046.65</v>
      </c>
      <c r="H360" s="157">
        <f>'Quantitativos (A)'!F360*$D360*$E360</f>
        <v>6046.65</v>
      </c>
      <c r="I360" s="157">
        <f>'Quantitativos (A)'!G360*$D360*$E360</f>
        <v>6046.65</v>
      </c>
      <c r="J360" s="157">
        <f>'Quantitativos (A)'!H360*$D360*$E360</f>
        <v>6046.65</v>
      </c>
      <c r="K360" s="157">
        <f>'Quantitativos (A)'!I360*$D360*$E360</f>
        <v>6046.65</v>
      </c>
      <c r="L360" s="157">
        <f>'Quantitativos (A)'!J360*$D360*$E360</f>
        <v>6046.65</v>
      </c>
      <c r="M360" s="157">
        <f>'Quantitativos (A)'!K360*$D360*$E360</f>
        <v>6046.65</v>
      </c>
      <c r="N360" s="157">
        <f>'Quantitativos (A)'!L360*$D360*$E360</f>
        <v>6046.65</v>
      </c>
      <c r="O360" s="157">
        <f>'Quantitativos (A)'!M360*$D360*$E360</f>
        <v>6046.65</v>
      </c>
      <c r="P360" s="157">
        <f>'Quantitativos (A)'!N360*$D360*$E360</f>
        <v>6046.65</v>
      </c>
      <c r="Q360" s="157">
        <f>'Quantitativos (A)'!O360*$D360*$E360</f>
        <v>6046.65</v>
      </c>
      <c r="R360" s="157">
        <f>'Quantitativos (A)'!P360*$D360*$E360</f>
        <v>6046.65</v>
      </c>
      <c r="S360" s="157">
        <f>'Quantitativos (A)'!Q360*$D360*$E360</f>
        <v>6046.65</v>
      </c>
      <c r="T360" s="157">
        <f>'Quantitativos (A)'!R360*$D360*$E360</f>
        <v>6046.65</v>
      </c>
      <c r="U360" s="157">
        <f>'Quantitativos (A)'!S360*$D360*$E360</f>
        <v>6046.65</v>
      </c>
      <c r="V360" s="157">
        <f>'Quantitativos (A)'!T360*$D360*$E360</f>
        <v>6046.65</v>
      </c>
      <c r="W360" s="157">
        <f>'Quantitativos (A)'!U360*$D360*$E360</f>
        <v>6046.65</v>
      </c>
      <c r="X360" s="157">
        <f>'Quantitativos (A)'!V360*$D360*$E360</f>
        <v>6046.65</v>
      </c>
      <c r="Y360" s="157">
        <f>'Quantitativos (A)'!W360*$D360*$E360</f>
        <v>6046.65</v>
      </c>
      <c r="Z360" s="157">
        <f>'Quantitativos (A)'!X360*$D360*$E360</f>
        <v>6046.65</v>
      </c>
      <c r="AA360" s="157">
        <f>'Quantitativos (A)'!Y360*$D360*$E360</f>
        <v>6046.65</v>
      </c>
      <c r="AB360" s="157">
        <f>'Quantitativos (A)'!Z360*$D360*$E360</f>
        <v>6046.65</v>
      </c>
      <c r="AC360" s="157">
        <f>'Quantitativos (A)'!AA360*$D360*$E360</f>
        <v>6046.65</v>
      </c>
      <c r="AD360" s="157">
        <f>'Quantitativos (A)'!AB360*$D360*$E360</f>
        <v>6046.65</v>
      </c>
      <c r="AE360" s="157">
        <f>'Quantitativos (A)'!AC360*$D360*$E360</f>
        <v>6046.65</v>
      </c>
      <c r="AF360" s="157">
        <f>'Quantitativos (A)'!AD360*$D360*$E360</f>
        <v>6046.65</v>
      </c>
      <c r="AG360" s="157">
        <f>'Quantitativos (A)'!AE360*$D360*$E360</f>
        <v>6046.65</v>
      </c>
      <c r="AH360" s="157">
        <f>'Quantitativos (A)'!AF360*$D360*$E360</f>
        <v>6046.65</v>
      </c>
      <c r="AI360" s="158">
        <f>'Quantitativos (A)'!AG360*$D360*$E360</f>
        <v>6046.65</v>
      </c>
      <c r="AJ360" s="22"/>
    </row>
    <row r="361" spans="1:36" ht="25.5" x14ac:dyDescent="0.25">
      <c r="A361" s="112"/>
      <c r="B361" s="27" t="s">
        <v>81</v>
      </c>
      <c r="C361" s="67" t="s">
        <v>59</v>
      </c>
      <c r="D361" s="157">
        <f>'Dados (F)'!$D$245</f>
        <v>6060.85</v>
      </c>
      <c r="E361" s="125">
        <f>IF('Dados (F)'!$D$35=1,1,'Dados (F)'!$C$39)</f>
        <v>1</v>
      </c>
      <c r="F361" s="157">
        <f>'Quantitativos (A)'!D361*$D361*$E361</f>
        <v>6060.85</v>
      </c>
      <c r="G361" s="157">
        <f>'Quantitativos (A)'!E361*$D361*$E361</f>
        <v>6060.85</v>
      </c>
      <c r="H361" s="157">
        <f>'Quantitativos (A)'!F361*$D361*$E361</f>
        <v>6060.85</v>
      </c>
      <c r="I361" s="157">
        <f>'Quantitativos (A)'!G361*$D361*$E361</f>
        <v>6060.85</v>
      </c>
      <c r="J361" s="157">
        <f>'Quantitativos (A)'!H361*$D361*$E361</f>
        <v>6060.85</v>
      </c>
      <c r="K361" s="157">
        <f>'Quantitativos (A)'!I361*$D361*$E361</f>
        <v>6060.85</v>
      </c>
      <c r="L361" s="157">
        <f>'Quantitativos (A)'!J361*$D361*$E361</f>
        <v>6060.85</v>
      </c>
      <c r="M361" s="157">
        <f>'Quantitativos (A)'!K361*$D361*$E361</f>
        <v>6060.85</v>
      </c>
      <c r="N361" s="157">
        <f>'Quantitativos (A)'!L361*$D361*$E361</f>
        <v>6060.85</v>
      </c>
      <c r="O361" s="157">
        <f>'Quantitativos (A)'!M361*$D361*$E361</f>
        <v>6060.85</v>
      </c>
      <c r="P361" s="157">
        <f>'Quantitativos (A)'!N361*$D361*$E361</f>
        <v>6060.85</v>
      </c>
      <c r="Q361" s="157">
        <f>'Quantitativos (A)'!O361*$D361*$E361</f>
        <v>6060.85</v>
      </c>
      <c r="R361" s="157">
        <f>'Quantitativos (A)'!P361*$D361*$E361</f>
        <v>6060.85</v>
      </c>
      <c r="S361" s="157">
        <f>'Quantitativos (A)'!Q361*$D361*$E361</f>
        <v>6060.85</v>
      </c>
      <c r="T361" s="157">
        <f>'Quantitativos (A)'!R361*$D361*$E361</f>
        <v>6060.85</v>
      </c>
      <c r="U361" s="157">
        <f>'Quantitativos (A)'!S361*$D361*$E361</f>
        <v>6060.85</v>
      </c>
      <c r="V361" s="157">
        <f>'Quantitativos (A)'!T361*$D361*$E361</f>
        <v>6060.85</v>
      </c>
      <c r="W361" s="157">
        <f>'Quantitativos (A)'!U361*$D361*$E361</f>
        <v>6060.85</v>
      </c>
      <c r="X361" s="157">
        <f>'Quantitativos (A)'!V361*$D361*$E361</f>
        <v>6060.85</v>
      </c>
      <c r="Y361" s="157">
        <f>'Quantitativos (A)'!W361*$D361*$E361</f>
        <v>6060.85</v>
      </c>
      <c r="Z361" s="157">
        <f>'Quantitativos (A)'!X361*$D361*$E361</f>
        <v>6060.85</v>
      </c>
      <c r="AA361" s="157">
        <f>'Quantitativos (A)'!Y361*$D361*$E361</f>
        <v>6060.85</v>
      </c>
      <c r="AB361" s="157">
        <f>'Quantitativos (A)'!Z361*$D361*$E361</f>
        <v>6060.85</v>
      </c>
      <c r="AC361" s="157">
        <f>'Quantitativos (A)'!AA361*$D361*$E361</f>
        <v>6060.85</v>
      </c>
      <c r="AD361" s="157">
        <f>'Quantitativos (A)'!AB361*$D361*$E361</f>
        <v>6060.85</v>
      </c>
      <c r="AE361" s="157">
        <f>'Quantitativos (A)'!AC361*$D361*$E361</f>
        <v>6060.85</v>
      </c>
      <c r="AF361" s="157">
        <f>'Quantitativos (A)'!AD361*$D361*$E361</f>
        <v>6060.85</v>
      </c>
      <c r="AG361" s="157">
        <f>'Quantitativos (A)'!AE361*$D361*$E361</f>
        <v>6060.85</v>
      </c>
      <c r="AH361" s="157">
        <f>'Quantitativos (A)'!AF361*$D361*$E361</f>
        <v>6060.85</v>
      </c>
      <c r="AI361" s="158">
        <f>'Quantitativos (A)'!AG361*$D361*$E361</f>
        <v>6060.85</v>
      </c>
      <c r="AJ361" s="22"/>
    </row>
    <row r="362" spans="1:36" x14ac:dyDescent="0.25">
      <c r="A362" s="112"/>
      <c r="B362" s="27" t="s">
        <v>82</v>
      </c>
      <c r="C362" s="67" t="s">
        <v>59</v>
      </c>
      <c r="D362" s="157">
        <f>'Dados (F)'!$D$246</f>
        <v>2069.66</v>
      </c>
      <c r="E362" s="125">
        <f>IF('Dados (F)'!$D$35=1,1,'Dados (F)'!$C$39)</f>
        <v>1</v>
      </c>
      <c r="F362" s="157">
        <f>'Quantitativos (A)'!D362*$D362*$E362</f>
        <v>2069.66</v>
      </c>
      <c r="G362" s="157">
        <f>'Quantitativos (A)'!E362*$D362*$E362</f>
        <v>2069.66</v>
      </c>
      <c r="H362" s="157">
        <f>'Quantitativos (A)'!F362*$D362*$E362</f>
        <v>2069.66</v>
      </c>
      <c r="I362" s="157">
        <f>'Quantitativos (A)'!G362*$D362*$E362</f>
        <v>2069.66</v>
      </c>
      <c r="J362" s="157">
        <f>'Quantitativos (A)'!H362*$D362*$E362</f>
        <v>2069.66</v>
      </c>
      <c r="K362" s="157">
        <f>'Quantitativos (A)'!I362*$D362*$E362</f>
        <v>2069.66</v>
      </c>
      <c r="L362" s="157">
        <f>'Quantitativos (A)'!J362*$D362*$E362</f>
        <v>2069.66</v>
      </c>
      <c r="M362" s="157">
        <f>'Quantitativos (A)'!K362*$D362*$E362</f>
        <v>2069.66</v>
      </c>
      <c r="N362" s="157">
        <f>'Quantitativos (A)'!L362*$D362*$E362</f>
        <v>2069.66</v>
      </c>
      <c r="O362" s="157">
        <f>'Quantitativos (A)'!M362*$D362*$E362</f>
        <v>2069.66</v>
      </c>
      <c r="P362" s="157">
        <f>'Quantitativos (A)'!N362*$D362*$E362</f>
        <v>2069.66</v>
      </c>
      <c r="Q362" s="157">
        <f>'Quantitativos (A)'!O362*$D362*$E362</f>
        <v>2069.66</v>
      </c>
      <c r="R362" s="157">
        <f>'Quantitativos (A)'!P362*$D362*$E362</f>
        <v>2069.66</v>
      </c>
      <c r="S362" s="157">
        <f>'Quantitativos (A)'!Q362*$D362*$E362</f>
        <v>2069.66</v>
      </c>
      <c r="T362" s="157">
        <f>'Quantitativos (A)'!R362*$D362*$E362</f>
        <v>2069.66</v>
      </c>
      <c r="U362" s="157">
        <f>'Quantitativos (A)'!S362*$D362*$E362</f>
        <v>2069.66</v>
      </c>
      <c r="V362" s="157">
        <f>'Quantitativos (A)'!T362*$D362*$E362</f>
        <v>2069.66</v>
      </c>
      <c r="W362" s="157">
        <f>'Quantitativos (A)'!U362*$D362*$E362</f>
        <v>2069.66</v>
      </c>
      <c r="X362" s="157">
        <f>'Quantitativos (A)'!V362*$D362*$E362</f>
        <v>2069.66</v>
      </c>
      <c r="Y362" s="157">
        <f>'Quantitativos (A)'!W362*$D362*$E362</f>
        <v>2069.66</v>
      </c>
      <c r="Z362" s="157">
        <f>'Quantitativos (A)'!X362*$D362*$E362</f>
        <v>2069.66</v>
      </c>
      <c r="AA362" s="157">
        <f>'Quantitativos (A)'!Y362*$D362*$E362</f>
        <v>2069.66</v>
      </c>
      <c r="AB362" s="157">
        <f>'Quantitativos (A)'!Z362*$D362*$E362</f>
        <v>2069.66</v>
      </c>
      <c r="AC362" s="157">
        <f>'Quantitativos (A)'!AA362*$D362*$E362</f>
        <v>2069.66</v>
      </c>
      <c r="AD362" s="157">
        <f>'Quantitativos (A)'!AB362*$D362*$E362</f>
        <v>2069.66</v>
      </c>
      <c r="AE362" s="157">
        <f>'Quantitativos (A)'!AC362*$D362*$E362</f>
        <v>2069.66</v>
      </c>
      <c r="AF362" s="157">
        <f>'Quantitativos (A)'!AD362*$D362*$E362</f>
        <v>2069.66</v>
      </c>
      <c r="AG362" s="157">
        <f>'Quantitativos (A)'!AE362*$D362*$E362</f>
        <v>2069.66</v>
      </c>
      <c r="AH362" s="157">
        <f>'Quantitativos (A)'!AF362*$D362*$E362</f>
        <v>2069.66</v>
      </c>
      <c r="AI362" s="158">
        <f>'Quantitativos (A)'!AG362*$D362*$E362</f>
        <v>2069.66</v>
      </c>
      <c r="AJ362" s="22"/>
    </row>
    <row r="363" spans="1:36" ht="25.5" x14ac:dyDescent="0.25">
      <c r="A363" s="112"/>
      <c r="B363" s="27" t="s">
        <v>83</v>
      </c>
      <c r="C363" s="67" t="s">
        <v>59</v>
      </c>
      <c r="D363" s="157">
        <f>'Dados (F)'!$D$247</f>
        <v>3163.33</v>
      </c>
      <c r="E363" s="125">
        <f>IF('Dados (F)'!$D$35=1,1,'Dados (F)'!$C$39)</f>
        <v>1</v>
      </c>
      <c r="F363" s="157">
        <f>'Quantitativos (A)'!D363*$D363*$E363</f>
        <v>3163.33</v>
      </c>
      <c r="G363" s="157">
        <f>'Quantitativos (A)'!E363*$D363*$E363</f>
        <v>3163.33</v>
      </c>
      <c r="H363" s="157">
        <f>'Quantitativos (A)'!F363*$D363*$E363</f>
        <v>3163.33</v>
      </c>
      <c r="I363" s="157">
        <f>'Quantitativos (A)'!G363*$D363*$E363</f>
        <v>3163.33</v>
      </c>
      <c r="J363" s="157">
        <f>'Quantitativos (A)'!H363*$D363*$E363</f>
        <v>3163.33</v>
      </c>
      <c r="K363" s="157">
        <f>'Quantitativos (A)'!I363*$D363*$E363</f>
        <v>3163.33</v>
      </c>
      <c r="L363" s="157">
        <f>'Quantitativos (A)'!J363*$D363*$E363</f>
        <v>3163.33</v>
      </c>
      <c r="M363" s="157">
        <f>'Quantitativos (A)'!K363*$D363*$E363</f>
        <v>3163.33</v>
      </c>
      <c r="N363" s="157">
        <f>'Quantitativos (A)'!L363*$D363*$E363</f>
        <v>3163.33</v>
      </c>
      <c r="O363" s="157">
        <f>'Quantitativos (A)'!M363*$D363*$E363</f>
        <v>3163.33</v>
      </c>
      <c r="P363" s="157">
        <f>'Quantitativos (A)'!N363*$D363*$E363</f>
        <v>3163.33</v>
      </c>
      <c r="Q363" s="157">
        <f>'Quantitativos (A)'!O363*$D363*$E363</f>
        <v>3163.33</v>
      </c>
      <c r="R363" s="157">
        <f>'Quantitativos (A)'!P363*$D363*$E363</f>
        <v>3163.33</v>
      </c>
      <c r="S363" s="157">
        <f>'Quantitativos (A)'!Q363*$D363*$E363</f>
        <v>3163.33</v>
      </c>
      <c r="T363" s="157">
        <f>'Quantitativos (A)'!R363*$D363*$E363</f>
        <v>3163.33</v>
      </c>
      <c r="U363" s="157">
        <f>'Quantitativos (A)'!S363*$D363*$E363</f>
        <v>3163.33</v>
      </c>
      <c r="V363" s="157">
        <f>'Quantitativos (A)'!T363*$D363*$E363</f>
        <v>3163.33</v>
      </c>
      <c r="W363" s="157">
        <f>'Quantitativos (A)'!U363*$D363*$E363</f>
        <v>3163.33</v>
      </c>
      <c r="X363" s="157">
        <f>'Quantitativos (A)'!V363*$D363*$E363</f>
        <v>3163.33</v>
      </c>
      <c r="Y363" s="157">
        <f>'Quantitativos (A)'!W363*$D363*$E363</f>
        <v>3163.33</v>
      </c>
      <c r="Z363" s="157">
        <f>'Quantitativos (A)'!X363*$D363*$E363</f>
        <v>3163.33</v>
      </c>
      <c r="AA363" s="157">
        <f>'Quantitativos (A)'!Y363*$D363*$E363</f>
        <v>3163.33</v>
      </c>
      <c r="AB363" s="157">
        <f>'Quantitativos (A)'!Z363*$D363*$E363</f>
        <v>3163.33</v>
      </c>
      <c r="AC363" s="157">
        <f>'Quantitativos (A)'!AA363*$D363*$E363</f>
        <v>3163.33</v>
      </c>
      <c r="AD363" s="157">
        <f>'Quantitativos (A)'!AB363*$D363*$E363</f>
        <v>3163.33</v>
      </c>
      <c r="AE363" s="157">
        <f>'Quantitativos (A)'!AC363*$D363*$E363</f>
        <v>3163.33</v>
      </c>
      <c r="AF363" s="157">
        <f>'Quantitativos (A)'!AD363*$D363*$E363</f>
        <v>3163.33</v>
      </c>
      <c r="AG363" s="157">
        <f>'Quantitativos (A)'!AE363*$D363*$E363</f>
        <v>3163.33</v>
      </c>
      <c r="AH363" s="157">
        <f>'Quantitativos (A)'!AF363*$D363*$E363</f>
        <v>3163.33</v>
      </c>
      <c r="AI363" s="158">
        <f>'Quantitativos (A)'!AG363*$D363*$E363</f>
        <v>3163.33</v>
      </c>
      <c r="AJ363" s="22"/>
    </row>
    <row r="364" spans="1:36" x14ac:dyDescent="0.25">
      <c r="A364" s="112"/>
      <c r="B364" s="27" t="s">
        <v>446</v>
      </c>
      <c r="C364" s="67" t="s">
        <v>59</v>
      </c>
      <c r="D364" s="157">
        <f>'Dados (F)'!$D$248</f>
        <v>4259.03</v>
      </c>
      <c r="E364" s="125">
        <f>IF('Dados (F)'!$D$35=1,1,'Dados (F)'!$C$39)</f>
        <v>1</v>
      </c>
      <c r="F364" s="157">
        <f>'Quantitativos (A)'!D364*$D364*$E364</f>
        <v>4259.03</v>
      </c>
      <c r="G364" s="157">
        <f>'Quantitativos (A)'!E364*$D364*$E364</f>
        <v>4259.03</v>
      </c>
      <c r="H364" s="157">
        <f>'Quantitativos (A)'!F364*$D364*$E364</f>
        <v>4259.03</v>
      </c>
      <c r="I364" s="157">
        <f>'Quantitativos (A)'!G364*$D364*$E364</f>
        <v>4259.03</v>
      </c>
      <c r="J364" s="157">
        <f>'Quantitativos (A)'!H364*$D364*$E364</f>
        <v>4259.03</v>
      </c>
      <c r="K364" s="157">
        <f>'Quantitativos (A)'!I364*$D364*$E364</f>
        <v>4259.03</v>
      </c>
      <c r="L364" s="157">
        <f>'Quantitativos (A)'!J364*$D364*$E364</f>
        <v>4259.03</v>
      </c>
      <c r="M364" s="157">
        <f>'Quantitativos (A)'!K364*$D364*$E364</f>
        <v>4259.03</v>
      </c>
      <c r="N364" s="157">
        <f>'Quantitativos (A)'!L364*$D364*$E364</f>
        <v>4259.03</v>
      </c>
      <c r="O364" s="157">
        <f>'Quantitativos (A)'!M364*$D364*$E364</f>
        <v>4259.03</v>
      </c>
      <c r="P364" s="157">
        <f>'Quantitativos (A)'!N364*$D364*$E364</f>
        <v>4259.03</v>
      </c>
      <c r="Q364" s="157">
        <f>'Quantitativos (A)'!O364*$D364*$E364</f>
        <v>4259.03</v>
      </c>
      <c r="R364" s="157">
        <f>'Quantitativos (A)'!P364*$D364*$E364</f>
        <v>4259.03</v>
      </c>
      <c r="S364" s="157">
        <f>'Quantitativos (A)'!Q364*$D364*$E364</f>
        <v>4259.03</v>
      </c>
      <c r="T364" s="157">
        <f>'Quantitativos (A)'!R364*$D364*$E364</f>
        <v>4259.03</v>
      </c>
      <c r="U364" s="157">
        <f>'Quantitativos (A)'!S364*$D364*$E364</f>
        <v>4259.03</v>
      </c>
      <c r="V364" s="157">
        <f>'Quantitativos (A)'!T364*$D364*$E364</f>
        <v>4259.03</v>
      </c>
      <c r="W364" s="157">
        <f>'Quantitativos (A)'!U364*$D364*$E364</f>
        <v>4259.03</v>
      </c>
      <c r="X364" s="157">
        <f>'Quantitativos (A)'!V364*$D364*$E364</f>
        <v>4259.03</v>
      </c>
      <c r="Y364" s="157">
        <f>'Quantitativos (A)'!W364*$D364*$E364</f>
        <v>4259.03</v>
      </c>
      <c r="Z364" s="157">
        <f>'Quantitativos (A)'!X364*$D364*$E364</f>
        <v>4259.03</v>
      </c>
      <c r="AA364" s="157">
        <f>'Quantitativos (A)'!Y364*$D364*$E364</f>
        <v>4259.03</v>
      </c>
      <c r="AB364" s="157">
        <f>'Quantitativos (A)'!Z364*$D364*$E364</f>
        <v>4259.03</v>
      </c>
      <c r="AC364" s="157">
        <f>'Quantitativos (A)'!AA364*$D364*$E364</f>
        <v>4259.03</v>
      </c>
      <c r="AD364" s="157">
        <f>'Quantitativos (A)'!AB364*$D364*$E364</f>
        <v>4259.03</v>
      </c>
      <c r="AE364" s="157">
        <f>'Quantitativos (A)'!AC364*$D364*$E364</f>
        <v>4259.03</v>
      </c>
      <c r="AF364" s="157">
        <f>'Quantitativos (A)'!AD364*$D364*$E364</f>
        <v>4259.03</v>
      </c>
      <c r="AG364" s="157">
        <f>'Quantitativos (A)'!AE364*$D364*$E364</f>
        <v>4259.03</v>
      </c>
      <c r="AH364" s="157">
        <f>'Quantitativos (A)'!AF364*$D364*$E364</f>
        <v>4259.03</v>
      </c>
      <c r="AI364" s="158">
        <f>'Quantitativos (A)'!AG364*$D364*$E364</f>
        <v>4259.03</v>
      </c>
      <c r="AJ364" s="22"/>
    </row>
    <row r="365" spans="1:36" x14ac:dyDescent="0.25">
      <c r="A365" s="112"/>
      <c r="B365" s="27" t="s">
        <v>84</v>
      </c>
      <c r="C365" s="67" t="s">
        <v>59</v>
      </c>
      <c r="D365" s="157">
        <f>'Dados (F)'!$D$249</f>
        <v>1487.11</v>
      </c>
      <c r="E365" s="125">
        <f>IF('Dados (F)'!$D$35=1,1,'Dados (F)'!$C$39)</f>
        <v>1</v>
      </c>
      <c r="F365" s="157">
        <f>'Quantitativos (A)'!D365*$D365*$E365</f>
        <v>1487.11</v>
      </c>
      <c r="G365" s="157">
        <f>'Quantitativos (A)'!E365*$D365*$E365</f>
        <v>1487.11</v>
      </c>
      <c r="H365" s="157">
        <f>'Quantitativos (A)'!F365*$D365*$E365</f>
        <v>1487.11</v>
      </c>
      <c r="I365" s="157">
        <f>'Quantitativos (A)'!G365*$D365*$E365</f>
        <v>1487.11</v>
      </c>
      <c r="J365" s="157">
        <f>'Quantitativos (A)'!H365*$D365*$E365</f>
        <v>1487.11</v>
      </c>
      <c r="K365" s="157">
        <f>'Quantitativos (A)'!I365*$D365*$E365</f>
        <v>1487.11</v>
      </c>
      <c r="L365" s="157">
        <f>'Quantitativos (A)'!J365*$D365*$E365</f>
        <v>1487.11</v>
      </c>
      <c r="M365" s="157">
        <f>'Quantitativos (A)'!K365*$D365*$E365</f>
        <v>1487.11</v>
      </c>
      <c r="N365" s="157">
        <f>'Quantitativos (A)'!L365*$D365*$E365</f>
        <v>1487.11</v>
      </c>
      <c r="O365" s="157">
        <f>'Quantitativos (A)'!M365*$D365*$E365</f>
        <v>1487.11</v>
      </c>
      <c r="P365" s="157">
        <f>'Quantitativos (A)'!N365*$D365*$E365</f>
        <v>1487.11</v>
      </c>
      <c r="Q365" s="157">
        <f>'Quantitativos (A)'!O365*$D365*$E365</f>
        <v>1487.11</v>
      </c>
      <c r="R365" s="157">
        <f>'Quantitativos (A)'!P365*$D365*$E365</f>
        <v>1487.11</v>
      </c>
      <c r="S365" s="157">
        <f>'Quantitativos (A)'!Q365*$D365*$E365</f>
        <v>1487.11</v>
      </c>
      <c r="T365" s="157">
        <f>'Quantitativos (A)'!R365*$D365*$E365</f>
        <v>1487.11</v>
      </c>
      <c r="U365" s="157">
        <f>'Quantitativos (A)'!S365*$D365*$E365</f>
        <v>1487.11</v>
      </c>
      <c r="V365" s="157">
        <f>'Quantitativos (A)'!T365*$D365*$E365</f>
        <v>1487.11</v>
      </c>
      <c r="W365" s="157">
        <f>'Quantitativos (A)'!U365*$D365*$E365</f>
        <v>1487.11</v>
      </c>
      <c r="X365" s="157">
        <f>'Quantitativos (A)'!V365*$D365*$E365</f>
        <v>1487.11</v>
      </c>
      <c r="Y365" s="157">
        <f>'Quantitativos (A)'!W365*$D365*$E365</f>
        <v>1487.11</v>
      </c>
      <c r="Z365" s="157">
        <f>'Quantitativos (A)'!X365*$D365*$E365</f>
        <v>1487.11</v>
      </c>
      <c r="AA365" s="157">
        <f>'Quantitativos (A)'!Y365*$D365*$E365</f>
        <v>1487.11</v>
      </c>
      <c r="AB365" s="157">
        <f>'Quantitativos (A)'!Z365*$D365*$E365</f>
        <v>1487.11</v>
      </c>
      <c r="AC365" s="157">
        <f>'Quantitativos (A)'!AA365*$D365*$E365</f>
        <v>1487.11</v>
      </c>
      <c r="AD365" s="157">
        <f>'Quantitativos (A)'!AB365*$D365*$E365</f>
        <v>1487.11</v>
      </c>
      <c r="AE365" s="157">
        <f>'Quantitativos (A)'!AC365*$D365*$E365</f>
        <v>1487.11</v>
      </c>
      <c r="AF365" s="157">
        <f>'Quantitativos (A)'!AD365*$D365*$E365</f>
        <v>1487.11</v>
      </c>
      <c r="AG365" s="157">
        <f>'Quantitativos (A)'!AE365*$D365*$E365</f>
        <v>1487.11</v>
      </c>
      <c r="AH365" s="157">
        <f>'Quantitativos (A)'!AF365*$D365*$E365</f>
        <v>1487.11</v>
      </c>
      <c r="AI365" s="158">
        <f>'Quantitativos (A)'!AG365*$D365*$E365</f>
        <v>1487.11</v>
      </c>
      <c r="AJ365" s="22"/>
    </row>
    <row r="366" spans="1:36" x14ac:dyDescent="0.25">
      <c r="A366" s="112"/>
      <c r="B366" s="27" t="s">
        <v>85</v>
      </c>
      <c r="C366" s="67" t="s">
        <v>59</v>
      </c>
      <c r="D366" s="157">
        <f>'Dados (F)'!$D$250</f>
        <v>5879.26</v>
      </c>
      <c r="E366" s="125">
        <f>IF('Dados (F)'!$D$35=1,1,'Dados (F)'!$C$39)</f>
        <v>1</v>
      </c>
      <c r="F366" s="157">
        <f>'Quantitativos (A)'!D366*$D366*$E366</f>
        <v>5879.26</v>
      </c>
      <c r="G366" s="157">
        <f>'Quantitativos (A)'!E366*$D366*$E366</f>
        <v>5879.26</v>
      </c>
      <c r="H366" s="157">
        <f>'Quantitativos (A)'!F366*$D366*$E366</f>
        <v>5879.26</v>
      </c>
      <c r="I366" s="157">
        <f>'Quantitativos (A)'!G366*$D366*$E366</f>
        <v>5879.26</v>
      </c>
      <c r="J366" s="157">
        <f>'Quantitativos (A)'!H366*$D366*$E366</f>
        <v>5879.26</v>
      </c>
      <c r="K366" s="157">
        <f>'Quantitativos (A)'!I366*$D366*$E366</f>
        <v>5879.26</v>
      </c>
      <c r="L366" s="157">
        <f>'Quantitativos (A)'!J366*$D366*$E366</f>
        <v>5879.26</v>
      </c>
      <c r="M366" s="157">
        <f>'Quantitativos (A)'!K366*$D366*$E366</f>
        <v>5879.26</v>
      </c>
      <c r="N366" s="157">
        <f>'Quantitativos (A)'!L366*$D366*$E366</f>
        <v>5879.26</v>
      </c>
      <c r="O366" s="157">
        <f>'Quantitativos (A)'!M366*$D366*$E366</f>
        <v>5879.26</v>
      </c>
      <c r="P366" s="157">
        <f>'Quantitativos (A)'!N366*$D366*$E366</f>
        <v>5879.26</v>
      </c>
      <c r="Q366" s="157">
        <f>'Quantitativos (A)'!O366*$D366*$E366</f>
        <v>5879.26</v>
      </c>
      <c r="R366" s="157">
        <f>'Quantitativos (A)'!P366*$D366*$E366</f>
        <v>5879.26</v>
      </c>
      <c r="S366" s="157">
        <f>'Quantitativos (A)'!Q366*$D366*$E366</f>
        <v>5879.26</v>
      </c>
      <c r="T366" s="157">
        <f>'Quantitativos (A)'!R366*$D366*$E366</f>
        <v>5879.26</v>
      </c>
      <c r="U366" s="157">
        <f>'Quantitativos (A)'!S366*$D366*$E366</f>
        <v>5879.26</v>
      </c>
      <c r="V366" s="157">
        <f>'Quantitativos (A)'!T366*$D366*$E366</f>
        <v>5879.26</v>
      </c>
      <c r="W366" s="157">
        <f>'Quantitativos (A)'!U366*$D366*$E366</f>
        <v>5879.26</v>
      </c>
      <c r="X366" s="157">
        <f>'Quantitativos (A)'!V366*$D366*$E366</f>
        <v>5879.26</v>
      </c>
      <c r="Y366" s="157">
        <f>'Quantitativos (A)'!W366*$D366*$E366</f>
        <v>5879.26</v>
      </c>
      <c r="Z366" s="157">
        <f>'Quantitativos (A)'!X366*$D366*$E366</f>
        <v>5879.26</v>
      </c>
      <c r="AA366" s="157">
        <f>'Quantitativos (A)'!Y366*$D366*$E366</f>
        <v>5879.26</v>
      </c>
      <c r="AB366" s="157">
        <f>'Quantitativos (A)'!Z366*$D366*$E366</f>
        <v>5879.26</v>
      </c>
      <c r="AC366" s="157">
        <f>'Quantitativos (A)'!AA366*$D366*$E366</f>
        <v>5879.26</v>
      </c>
      <c r="AD366" s="157">
        <f>'Quantitativos (A)'!AB366*$D366*$E366</f>
        <v>5879.26</v>
      </c>
      <c r="AE366" s="157">
        <f>'Quantitativos (A)'!AC366*$D366*$E366</f>
        <v>5879.26</v>
      </c>
      <c r="AF366" s="157">
        <f>'Quantitativos (A)'!AD366*$D366*$E366</f>
        <v>5879.26</v>
      </c>
      <c r="AG366" s="157">
        <f>'Quantitativos (A)'!AE366*$D366*$E366</f>
        <v>5879.26</v>
      </c>
      <c r="AH366" s="157">
        <f>'Quantitativos (A)'!AF366*$D366*$E366</f>
        <v>5879.26</v>
      </c>
      <c r="AI366" s="158">
        <f>'Quantitativos (A)'!AG366*$D366*$E366</f>
        <v>5879.26</v>
      </c>
      <c r="AJ366" s="22"/>
    </row>
    <row r="367" spans="1:36" x14ac:dyDescent="0.25">
      <c r="A367" s="112"/>
      <c r="B367" s="27" t="s">
        <v>86</v>
      </c>
      <c r="C367" s="67" t="s">
        <v>59</v>
      </c>
      <c r="D367" s="157">
        <f>'Dados (F)'!$D$251</f>
        <v>2029.07</v>
      </c>
      <c r="E367" s="125">
        <f>IF('Dados (F)'!$D$35=1,1,'Dados (F)'!$C$39)</f>
        <v>1</v>
      </c>
      <c r="F367" s="157">
        <f>'Quantitativos (A)'!D367*$D367*$E367</f>
        <v>2029.07</v>
      </c>
      <c r="G367" s="157">
        <f>'Quantitativos (A)'!E367*$D367*$E367</f>
        <v>2029.07</v>
      </c>
      <c r="H367" s="157">
        <f>'Quantitativos (A)'!F367*$D367*$E367</f>
        <v>2029.07</v>
      </c>
      <c r="I367" s="157">
        <f>'Quantitativos (A)'!G367*$D367*$E367</f>
        <v>2029.07</v>
      </c>
      <c r="J367" s="157">
        <f>'Quantitativos (A)'!H367*$D367*$E367</f>
        <v>2029.07</v>
      </c>
      <c r="K367" s="157">
        <f>'Quantitativos (A)'!I367*$D367*$E367</f>
        <v>2029.07</v>
      </c>
      <c r="L367" s="157">
        <f>'Quantitativos (A)'!J367*$D367*$E367</f>
        <v>2029.07</v>
      </c>
      <c r="M367" s="157">
        <f>'Quantitativos (A)'!K367*$D367*$E367</f>
        <v>2029.07</v>
      </c>
      <c r="N367" s="157">
        <f>'Quantitativos (A)'!L367*$D367*$E367</f>
        <v>2029.07</v>
      </c>
      <c r="O367" s="157">
        <f>'Quantitativos (A)'!M367*$D367*$E367</f>
        <v>2029.07</v>
      </c>
      <c r="P367" s="157">
        <f>'Quantitativos (A)'!N367*$D367*$E367</f>
        <v>2029.07</v>
      </c>
      <c r="Q367" s="157">
        <f>'Quantitativos (A)'!O367*$D367*$E367</f>
        <v>2029.07</v>
      </c>
      <c r="R367" s="157">
        <f>'Quantitativos (A)'!P367*$D367*$E367</f>
        <v>2029.07</v>
      </c>
      <c r="S367" s="157">
        <f>'Quantitativos (A)'!Q367*$D367*$E367</f>
        <v>2029.07</v>
      </c>
      <c r="T367" s="157">
        <f>'Quantitativos (A)'!R367*$D367*$E367</f>
        <v>2029.07</v>
      </c>
      <c r="U367" s="157">
        <f>'Quantitativos (A)'!S367*$D367*$E367</f>
        <v>2029.07</v>
      </c>
      <c r="V367" s="157">
        <f>'Quantitativos (A)'!T367*$D367*$E367</f>
        <v>2029.07</v>
      </c>
      <c r="W367" s="157">
        <f>'Quantitativos (A)'!U367*$D367*$E367</f>
        <v>2029.07</v>
      </c>
      <c r="X367" s="157">
        <f>'Quantitativos (A)'!V367*$D367*$E367</f>
        <v>2029.07</v>
      </c>
      <c r="Y367" s="157">
        <f>'Quantitativos (A)'!W367*$D367*$E367</f>
        <v>2029.07</v>
      </c>
      <c r="Z367" s="157">
        <f>'Quantitativos (A)'!X367*$D367*$E367</f>
        <v>2029.07</v>
      </c>
      <c r="AA367" s="157">
        <f>'Quantitativos (A)'!Y367*$D367*$E367</f>
        <v>2029.07</v>
      </c>
      <c r="AB367" s="157">
        <f>'Quantitativos (A)'!Z367*$D367*$E367</f>
        <v>2029.07</v>
      </c>
      <c r="AC367" s="157">
        <f>'Quantitativos (A)'!AA367*$D367*$E367</f>
        <v>2029.07</v>
      </c>
      <c r="AD367" s="157">
        <f>'Quantitativos (A)'!AB367*$D367*$E367</f>
        <v>2029.07</v>
      </c>
      <c r="AE367" s="157">
        <f>'Quantitativos (A)'!AC367*$D367*$E367</f>
        <v>2029.07</v>
      </c>
      <c r="AF367" s="157">
        <f>'Quantitativos (A)'!AD367*$D367*$E367</f>
        <v>2029.07</v>
      </c>
      <c r="AG367" s="157">
        <f>'Quantitativos (A)'!AE367*$D367*$E367</f>
        <v>2029.07</v>
      </c>
      <c r="AH367" s="157">
        <f>'Quantitativos (A)'!AF367*$D367*$E367</f>
        <v>2029.07</v>
      </c>
      <c r="AI367" s="158">
        <f>'Quantitativos (A)'!AG367*$D367*$E367</f>
        <v>2029.07</v>
      </c>
      <c r="AJ367" s="22"/>
    </row>
    <row r="368" spans="1:36" x14ac:dyDescent="0.25">
      <c r="A368" s="112"/>
      <c r="B368" s="27" t="s">
        <v>87</v>
      </c>
      <c r="C368" s="67" t="s">
        <v>59</v>
      </c>
      <c r="D368" s="157">
        <f>'Dados (F)'!$D$252</f>
        <v>2355.3200000000002</v>
      </c>
      <c r="E368" s="125">
        <f>IF('Dados (F)'!$D$35=1,1,'Dados (F)'!$C$39)</f>
        <v>1</v>
      </c>
      <c r="F368" s="157">
        <f>'Quantitativos (A)'!D368*$D368*$E368</f>
        <v>2355.3200000000002</v>
      </c>
      <c r="G368" s="157">
        <f>'Quantitativos (A)'!E368*$D368*$E368</f>
        <v>2355.3200000000002</v>
      </c>
      <c r="H368" s="157">
        <f>'Quantitativos (A)'!F368*$D368*$E368</f>
        <v>2355.3200000000002</v>
      </c>
      <c r="I368" s="157">
        <f>'Quantitativos (A)'!G368*$D368*$E368</f>
        <v>2355.3200000000002</v>
      </c>
      <c r="J368" s="157">
        <f>'Quantitativos (A)'!H368*$D368*$E368</f>
        <v>2355.3200000000002</v>
      </c>
      <c r="K368" s="157">
        <f>'Quantitativos (A)'!I368*$D368*$E368</f>
        <v>2355.3200000000002</v>
      </c>
      <c r="L368" s="157">
        <f>'Quantitativos (A)'!J368*$D368*$E368</f>
        <v>2355.3200000000002</v>
      </c>
      <c r="M368" s="157">
        <f>'Quantitativos (A)'!K368*$D368*$E368</f>
        <v>2355.3200000000002</v>
      </c>
      <c r="N368" s="157">
        <f>'Quantitativos (A)'!L368*$D368*$E368</f>
        <v>2355.3200000000002</v>
      </c>
      <c r="O368" s="157">
        <f>'Quantitativos (A)'!M368*$D368*$E368</f>
        <v>2355.3200000000002</v>
      </c>
      <c r="P368" s="157">
        <f>'Quantitativos (A)'!N368*$D368*$E368</f>
        <v>2355.3200000000002</v>
      </c>
      <c r="Q368" s="157">
        <f>'Quantitativos (A)'!O368*$D368*$E368</f>
        <v>2355.3200000000002</v>
      </c>
      <c r="R368" s="157">
        <f>'Quantitativos (A)'!P368*$D368*$E368</f>
        <v>2355.3200000000002</v>
      </c>
      <c r="S368" s="157">
        <f>'Quantitativos (A)'!Q368*$D368*$E368</f>
        <v>2355.3200000000002</v>
      </c>
      <c r="T368" s="157">
        <f>'Quantitativos (A)'!R368*$D368*$E368</f>
        <v>2355.3200000000002</v>
      </c>
      <c r="U368" s="157">
        <f>'Quantitativos (A)'!S368*$D368*$E368</f>
        <v>2355.3200000000002</v>
      </c>
      <c r="V368" s="157">
        <f>'Quantitativos (A)'!T368*$D368*$E368</f>
        <v>2355.3200000000002</v>
      </c>
      <c r="W368" s="157">
        <f>'Quantitativos (A)'!U368*$D368*$E368</f>
        <v>2355.3200000000002</v>
      </c>
      <c r="X368" s="157">
        <f>'Quantitativos (A)'!V368*$D368*$E368</f>
        <v>2355.3200000000002</v>
      </c>
      <c r="Y368" s="157">
        <f>'Quantitativos (A)'!W368*$D368*$E368</f>
        <v>2355.3200000000002</v>
      </c>
      <c r="Z368" s="157">
        <f>'Quantitativos (A)'!X368*$D368*$E368</f>
        <v>2355.3200000000002</v>
      </c>
      <c r="AA368" s="157">
        <f>'Quantitativos (A)'!Y368*$D368*$E368</f>
        <v>2355.3200000000002</v>
      </c>
      <c r="AB368" s="157">
        <f>'Quantitativos (A)'!Z368*$D368*$E368</f>
        <v>2355.3200000000002</v>
      </c>
      <c r="AC368" s="157">
        <f>'Quantitativos (A)'!AA368*$D368*$E368</f>
        <v>2355.3200000000002</v>
      </c>
      <c r="AD368" s="157">
        <f>'Quantitativos (A)'!AB368*$D368*$E368</f>
        <v>2355.3200000000002</v>
      </c>
      <c r="AE368" s="157">
        <f>'Quantitativos (A)'!AC368*$D368*$E368</f>
        <v>2355.3200000000002</v>
      </c>
      <c r="AF368" s="157">
        <f>'Quantitativos (A)'!AD368*$D368*$E368</f>
        <v>2355.3200000000002</v>
      </c>
      <c r="AG368" s="157">
        <f>'Quantitativos (A)'!AE368*$D368*$E368</f>
        <v>2355.3200000000002</v>
      </c>
      <c r="AH368" s="157">
        <f>'Quantitativos (A)'!AF368*$D368*$E368</f>
        <v>2355.3200000000002</v>
      </c>
      <c r="AI368" s="158">
        <f>'Quantitativos (A)'!AG368*$D368*$E368</f>
        <v>2355.3200000000002</v>
      </c>
      <c r="AJ368" s="22"/>
    </row>
    <row r="369" spans="1:36" x14ac:dyDescent="0.25">
      <c r="A369" s="112"/>
      <c r="B369" s="27" t="s">
        <v>88</v>
      </c>
      <c r="C369" s="67" t="s">
        <v>59</v>
      </c>
      <c r="D369" s="157">
        <f>'Dados (F)'!$D$253</f>
        <v>3286.86</v>
      </c>
      <c r="E369" s="125">
        <f>IF('Dados (F)'!$D$35=1,1,'Dados (F)'!$C$39)</f>
        <v>1</v>
      </c>
      <c r="F369" s="157">
        <f>'Quantitativos (A)'!D369*$D369*$E369</f>
        <v>3286.86</v>
      </c>
      <c r="G369" s="157">
        <f>'Quantitativos (A)'!E369*$D369*$E369</f>
        <v>3286.86</v>
      </c>
      <c r="H369" s="157">
        <f>'Quantitativos (A)'!F369*$D369*$E369</f>
        <v>3286.86</v>
      </c>
      <c r="I369" s="157">
        <f>'Quantitativos (A)'!G369*$D369*$E369</f>
        <v>3286.86</v>
      </c>
      <c r="J369" s="157">
        <f>'Quantitativos (A)'!H369*$D369*$E369</f>
        <v>3286.86</v>
      </c>
      <c r="K369" s="157">
        <f>'Quantitativos (A)'!I369*$D369*$E369</f>
        <v>3286.86</v>
      </c>
      <c r="L369" s="157">
        <f>'Quantitativos (A)'!J369*$D369*$E369</f>
        <v>3286.86</v>
      </c>
      <c r="M369" s="157">
        <f>'Quantitativos (A)'!K369*$D369*$E369</f>
        <v>3286.86</v>
      </c>
      <c r="N369" s="157">
        <f>'Quantitativos (A)'!L369*$D369*$E369</f>
        <v>3286.86</v>
      </c>
      <c r="O369" s="157">
        <f>'Quantitativos (A)'!M369*$D369*$E369</f>
        <v>3286.86</v>
      </c>
      <c r="P369" s="157">
        <f>'Quantitativos (A)'!N369*$D369*$E369</f>
        <v>3286.86</v>
      </c>
      <c r="Q369" s="157">
        <f>'Quantitativos (A)'!O369*$D369*$E369</f>
        <v>3286.86</v>
      </c>
      <c r="R369" s="157">
        <f>'Quantitativos (A)'!P369*$D369*$E369</f>
        <v>3286.86</v>
      </c>
      <c r="S369" s="157">
        <f>'Quantitativos (A)'!Q369*$D369*$E369</f>
        <v>3286.86</v>
      </c>
      <c r="T369" s="157">
        <f>'Quantitativos (A)'!R369*$D369*$E369</f>
        <v>3286.86</v>
      </c>
      <c r="U369" s="157">
        <f>'Quantitativos (A)'!S369*$D369*$E369</f>
        <v>3286.86</v>
      </c>
      <c r="V369" s="157">
        <f>'Quantitativos (A)'!T369*$D369*$E369</f>
        <v>3286.86</v>
      </c>
      <c r="W369" s="157">
        <f>'Quantitativos (A)'!U369*$D369*$E369</f>
        <v>3286.86</v>
      </c>
      <c r="X369" s="157">
        <f>'Quantitativos (A)'!V369*$D369*$E369</f>
        <v>3286.86</v>
      </c>
      <c r="Y369" s="157">
        <f>'Quantitativos (A)'!W369*$D369*$E369</f>
        <v>3286.86</v>
      </c>
      <c r="Z369" s="157">
        <f>'Quantitativos (A)'!X369*$D369*$E369</f>
        <v>3286.86</v>
      </c>
      <c r="AA369" s="157">
        <f>'Quantitativos (A)'!Y369*$D369*$E369</f>
        <v>3286.86</v>
      </c>
      <c r="AB369" s="157">
        <f>'Quantitativos (A)'!Z369*$D369*$E369</f>
        <v>3286.86</v>
      </c>
      <c r="AC369" s="157">
        <f>'Quantitativos (A)'!AA369*$D369*$E369</f>
        <v>3286.86</v>
      </c>
      <c r="AD369" s="157">
        <f>'Quantitativos (A)'!AB369*$D369*$E369</f>
        <v>3286.86</v>
      </c>
      <c r="AE369" s="157">
        <f>'Quantitativos (A)'!AC369*$D369*$E369</f>
        <v>3286.86</v>
      </c>
      <c r="AF369" s="157">
        <f>'Quantitativos (A)'!AD369*$D369*$E369</f>
        <v>3286.86</v>
      </c>
      <c r="AG369" s="157">
        <f>'Quantitativos (A)'!AE369*$D369*$E369</f>
        <v>3286.86</v>
      </c>
      <c r="AH369" s="157">
        <f>'Quantitativos (A)'!AF369*$D369*$E369</f>
        <v>3286.86</v>
      </c>
      <c r="AI369" s="158">
        <f>'Quantitativos (A)'!AG369*$D369*$E369</f>
        <v>3286.86</v>
      </c>
      <c r="AJ369" s="22"/>
    </row>
    <row r="370" spans="1:36" ht="25.5" x14ac:dyDescent="0.25">
      <c r="A370" s="112"/>
      <c r="B370" s="27" t="s">
        <v>89</v>
      </c>
      <c r="C370" s="67" t="s">
        <v>59</v>
      </c>
      <c r="D370" s="157">
        <f>'Dados (F)'!$D$254</f>
        <v>4058.15</v>
      </c>
      <c r="E370" s="125">
        <f>IF('Dados (F)'!$D$35=1,1,'Dados (F)'!$C$39)</f>
        <v>1</v>
      </c>
      <c r="F370" s="157">
        <f>'Quantitativos (A)'!D370*$D370*$E370</f>
        <v>4058.15</v>
      </c>
      <c r="G370" s="157">
        <f>'Quantitativos (A)'!E370*$D370*$E370</f>
        <v>4058.15</v>
      </c>
      <c r="H370" s="157">
        <f>'Quantitativos (A)'!F370*$D370*$E370</f>
        <v>4058.15</v>
      </c>
      <c r="I370" s="157">
        <f>'Quantitativos (A)'!G370*$D370*$E370</f>
        <v>4058.15</v>
      </c>
      <c r="J370" s="157">
        <f>'Quantitativos (A)'!H370*$D370*$E370</f>
        <v>4058.15</v>
      </c>
      <c r="K370" s="157">
        <f>'Quantitativos (A)'!I370*$D370*$E370</f>
        <v>4058.15</v>
      </c>
      <c r="L370" s="157">
        <f>'Quantitativos (A)'!J370*$D370*$E370</f>
        <v>4058.15</v>
      </c>
      <c r="M370" s="157">
        <f>'Quantitativos (A)'!K370*$D370*$E370</f>
        <v>4058.15</v>
      </c>
      <c r="N370" s="157">
        <f>'Quantitativos (A)'!L370*$D370*$E370</f>
        <v>4058.15</v>
      </c>
      <c r="O370" s="157">
        <f>'Quantitativos (A)'!M370*$D370*$E370</f>
        <v>4058.15</v>
      </c>
      <c r="P370" s="157">
        <f>'Quantitativos (A)'!N370*$D370*$E370</f>
        <v>4058.15</v>
      </c>
      <c r="Q370" s="157">
        <f>'Quantitativos (A)'!O370*$D370*$E370</f>
        <v>4058.15</v>
      </c>
      <c r="R370" s="157">
        <f>'Quantitativos (A)'!P370*$D370*$E370</f>
        <v>4058.15</v>
      </c>
      <c r="S370" s="157">
        <f>'Quantitativos (A)'!Q370*$D370*$E370</f>
        <v>4058.15</v>
      </c>
      <c r="T370" s="157">
        <f>'Quantitativos (A)'!R370*$D370*$E370</f>
        <v>4058.15</v>
      </c>
      <c r="U370" s="157">
        <f>'Quantitativos (A)'!S370*$D370*$E370</f>
        <v>4058.15</v>
      </c>
      <c r="V370" s="157">
        <f>'Quantitativos (A)'!T370*$D370*$E370</f>
        <v>4058.15</v>
      </c>
      <c r="W370" s="157">
        <f>'Quantitativos (A)'!U370*$D370*$E370</f>
        <v>4058.15</v>
      </c>
      <c r="X370" s="157">
        <f>'Quantitativos (A)'!V370*$D370*$E370</f>
        <v>4058.15</v>
      </c>
      <c r="Y370" s="157">
        <f>'Quantitativos (A)'!W370*$D370*$E370</f>
        <v>4058.15</v>
      </c>
      <c r="Z370" s="157">
        <f>'Quantitativos (A)'!X370*$D370*$E370</f>
        <v>4058.15</v>
      </c>
      <c r="AA370" s="157">
        <f>'Quantitativos (A)'!Y370*$D370*$E370</f>
        <v>4058.15</v>
      </c>
      <c r="AB370" s="157">
        <f>'Quantitativos (A)'!Z370*$D370*$E370</f>
        <v>4058.15</v>
      </c>
      <c r="AC370" s="157">
        <f>'Quantitativos (A)'!AA370*$D370*$E370</f>
        <v>4058.15</v>
      </c>
      <c r="AD370" s="157">
        <f>'Quantitativos (A)'!AB370*$D370*$E370</f>
        <v>4058.15</v>
      </c>
      <c r="AE370" s="157">
        <f>'Quantitativos (A)'!AC370*$D370*$E370</f>
        <v>4058.15</v>
      </c>
      <c r="AF370" s="157">
        <f>'Quantitativos (A)'!AD370*$D370*$E370</f>
        <v>4058.15</v>
      </c>
      <c r="AG370" s="157">
        <f>'Quantitativos (A)'!AE370*$D370*$E370</f>
        <v>4058.15</v>
      </c>
      <c r="AH370" s="157">
        <f>'Quantitativos (A)'!AF370*$D370*$E370</f>
        <v>4058.15</v>
      </c>
      <c r="AI370" s="158">
        <f>'Quantitativos (A)'!AG370*$D370*$E370</f>
        <v>4058.15</v>
      </c>
      <c r="AJ370" s="22"/>
    </row>
    <row r="371" spans="1:36" ht="25.5" x14ac:dyDescent="0.25">
      <c r="A371" s="112"/>
      <c r="B371" s="27" t="s">
        <v>447</v>
      </c>
      <c r="C371" s="67" t="s">
        <v>59</v>
      </c>
      <c r="D371" s="157">
        <f>'Dados (F)'!$D$255</f>
        <v>623.74</v>
      </c>
      <c r="E371" s="125">
        <f>IF('Dados (F)'!$D$35=1,1,'Dados (F)'!$C$39)</f>
        <v>1</v>
      </c>
      <c r="F371" s="157">
        <f>'Quantitativos (A)'!D371*$D371*$E371</f>
        <v>623.74</v>
      </c>
      <c r="G371" s="157">
        <f>'Quantitativos (A)'!E371*$D371*$E371</f>
        <v>623.74</v>
      </c>
      <c r="H371" s="157">
        <f>'Quantitativos (A)'!F371*$D371*$E371</f>
        <v>623.74</v>
      </c>
      <c r="I371" s="157">
        <f>'Quantitativos (A)'!G371*$D371*$E371</f>
        <v>623.74</v>
      </c>
      <c r="J371" s="157">
        <f>'Quantitativos (A)'!H371*$D371*$E371</f>
        <v>623.74</v>
      </c>
      <c r="K371" s="157">
        <f>'Quantitativos (A)'!I371*$D371*$E371</f>
        <v>623.74</v>
      </c>
      <c r="L371" s="157">
        <f>'Quantitativos (A)'!J371*$D371*$E371</f>
        <v>623.74</v>
      </c>
      <c r="M371" s="157">
        <f>'Quantitativos (A)'!K371*$D371*$E371</f>
        <v>623.74</v>
      </c>
      <c r="N371" s="157">
        <f>'Quantitativos (A)'!L371*$D371*$E371</f>
        <v>623.74</v>
      </c>
      <c r="O371" s="157">
        <f>'Quantitativos (A)'!M371*$D371*$E371</f>
        <v>623.74</v>
      </c>
      <c r="P371" s="157">
        <f>'Quantitativos (A)'!N371*$D371*$E371</f>
        <v>623.74</v>
      </c>
      <c r="Q371" s="157">
        <f>'Quantitativos (A)'!O371*$D371*$E371</f>
        <v>623.74</v>
      </c>
      <c r="R371" s="157">
        <f>'Quantitativos (A)'!P371*$D371*$E371</f>
        <v>623.74</v>
      </c>
      <c r="S371" s="157">
        <f>'Quantitativos (A)'!Q371*$D371*$E371</f>
        <v>623.74</v>
      </c>
      <c r="T371" s="157">
        <f>'Quantitativos (A)'!R371*$D371*$E371</f>
        <v>623.74</v>
      </c>
      <c r="U371" s="157">
        <f>'Quantitativos (A)'!S371*$D371*$E371</f>
        <v>623.74</v>
      </c>
      <c r="V371" s="157">
        <f>'Quantitativos (A)'!T371*$D371*$E371</f>
        <v>623.74</v>
      </c>
      <c r="W371" s="157">
        <f>'Quantitativos (A)'!U371*$D371*$E371</f>
        <v>623.74</v>
      </c>
      <c r="X371" s="157">
        <f>'Quantitativos (A)'!V371*$D371*$E371</f>
        <v>623.74</v>
      </c>
      <c r="Y371" s="157">
        <f>'Quantitativos (A)'!W371*$D371*$E371</f>
        <v>623.74</v>
      </c>
      <c r="Z371" s="157">
        <f>'Quantitativos (A)'!X371*$D371*$E371</f>
        <v>623.74</v>
      </c>
      <c r="AA371" s="157">
        <f>'Quantitativos (A)'!Y371*$D371*$E371</f>
        <v>623.74</v>
      </c>
      <c r="AB371" s="157">
        <f>'Quantitativos (A)'!Z371*$D371*$E371</f>
        <v>623.74</v>
      </c>
      <c r="AC371" s="157">
        <f>'Quantitativos (A)'!AA371*$D371*$E371</f>
        <v>623.74</v>
      </c>
      <c r="AD371" s="157">
        <f>'Quantitativos (A)'!AB371*$D371*$E371</f>
        <v>623.74</v>
      </c>
      <c r="AE371" s="157">
        <f>'Quantitativos (A)'!AC371*$D371*$E371</f>
        <v>623.74</v>
      </c>
      <c r="AF371" s="157">
        <f>'Quantitativos (A)'!AD371*$D371*$E371</f>
        <v>623.74</v>
      </c>
      <c r="AG371" s="157">
        <f>'Quantitativos (A)'!AE371*$D371*$E371</f>
        <v>623.74</v>
      </c>
      <c r="AH371" s="157">
        <f>'Quantitativos (A)'!AF371*$D371*$E371</f>
        <v>623.74</v>
      </c>
      <c r="AI371" s="158">
        <f>'Quantitativos (A)'!AG371*$D371*$E371</f>
        <v>623.74</v>
      </c>
      <c r="AJ371" s="22"/>
    </row>
    <row r="372" spans="1:36" x14ac:dyDescent="0.25">
      <c r="A372" s="112"/>
      <c r="B372" s="27" t="s">
        <v>90</v>
      </c>
      <c r="C372" s="67" t="s">
        <v>59</v>
      </c>
      <c r="D372" s="157">
        <f>'Dados (F)'!$D$256</f>
        <v>4261.0600000000004</v>
      </c>
      <c r="E372" s="125">
        <f>IF('Dados (F)'!$D$35=1,1,'Dados (F)'!$C$39)</f>
        <v>1</v>
      </c>
      <c r="F372" s="157">
        <f>'Quantitativos (A)'!D372*$D372*$E372</f>
        <v>4261.0600000000004</v>
      </c>
      <c r="G372" s="157">
        <f>'Quantitativos (A)'!E372*$D372*$E372</f>
        <v>4261.0600000000004</v>
      </c>
      <c r="H372" s="157">
        <f>'Quantitativos (A)'!F372*$D372*$E372</f>
        <v>4261.0600000000004</v>
      </c>
      <c r="I372" s="157">
        <f>'Quantitativos (A)'!G372*$D372*$E372</f>
        <v>4261.0600000000004</v>
      </c>
      <c r="J372" s="157">
        <f>'Quantitativos (A)'!H372*$D372*$E372</f>
        <v>4261.0600000000004</v>
      </c>
      <c r="K372" s="157">
        <f>'Quantitativos (A)'!I372*$D372*$E372</f>
        <v>4261.0600000000004</v>
      </c>
      <c r="L372" s="157">
        <f>'Quantitativos (A)'!J372*$D372*$E372</f>
        <v>4261.0600000000004</v>
      </c>
      <c r="M372" s="157">
        <f>'Quantitativos (A)'!K372*$D372*$E372</f>
        <v>4261.0600000000004</v>
      </c>
      <c r="N372" s="157">
        <f>'Quantitativos (A)'!L372*$D372*$E372</f>
        <v>4261.0600000000004</v>
      </c>
      <c r="O372" s="157">
        <f>'Quantitativos (A)'!M372*$D372*$E372</f>
        <v>4261.0600000000004</v>
      </c>
      <c r="P372" s="157">
        <f>'Quantitativos (A)'!N372*$D372*$E372</f>
        <v>4261.0600000000004</v>
      </c>
      <c r="Q372" s="157">
        <f>'Quantitativos (A)'!O372*$D372*$E372</f>
        <v>4261.0600000000004</v>
      </c>
      <c r="R372" s="157">
        <f>'Quantitativos (A)'!P372*$D372*$E372</f>
        <v>4261.0600000000004</v>
      </c>
      <c r="S372" s="157">
        <f>'Quantitativos (A)'!Q372*$D372*$E372</f>
        <v>4261.0600000000004</v>
      </c>
      <c r="T372" s="157">
        <f>'Quantitativos (A)'!R372*$D372*$E372</f>
        <v>4261.0600000000004</v>
      </c>
      <c r="U372" s="157">
        <f>'Quantitativos (A)'!S372*$D372*$E372</f>
        <v>4261.0600000000004</v>
      </c>
      <c r="V372" s="157">
        <f>'Quantitativos (A)'!T372*$D372*$E372</f>
        <v>4261.0600000000004</v>
      </c>
      <c r="W372" s="157">
        <f>'Quantitativos (A)'!U372*$D372*$E372</f>
        <v>4261.0600000000004</v>
      </c>
      <c r="X372" s="157">
        <f>'Quantitativos (A)'!V372*$D372*$E372</f>
        <v>4261.0600000000004</v>
      </c>
      <c r="Y372" s="157">
        <f>'Quantitativos (A)'!W372*$D372*$E372</f>
        <v>4261.0600000000004</v>
      </c>
      <c r="Z372" s="157">
        <f>'Quantitativos (A)'!X372*$D372*$E372</f>
        <v>4261.0600000000004</v>
      </c>
      <c r="AA372" s="157">
        <f>'Quantitativos (A)'!Y372*$D372*$E372</f>
        <v>4261.0600000000004</v>
      </c>
      <c r="AB372" s="157">
        <f>'Quantitativos (A)'!Z372*$D372*$E372</f>
        <v>4261.0600000000004</v>
      </c>
      <c r="AC372" s="157">
        <f>'Quantitativos (A)'!AA372*$D372*$E372</f>
        <v>4261.0600000000004</v>
      </c>
      <c r="AD372" s="157">
        <f>'Quantitativos (A)'!AB372*$D372*$E372</f>
        <v>4261.0600000000004</v>
      </c>
      <c r="AE372" s="157">
        <f>'Quantitativos (A)'!AC372*$D372*$E372</f>
        <v>4261.0600000000004</v>
      </c>
      <c r="AF372" s="157">
        <f>'Quantitativos (A)'!AD372*$D372*$E372</f>
        <v>4261.0600000000004</v>
      </c>
      <c r="AG372" s="157">
        <f>'Quantitativos (A)'!AE372*$D372*$E372</f>
        <v>4261.0600000000004</v>
      </c>
      <c r="AH372" s="157">
        <f>'Quantitativos (A)'!AF372*$D372*$E372</f>
        <v>4261.0600000000004</v>
      </c>
      <c r="AI372" s="158">
        <f>'Quantitativos (A)'!AG372*$D372*$E372</f>
        <v>4261.0600000000004</v>
      </c>
      <c r="AJ372" s="22"/>
    </row>
    <row r="373" spans="1:36" x14ac:dyDescent="0.25">
      <c r="A373" s="112"/>
      <c r="B373" s="27" t="s">
        <v>91</v>
      </c>
      <c r="C373" s="67" t="s">
        <v>59</v>
      </c>
      <c r="D373" s="157">
        <f>'Dados (F)'!$D$257</f>
        <v>5049.6400000000003</v>
      </c>
      <c r="E373" s="125">
        <f>IF('Dados (F)'!$D$35=1,1,'Dados (F)'!$C$39)</f>
        <v>1</v>
      </c>
      <c r="F373" s="157">
        <f>'Quantitativos (A)'!D373*$D373*$E373</f>
        <v>5049.6400000000003</v>
      </c>
      <c r="G373" s="157">
        <f>'Quantitativos (A)'!E373*$D373*$E373</f>
        <v>5049.6400000000003</v>
      </c>
      <c r="H373" s="157">
        <f>'Quantitativos (A)'!F373*$D373*$E373</f>
        <v>5049.6400000000003</v>
      </c>
      <c r="I373" s="157">
        <f>'Quantitativos (A)'!G373*$D373*$E373</f>
        <v>5049.6400000000003</v>
      </c>
      <c r="J373" s="157">
        <f>'Quantitativos (A)'!H373*$D373*$E373</f>
        <v>5049.6400000000003</v>
      </c>
      <c r="K373" s="157">
        <f>'Quantitativos (A)'!I373*$D373*$E373</f>
        <v>5049.6400000000003</v>
      </c>
      <c r="L373" s="157">
        <f>'Quantitativos (A)'!J373*$D373*$E373</f>
        <v>5049.6400000000003</v>
      </c>
      <c r="M373" s="157">
        <f>'Quantitativos (A)'!K373*$D373*$E373</f>
        <v>5049.6400000000003</v>
      </c>
      <c r="N373" s="157">
        <f>'Quantitativos (A)'!L373*$D373*$E373</f>
        <v>5049.6400000000003</v>
      </c>
      <c r="O373" s="157">
        <f>'Quantitativos (A)'!M373*$D373*$E373</f>
        <v>5049.6400000000003</v>
      </c>
      <c r="P373" s="157">
        <f>'Quantitativos (A)'!N373*$D373*$E373</f>
        <v>5049.6400000000003</v>
      </c>
      <c r="Q373" s="157">
        <f>'Quantitativos (A)'!O373*$D373*$E373</f>
        <v>5049.6400000000003</v>
      </c>
      <c r="R373" s="157">
        <f>'Quantitativos (A)'!P373*$D373*$E373</f>
        <v>5049.6400000000003</v>
      </c>
      <c r="S373" s="157">
        <f>'Quantitativos (A)'!Q373*$D373*$E373</f>
        <v>5049.6400000000003</v>
      </c>
      <c r="T373" s="157">
        <f>'Quantitativos (A)'!R373*$D373*$E373</f>
        <v>5049.6400000000003</v>
      </c>
      <c r="U373" s="157">
        <f>'Quantitativos (A)'!S373*$D373*$E373</f>
        <v>5049.6400000000003</v>
      </c>
      <c r="V373" s="157">
        <f>'Quantitativos (A)'!T373*$D373*$E373</f>
        <v>5049.6400000000003</v>
      </c>
      <c r="W373" s="157">
        <f>'Quantitativos (A)'!U373*$D373*$E373</f>
        <v>5049.6400000000003</v>
      </c>
      <c r="X373" s="157">
        <f>'Quantitativos (A)'!V373*$D373*$E373</f>
        <v>5049.6400000000003</v>
      </c>
      <c r="Y373" s="157">
        <f>'Quantitativos (A)'!W373*$D373*$E373</f>
        <v>5049.6400000000003</v>
      </c>
      <c r="Z373" s="157">
        <f>'Quantitativos (A)'!X373*$D373*$E373</f>
        <v>5049.6400000000003</v>
      </c>
      <c r="AA373" s="157">
        <f>'Quantitativos (A)'!Y373*$D373*$E373</f>
        <v>5049.6400000000003</v>
      </c>
      <c r="AB373" s="157">
        <f>'Quantitativos (A)'!Z373*$D373*$E373</f>
        <v>5049.6400000000003</v>
      </c>
      <c r="AC373" s="157">
        <f>'Quantitativos (A)'!AA373*$D373*$E373</f>
        <v>5049.6400000000003</v>
      </c>
      <c r="AD373" s="157">
        <f>'Quantitativos (A)'!AB373*$D373*$E373</f>
        <v>5049.6400000000003</v>
      </c>
      <c r="AE373" s="157">
        <f>'Quantitativos (A)'!AC373*$D373*$E373</f>
        <v>5049.6400000000003</v>
      </c>
      <c r="AF373" s="157">
        <f>'Quantitativos (A)'!AD373*$D373*$E373</f>
        <v>5049.6400000000003</v>
      </c>
      <c r="AG373" s="157">
        <f>'Quantitativos (A)'!AE373*$D373*$E373</f>
        <v>5049.6400000000003</v>
      </c>
      <c r="AH373" s="157">
        <f>'Quantitativos (A)'!AF373*$D373*$E373</f>
        <v>5049.6400000000003</v>
      </c>
      <c r="AI373" s="158">
        <f>'Quantitativos (A)'!AG373*$D373*$E373</f>
        <v>5049.6400000000003</v>
      </c>
      <c r="AJ373" s="22"/>
    </row>
    <row r="374" spans="1:36" x14ac:dyDescent="0.25">
      <c r="A374" s="112"/>
      <c r="B374" s="120" t="s">
        <v>571</v>
      </c>
      <c r="C374" s="121"/>
      <c r="D374" s="155"/>
      <c r="E374" s="156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60"/>
      <c r="AJ374" s="22"/>
    </row>
    <row r="375" spans="1:36" x14ac:dyDescent="0.25">
      <c r="A375" s="112"/>
      <c r="B375" s="27" t="s">
        <v>92</v>
      </c>
      <c r="C375" s="67" t="s">
        <v>59</v>
      </c>
      <c r="D375" s="157">
        <f>'Dados (F)'!$D$258</f>
        <v>2786.51</v>
      </c>
      <c r="E375" s="125">
        <f>IF('Dados (F)'!$D$35=1,1,'Dados (F)'!$C$39)</f>
        <v>1</v>
      </c>
      <c r="F375" s="157">
        <f>'Quantitativos (A)'!D375*$D375*$E375</f>
        <v>2786.51</v>
      </c>
      <c r="G375" s="157">
        <f>'Quantitativos (A)'!E375*$D375*$E375</f>
        <v>2786.51</v>
      </c>
      <c r="H375" s="157">
        <f>'Quantitativos (A)'!F375*$D375*$E375</f>
        <v>2786.51</v>
      </c>
      <c r="I375" s="157">
        <f>'Quantitativos (A)'!G375*$D375*$E375</f>
        <v>2786.51</v>
      </c>
      <c r="J375" s="157">
        <f>'Quantitativos (A)'!H375*$D375*$E375</f>
        <v>2786.51</v>
      </c>
      <c r="K375" s="157">
        <f>'Quantitativos (A)'!I375*$D375*$E375</f>
        <v>2786.51</v>
      </c>
      <c r="L375" s="157">
        <f>'Quantitativos (A)'!J375*$D375*$E375</f>
        <v>2786.51</v>
      </c>
      <c r="M375" s="157">
        <f>'Quantitativos (A)'!K375*$D375*$E375</f>
        <v>2786.51</v>
      </c>
      <c r="N375" s="157">
        <f>'Quantitativos (A)'!L375*$D375*$E375</f>
        <v>2786.51</v>
      </c>
      <c r="O375" s="157">
        <f>'Quantitativos (A)'!M375*$D375*$E375</f>
        <v>2786.51</v>
      </c>
      <c r="P375" s="157">
        <f>'Quantitativos (A)'!N375*$D375*$E375</f>
        <v>2786.51</v>
      </c>
      <c r="Q375" s="157">
        <f>'Quantitativos (A)'!O375*$D375*$E375</f>
        <v>2786.51</v>
      </c>
      <c r="R375" s="157">
        <f>'Quantitativos (A)'!P375*$D375*$E375</f>
        <v>2786.51</v>
      </c>
      <c r="S375" s="157">
        <f>'Quantitativos (A)'!Q375*$D375*$E375</f>
        <v>2786.51</v>
      </c>
      <c r="T375" s="157">
        <f>'Quantitativos (A)'!R375*$D375*$E375</f>
        <v>2786.51</v>
      </c>
      <c r="U375" s="157">
        <f>'Quantitativos (A)'!S375*$D375*$E375</f>
        <v>2786.51</v>
      </c>
      <c r="V375" s="157">
        <f>'Quantitativos (A)'!T375*$D375*$E375</f>
        <v>2786.51</v>
      </c>
      <c r="W375" s="157">
        <f>'Quantitativos (A)'!U375*$D375*$E375</f>
        <v>2786.51</v>
      </c>
      <c r="X375" s="157">
        <f>'Quantitativos (A)'!V375*$D375*$E375</f>
        <v>2786.51</v>
      </c>
      <c r="Y375" s="157">
        <f>'Quantitativos (A)'!W375*$D375*$E375</f>
        <v>2786.51</v>
      </c>
      <c r="Z375" s="157">
        <f>'Quantitativos (A)'!X375*$D375*$E375</f>
        <v>2786.51</v>
      </c>
      <c r="AA375" s="157">
        <f>'Quantitativos (A)'!Y375*$D375*$E375</f>
        <v>2786.51</v>
      </c>
      <c r="AB375" s="157">
        <f>'Quantitativos (A)'!Z375*$D375*$E375</f>
        <v>2786.51</v>
      </c>
      <c r="AC375" s="157">
        <f>'Quantitativos (A)'!AA375*$D375*$E375</f>
        <v>2786.51</v>
      </c>
      <c r="AD375" s="157">
        <f>'Quantitativos (A)'!AB375*$D375*$E375</f>
        <v>2786.51</v>
      </c>
      <c r="AE375" s="157">
        <f>'Quantitativos (A)'!AC375*$D375*$E375</f>
        <v>2786.51</v>
      </c>
      <c r="AF375" s="157">
        <f>'Quantitativos (A)'!AD375*$D375*$E375</f>
        <v>2786.51</v>
      </c>
      <c r="AG375" s="157">
        <f>'Quantitativos (A)'!AE375*$D375*$E375</f>
        <v>2786.51</v>
      </c>
      <c r="AH375" s="157">
        <f>'Quantitativos (A)'!AF375*$D375*$E375</f>
        <v>2786.51</v>
      </c>
      <c r="AI375" s="158">
        <f>'Quantitativos (A)'!AG375*$D375*$E375</f>
        <v>2786.51</v>
      </c>
      <c r="AJ375" s="22"/>
    </row>
    <row r="376" spans="1:36" x14ac:dyDescent="0.25">
      <c r="A376" s="112"/>
      <c r="B376" s="27" t="s">
        <v>93</v>
      </c>
      <c r="C376" s="67" t="s">
        <v>59</v>
      </c>
      <c r="D376" s="157">
        <f>'Dados (F)'!$D$259</f>
        <v>5781.11</v>
      </c>
      <c r="E376" s="125">
        <f>IF('Dados (F)'!$D$35=1,1,'Dados (F)'!$C$39)</f>
        <v>1</v>
      </c>
      <c r="F376" s="157">
        <f>'Quantitativos (A)'!D376*$D376*$E376</f>
        <v>5781.11</v>
      </c>
      <c r="G376" s="157">
        <f>'Quantitativos (A)'!E376*$D376*$E376</f>
        <v>5781.11</v>
      </c>
      <c r="H376" s="157">
        <f>'Quantitativos (A)'!F376*$D376*$E376</f>
        <v>5781.11</v>
      </c>
      <c r="I376" s="157">
        <f>'Quantitativos (A)'!G376*$D376*$E376</f>
        <v>5781.11</v>
      </c>
      <c r="J376" s="157">
        <f>'Quantitativos (A)'!H376*$D376*$E376</f>
        <v>5781.11</v>
      </c>
      <c r="K376" s="157">
        <f>'Quantitativos (A)'!I376*$D376*$E376</f>
        <v>5781.11</v>
      </c>
      <c r="L376" s="157">
        <f>'Quantitativos (A)'!J376*$D376*$E376</f>
        <v>5781.11</v>
      </c>
      <c r="M376" s="157">
        <f>'Quantitativos (A)'!K376*$D376*$E376</f>
        <v>5781.11</v>
      </c>
      <c r="N376" s="157">
        <f>'Quantitativos (A)'!L376*$D376*$E376</f>
        <v>5781.11</v>
      </c>
      <c r="O376" s="157">
        <f>'Quantitativos (A)'!M376*$D376*$E376</f>
        <v>5781.11</v>
      </c>
      <c r="P376" s="157">
        <f>'Quantitativos (A)'!N376*$D376*$E376</f>
        <v>5781.11</v>
      </c>
      <c r="Q376" s="157">
        <f>'Quantitativos (A)'!O376*$D376*$E376</f>
        <v>5781.11</v>
      </c>
      <c r="R376" s="157">
        <f>'Quantitativos (A)'!P376*$D376*$E376</f>
        <v>5781.11</v>
      </c>
      <c r="S376" s="157">
        <f>'Quantitativos (A)'!Q376*$D376*$E376</f>
        <v>5781.11</v>
      </c>
      <c r="T376" s="157">
        <f>'Quantitativos (A)'!R376*$D376*$E376</f>
        <v>5781.11</v>
      </c>
      <c r="U376" s="157">
        <f>'Quantitativos (A)'!S376*$D376*$E376</f>
        <v>5781.11</v>
      </c>
      <c r="V376" s="157">
        <f>'Quantitativos (A)'!T376*$D376*$E376</f>
        <v>5781.11</v>
      </c>
      <c r="W376" s="157">
        <f>'Quantitativos (A)'!U376*$D376*$E376</f>
        <v>5781.11</v>
      </c>
      <c r="X376" s="157">
        <f>'Quantitativos (A)'!V376*$D376*$E376</f>
        <v>5781.11</v>
      </c>
      <c r="Y376" s="157">
        <f>'Quantitativos (A)'!W376*$D376*$E376</f>
        <v>5781.11</v>
      </c>
      <c r="Z376" s="157">
        <f>'Quantitativos (A)'!X376*$D376*$E376</f>
        <v>5781.11</v>
      </c>
      <c r="AA376" s="157">
        <f>'Quantitativos (A)'!Y376*$D376*$E376</f>
        <v>5781.11</v>
      </c>
      <c r="AB376" s="157">
        <f>'Quantitativos (A)'!Z376*$D376*$E376</f>
        <v>5781.11</v>
      </c>
      <c r="AC376" s="157">
        <f>'Quantitativos (A)'!AA376*$D376*$E376</f>
        <v>5781.11</v>
      </c>
      <c r="AD376" s="157">
        <f>'Quantitativos (A)'!AB376*$D376*$E376</f>
        <v>5781.11</v>
      </c>
      <c r="AE376" s="157">
        <f>'Quantitativos (A)'!AC376*$D376*$E376</f>
        <v>5781.11</v>
      </c>
      <c r="AF376" s="157">
        <f>'Quantitativos (A)'!AD376*$D376*$E376</f>
        <v>5781.11</v>
      </c>
      <c r="AG376" s="157">
        <f>'Quantitativos (A)'!AE376*$D376*$E376</f>
        <v>5781.11</v>
      </c>
      <c r="AH376" s="157">
        <f>'Quantitativos (A)'!AF376*$D376*$E376</f>
        <v>5781.11</v>
      </c>
      <c r="AI376" s="158">
        <f>'Quantitativos (A)'!AG376*$D376*$E376</f>
        <v>5781.11</v>
      </c>
      <c r="AJ376" s="22"/>
    </row>
    <row r="377" spans="1:36" x14ac:dyDescent="0.25">
      <c r="A377" s="112"/>
      <c r="B377" s="27" t="s">
        <v>94</v>
      </c>
      <c r="C377" s="67" t="s">
        <v>59</v>
      </c>
      <c r="D377" s="157">
        <f>'Dados (F)'!$D$260</f>
        <v>4058.15</v>
      </c>
      <c r="E377" s="125">
        <f>IF('Dados (F)'!$D$35=1,1,'Dados (F)'!$C$39)</f>
        <v>1</v>
      </c>
      <c r="F377" s="157">
        <f>'Quantitativos (A)'!D377*$D377*$E377</f>
        <v>4058.15</v>
      </c>
      <c r="G377" s="157">
        <f>'Quantitativos (A)'!E377*$D377*$E377</f>
        <v>4058.15</v>
      </c>
      <c r="H377" s="157">
        <f>'Quantitativos (A)'!F377*$D377*$E377</f>
        <v>4058.15</v>
      </c>
      <c r="I377" s="157">
        <f>'Quantitativos (A)'!G377*$D377*$E377</f>
        <v>4058.15</v>
      </c>
      <c r="J377" s="157">
        <f>'Quantitativos (A)'!H377*$D377*$E377</f>
        <v>4058.15</v>
      </c>
      <c r="K377" s="157">
        <f>'Quantitativos (A)'!I377*$D377*$E377</f>
        <v>4058.15</v>
      </c>
      <c r="L377" s="157">
        <f>'Quantitativos (A)'!J377*$D377*$E377</f>
        <v>4058.15</v>
      </c>
      <c r="M377" s="157">
        <f>'Quantitativos (A)'!K377*$D377*$E377</f>
        <v>4058.15</v>
      </c>
      <c r="N377" s="157">
        <f>'Quantitativos (A)'!L377*$D377*$E377</f>
        <v>4058.15</v>
      </c>
      <c r="O377" s="157">
        <f>'Quantitativos (A)'!M377*$D377*$E377</f>
        <v>4058.15</v>
      </c>
      <c r="P377" s="157">
        <f>'Quantitativos (A)'!N377*$D377*$E377</f>
        <v>4058.15</v>
      </c>
      <c r="Q377" s="157">
        <f>'Quantitativos (A)'!O377*$D377*$E377</f>
        <v>4058.15</v>
      </c>
      <c r="R377" s="157">
        <f>'Quantitativos (A)'!P377*$D377*$E377</f>
        <v>4058.15</v>
      </c>
      <c r="S377" s="157">
        <f>'Quantitativos (A)'!Q377*$D377*$E377</f>
        <v>4058.15</v>
      </c>
      <c r="T377" s="157">
        <f>'Quantitativos (A)'!R377*$D377*$E377</f>
        <v>4058.15</v>
      </c>
      <c r="U377" s="157">
        <f>'Quantitativos (A)'!S377*$D377*$E377</f>
        <v>4058.15</v>
      </c>
      <c r="V377" s="157">
        <f>'Quantitativos (A)'!T377*$D377*$E377</f>
        <v>4058.15</v>
      </c>
      <c r="W377" s="157">
        <f>'Quantitativos (A)'!U377*$D377*$E377</f>
        <v>4058.15</v>
      </c>
      <c r="X377" s="157">
        <f>'Quantitativos (A)'!V377*$D377*$E377</f>
        <v>4058.15</v>
      </c>
      <c r="Y377" s="157">
        <f>'Quantitativos (A)'!W377*$D377*$E377</f>
        <v>4058.15</v>
      </c>
      <c r="Z377" s="157">
        <f>'Quantitativos (A)'!X377*$D377*$E377</f>
        <v>4058.15</v>
      </c>
      <c r="AA377" s="157">
        <f>'Quantitativos (A)'!Y377*$D377*$E377</f>
        <v>4058.15</v>
      </c>
      <c r="AB377" s="157">
        <f>'Quantitativos (A)'!Z377*$D377*$E377</f>
        <v>4058.15</v>
      </c>
      <c r="AC377" s="157">
        <f>'Quantitativos (A)'!AA377*$D377*$E377</f>
        <v>4058.15</v>
      </c>
      <c r="AD377" s="157">
        <f>'Quantitativos (A)'!AB377*$D377*$E377</f>
        <v>4058.15</v>
      </c>
      <c r="AE377" s="157">
        <f>'Quantitativos (A)'!AC377*$D377*$E377</f>
        <v>4058.15</v>
      </c>
      <c r="AF377" s="157">
        <f>'Quantitativos (A)'!AD377*$D377*$E377</f>
        <v>4058.15</v>
      </c>
      <c r="AG377" s="157">
        <f>'Quantitativos (A)'!AE377*$D377*$E377</f>
        <v>4058.15</v>
      </c>
      <c r="AH377" s="157">
        <f>'Quantitativos (A)'!AF377*$D377*$E377</f>
        <v>4058.15</v>
      </c>
      <c r="AI377" s="158">
        <f>'Quantitativos (A)'!AG377*$D377*$E377</f>
        <v>4058.15</v>
      </c>
      <c r="AJ377" s="22"/>
    </row>
    <row r="378" spans="1:36" x14ac:dyDescent="0.25">
      <c r="A378" s="112"/>
      <c r="B378" s="27" t="s">
        <v>95</v>
      </c>
      <c r="C378" s="67" t="s">
        <v>59</v>
      </c>
      <c r="D378" s="157">
        <f>'Dados (F)'!$D$261</f>
        <v>2783.9</v>
      </c>
      <c r="E378" s="125">
        <f>IF('Dados (F)'!$D$35=1,1,'Dados (F)'!$C$39)</f>
        <v>1</v>
      </c>
      <c r="F378" s="157">
        <f>'Quantitativos (A)'!D378*$D378*$E378</f>
        <v>2783.9</v>
      </c>
      <c r="G378" s="157">
        <f>'Quantitativos (A)'!E378*$D378*$E378</f>
        <v>2783.9</v>
      </c>
      <c r="H378" s="157">
        <f>'Quantitativos (A)'!F378*$D378*$E378</f>
        <v>2783.9</v>
      </c>
      <c r="I378" s="157">
        <f>'Quantitativos (A)'!G378*$D378*$E378</f>
        <v>2783.9</v>
      </c>
      <c r="J378" s="157">
        <f>'Quantitativos (A)'!H378*$D378*$E378</f>
        <v>2783.9</v>
      </c>
      <c r="K378" s="157">
        <f>'Quantitativos (A)'!I378*$D378*$E378</f>
        <v>2783.9</v>
      </c>
      <c r="L378" s="157">
        <f>'Quantitativos (A)'!J378*$D378*$E378</f>
        <v>2783.9</v>
      </c>
      <c r="M378" s="157">
        <f>'Quantitativos (A)'!K378*$D378*$E378</f>
        <v>2783.9</v>
      </c>
      <c r="N378" s="157">
        <f>'Quantitativos (A)'!L378*$D378*$E378</f>
        <v>2783.9</v>
      </c>
      <c r="O378" s="157">
        <f>'Quantitativos (A)'!M378*$D378*$E378</f>
        <v>2783.9</v>
      </c>
      <c r="P378" s="157">
        <f>'Quantitativos (A)'!N378*$D378*$E378</f>
        <v>2783.9</v>
      </c>
      <c r="Q378" s="157">
        <f>'Quantitativos (A)'!O378*$D378*$E378</f>
        <v>2783.9</v>
      </c>
      <c r="R378" s="157">
        <f>'Quantitativos (A)'!P378*$D378*$E378</f>
        <v>2783.9</v>
      </c>
      <c r="S378" s="157">
        <f>'Quantitativos (A)'!Q378*$D378*$E378</f>
        <v>2783.9</v>
      </c>
      <c r="T378" s="157">
        <f>'Quantitativos (A)'!R378*$D378*$E378</f>
        <v>2783.9</v>
      </c>
      <c r="U378" s="157">
        <f>'Quantitativos (A)'!S378*$D378*$E378</f>
        <v>2783.9</v>
      </c>
      <c r="V378" s="157">
        <f>'Quantitativos (A)'!T378*$D378*$E378</f>
        <v>2783.9</v>
      </c>
      <c r="W378" s="157">
        <f>'Quantitativos (A)'!U378*$D378*$E378</f>
        <v>2783.9</v>
      </c>
      <c r="X378" s="157">
        <f>'Quantitativos (A)'!V378*$D378*$E378</f>
        <v>2783.9</v>
      </c>
      <c r="Y378" s="157">
        <f>'Quantitativos (A)'!W378*$D378*$E378</f>
        <v>2783.9</v>
      </c>
      <c r="Z378" s="157">
        <f>'Quantitativos (A)'!X378*$D378*$E378</f>
        <v>2783.9</v>
      </c>
      <c r="AA378" s="157">
        <f>'Quantitativos (A)'!Y378*$D378*$E378</f>
        <v>2783.9</v>
      </c>
      <c r="AB378" s="157">
        <f>'Quantitativos (A)'!Z378*$D378*$E378</f>
        <v>2783.9</v>
      </c>
      <c r="AC378" s="157">
        <f>'Quantitativos (A)'!AA378*$D378*$E378</f>
        <v>2783.9</v>
      </c>
      <c r="AD378" s="157">
        <f>'Quantitativos (A)'!AB378*$D378*$E378</f>
        <v>2783.9</v>
      </c>
      <c r="AE378" s="157">
        <f>'Quantitativos (A)'!AC378*$D378*$E378</f>
        <v>2783.9</v>
      </c>
      <c r="AF378" s="157">
        <f>'Quantitativos (A)'!AD378*$D378*$E378</f>
        <v>2783.9</v>
      </c>
      <c r="AG378" s="157">
        <f>'Quantitativos (A)'!AE378*$D378*$E378</f>
        <v>2783.9</v>
      </c>
      <c r="AH378" s="157">
        <f>'Quantitativos (A)'!AF378*$D378*$E378</f>
        <v>2783.9</v>
      </c>
      <c r="AI378" s="158">
        <f>'Quantitativos (A)'!AG378*$D378*$E378</f>
        <v>2783.9</v>
      </c>
      <c r="AJ378" s="22"/>
    </row>
    <row r="379" spans="1:36" x14ac:dyDescent="0.25">
      <c r="A379" s="112"/>
      <c r="B379" s="27" t="s">
        <v>96</v>
      </c>
      <c r="C379" s="67" t="s">
        <v>59</v>
      </c>
      <c r="D379" s="157">
        <f>'Dados (F)'!$D$262</f>
        <v>7142.34</v>
      </c>
      <c r="E379" s="125">
        <f>IF('Dados (F)'!$D$35=1,1,'Dados (F)'!$C$39)</f>
        <v>1</v>
      </c>
      <c r="F379" s="157">
        <f>'Quantitativos (A)'!D379*$D379*$E379</f>
        <v>7142.34</v>
      </c>
      <c r="G379" s="157">
        <f>'Quantitativos (A)'!E379*$D379*$E379</f>
        <v>7142.34</v>
      </c>
      <c r="H379" s="157">
        <f>'Quantitativos (A)'!F379*$D379*$E379</f>
        <v>7142.34</v>
      </c>
      <c r="I379" s="157">
        <f>'Quantitativos (A)'!G379*$D379*$E379</f>
        <v>7142.34</v>
      </c>
      <c r="J379" s="157">
        <f>'Quantitativos (A)'!H379*$D379*$E379</f>
        <v>7142.34</v>
      </c>
      <c r="K379" s="157">
        <f>'Quantitativos (A)'!I379*$D379*$E379</f>
        <v>7142.34</v>
      </c>
      <c r="L379" s="157">
        <f>'Quantitativos (A)'!J379*$D379*$E379</f>
        <v>7142.34</v>
      </c>
      <c r="M379" s="157">
        <f>'Quantitativos (A)'!K379*$D379*$E379</f>
        <v>7142.34</v>
      </c>
      <c r="N379" s="157">
        <f>'Quantitativos (A)'!L379*$D379*$E379</f>
        <v>7142.34</v>
      </c>
      <c r="O379" s="157">
        <f>'Quantitativos (A)'!M379*$D379*$E379</f>
        <v>7142.34</v>
      </c>
      <c r="P379" s="157">
        <f>'Quantitativos (A)'!N379*$D379*$E379</f>
        <v>7142.34</v>
      </c>
      <c r="Q379" s="157">
        <f>'Quantitativos (A)'!O379*$D379*$E379</f>
        <v>7142.34</v>
      </c>
      <c r="R379" s="157">
        <f>'Quantitativos (A)'!P379*$D379*$E379</f>
        <v>7142.34</v>
      </c>
      <c r="S379" s="157">
        <f>'Quantitativos (A)'!Q379*$D379*$E379</f>
        <v>7142.34</v>
      </c>
      <c r="T379" s="157">
        <f>'Quantitativos (A)'!R379*$D379*$E379</f>
        <v>7142.34</v>
      </c>
      <c r="U379" s="157">
        <f>'Quantitativos (A)'!S379*$D379*$E379</f>
        <v>7142.34</v>
      </c>
      <c r="V379" s="157">
        <f>'Quantitativos (A)'!T379*$D379*$E379</f>
        <v>7142.34</v>
      </c>
      <c r="W379" s="157">
        <f>'Quantitativos (A)'!U379*$D379*$E379</f>
        <v>7142.34</v>
      </c>
      <c r="X379" s="157">
        <f>'Quantitativos (A)'!V379*$D379*$E379</f>
        <v>7142.34</v>
      </c>
      <c r="Y379" s="157">
        <f>'Quantitativos (A)'!W379*$D379*$E379</f>
        <v>7142.34</v>
      </c>
      <c r="Z379" s="157">
        <f>'Quantitativos (A)'!X379*$D379*$E379</f>
        <v>7142.34</v>
      </c>
      <c r="AA379" s="157">
        <f>'Quantitativos (A)'!Y379*$D379*$E379</f>
        <v>7142.34</v>
      </c>
      <c r="AB379" s="157">
        <f>'Quantitativos (A)'!Z379*$D379*$E379</f>
        <v>7142.34</v>
      </c>
      <c r="AC379" s="157">
        <f>'Quantitativos (A)'!AA379*$D379*$E379</f>
        <v>7142.34</v>
      </c>
      <c r="AD379" s="157">
        <f>'Quantitativos (A)'!AB379*$D379*$E379</f>
        <v>7142.34</v>
      </c>
      <c r="AE379" s="157">
        <f>'Quantitativos (A)'!AC379*$D379*$E379</f>
        <v>7142.34</v>
      </c>
      <c r="AF379" s="157">
        <f>'Quantitativos (A)'!AD379*$D379*$E379</f>
        <v>7142.34</v>
      </c>
      <c r="AG379" s="157">
        <f>'Quantitativos (A)'!AE379*$D379*$E379</f>
        <v>7142.34</v>
      </c>
      <c r="AH379" s="157">
        <f>'Quantitativos (A)'!AF379*$D379*$E379</f>
        <v>7142.34</v>
      </c>
      <c r="AI379" s="158">
        <f>'Quantitativos (A)'!AG379*$D379*$E379</f>
        <v>7142.34</v>
      </c>
      <c r="AJ379" s="22"/>
    </row>
    <row r="380" spans="1:36" ht="25.5" x14ac:dyDescent="0.25">
      <c r="A380" s="112"/>
      <c r="B380" s="27" t="s">
        <v>83</v>
      </c>
      <c r="C380" s="67" t="s">
        <v>59</v>
      </c>
      <c r="D380" s="157">
        <f>'Dados (F)'!$D$247</f>
        <v>3163.33</v>
      </c>
      <c r="E380" s="125">
        <f>IF('Dados (F)'!$D$35=1,1,'Dados (F)'!$C$39)</f>
        <v>1</v>
      </c>
      <c r="F380" s="157">
        <f>'Quantitativos (A)'!D380*$D380*$E380</f>
        <v>3163.33</v>
      </c>
      <c r="G380" s="157">
        <f>'Quantitativos (A)'!E380*$D380*$E380</f>
        <v>3163.33</v>
      </c>
      <c r="H380" s="157">
        <f>'Quantitativos (A)'!F380*$D380*$E380</f>
        <v>3163.33</v>
      </c>
      <c r="I380" s="157">
        <f>'Quantitativos (A)'!G380*$D380*$E380</f>
        <v>3163.33</v>
      </c>
      <c r="J380" s="157">
        <f>'Quantitativos (A)'!H380*$D380*$E380</f>
        <v>3163.33</v>
      </c>
      <c r="K380" s="157">
        <f>'Quantitativos (A)'!I380*$D380*$E380</f>
        <v>3163.33</v>
      </c>
      <c r="L380" s="157">
        <f>'Quantitativos (A)'!J380*$D380*$E380</f>
        <v>3163.33</v>
      </c>
      <c r="M380" s="157">
        <f>'Quantitativos (A)'!K380*$D380*$E380</f>
        <v>3163.33</v>
      </c>
      <c r="N380" s="157">
        <f>'Quantitativos (A)'!L380*$D380*$E380</f>
        <v>3163.33</v>
      </c>
      <c r="O380" s="157">
        <f>'Quantitativos (A)'!M380*$D380*$E380</f>
        <v>3163.33</v>
      </c>
      <c r="P380" s="157">
        <f>'Quantitativos (A)'!N380*$D380*$E380</f>
        <v>3163.33</v>
      </c>
      <c r="Q380" s="157">
        <f>'Quantitativos (A)'!O380*$D380*$E380</f>
        <v>3163.33</v>
      </c>
      <c r="R380" s="157">
        <f>'Quantitativos (A)'!P380*$D380*$E380</f>
        <v>3163.33</v>
      </c>
      <c r="S380" s="157">
        <f>'Quantitativos (A)'!Q380*$D380*$E380</f>
        <v>3163.33</v>
      </c>
      <c r="T380" s="157">
        <f>'Quantitativos (A)'!R380*$D380*$E380</f>
        <v>3163.33</v>
      </c>
      <c r="U380" s="157">
        <f>'Quantitativos (A)'!S380*$D380*$E380</f>
        <v>3163.33</v>
      </c>
      <c r="V380" s="157">
        <f>'Quantitativos (A)'!T380*$D380*$E380</f>
        <v>3163.33</v>
      </c>
      <c r="W380" s="157">
        <f>'Quantitativos (A)'!U380*$D380*$E380</f>
        <v>3163.33</v>
      </c>
      <c r="X380" s="157">
        <f>'Quantitativos (A)'!V380*$D380*$E380</f>
        <v>3163.33</v>
      </c>
      <c r="Y380" s="157">
        <f>'Quantitativos (A)'!W380*$D380*$E380</f>
        <v>3163.33</v>
      </c>
      <c r="Z380" s="157">
        <f>'Quantitativos (A)'!X380*$D380*$E380</f>
        <v>3163.33</v>
      </c>
      <c r="AA380" s="157">
        <f>'Quantitativos (A)'!Y380*$D380*$E380</f>
        <v>3163.33</v>
      </c>
      <c r="AB380" s="157">
        <f>'Quantitativos (A)'!Z380*$D380*$E380</f>
        <v>3163.33</v>
      </c>
      <c r="AC380" s="157">
        <f>'Quantitativos (A)'!AA380*$D380*$E380</f>
        <v>3163.33</v>
      </c>
      <c r="AD380" s="157">
        <f>'Quantitativos (A)'!AB380*$D380*$E380</f>
        <v>3163.33</v>
      </c>
      <c r="AE380" s="157">
        <f>'Quantitativos (A)'!AC380*$D380*$E380</f>
        <v>3163.33</v>
      </c>
      <c r="AF380" s="157">
        <f>'Quantitativos (A)'!AD380*$D380*$E380</f>
        <v>3163.33</v>
      </c>
      <c r="AG380" s="157">
        <f>'Quantitativos (A)'!AE380*$D380*$E380</f>
        <v>3163.33</v>
      </c>
      <c r="AH380" s="157">
        <f>'Quantitativos (A)'!AF380*$D380*$E380</f>
        <v>3163.33</v>
      </c>
      <c r="AI380" s="158">
        <f>'Quantitativos (A)'!AG380*$D380*$E380</f>
        <v>3163.33</v>
      </c>
      <c r="AJ380" s="22"/>
    </row>
    <row r="381" spans="1:36" x14ac:dyDescent="0.25">
      <c r="A381" s="112"/>
      <c r="B381" s="27" t="s">
        <v>97</v>
      </c>
      <c r="C381" s="67" t="s">
        <v>59</v>
      </c>
      <c r="D381" s="157">
        <f>'Dados (F)'!$D$263</f>
        <v>3824.3</v>
      </c>
      <c r="E381" s="125">
        <f>IF('Dados (F)'!$D$35=1,1,'Dados (F)'!$C$39)</f>
        <v>1</v>
      </c>
      <c r="F381" s="157">
        <f>'Quantitativos (A)'!D381*$D381*$E381</f>
        <v>3824.3</v>
      </c>
      <c r="G381" s="157">
        <f>'Quantitativos (A)'!E381*$D381*$E381</f>
        <v>3824.3</v>
      </c>
      <c r="H381" s="157">
        <f>'Quantitativos (A)'!F381*$D381*$E381</f>
        <v>3824.3</v>
      </c>
      <c r="I381" s="157">
        <f>'Quantitativos (A)'!G381*$D381*$E381</f>
        <v>3824.3</v>
      </c>
      <c r="J381" s="157">
        <f>'Quantitativos (A)'!H381*$D381*$E381</f>
        <v>3824.3</v>
      </c>
      <c r="K381" s="157">
        <f>'Quantitativos (A)'!I381*$D381*$E381</f>
        <v>3824.3</v>
      </c>
      <c r="L381" s="157">
        <f>'Quantitativos (A)'!J381*$D381*$E381</f>
        <v>3824.3</v>
      </c>
      <c r="M381" s="157">
        <f>'Quantitativos (A)'!K381*$D381*$E381</f>
        <v>3824.3</v>
      </c>
      <c r="N381" s="157">
        <f>'Quantitativos (A)'!L381*$D381*$E381</f>
        <v>3824.3</v>
      </c>
      <c r="O381" s="157">
        <f>'Quantitativos (A)'!M381*$D381*$E381</f>
        <v>3824.3</v>
      </c>
      <c r="P381" s="157">
        <f>'Quantitativos (A)'!N381*$D381*$E381</f>
        <v>3824.3</v>
      </c>
      <c r="Q381" s="157">
        <f>'Quantitativos (A)'!O381*$D381*$E381</f>
        <v>3824.3</v>
      </c>
      <c r="R381" s="157">
        <f>'Quantitativos (A)'!P381*$D381*$E381</f>
        <v>3824.3</v>
      </c>
      <c r="S381" s="157">
        <f>'Quantitativos (A)'!Q381*$D381*$E381</f>
        <v>3824.3</v>
      </c>
      <c r="T381" s="157">
        <f>'Quantitativos (A)'!R381*$D381*$E381</f>
        <v>3824.3</v>
      </c>
      <c r="U381" s="157">
        <f>'Quantitativos (A)'!S381*$D381*$E381</f>
        <v>3824.3</v>
      </c>
      <c r="V381" s="157">
        <f>'Quantitativos (A)'!T381*$D381*$E381</f>
        <v>3824.3</v>
      </c>
      <c r="W381" s="157">
        <f>'Quantitativos (A)'!U381*$D381*$E381</f>
        <v>3824.3</v>
      </c>
      <c r="X381" s="157">
        <f>'Quantitativos (A)'!V381*$D381*$E381</f>
        <v>3824.3</v>
      </c>
      <c r="Y381" s="157">
        <f>'Quantitativos (A)'!W381*$D381*$E381</f>
        <v>3824.3</v>
      </c>
      <c r="Z381" s="157">
        <f>'Quantitativos (A)'!X381*$D381*$E381</f>
        <v>3824.3</v>
      </c>
      <c r="AA381" s="157">
        <f>'Quantitativos (A)'!Y381*$D381*$E381</f>
        <v>3824.3</v>
      </c>
      <c r="AB381" s="157">
        <f>'Quantitativos (A)'!Z381*$D381*$E381</f>
        <v>3824.3</v>
      </c>
      <c r="AC381" s="157">
        <f>'Quantitativos (A)'!AA381*$D381*$E381</f>
        <v>3824.3</v>
      </c>
      <c r="AD381" s="157">
        <f>'Quantitativos (A)'!AB381*$D381*$E381</f>
        <v>3824.3</v>
      </c>
      <c r="AE381" s="157">
        <f>'Quantitativos (A)'!AC381*$D381*$E381</f>
        <v>3824.3</v>
      </c>
      <c r="AF381" s="157">
        <f>'Quantitativos (A)'!AD381*$D381*$E381</f>
        <v>3824.3</v>
      </c>
      <c r="AG381" s="157">
        <f>'Quantitativos (A)'!AE381*$D381*$E381</f>
        <v>3824.3</v>
      </c>
      <c r="AH381" s="157">
        <f>'Quantitativos (A)'!AF381*$D381*$E381</f>
        <v>3824.3</v>
      </c>
      <c r="AI381" s="158">
        <f>'Quantitativos (A)'!AG381*$D381*$E381</f>
        <v>3824.3</v>
      </c>
      <c r="AJ381" s="22"/>
    </row>
    <row r="382" spans="1:36" x14ac:dyDescent="0.25">
      <c r="A382" s="112"/>
      <c r="B382" s="27" t="s">
        <v>98</v>
      </c>
      <c r="C382" s="67" t="s">
        <v>59</v>
      </c>
      <c r="D382" s="157">
        <f>'Dados (F)'!$D$264</f>
        <v>44.03</v>
      </c>
      <c r="E382" s="125">
        <f>IF('Dados (F)'!$D$35=1,1,'Dados (F)'!$C$39)</f>
        <v>1</v>
      </c>
      <c r="F382" s="157">
        <f>'Quantitativos (A)'!D382*$D382*$E382</f>
        <v>44.03</v>
      </c>
      <c r="G382" s="157">
        <f>'Quantitativos (A)'!E382*$D382*$E382</f>
        <v>44.03</v>
      </c>
      <c r="H382" s="157">
        <f>'Quantitativos (A)'!F382*$D382*$E382</f>
        <v>44.03</v>
      </c>
      <c r="I382" s="157">
        <f>'Quantitativos (A)'!G382*$D382*$E382</f>
        <v>44.03</v>
      </c>
      <c r="J382" s="157">
        <f>'Quantitativos (A)'!H382*$D382*$E382</f>
        <v>44.03</v>
      </c>
      <c r="K382" s="157">
        <f>'Quantitativos (A)'!I382*$D382*$E382</f>
        <v>44.03</v>
      </c>
      <c r="L382" s="157">
        <f>'Quantitativos (A)'!J382*$D382*$E382</f>
        <v>44.03</v>
      </c>
      <c r="M382" s="157">
        <f>'Quantitativos (A)'!K382*$D382*$E382</f>
        <v>44.03</v>
      </c>
      <c r="N382" s="157">
        <f>'Quantitativos (A)'!L382*$D382*$E382</f>
        <v>44.03</v>
      </c>
      <c r="O382" s="157">
        <f>'Quantitativos (A)'!M382*$D382*$E382</f>
        <v>44.03</v>
      </c>
      <c r="P382" s="157">
        <f>'Quantitativos (A)'!N382*$D382*$E382</f>
        <v>44.03</v>
      </c>
      <c r="Q382" s="157">
        <f>'Quantitativos (A)'!O382*$D382*$E382</f>
        <v>44.03</v>
      </c>
      <c r="R382" s="157">
        <f>'Quantitativos (A)'!P382*$D382*$E382</f>
        <v>44.03</v>
      </c>
      <c r="S382" s="157">
        <f>'Quantitativos (A)'!Q382*$D382*$E382</f>
        <v>44.03</v>
      </c>
      <c r="T382" s="157">
        <f>'Quantitativos (A)'!R382*$D382*$E382</f>
        <v>44.03</v>
      </c>
      <c r="U382" s="157">
        <f>'Quantitativos (A)'!S382*$D382*$E382</f>
        <v>44.03</v>
      </c>
      <c r="V382" s="157">
        <f>'Quantitativos (A)'!T382*$D382*$E382</f>
        <v>44.03</v>
      </c>
      <c r="W382" s="157">
        <f>'Quantitativos (A)'!U382*$D382*$E382</f>
        <v>44.03</v>
      </c>
      <c r="X382" s="157">
        <f>'Quantitativos (A)'!V382*$D382*$E382</f>
        <v>44.03</v>
      </c>
      <c r="Y382" s="157">
        <f>'Quantitativos (A)'!W382*$D382*$E382</f>
        <v>44.03</v>
      </c>
      <c r="Z382" s="157">
        <f>'Quantitativos (A)'!X382*$D382*$E382</f>
        <v>44.03</v>
      </c>
      <c r="AA382" s="157">
        <f>'Quantitativos (A)'!Y382*$D382*$E382</f>
        <v>44.03</v>
      </c>
      <c r="AB382" s="157">
        <f>'Quantitativos (A)'!Z382*$D382*$E382</f>
        <v>44.03</v>
      </c>
      <c r="AC382" s="157">
        <f>'Quantitativos (A)'!AA382*$D382*$E382</f>
        <v>44.03</v>
      </c>
      <c r="AD382" s="157">
        <f>'Quantitativos (A)'!AB382*$D382*$E382</f>
        <v>44.03</v>
      </c>
      <c r="AE382" s="157">
        <f>'Quantitativos (A)'!AC382*$D382*$E382</f>
        <v>44.03</v>
      </c>
      <c r="AF382" s="157">
        <f>'Quantitativos (A)'!AD382*$D382*$E382</f>
        <v>44.03</v>
      </c>
      <c r="AG382" s="157">
        <f>'Quantitativos (A)'!AE382*$D382*$E382</f>
        <v>44.03</v>
      </c>
      <c r="AH382" s="157">
        <f>'Quantitativos (A)'!AF382*$D382*$E382</f>
        <v>44.03</v>
      </c>
      <c r="AI382" s="158">
        <f>'Quantitativos (A)'!AG382*$D382*$E382</f>
        <v>44.03</v>
      </c>
      <c r="AJ382" s="22"/>
    </row>
    <row r="383" spans="1:36" ht="25.5" x14ac:dyDescent="0.25">
      <c r="A383" s="112"/>
      <c r="B383" s="27" t="s">
        <v>81</v>
      </c>
      <c r="C383" s="67" t="s">
        <v>59</v>
      </c>
      <c r="D383" s="157">
        <f>'Dados (F)'!$D$245</f>
        <v>6060.85</v>
      </c>
      <c r="E383" s="125">
        <f>IF('Dados (F)'!$D$35=1,1,'Dados (F)'!$C$39)</f>
        <v>1</v>
      </c>
      <c r="F383" s="157">
        <f>'Quantitativos (A)'!D383*$D383*$E383</f>
        <v>6060.85</v>
      </c>
      <c r="G383" s="157">
        <f>'Quantitativos (A)'!E383*$D383*$E383</f>
        <v>6060.85</v>
      </c>
      <c r="H383" s="157">
        <f>'Quantitativos (A)'!F383*$D383*$E383</f>
        <v>6060.85</v>
      </c>
      <c r="I383" s="157">
        <f>'Quantitativos (A)'!G383*$D383*$E383</f>
        <v>6060.85</v>
      </c>
      <c r="J383" s="157">
        <f>'Quantitativos (A)'!H383*$D383*$E383</f>
        <v>6060.85</v>
      </c>
      <c r="K383" s="157">
        <f>'Quantitativos (A)'!I383*$D383*$E383</f>
        <v>6060.85</v>
      </c>
      <c r="L383" s="157">
        <f>'Quantitativos (A)'!J383*$D383*$E383</f>
        <v>6060.85</v>
      </c>
      <c r="M383" s="157">
        <f>'Quantitativos (A)'!K383*$D383*$E383</f>
        <v>6060.85</v>
      </c>
      <c r="N383" s="157">
        <f>'Quantitativos (A)'!L383*$D383*$E383</f>
        <v>6060.85</v>
      </c>
      <c r="O383" s="157">
        <f>'Quantitativos (A)'!M383*$D383*$E383</f>
        <v>6060.85</v>
      </c>
      <c r="P383" s="157">
        <f>'Quantitativos (A)'!N383*$D383*$E383</f>
        <v>6060.85</v>
      </c>
      <c r="Q383" s="157">
        <f>'Quantitativos (A)'!O383*$D383*$E383</f>
        <v>6060.85</v>
      </c>
      <c r="R383" s="157">
        <f>'Quantitativos (A)'!P383*$D383*$E383</f>
        <v>6060.85</v>
      </c>
      <c r="S383" s="157">
        <f>'Quantitativos (A)'!Q383*$D383*$E383</f>
        <v>6060.85</v>
      </c>
      <c r="T383" s="157">
        <f>'Quantitativos (A)'!R383*$D383*$E383</f>
        <v>6060.85</v>
      </c>
      <c r="U383" s="157">
        <f>'Quantitativos (A)'!S383*$D383*$E383</f>
        <v>6060.85</v>
      </c>
      <c r="V383" s="157">
        <f>'Quantitativos (A)'!T383*$D383*$E383</f>
        <v>6060.85</v>
      </c>
      <c r="W383" s="157">
        <f>'Quantitativos (A)'!U383*$D383*$E383</f>
        <v>6060.85</v>
      </c>
      <c r="X383" s="157">
        <f>'Quantitativos (A)'!V383*$D383*$E383</f>
        <v>6060.85</v>
      </c>
      <c r="Y383" s="157">
        <f>'Quantitativos (A)'!W383*$D383*$E383</f>
        <v>6060.85</v>
      </c>
      <c r="Z383" s="157">
        <f>'Quantitativos (A)'!X383*$D383*$E383</f>
        <v>6060.85</v>
      </c>
      <c r="AA383" s="157">
        <f>'Quantitativos (A)'!Y383*$D383*$E383</f>
        <v>6060.85</v>
      </c>
      <c r="AB383" s="157">
        <f>'Quantitativos (A)'!Z383*$D383*$E383</f>
        <v>6060.85</v>
      </c>
      <c r="AC383" s="157">
        <f>'Quantitativos (A)'!AA383*$D383*$E383</f>
        <v>6060.85</v>
      </c>
      <c r="AD383" s="157">
        <f>'Quantitativos (A)'!AB383*$D383*$E383</f>
        <v>6060.85</v>
      </c>
      <c r="AE383" s="157">
        <f>'Quantitativos (A)'!AC383*$D383*$E383</f>
        <v>6060.85</v>
      </c>
      <c r="AF383" s="157">
        <f>'Quantitativos (A)'!AD383*$D383*$E383</f>
        <v>6060.85</v>
      </c>
      <c r="AG383" s="157">
        <f>'Quantitativos (A)'!AE383*$D383*$E383</f>
        <v>6060.85</v>
      </c>
      <c r="AH383" s="157">
        <f>'Quantitativos (A)'!AF383*$D383*$E383</f>
        <v>6060.85</v>
      </c>
      <c r="AI383" s="158">
        <f>'Quantitativos (A)'!AG383*$D383*$E383</f>
        <v>6060.85</v>
      </c>
      <c r="AJ383" s="22"/>
    </row>
    <row r="384" spans="1:36" x14ac:dyDescent="0.25">
      <c r="A384" s="112"/>
      <c r="B384" s="27" t="s">
        <v>82</v>
      </c>
      <c r="C384" s="67" t="s">
        <v>59</v>
      </c>
      <c r="D384" s="157">
        <f>'Dados (F)'!$D$246</f>
        <v>2069.66</v>
      </c>
      <c r="E384" s="125">
        <f>IF('Dados (F)'!$D$35=1,1,'Dados (F)'!$C$39)</f>
        <v>1</v>
      </c>
      <c r="F384" s="157">
        <f>'Quantitativos (A)'!D384*$D384*$E384</f>
        <v>2069.66</v>
      </c>
      <c r="G384" s="157">
        <f>'Quantitativos (A)'!E384*$D384*$E384</f>
        <v>2069.66</v>
      </c>
      <c r="H384" s="157">
        <f>'Quantitativos (A)'!F384*$D384*$E384</f>
        <v>2069.66</v>
      </c>
      <c r="I384" s="157">
        <f>'Quantitativos (A)'!G384*$D384*$E384</f>
        <v>2069.66</v>
      </c>
      <c r="J384" s="157">
        <f>'Quantitativos (A)'!H384*$D384*$E384</f>
        <v>2069.66</v>
      </c>
      <c r="K384" s="157">
        <f>'Quantitativos (A)'!I384*$D384*$E384</f>
        <v>2069.66</v>
      </c>
      <c r="L384" s="157">
        <f>'Quantitativos (A)'!J384*$D384*$E384</f>
        <v>2069.66</v>
      </c>
      <c r="M384" s="157">
        <f>'Quantitativos (A)'!K384*$D384*$E384</f>
        <v>2069.66</v>
      </c>
      <c r="N384" s="157">
        <f>'Quantitativos (A)'!L384*$D384*$E384</f>
        <v>2069.66</v>
      </c>
      <c r="O384" s="157">
        <f>'Quantitativos (A)'!M384*$D384*$E384</f>
        <v>2069.66</v>
      </c>
      <c r="P384" s="157">
        <f>'Quantitativos (A)'!N384*$D384*$E384</f>
        <v>2069.66</v>
      </c>
      <c r="Q384" s="157">
        <f>'Quantitativos (A)'!O384*$D384*$E384</f>
        <v>2069.66</v>
      </c>
      <c r="R384" s="157">
        <f>'Quantitativos (A)'!P384*$D384*$E384</f>
        <v>2069.66</v>
      </c>
      <c r="S384" s="157">
        <f>'Quantitativos (A)'!Q384*$D384*$E384</f>
        <v>2069.66</v>
      </c>
      <c r="T384" s="157">
        <f>'Quantitativos (A)'!R384*$D384*$E384</f>
        <v>2069.66</v>
      </c>
      <c r="U384" s="157">
        <f>'Quantitativos (A)'!S384*$D384*$E384</f>
        <v>2069.66</v>
      </c>
      <c r="V384" s="157">
        <f>'Quantitativos (A)'!T384*$D384*$E384</f>
        <v>2069.66</v>
      </c>
      <c r="W384" s="157">
        <f>'Quantitativos (A)'!U384*$D384*$E384</f>
        <v>2069.66</v>
      </c>
      <c r="X384" s="157">
        <f>'Quantitativos (A)'!V384*$D384*$E384</f>
        <v>2069.66</v>
      </c>
      <c r="Y384" s="157">
        <f>'Quantitativos (A)'!W384*$D384*$E384</f>
        <v>2069.66</v>
      </c>
      <c r="Z384" s="157">
        <f>'Quantitativos (A)'!X384*$D384*$E384</f>
        <v>2069.66</v>
      </c>
      <c r="AA384" s="157">
        <f>'Quantitativos (A)'!Y384*$D384*$E384</f>
        <v>2069.66</v>
      </c>
      <c r="AB384" s="157">
        <f>'Quantitativos (A)'!Z384*$D384*$E384</f>
        <v>2069.66</v>
      </c>
      <c r="AC384" s="157">
        <f>'Quantitativos (A)'!AA384*$D384*$E384</f>
        <v>2069.66</v>
      </c>
      <c r="AD384" s="157">
        <f>'Quantitativos (A)'!AB384*$D384*$E384</f>
        <v>2069.66</v>
      </c>
      <c r="AE384" s="157">
        <f>'Quantitativos (A)'!AC384*$D384*$E384</f>
        <v>2069.66</v>
      </c>
      <c r="AF384" s="157">
        <f>'Quantitativos (A)'!AD384*$D384*$E384</f>
        <v>2069.66</v>
      </c>
      <c r="AG384" s="157">
        <f>'Quantitativos (A)'!AE384*$D384*$E384</f>
        <v>2069.66</v>
      </c>
      <c r="AH384" s="157">
        <f>'Quantitativos (A)'!AF384*$D384*$E384</f>
        <v>2069.66</v>
      </c>
      <c r="AI384" s="158">
        <f>'Quantitativos (A)'!AG384*$D384*$E384</f>
        <v>2069.66</v>
      </c>
      <c r="AJ384" s="22"/>
    </row>
    <row r="385" spans="1:36" x14ac:dyDescent="0.25">
      <c r="A385" s="112"/>
      <c r="B385" s="27" t="s">
        <v>568</v>
      </c>
      <c r="C385" s="67" t="s">
        <v>59</v>
      </c>
      <c r="D385" s="157">
        <f>'Dados (F)'!$D$244</f>
        <v>6046.65</v>
      </c>
      <c r="E385" s="125">
        <f>IF('Dados (F)'!$D$35=1,1,'Dados (F)'!$C$39)</f>
        <v>1</v>
      </c>
      <c r="F385" s="157">
        <f>'Quantitativos (A)'!D385*$D385*$E385</f>
        <v>6046.65</v>
      </c>
      <c r="G385" s="157">
        <f>'Quantitativos (A)'!E385*$D385*$E385</f>
        <v>6046.65</v>
      </c>
      <c r="H385" s="157">
        <f>'Quantitativos (A)'!F385*$D385*$E385</f>
        <v>6046.65</v>
      </c>
      <c r="I385" s="157">
        <f>'Quantitativos (A)'!G385*$D385*$E385</f>
        <v>6046.65</v>
      </c>
      <c r="J385" s="157">
        <f>'Quantitativos (A)'!H385*$D385*$E385</f>
        <v>6046.65</v>
      </c>
      <c r="K385" s="157">
        <f>'Quantitativos (A)'!I385*$D385*$E385</f>
        <v>6046.65</v>
      </c>
      <c r="L385" s="157">
        <f>'Quantitativos (A)'!J385*$D385*$E385</f>
        <v>6046.65</v>
      </c>
      <c r="M385" s="157">
        <f>'Quantitativos (A)'!K385*$D385*$E385</f>
        <v>6046.65</v>
      </c>
      <c r="N385" s="157">
        <f>'Quantitativos (A)'!L385*$D385*$E385</f>
        <v>6046.65</v>
      </c>
      <c r="O385" s="157">
        <f>'Quantitativos (A)'!M385*$D385*$E385</f>
        <v>6046.65</v>
      </c>
      <c r="P385" s="157">
        <f>'Quantitativos (A)'!N385*$D385*$E385</f>
        <v>6046.65</v>
      </c>
      <c r="Q385" s="157">
        <f>'Quantitativos (A)'!O385*$D385*$E385</f>
        <v>6046.65</v>
      </c>
      <c r="R385" s="157">
        <f>'Quantitativos (A)'!P385*$D385*$E385</f>
        <v>6046.65</v>
      </c>
      <c r="S385" s="157">
        <f>'Quantitativos (A)'!Q385*$D385*$E385</f>
        <v>6046.65</v>
      </c>
      <c r="T385" s="157">
        <f>'Quantitativos (A)'!R385*$D385*$E385</f>
        <v>6046.65</v>
      </c>
      <c r="U385" s="157">
        <f>'Quantitativos (A)'!S385*$D385*$E385</f>
        <v>6046.65</v>
      </c>
      <c r="V385" s="157">
        <f>'Quantitativos (A)'!T385*$D385*$E385</f>
        <v>6046.65</v>
      </c>
      <c r="W385" s="157">
        <f>'Quantitativos (A)'!U385*$D385*$E385</f>
        <v>6046.65</v>
      </c>
      <c r="X385" s="157">
        <f>'Quantitativos (A)'!V385*$D385*$E385</f>
        <v>6046.65</v>
      </c>
      <c r="Y385" s="157">
        <f>'Quantitativos (A)'!W385*$D385*$E385</f>
        <v>6046.65</v>
      </c>
      <c r="Z385" s="157">
        <f>'Quantitativos (A)'!X385*$D385*$E385</f>
        <v>6046.65</v>
      </c>
      <c r="AA385" s="157">
        <f>'Quantitativos (A)'!Y385*$D385*$E385</f>
        <v>6046.65</v>
      </c>
      <c r="AB385" s="157">
        <f>'Quantitativos (A)'!Z385*$D385*$E385</f>
        <v>6046.65</v>
      </c>
      <c r="AC385" s="157">
        <f>'Quantitativos (A)'!AA385*$D385*$E385</f>
        <v>6046.65</v>
      </c>
      <c r="AD385" s="157">
        <f>'Quantitativos (A)'!AB385*$D385*$E385</f>
        <v>6046.65</v>
      </c>
      <c r="AE385" s="157">
        <f>'Quantitativos (A)'!AC385*$D385*$E385</f>
        <v>6046.65</v>
      </c>
      <c r="AF385" s="157">
        <f>'Quantitativos (A)'!AD385*$D385*$E385</f>
        <v>6046.65</v>
      </c>
      <c r="AG385" s="157">
        <f>'Quantitativos (A)'!AE385*$D385*$E385</f>
        <v>6046.65</v>
      </c>
      <c r="AH385" s="157">
        <f>'Quantitativos (A)'!AF385*$D385*$E385</f>
        <v>6046.65</v>
      </c>
      <c r="AI385" s="158">
        <f>'Quantitativos (A)'!AG385*$D385*$E385</f>
        <v>6046.65</v>
      </c>
      <c r="AJ385" s="22"/>
    </row>
    <row r="386" spans="1:36" x14ac:dyDescent="0.25">
      <c r="A386" s="112"/>
      <c r="B386" s="120" t="s">
        <v>780</v>
      </c>
      <c r="C386" s="121"/>
      <c r="D386" s="155"/>
      <c r="E386" s="156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60"/>
      <c r="AJ386" s="22"/>
    </row>
    <row r="387" spans="1:36" x14ac:dyDescent="0.25">
      <c r="A387" s="112"/>
      <c r="B387" s="120" t="s">
        <v>781</v>
      </c>
      <c r="C387" s="121"/>
      <c r="D387" s="155"/>
      <c r="E387" s="156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60"/>
      <c r="AJ387" s="22"/>
    </row>
    <row r="388" spans="1:36" ht="25.5" x14ac:dyDescent="0.25">
      <c r="A388" s="112"/>
      <c r="B388" s="136" t="s">
        <v>99</v>
      </c>
      <c r="C388" s="67" t="s">
        <v>59</v>
      </c>
      <c r="D388" s="157">
        <f>'Dados (F)'!$D$265</f>
        <v>36.22</v>
      </c>
      <c r="E388" s="125">
        <f>IF('Dados (F)'!$D$35=1,1,'Dados (F)'!$C$39)</f>
        <v>1</v>
      </c>
      <c r="F388" s="157">
        <f>'Quantitativos (A)'!D388*$D388*$E388</f>
        <v>36.22</v>
      </c>
      <c r="G388" s="157">
        <f>'Quantitativos (A)'!E388*$D388*$E388</f>
        <v>36.22</v>
      </c>
      <c r="H388" s="157">
        <f>'Quantitativos (A)'!F388*$D388*$E388</f>
        <v>36.22</v>
      </c>
      <c r="I388" s="157">
        <f>'Quantitativos (A)'!G388*$D388*$E388</f>
        <v>36.22</v>
      </c>
      <c r="J388" s="157">
        <f>'Quantitativos (A)'!H388*$D388*$E388</f>
        <v>36.22</v>
      </c>
      <c r="K388" s="157">
        <f>'Quantitativos (A)'!I388*$D388*$E388</f>
        <v>36.22</v>
      </c>
      <c r="L388" s="157">
        <f>'Quantitativos (A)'!J388*$D388*$E388</f>
        <v>36.22</v>
      </c>
      <c r="M388" s="157">
        <f>'Quantitativos (A)'!K388*$D388*$E388</f>
        <v>36.22</v>
      </c>
      <c r="N388" s="157">
        <f>'Quantitativos (A)'!L388*$D388*$E388</f>
        <v>36.22</v>
      </c>
      <c r="O388" s="157">
        <f>'Quantitativos (A)'!M388*$D388*$E388</f>
        <v>36.22</v>
      </c>
      <c r="P388" s="157">
        <f>'Quantitativos (A)'!N388*$D388*$E388</f>
        <v>36.22</v>
      </c>
      <c r="Q388" s="157">
        <f>'Quantitativos (A)'!O388*$D388*$E388</f>
        <v>36.22</v>
      </c>
      <c r="R388" s="157">
        <f>'Quantitativos (A)'!P388*$D388*$E388</f>
        <v>36.22</v>
      </c>
      <c r="S388" s="157">
        <f>'Quantitativos (A)'!Q388*$D388*$E388</f>
        <v>36.22</v>
      </c>
      <c r="T388" s="157">
        <f>'Quantitativos (A)'!R388*$D388*$E388</f>
        <v>36.22</v>
      </c>
      <c r="U388" s="157">
        <f>'Quantitativos (A)'!S388*$D388*$E388</f>
        <v>36.22</v>
      </c>
      <c r="V388" s="157">
        <f>'Quantitativos (A)'!T388*$D388*$E388</f>
        <v>36.22</v>
      </c>
      <c r="W388" s="157">
        <f>'Quantitativos (A)'!U388*$D388*$E388</f>
        <v>36.22</v>
      </c>
      <c r="X388" s="157">
        <f>'Quantitativos (A)'!V388*$D388*$E388</f>
        <v>36.22</v>
      </c>
      <c r="Y388" s="157">
        <f>'Quantitativos (A)'!W388*$D388*$E388</f>
        <v>36.22</v>
      </c>
      <c r="Z388" s="157">
        <f>'Quantitativos (A)'!X388*$D388*$E388</f>
        <v>36.22</v>
      </c>
      <c r="AA388" s="157">
        <f>'Quantitativos (A)'!Y388*$D388*$E388</f>
        <v>36.22</v>
      </c>
      <c r="AB388" s="157">
        <f>'Quantitativos (A)'!Z388*$D388*$E388</f>
        <v>36.22</v>
      </c>
      <c r="AC388" s="157">
        <f>'Quantitativos (A)'!AA388*$D388*$E388</f>
        <v>36.22</v>
      </c>
      <c r="AD388" s="157">
        <f>'Quantitativos (A)'!AB388*$D388*$E388</f>
        <v>36.22</v>
      </c>
      <c r="AE388" s="157">
        <f>'Quantitativos (A)'!AC388*$D388*$E388</f>
        <v>36.22</v>
      </c>
      <c r="AF388" s="157">
        <f>'Quantitativos (A)'!AD388*$D388*$E388</f>
        <v>36.22</v>
      </c>
      <c r="AG388" s="157">
        <f>'Quantitativos (A)'!AE388*$D388*$E388</f>
        <v>36.22</v>
      </c>
      <c r="AH388" s="157">
        <f>'Quantitativos (A)'!AF388*$D388*$E388</f>
        <v>36.22</v>
      </c>
      <c r="AI388" s="158">
        <f>'Quantitativos (A)'!AG388*$D388*$E388</f>
        <v>36.22</v>
      </c>
      <c r="AJ388" s="22"/>
    </row>
    <row r="389" spans="1:36" x14ac:dyDescent="0.25">
      <c r="A389" s="112"/>
      <c r="B389" s="136" t="s">
        <v>448</v>
      </c>
      <c r="C389" s="67" t="s">
        <v>59</v>
      </c>
      <c r="D389" s="157">
        <f>'Dados (F)'!$D$266</f>
        <v>5.27</v>
      </c>
      <c r="E389" s="125">
        <f>IF('Dados (F)'!$D$35=1,1,'Dados (F)'!$C$39)</f>
        <v>1</v>
      </c>
      <c r="F389" s="157">
        <f>'Quantitativos (A)'!D389*$D389*$E389</f>
        <v>10.54</v>
      </c>
      <c r="G389" s="157">
        <f>'Quantitativos (A)'!E389*$D389*$E389</f>
        <v>10.54</v>
      </c>
      <c r="H389" s="157">
        <f>'Quantitativos (A)'!F389*$D389*$E389</f>
        <v>10.54</v>
      </c>
      <c r="I389" s="157">
        <f>'Quantitativos (A)'!G389*$D389*$E389</f>
        <v>10.54</v>
      </c>
      <c r="J389" s="157">
        <f>'Quantitativos (A)'!H389*$D389*$E389</f>
        <v>10.54</v>
      </c>
      <c r="K389" s="157">
        <f>'Quantitativos (A)'!I389*$D389*$E389</f>
        <v>10.54</v>
      </c>
      <c r="L389" s="157">
        <f>'Quantitativos (A)'!J389*$D389*$E389</f>
        <v>10.54</v>
      </c>
      <c r="M389" s="157">
        <f>'Quantitativos (A)'!K389*$D389*$E389</f>
        <v>10.54</v>
      </c>
      <c r="N389" s="157">
        <f>'Quantitativos (A)'!L389*$D389*$E389</f>
        <v>10.54</v>
      </c>
      <c r="O389" s="157">
        <f>'Quantitativos (A)'!M389*$D389*$E389</f>
        <v>10.54</v>
      </c>
      <c r="P389" s="157">
        <f>'Quantitativos (A)'!N389*$D389*$E389</f>
        <v>10.54</v>
      </c>
      <c r="Q389" s="157">
        <f>'Quantitativos (A)'!O389*$D389*$E389</f>
        <v>10.54</v>
      </c>
      <c r="R389" s="157">
        <f>'Quantitativos (A)'!P389*$D389*$E389</f>
        <v>10.54</v>
      </c>
      <c r="S389" s="157">
        <f>'Quantitativos (A)'!Q389*$D389*$E389</f>
        <v>10.54</v>
      </c>
      <c r="T389" s="157">
        <f>'Quantitativos (A)'!R389*$D389*$E389</f>
        <v>10.54</v>
      </c>
      <c r="U389" s="157">
        <f>'Quantitativos (A)'!S389*$D389*$E389</f>
        <v>10.54</v>
      </c>
      <c r="V389" s="157">
        <f>'Quantitativos (A)'!T389*$D389*$E389</f>
        <v>10.54</v>
      </c>
      <c r="W389" s="157">
        <f>'Quantitativos (A)'!U389*$D389*$E389</f>
        <v>10.54</v>
      </c>
      <c r="X389" s="157">
        <f>'Quantitativos (A)'!V389*$D389*$E389</f>
        <v>10.54</v>
      </c>
      <c r="Y389" s="157">
        <f>'Quantitativos (A)'!W389*$D389*$E389</f>
        <v>10.54</v>
      </c>
      <c r="Z389" s="157">
        <f>'Quantitativos (A)'!X389*$D389*$E389</f>
        <v>10.54</v>
      </c>
      <c r="AA389" s="157">
        <f>'Quantitativos (A)'!Y389*$D389*$E389</f>
        <v>10.54</v>
      </c>
      <c r="AB389" s="157">
        <f>'Quantitativos (A)'!Z389*$D389*$E389</f>
        <v>10.54</v>
      </c>
      <c r="AC389" s="157">
        <f>'Quantitativos (A)'!AA389*$D389*$E389</f>
        <v>10.54</v>
      </c>
      <c r="AD389" s="157">
        <f>'Quantitativos (A)'!AB389*$D389*$E389</f>
        <v>10.54</v>
      </c>
      <c r="AE389" s="157">
        <f>'Quantitativos (A)'!AC389*$D389*$E389</f>
        <v>10.54</v>
      </c>
      <c r="AF389" s="157">
        <f>'Quantitativos (A)'!AD389*$D389*$E389</f>
        <v>10.54</v>
      </c>
      <c r="AG389" s="157">
        <f>'Quantitativos (A)'!AE389*$D389*$E389</f>
        <v>10.54</v>
      </c>
      <c r="AH389" s="157">
        <f>'Quantitativos (A)'!AF389*$D389*$E389</f>
        <v>10.54</v>
      </c>
      <c r="AI389" s="158">
        <f>'Quantitativos (A)'!AG389*$D389*$E389</f>
        <v>10.54</v>
      </c>
      <c r="AJ389" s="22"/>
    </row>
    <row r="390" spans="1:36" x14ac:dyDescent="0.25">
      <c r="A390" s="112"/>
      <c r="B390" s="136" t="s">
        <v>100</v>
      </c>
      <c r="C390" s="67" t="s">
        <v>59</v>
      </c>
      <c r="D390" s="157">
        <f>'Dados (F)'!$D$267</f>
        <v>5.86</v>
      </c>
      <c r="E390" s="125">
        <f>IF('Dados (F)'!$D$35=1,1,'Dados (F)'!$C$39)</f>
        <v>1</v>
      </c>
      <c r="F390" s="157">
        <f>'Quantitativos (A)'!D390*$D390*$E390</f>
        <v>11.72</v>
      </c>
      <c r="G390" s="157">
        <f>'Quantitativos (A)'!E390*$D390*$E390</f>
        <v>11.72</v>
      </c>
      <c r="H390" s="157">
        <f>'Quantitativos (A)'!F390*$D390*$E390</f>
        <v>11.72</v>
      </c>
      <c r="I390" s="157">
        <f>'Quantitativos (A)'!G390*$D390*$E390</f>
        <v>11.72</v>
      </c>
      <c r="J390" s="157">
        <f>'Quantitativos (A)'!H390*$D390*$E390</f>
        <v>11.72</v>
      </c>
      <c r="K390" s="157">
        <f>'Quantitativos (A)'!I390*$D390*$E390</f>
        <v>11.72</v>
      </c>
      <c r="L390" s="157">
        <f>'Quantitativos (A)'!J390*$D390*$E390</f>
        <v>11.72</v>
      </c>
      <c r="M390" s="157">
        <f>'Quantitativos (A)'!K390*$D390*$E390</f>
        <v>11.72</v>
      </c>
      <c r="N390" s="157">
        <f>'Quantitativos (A)'!L390*$D390*$E390</f>
        <v>11.72</v>
      </c>
      <c r="O390" s="157">
        <f>'Quantitativos (A)'!M390*$D390*$E390</f>
        <v>11.72</v>
      </c>
      <c r="P390" s="157">
        <f>'Quantitativos (A)'!N390*$D390*$E390</f>
        <v>11.72</v>
      </c>
      <c r="Q390" s="157">
        <f>'Quantitativos (A)'!O390*$D390*$E390</f>
        <v>11.72</v>
      </c>
      <c r="R390" s="157">
        <f>'Quantitativos (A)'!P390*$D390*$E390</f>
        <v>11.72</v>
      </c>
      <c r="S390" s="157">
        <f>'Quantitativos (A)'!Q390*$D390*$E390</f>
        <v>11.72</v>
      </c>
      <c r="T390" s="157">
        <f>'Quantitativos (A)'!R390*$D390*$E390</f>
        <v>11.72</v>
      </c>
      <c r="U390" s="157">
        <f>'Quantitativos (A)'!S390*$D390*$E390</f>
        <v>11.72</v>
      </c>
      <c r="V390" s="157">
        <f>'Quantitativos (A)'!T390*$D390*$E390</f>
        <v>11.72</v>
      </c>
      <c r="W390" s="157">
        <f>'Quantitativos (A)'!U390*$D390*$E390</f>
        <v>11.72</v>
      </c>
      <c r="X390" s="157">
        <f>'Quantitativos (A)'!V390*$D390*$E390</f>
        <v>11.72</v>
      </c>
      <c r="Y390" s="157">
        <f>'Quantitativos (A)'!W390*$D390*$E390</f>
        <v>11.72</v>
      </c>
      <c r="Z390" s="157">
        <f>'Quantitativos (A)'!X390*$D390*$E390</f>
        <v>11.72</v>
      </c>
      <c r="AA390" s="157">
        <f>'Quantitativos (A)'!Y390*$D390*$E390</f>
        <v>11.72</v>
      </c>
      <c r="AB390" s="157">
        <f>'Quantitativos (A)'!Z390*$D390*$E390</f>
        <v>11.72</v>
      </c>
      <c r="AC390" s="157">
        <f>'Quantitativos (A)'!AA390*$D390*$E390</f>
        <v>11.72</v>
      </c>
      <c r="AD390" s="157">
        <f>'Quantitativos (A)'!AB390*$D390*$E390</f>
        <v>11.72</v>
      </c>
      <c r="AE390" s="157">
        <f>'Quantitativos (A)'!AC390*$D390*$E390</f>
        <v>11.72</v>
      </c>
      <c r="AF390" s="157">
        <f>'Quantitativos (A)'!AD390*$D390*$E390</f>
        <v>11.72</v>
      </c>
      <c r="AG390" s="157">
        <f>'Quantitativos (A)'!AE390*$D390*$E390</f>
        <v>11.72</v>
      </c>
      <c r="AH390" s="157">
        <f>'Quantitativos (A)'!AF390*$D390*$E390</f>
        <v>11.72</v>
      </c>
      <c r="AI390" s="158">
        <f>'Quantitativos (A)'!AG390*$D390*$E390</f>
        <v>11.72</v>
      </c>
      <c r="AJ390" s="22"/>
    </row>
    <row r="391" spans="1:36" x14ac:dyDescent="0.25">
      <c r="A391" s="112"/>
      <c r="B391" s="136" t="s">
        <v>101</v>
      </c>
      <c r="C391" s="67" t="s">
        <v>59</v>
      </c>
      <c r="D391" s="157">
        <f>'Dados (F)'!$D$268</f>
        <v>6.07</v>
      </c>
      <c r="E391" s="125">
        <f>IF('Dados (F)'!$D$35=1,1,'Dados (F)'!$C$39)</f>
        <v>1</v>
      </c>
      <c r="F391" s="157">
        <f>'Quantitativos (A)'!D391*$D391*$E391</f>
        <v>12.14</v>
      </c>
      <c r="G391" s="157">
        <f>'Quantitativos (A)'!E391*$D391*$E391</f>
        <v>12.14</v>
      </c>
      <c r="H391" s="157">
        <f>'Quantitativos (A)'!F391*$D391*$E391</f>
        <v>12.14</v>
      </c>
      <c r="I391" s="157">
        <f>'Quantitativos (A)'!G391*$D391*$E391</f>
        <v>12.14</v>
      </c>
      <c r="J391" s="157">
        <f>'Quantitativos (A)'!H391*$D391*$E391</f>
        <v>12.14</v>
      </c>
      <c r="K391" s="157">
        <f>'Quantitativos (A)'!I391*$D391*$E391</f>
        <v>12.14</v>
      </c>
      <c r="L391" s="157">
        <f>'Quantitativos (A)'!J391*$D391*$E391</f>
        <v>12.14</v>
      </c>
      <c r="M391" s="157">
        <f>'Quantitativos (A)'!K391*$D391*$E391</f>
        <v>12.14</v>
      </c>
      <c r="N391" s="157">
        <f>'Quantitativos (A)'!L391*$D391*$E391</f>
        <v>12.14</v>
      </c>
      <c r="O391" s="157">
        <f>'Quantitativos (A)'!M391*$D391*$E391</f>
        <v>12.14</v>
      </c>
      <c r="P391" s="157">
        <f>'Quantitativos (A)'!N391*$D391*$E391</f>
        <v>12.14</v>
      </c>
      <c r="Q391" s="157">
        <f>'Quantitativos (A)'!O391*$D391*$E391</f>
        <v>12.14</v>
      </c>
      <c r="R391" s="157">
        <f>'Quantitativos (A)'!P391*$D391*$E391</f>
        <v>12.14</v>
      </c>
      <c r="S391" s="157">
        <f>'Quantitativos (A)'!Q391*$D391*$E391</f>
        <v>12.14</v>
      </c>
      <c r="T391" s="157">
        <f>'Quantitativos (A)'!R391*$D391*$E391</f>
        <v>12.14</v>
      </c>
      <c r="U391" s="157">
        <f>'Quantitativos (A)'!S391*$D391*$E391</f>
        <v>12.14</v>
      </c>
      <c r="V391" s="157">
        <f>'Quantitativos (A)'!T391*$D391*$E391</f>
        <v>12.14</v>
      </c>
      <c r="W391" s="157">
        <f>'Quantitativos (A)'!U391*$D391*$E391</f>
        <v>12.14</v>
      </c>
      <c r="X391" s="157">
        <f>'Quantitativos (A)'!V391*$D391*$E391</f>
        <v>12.14</v>
      </c>
      <c r="Y391" s="157">
        <f>'Quantitativos (A)'!W391*$D391*$E391</f>
        <v>12.14</v>
      </c>
      <c r="Z391" s="157">
        <f>'Quantitativos (A)'!X391*$D391*$E391</f>
        <v>12.14</v>
      </c>
      <c r="AA391" s="157">
        <f>'Quantitativos (A)'!Y391*$D391*$E391</f>
        <v>12.14</v>
      </c>
      <c r="AB391" s="157">
        <f>'Quantitativos (A)'!Z391*$D391*$E391</f>
        <v>12.14</v>
      </c>
      <c r="AC391" s="157">
        <f>'Quantitativos (A)'!AA391*$D391*$E391</f>
        <v>12.14</v>
      </c>
      <c r="AD391" s="157">
        <f>'Quantitativos (A)'!AB391*$D391*$E391</f>
        <v>12.14</v>
      </c>
      <c r="AE391" s="157">
        <f>'Quantitativos (A)'!AC391*$D391*$E391</f>
        <v>12.14</v>
      </c>
      <c r="AF391" s="157">
        <f>'Quantitativos (A)'!AD391*$D391*$E391</f>
        <v>12.14</v>
      </c>
      <c r="AG391" s="157">
        <f>'Quantitativos (A)'!AE391*$D391*$E391</f>
        <v>12.14</v>
      </c>
      <c r="AH391" s="157">
        <f>'Quantitativos (A)'!AF391*$D391*$E391</f>
        <v>12.14</v>
      </c>
      <c r="AI391" s="158">
        <f>'Quantitativos (A)'!AG391*$D391*$E391</f>
        <v>12.14</v>
      </c>
      <c r="AJ391" s="22"/>
    </row>
    <row r="392" spans="1:36" x14ac:dyDescent="0.25">
      <c r="A392" s="112"/>
      <c r="B392" s="136" t="s">
        <v>102</v>
      </c>
      <c r="C392" s="67" t="s">
        <v>59</v>
      </c>
      <c r="D392" s="157">
        <f>'Dados (F)'!$D$269</f>
        <v>7.82</v>
      </c>
      <c r="E392" s="125">
        <f>IF('Dados (F)'!$D$35=1,1,'Dados (F)'!$C$39)</f>
        <v>1</v>
      </c>
      <c r="F392" s="157">
        <f>'Quantitativos (A)'!D392*$D392*$E392</f>
        <v>15.64</v>
      </c>
      <c r="G392" s="157">
        <f>'Quantitativos (A)'!E392*$D392*$E392</f>
        <v>15.64</v>
      </c>
      <c r="H392" s="157">
        <f>'Quantitativos (A)'!F392*$D392*$E392</f>
        <v>15.64</v>
      </c>
      <c r="I392" s="157">
        <f>'Quantitativos (A)'!G392*$D392*$E392</f>
        <v>15.64</v>
      </c>
      <c r="J392" s="157">
        <f>'Quantitativos (A)'!H392*$D392*$E392</f>
        <v>15.64</v>
      </c>
      <c r="K392" s="157">
        <f>'Quantitativos (A)'!I392*$D392*$E392</f>
        <v>15.64</v>
      </c>
      <c r="L392" s="157">
        <f>'Quantitativos (A)'!J392*$D392*$E392</f>
        <v>15.64</v>
      </c>
      <c r="M392" s="157">
        <f>'Quantitativos (A)'!K392*$D392*$E392</f>
        <v>15.64</v>
      </c>
      <c r="N392" s="157">
        <f>'Quantitativos (A)'!L392*$D392*$E392</f>
        <v>15.64</v>
      </c>
      <c r="O392" s="157">
        <f>'Quantitativos (A)'!M392*$D392*$E392</f>
        <v>15.64</v>
      </c>
      <c r="P392" s="157">
        <f>'Quantitativos (A)'!N392*$D392*$E392</f>
        <v>15.64</v>
      </c>
      <c r="Q392" s="157">
        <f>'Quantitativos (A)'!O392*$D392*$E392</f>
        <v>15.64</v>
      </c>
      <c r="R392" s="157">
        <f>'Quantitativos (A)'!P392*$D392*$E392</f>
        <v>15.64</v>
      </c>
      <c r="S392" s="157">
        <f>'Quantitativos (A)'!Q392*$D392*$E392</f>
        <v>15.64</v>
      </c>
      <c r="T392" s="157">
        <f>'Quantitativos (A)'!R392*$D392*$E392</f>
        <v>15.64</v>
      </c>
      <c r="U392" s="157">
        <f>'Quantitativos (A)'!S392*$D392*$E392</f>
        <v>15.64</v>
      </c>
      <c r="V392" s="157">
        <f>'Quantitativos (A)'!T392*$D392*$E392</f>
        <v>15.64</v>
      </c>
      <c r="W392" s="157">
        <f>'Quantitativos (A)'!U392*$D392*$E392</f>
        <v>15.64</v>
      </c>
      <c r="X392" s="157">
        <f>'Quantitativos (A)'!V392*$D392*$E392</f>
        <v>15.64</v>
      </c>
      <c r="Y392" s="157">
        <f>'Quantitativos (A)'!W392*$D392*$E392</f>
        <v>15.64</v>
      </c>
      <c r="Z392" s="157">
        <f>'Quantitativos (A)'!X392*$D392*$E392</f>
        <v>15.64</v>
      </c>
      <c r="AA392" s="157">
        <f>'Quantitativos (A)'!Y392*$D392*$E392</f>
        <v>15.64</v>
      </c>
      <c r="AB392" s="157">
        <f>'Quantitativos (A)'!Z392*$D392*$E392</f>
        <v>15.64</v>
      </c>
      <c r="AC392" s="157">
        <f>'Quantitativos (A)'!AA392*$D392*$E392</f>
        <v>15.64</v>
      </c>
      <c r="AD392" s="157">
        <f>'Quantitativos (A)'!AB392*$D392*$E392</f>
        <v>15.64</v>
      </c>
      <c r="AE392" s="157">
        <f>'Quantitativos (A)'!AC392*$D392*$E392</f>
        <v>15.64</v>
      </c>
      <c r="AF392" s="157">
        <f>'Quantitativos (A)'!AD392*$D392*$E392</f>
        <v>15.64</v>
      </c>
      <c r="AG392" s="157">
        <f>'Quantitativos (A)'!AE392*$D392*$E392</f>
        <v>15.64</v>
      </c>
      <c r="AH392" s="157">
        <f>'Quantitativos (A)'!AF392*$D392*$E392</f>
        <v>15.64</v>
      </c>
      <c r="AI392" s="158">
        <f>'Quantitativos (A)'!AG392*$D392*$E392</f>
        <v>15.64</v>
      </c>
      <c r="AJ392" s="22"/>
    </row>
    <row r="393" spans="1:36" x14ac:dyDescent="0.25">
      <c r="A393" s="112"/>
      <c r="B393" s="136" t="s">
        <v>103</v>
      </c>
      <c r="C393" s="67" t="s">
        <v>59</v>
      </c>
      <c r="D393" s="157">
        <f>'Dados (F)'!$D$270</f>
        <v>11.61</v>
      </c>
      <c r="E393" s="125">
        <f>IF('Dados (F)'!$D$35=1,1,'Dados (F)'!$C$39)</f>
        <v>1</v>
      </c>
      <c r="F393" s="157">
        <f>'Quantitativos (A)'!D393*$D393*$E393</f>
        <v>23.22</v>
      </c>
      <c r="G393" s="157">
        <f>'Quantitativos (A)'!E393*$D393*$E393</f>
        <v>23.22</v>
      </c>
      <c r="H393" s="157">
        <f>'Quantitativos (A)'!F393*$D393*$E393</f>
        <v>23.22</v>
      </c>
      <c r="I393" s="157">
        <f>'Quantitativos (A)'!G393*$D393*$E393</f>
        <v>23.22</v>
      </c>
      <c r="J393" s="157">
        <f>'Quantitativos (A)'!H393*$D393*$E393</f>
        <v>23.22</v>
      </c>
      <c r="K393" s="157">
        <f>'Quantitativos (A)'!I393*$D393*$E393</f>
        <v>23.22</v>
      </c>
      <c r="L393" s="157">
        <f>'Quantitativos (A)'!J393*$D393*$E393</f>
        <v>23.22</v>
      </c>
      <c r="M393" s="157">
        <f>'Quantitativos (A)'!K393*$D393*$E393</f>
        <v>23.22</v>
      </c>
      <c r="N393" s="157">
        <f>'Quantitativos (A)'!L393*$D393*$E393</f>
        <v>23.22</v>
      </c>
      <c r="O393" s="157">
        <f>'Quantitativos (A)'!M393*$D393*$E393</f>
        <v>23.22</v>
      </c>
      <c r="P393" s="157">
        <f>'Quantitativos (A)'!N393*$D393*$E393</f>
        <v>23.22</v>
      </c>
      <c r="Q393" s="157">
        <f>'Quantitativos (A)'!O393*$D393*$E393</f>
        <v>23.22</v>
      </c>
      <c r="R393" s="157">
        <f>'Quantitativos (A)'!P393*$D393*$E393</f>
        <v>23.22</v>
      </c>
      <c r="S393" s="157">
        <f>'Quantitativos (A)'!Q393*$D393*$E393</f>
        <v>23.22</v>
      </c>
      <c r="T393" s="157">
        <f>'Quantitativos (A)'!R393*$D393*$E393</f>
        <v>23.22</v>
      </c>
      <c r="U393" s="157">
        <f>'Quantitativos (A)'!S393*$D393*$E393</f>
        <v>23.22</v>
      </c>
      <c r="V393" s="157">
        <f>'Quantitativos (A)'!T393*$D393*$E393</f>
        <v>23.22</v>
      </c>
      <c r="W393" s="157">
        <f>'Quantitativos (A)'!U393*$D393*$E393</f>
        <v>23.22</v>
      </c>
      <c r="X393" s="157">
        <f>'Quantitativos (A)'!V393*$D393*$E393</f>
        <v>23.22</v>
      </c>
      <c r="Y393" s="157">
        <f>'Quantitativos (A)'!W393*$D393*$E393</f>
        <v>23.22</v>
      </c>
      <c r="Z393" s="157">
        <f>'Quantitativos (A)'!X393*$D393*$E393</f>
        <v>23.22</v>
      </c>
      <c r="AA393" s="157">
        <f>'Quantitativos (A)'!Y393*$D393*$E393</f>
        <v>23.22</v>
      </c>
      <c r="AB393" s="157">
        <f>'Quantitativos (A)'!Z393*$D393*$E393</f>
        <v>23.22</v>
      </c>
      <c r="AC393" s="157">
        <f>'Quantitativos (A)'!AA393*$D393*$E393</f>
        <v>23.22</v>
      </c>
      <c r="AD393" s="157">
        <f>'Quantitativos (A)'!AB393*$D393*$E393</f>
        <v>23.22</v>
      </c>
      <c r="AE393" s="157">
        <f>'Quantitativos (A)'!AC393*$D393*$E393</f>
        <v>23.22</v>
      </c>
      <c r="AF393" s="157">
        <f>'Quantitativos (A)'!AD393*$D393*$E393</f>
        <v>23.22</v>
      </c>
      <c r="AG393" s="157">
        <f>'Quantitativos (A)'!AE393*$D393*$E393</f>
        <v>23.22</v>
      </c>
      <c r="AH393" s="157">
        <f>'Quantitativos (A)'!AF393*$D393*$E393</f>
        <v>23.22</v>
      </c>
      <c r="AI393" s="158">
        <f>'Quantitativos (A)'!AG393*$D393*$E393</f>
        <v>23.22</v>
      </c>
      <c r="AJ393" s="22"/>
    </row>
    <row r="394" spans="1:36" x14ac:dyDescent="0.25">
      <c r="A394" s="112"/>
      <c r="B394" s="136" t="s">
        <v>104</v>
      </c>
      <c r="C394" s="67" t="s">
        <v>59</v>
      </c>
      <c r="D394" s="157">
        <f>'Dados (F)'!$D$271</f>
        <v>12.66</v>
      </c>
      <c r="E394" s="125">
        <f>IF('Dados (F)'!$D$35=1,1,'Dados (F)'!$C$39)</f>
        <v>1</v>
      </c>
      <c r="F394" s="157">
        <f>'Quantitativos (A)'!D394*$D394*$E394</f>
        <v>25.32</v>
      </c>
      <c r="G394" s="157">
        <f>'Quantitativos (A)'!E394*$D394*$E394</f>
        <v>25.32</v>
      </c>
      <c r="H394" s="157">
        <f>'Quantitativos (A)'!F394*$D394*$E394</f>
        <v>25.32</v>
      </c>
      <c r="I394" s="157">
        <f>'Quantitativos (A)'!G394*$D394*$E394</f>
        <v>25.32</v>
      </c>
      <c r="J394" s="157">
        <f>'Quantitativos (A)'!H394*$D394*$E394</f>
        <v>25.32</v>
      </c>
      <c r="K394" s="157">
        <f>'Quantitativos (A)'!I394*$D394*$E394</f>
        <v>25.32</v>
      </c>
      <c r="L394" s="157">
        <f>'Quantitativos (A)'!J394*$D394*$E394</f>
        <v>25.32</v>
      </c>
      <c r="M394" s="157">
        <f>'Quantitativos (A)'!K394*$D394*$E394</f>
        <v>25.32</v>
      </c>
      <c r="N394" s="157">
        <f>'Quantitativos (A)'!L394*$D394*$E394</f>
        <v>25.32</v>
      </c>
      <c r="O394" s="157">
        <f>'Quantitativos (A)'!M394*$D394*$E394</f>
        <v>25.32</v>
      </c>
      <c r="P394" s="157">
        <f>'Quantitativos (A)'!N394*$D394*$E394</f>
        <v>25.32</v>
      </c>
      <c r="Q394" s="157">
        <f>'Quantitativos (A)'!O394*$D394*$E394</f>
        <v>25.32</v>
      </c>
      <c r="R394" s="157">
        <f>'Quantitativos (A)'!P394*$D394*$E394</f>
        <v>25.32</v>
      </c>
      <c r="S394" s="157">
        <f>'Quantitativos (A)'!Q394*$D394*$E394</f>
        <v>25.32</v>
      </c>
      <c r="T394" s="157">
        <f>'Quantitativos (A)'!R394*$D394*$E394</f>
        <v>25.32</v>
      </c>
      <c r="U394" s="157">
        <f>'Quantitativos (A)'!S394*$D394*$E394</f>
        <v>25.32</v>
      </c>
      <c r="V394" s="157">
        <f>'Quantitativos (A)'!T394*$D394*$E394</f>
        <v>25.32</v>
      </c>
      <c r="W394" s="157">
        <f>'Quantitativos (A)'!U394*$D394*$E394</f>
        <v>25.32</v>
      </c>
      <c r="X394" s="157">
        <f>'Quantitativos (A)'!V394*$D394*$E394</f>
        <v>25.32</v>
      </c>
      <c r="Y394" s="157">
        <f>'Quantitativos (A)'!W394*$D394*$E394</f>
        <v>25.32</v>
      </c>
      <c r="Z394" s="157">
        <f>'Quantitativos (A)'!X394*$D394*$E394</f>
        <v>25.32</v>
      </c>
      <c r="AA394" s="157">
        <f>'Quantitativos (A)'!Y394*$D394*$E394</f>
        <v>25.32</v>
      </c>
      <c r="AB394" s="157">
        <f>'Quantitativos (A)'!Z394*$D394*$E394</f>
        <v>25.32</v>
      </c>
      <c r="AC394" s="157">
        <f>'Quantitativos (A)'!AA394*$D394*$E394</f>
        <v>25.32</v>
      </c>
      <c r="AD394" s="157">
        <f>'Quantitativos (A)'!AB394*$D394*$E394</f>
        <v>25.32</v>
      </c>
      <c r="AE394" s="157">
        <f>'Quantitativos (A)'!AC394*$D394*$E394</f>
        <v>25.32</v>
      </c>
      <c r="AF394" s="157">
        <f>'Quantitativos (A)'!AD394*$D394*$E394</f>
        <v>25.32</v>
      </c>
      <c r="AG394" s="157">
        <f>'Quantitativos (A)'!AE394*$D394*$E394</f>
        <v>25.32</v>
      </c>
      <c r="AH394" s="157">
        <f>'Quantitativos (A)'!AF394*$D394*$E394</f>
        <v>25.32</v>
      </c>
      <c r="AI394" s="158">
        <f>'Quantitativos (A)'!AG394*$D394*$E394</f>
        <v>25.32</v>
      </c>
      <c r="AJ394" s="22"/>
    </row>
    <row r="395" spans="1:36" x14ac:dyDescent="0.25">
      <c r="A395" s="112"/>
      <c r="B395" s="136" t="s">
        <v>105</v>
      </c>
      <c r="C395" s="67" t="s">
        <v>59</v>
      </c>
      <c r="D395" s="157">
        <f>'Dados (F)'!$D$272</f>
        <v>38.83</v>
      </c>
      <c r="E395" s="125">
        <f>IF('Dados (F)'!$D$35=1,1,'Dados (F)'!$C$39)</f>
        <v>1</v>
      </c>
      <c r="F395" s="157">
        <f>'Quantitativos (A)'!D395*$D395*$E395</f>
        <v>77.66</v>
      </c>
      <c r="G395" s="157">
        <f>'Quantitativos (A)'!E395*$D395*$E395</f>
        <v>77.66</v>
      </c>
      <c r="H395" s="157">
        <f>'Quantitativos (A)'!F395*$D395*$E395</f>
        <v>77.66</v>
      </c>
      <c r="I395" s="157">
        <f>'Quantitativos (A)'!G395*$D395*$E395</f>
        <v>77.66</v>
      </c>
      <c r="J395" s="157">
        <f>'Quantitativos (A)'!H395*$D395*$E395</f>
        <v>77.66</v>
      </c>
      <c r="K395" s="157">
        <f>'Quantitativos (A)'!I395*$D395*$E395</f>
        <v>77.66</v>
      </c>
      <c r="L395" s="157">
        <f>'Quantitativos (A)'!J395*$D395*$E395</f>
        <v>77.66</v>
      </c>
      <c r="M395" s="157">
        <f>'Quantitativos (A)'!K395*$D395*$E395</f>
        <v>77.66</v>
      </c>
      <c r="N395" s="157">
        <f>'Quantitativos (A)'!L395*$D395*$E395</f>
        <v>77.66</v>
      </c>
      <c r="O395" s="157">
        <f>'Quantitativos (A)'!M395*$D395*$E395</f>
        <v>77.66</v>
      </c>
      <c r="P395" s="157">
        <f>'Quantitativos (A)'!N395*$D395*$E395</f>
        <v>77.66</v>
      </c>
      <c r="Q395" s="157">
        <f>'Quantitativos (A)'!O395*$D395*$E395</f>
        <v>77.66</v>
      </c>
      <c r="R395" s="157">
        <f>'Quantitativos (A)'!P395*$D395*$E395</f>
        <v>77.66</v>
      </c>
      <c r="S395" s="157">
        <f>'Quantitativos (A)'!Q395*$D395*$E395</f>
        <v>77.66</v>
      </c>
      <c r="T395" s="157">
        <f>'Quantitativos (A)'!R395*$D395*$E395</f>
        <v>77.66</v>
      </c>
      <c r="U395" s="157">
        <f>'Quantitativos (A)'!S395*$D395*$E395</f>
        <v>77.66</v>
      </c>
      <c r="V395" s="157">
        <f>'Quantitativos (A)'!T395*$D395*$E395</f>
        <v>77.66</v>
      </c>
      <c r="W395" s="157">
        <f>'Quantitativos (A)'!U395*$D395*$E395</f>
        <v>77.66</v>
      </c>
      <c r="X395" s="157">
        <f>'Quantitativos (A)'!V395*$D395*$E395</f>
        <v>77.66</v>
      </c>
      <c r="Y395" s="157">
        <f>'Quantitativos (A)'!W395*$D395*$E395</f>
        <v>77.66</v>
      </c>
      <c r="Z395" s="157">
        <f>'Quantitativos (A)'!X395*$D395*$E395</f>
        <v>77.66</v>
      </c>
      <c r="AA395" s="157">
        <f>'Quantitativos (A)'!Y395*$D395*$E395</f>
        <v>77.66</v>
      </c>
      <c r="AB395" s="157">
        <f>'Quantitativos (A)'!Z395*$D395*$E395</f>
        <v>77.66</v>
      </c>
      <c r="AC395" s="157">
        <f>'Quantitativos (A)'!AA395*$D395*$E395</f>
        <v>77.66</v>
      </c>
      <c r="AD395" s="157">
        <f>'Quantitativos (A)'!AB395*$D395*$E395</f>
        <v>77.66</v>
      </c>
      <c r="AE395" s="157">
        <f>'Quantitativos (A)'!AC395*$D395*$E395</f>
        <v>77.66</v>
      </c>
      <c r="AF395" s="157">
        <f>'Quantitativos (A)'!AD395*$D395*$E395</f>
        <v>77.66</v>
      </c>
      <c r="AG395" s="157">
        <f>'Quantitativos (A)'!AE395*$D395*$E395</f>
        <v>77.66</v>
      </c>
      <c r="AH395" s="157">
        <f>'Quantitativos (A)'!AF395*$D395*$E395</f>
        <v>77.66</v>
      </c>
      <c r="AI395" s="158">
        <f>'Quantitativos (A)'!AG395*$D395*$E395</f>
        <v>77.66</v>
      </c>
      <c r="AJ395" s="22"/>
    </row>
    <row r="396" spans="1:36" x14ac:dyDescent="0.25">
      <c r="A396" s="112"/>
      <c r="B396" s="136" t="s">
        <v>106</v>
      </c>
      <c r="C396" s="67" t="s">
        <v>59</v>
      </c>
      <c r="D396" s="157">
        <f>'Dados (F)'!$D$273</f>
        <v>14.49</v>
      </c>
      <c r="E396" s="125">
        <f>IF('Dados (F)'!$D$35=1,1,'Dados (F)'!$C$39)</f>
        <v>1</v>
      </c>
      <c r="F396" s="157">
        <f>'Quantitativos (A)'!D396*$D396*$E396</f>
        <v>28.98</v>
      </c>
      <c r="G396" s="157">
        <f>'Quantitativos (A)'!E396*$D396*$E396</f>
        <v>28.98</v>
      </c>
      <c r="H396" s="157">
        <f>'Quantitativos (A)'!F396*$D396*$E396</f>
        <v>28.98</v>
      </c>
      <c r="I396" s="157">
        <f>'Quantitativos (A)'!G396*$D396*$E396</f>
        <v>28.98</v>
      </c>
      <c r="J396" s="157">
        <f>'Quantitativos (A)'!H396*$D396*$E396</f>
        <v>28.98</v>
      </c>
      <c r="K396" s="157">
        <f>'Quantitativos (A)'!I396*$D396*$E396</f>
        <v>28.98</v>
      </c>
      <c r="L396" s="157">
        <f>'Quantitativos (A)'!J396*$D396*$E396</f>
        <v>28.98</v>
      </c>
      <c r="M396" s="157">
        <f>'Quantitativos (A)'!K396*$D396*$E396</f>
        <v>28.98</v>
      </c>
      <c r="N396" s="157">
        <f>'Quantitativos (A)'!L396*$D396*$E396</f>
        <v>28.98</v>
      </c>
      <c r="O396" s="157">
        <f>'Quantitativos (A)'!M396*$D396*$E396</f>
        <v>28.98</v>
      </c>
      <c r="P396" s="157">
        <f>'Quantitativos (A)'!N396*$D396*$E396</f>
        <v>28.98</v>
      </c>
      <c r="Q396" s="157">
        <f>'Quantitativos (A)'!O396*$D396*$E396</f>
        <v>28.98</v>
      </c>
      <c r="R396" s="157">
        <f>'Quantitativos (A)'!P396*$D396*$E396</f>
        <v>28.98</v>
      </c>
      <c r="S396" s="157">
        <f>'Quantitativos (A)'!Q396*$D396*$E396</f>
        <v>28.98</v>
      </c>
      <c r="T396" s="157">
        <f>'Quantitativos (A)'!R396*$D396*$E396</f>
        <v>28.98</v>
      </c>
      <c r="U396" s="157">
        <f>'Quantitativos (A)'!S396*$D396*$E396</f>
        <v>28.98</v>
      </c>
      <c r="V396" s="157">
        <f>'Quantitativos (A)'!T396*$D396*$E396</f>
        <v>28.98</v>
      </c>
      <c r="W396" s="157">
        <f>'Quantitativos (A)'!U396*$D396*$E396</f>
        <v>28.98</v>
      </c>
      <c r="X396" s="157">
        <f>'Quantitativos (A)'!V396*$D396*$E396</f>
        <v>28.98</v>
      </c>
      <c r="Y396" s="157">
        <f>'Quantitativos (A)'!W396*$D396*$E396</f>
        <v>28.98</v>
      </c>
      <c r="Z396" s="157">
        <f>'Quantitativos (A)'!X396*$D396*$E396</f>
        <v>28.98</v>
      </c>
      <c r="AA396" s="157">
        <f>'Quantitativos (A)'!Y396*$D396*$E396</f>
        <v>28.98</v>
      </c>
      <c r="AB396" s="157">
        <f>'Quantitativos (A)'!Z396*$D396*$E396</f>
        <v>28.98</v>
      </c>
      <c r="AC396" s="157">
        <f>'Quantitativos (A)'!AA396*$D396*$E396</f>
        <v>28.98</v>
      </c>
      <c r="AD396" s="157">
        <f>'Quantitativos (A)'!AB396*$D396*$E396</f>
        <v>28.98</v>
      </c>
      <c r="AE396" s="157">
        <f>'Quantitativos (A)'!AC396*$D396*$E396</f>
        <v>28.98</v>
      </c>
      <c r="AF396" s="157">
        <f>'Quantitativos (A)'!AD396*$D396*$E396</f>
        <v>28.98</v>
      </c>
      <c r="AG396" s="157">
        <f>'Quantitativos (A)'!AE396*$D396*$E396</f>
        <v>28.98</v>
      </c>
      <c r="AH396" s="157">
        <f>'Quantitativos (A)'!AF396*$D396*$E396</f>
        <v>28.98</v>
      </c>
      <c r="AI396" s="158">
        <f>'Quantitativos (A)'!AG396*$D396*$E396</f>
        <v>28.98</v>
      </c>
      <c r="AJ396" s="22"/>
    </row>
    <row r="397" spans="1:36" x14ac:dyDescent="0.25">
      <c r="A397" s="112"/>
      <c r="B397" s="136" t="s">
        <v>107</v>
      </c>
      <c r="C397" s="67" t="s">
        <v>59</v>
      </c>
      <c r="D397" s="157">
        <f>'Dados (F)'!$D$274</f>
        <v>19.559999999999999</v>
      </c>
      <c r="E397" s="125">
        <f>IF('Dados (F)'!$D$35=1,1,'Dados (F)'!$C$39)</f>
        <v>1</v>
      </c>
      <c r="F397" s="157">
        <f>'Quantitativos (A)'!D397*$D397*$E397</f>
        <v>39.119999999999997</v>
      </c>
      <c r="G397" s="157">
        <f>'Quantitativos (A)'!E397*$D397*$E397</f>
        <v>39.119999999999997</v>
      </c>
      <c r="H397" s="157">
        <f>'Quantitativos (A)'!F397*$D397*$E397</f>
        <v>39.119999999999997</v>
      </c>
      <c r="I397" s="157">
        <f>'Quantitativos (A)'!G397*$D397*$E397</f>
        <v>39.119999999999997</v>
      </c>
      <c r="J397" s="157">
        <f>'Quantitativos (A)'!H397*$D397*$E397</f>
        <v>39.119999999999997</v>
      </c>
      <c r="K397" s="157">
        <f>'Quantitativos (A)'!I397*$D397*$E397</f>
        <v>39.119999999999997</v>
      </c>
      <c r="L397" s="157">
        <f>'Quantitativos (A)'!J397*$D397*$E397</f>
        <v>39.119999999999997</v>
      </c>
      <c r="M397" s="157">
        <f>'Quantitativos (A)'!K397*$D397*$E397</f>
        <v>39.119999999999997</v>
      </c>
      <c r="N397" s="157">
        <f>'Quantitativos (A)'!L397*$D397*$E397</f>
        <v>39.119999999999997</v>
      </c>
      <c r="O397" s="157">
        <f>'Quantitativos (A)'!M397*$D397*$E397</f>
        <v>39.119999999999997</v>
      </c>
      <c r="P397" s="157">
        <f>'Quantitativos (A)'!N397*$D397*$E397</f>
        <v>39.119999999999997</v>
      </c>
      <c r="Q397" s="157">
        <f>'Quantitativos (A)'!O397*$D397*$E397</f>
        <v>39.119999999999997</v>
      </c>
      <c r="R397" s="157">
        <f>'Quantitativos (A)'!P397*$D397*$E397</f>
        <v>39.119999999999997</v>
      </c>
      <c r="S397" s="157">
        <f>'Quantitativos (A)'!Q397*$D397*$E397</f>
        <v>39.119999999999997</v>
      </c>
      <c r="T397" s="157">
        <f>'Quantitativos (A)'!R397*$D397*$E397</f>
        <v>39.119999999999997</v>
      </c>
      <c r="U397" s="157">
        <f>'Quantitativos (A)'!S397*$D397*$E397</f>
        <v>39.119999999999997</v>
      </c>
      <c r="V397" s="157">
        <f>'Quantitativos (A)'!T397*$D397*$E397</f>
        <v>39.119999999999997</v>
      </c>
      <c r="W397" s="157">
        <f>'Quantitativos (A)'!U397*$D397*$E397</f>
        <v>39.119999999999997</v>
      </c>
      <c r="X397" s="157">
        <f>'Quantitativos (A)'!V397*$D397*$E397</f>
        <v>39.119999999999997</v>
      </c>
      <c r="Y397" s="157">
        <f>'Quantitativos (A)'!W397*$D397*$E397</f>
        <v>39.119999999999997</v>
      </c>
      <c r="Z397" s="157">
        <f>'Quantitativos (A)'!X397*$D397*$E397</f>
        <v>39.119999999999997</v>
      </c>
      <c r="AA397" s="157">
        <f>'Quantitativos (A)'!Y397*$D397*$E397</f>
        <v>39.119999999999997</v>
      </c>
      <c r="AB397" s="157">
        <f>'Quantitativos (A)'!Z397*$D397*$E397</f>
        <v>39.119999999999997</v>
      </c>
      <c r="AC397" s="157">
        <f>'Quantitativos (A)'!AA397*$D397*$E397</f>
        <v>39.119999999999997</v>
      </c>
      <c r="AD397" s="157">
        <f>'Quantitativos (A)'!AB397*$D397*$E397</f>
        <v>39.119999999999997</v>
      </c>
      <c r="AE397" s="157">
        <f>'Quantitativos (A)'!AC397*$D397*$E397</f>
        <v>39.119999999999997</v>
      </c>
      <c r="AF397" s="157">
        <f>'Quantitativos (A)'!AD397*$D397*$E397</f>
        <v>39.119999999999997</v>
      </c>
      <c r="AG397" s="157">
        <f>'Quantitativos (A)'!AE397*$D397*$E397</f>
        <v>39.119999999999997</v>
      </c>
      <c r="AH397" s="157">
        <f>'Quantitativos (A)'!AF397*$D397*$E397</f>
        <v>39.119999999999997</v>
      </c>
      <c r="AI397" s="158">
        <f>'Quantitativos (A)'!AG397*$D397*$E397</f>
        <v>39.119999999999997</v>
      </c>
      <c r="AJ397" s="22"/>
    </row>
    <row r="398" spans="1:36" x14ac:dyDescent="0.25">
      <c r="A398" s="112"/>
      <c r="B398" s="136" t="s">
        <v>108</v>
      </c>
      <c r="C398" s="67" t="s">
        <v>59</v>
      </c>
      <c r="D398" s="157">
        <f>'Dados (F)'!$D$275</f>
        <v>22.7</v>
      </c>
      <c r="E398" s="125">
        <f>IF('Dados (F)'!$D$35=1,1,'Dados (F)'!$C$39)</f>
        <v>1</v>
      </c>
      <c r="F398" s="157">
        <f>'Quantitativos (A)'!D398*$D398*$E398</f>
        <v>45.4</v>
      </c>
      <c r="G398" s="157">
        <f>'Quantitativos (A)'!E398*$D398*$E398</f>
        <v>45.4</v>
      </c>
      <c r="H398" s="157">
        <f>'Quantitativos (A)'!F398*$D398*$E398</f>
        <v>45.4</v>
      </c>
      <c r="I398" s="157">
        <f>'Quantitativos (A)'!G398*$D398*$E398</f>
        <v>45.4</v>
      </c>
      <c r="J398" s="157">
        <f>'Quantitativos (A)'!H398*$D398*$E398</f>
        <v>45.4</v>
      </c>
      <c r="K398" s="157">
        <f>'Quantitativos (A)'!I398*$D398*$E398</f>
        <v>45.4</v>
      </c>
      <c r="L398" s="157">
        <f>'Quantitativos (A)'!J398*$D398*$E398</f>
        <v>45.4</v>
      </c>
      <c r="M398" s="157">
        <f>'Quantitativos (A)'!K398*$D398*$E398</f>
        <v>45.4</v>
      </c>
      <c r="N398" s="157">
        <f>'Quantitativos (A)'!L398*$D398*$E398</f>
        <v>45.4</v>
      </c>
      <c r="O398" s="157">
        <f>'Quantitativos (A)'!M398*$D398*$E398</f>
        <v>45.4</v>
      </c>
      <c r="P398" s="157">
        <f>'Quantitativos (A)'!N398*$D398*$E398</f>
        <v>45.4</v>
      </c>
      <c r="Q398" s="157">
        <f>'Quantitativos (A)'!O398*$D398*$E398</f>
        <v>45.4</v>
      </c>
      <c r="R398" s="157">
        <f>'Quantitativos (A)'!P398*$D398*$E398</f>
        <v>45.4</v>
      </c>
      <c r="S398" s="157">
        <f>'Quantitativos (A)'!Q398*$D398*$E398</f>
        <v>45.4</v>
      </c>
      <c r="T398" s="157">
        <f>'Quantitativos (A)'!R398*$D398*$E398</f>
        <v>45.4</v>
      </c>
      <c r="U398" s="157">
        <f>'Quantitativos (A)'!S398*$D398*$E398</f>
        <v>45.4</v>
      </c>
      <c r="V398" s="157">
        <f>'Quantitativos (A)'!T398*$D398*$E398</f>
        <v>45.4</v>
      </c>
      <c r="W398" s="157">
        <f>'Quantitativos (A)'!U398*$D398*$E398</f>
        <v>45.4</v>
      </c>
      <c r="X398" s="157">
        <f>'Quantitativos (A)'!V398*$D398*$E398</f>
        <v>45.4</v>
      </c>
      <c r="Y398" s="157">
        <f>'Quantitativos (A)'!W398*$D398*$E398</f>
        <v>45.4</v>
      </c>
      <c r="Z398" s="157">
        <f>'Quantitativos (A)'!X398*$D398*$E398</f>
        <v>45.4</v>
      </c>
      <c r="AA398" s="157">
        <f>'Quantitativos (A)'!Y398*$D398*$E398</f>
        <v>45.4</v>
      </c>
      <c r="AB398" s="157">
        <f>'Quantitativos (A)'!Z398*$D398*$E398</f>
        <v>45.4</v>
      </c>
      <c r="AC398" s="157">
        <f>'Quantitativos (A)'!AA398*$D398*$E398</f>
        <v>45.4</v>
      </c>
      <c r="AD398" s="157">
        <f>'Quantitativos (A)'!AB398*$D398*$E398</f>
        <v>45.4</v>
      </c>
      <c r="AE398" s="157">
        <f>'Quantitativos (A)'!AC398*$D398*$E398</f>
        <v>45.4</v>
      </c>
      <c r="AF398" s="157">
        <f>'Quantitativos (A)'!AD398*$D398*$E398</f>
        <v>45.4</v>
      </c>
      <c r="AG398" s="157">
        <f>'Quantitativos (A)'!AE398*$D398*$E398</f>
        <v>45.4</v>
      </c>
      <c r="AH398" s="157">
        <f>'Quantitativos (A)'!AF398*$D398*$E398</f>
        <v>45.4</v>
      </c>
      <c r="AI398" s="158">
        <f>'Quantitativos (A)'!AG398*$D398*$E398</f>
        <v>45.4</v>
      </c>
      <c r="AJ398" s="22"/>
    </row>
    <row r="399" spans="1:36" x14ac:dyDescent="0.25">
      <c r="A399" s="112"/>
      <c r="B399" s="136" t="s">
        <v>109</v>
      </c>
      <c r="C399" s="67" t="s">
        <v>59</v>
      </c>
      <c r="D399" s="157">
        <f>'Dados (F)'!$D$276</f>
        <v>31.46</v>
      </c>
      <c r="E399" s="125">
        <f>IF('Dados (F)'!$D$35=1,1,'Dados (F)'!$C$39)</f>
        <v>1</v>
      </c>
      <c r="F399" s="157">
        <f>'Quantitativos (A)'!D399*$D399*$E399</f>
        <v>62.92</v>
      </c>
      <c r="G399" s="157">
        <f>'Quantitativos (A)'!E399*$D399*$E399</f>
        <v>62.92</v>
      </c>
      <c r="H399" s="157">
        <f>'Quantitativos (A)'!F399*$D399*$E399</f>
        <v>62.92</v>
      </c>
      <c r="I399" s="157">
        <f>'Quantitativos (A)'!G399*$D399*$E399</f>
        <v>62.92</v>
      </c>
      <c r="J399" s="157">
        <f>'Quantitativos (A)'!H399*$D399*$E399</f>
        <v>62.92</v>
      </c>
      <c r="K399" s="157">
        <f>'Quantitativos (A)'!I399*$D399*$E399</f>
        <v>62.92</v>
      </c>
      <c r="L399" s="157">
        <f>'Quantitativos (A)'!J399*$D399*$E399</f>
        <v>62.92</v>
      </c>
      <c r="M399" s="157">
        <f>'Quantitativos (A)'!K399*$D399*$E399</f>
        <v>62.92</v>
      </c>
      <c r="N399" s="157">
        <f>'Quantitativos (A)'!L399*$D399*$E399</f>
        <v>62.92</v>
      </c>
      <c r="O399" s="157">
        <f>'Quantitativos (A)'!M399*$D399*$E399</f>
        <v>62.92</v>
      </c>
      <c r="P399" s="157">
        <f>'Quantitativos (A)'!N399*$D399*$E399</f>
        <v>62.92</v>
      </c>
      <c r="Q399" s="157">
        <f>'Quantitativos (A)'!O399*$D399*$E399</f>
        <v>62.92</v>
      </c>
      <c r="R399" s="157">
        <f>'Quantitativos (A)'!P399*$D399*$E399</f>
        <v>62.92</v>
      </c>
      <c r="S399" s="157">
        <f>'Quantitativos (A)'!Q399*$D399*$E399</f>
        <v>62.92</v>
      </c>
      <c r="T399" s="157">
        <f>'Quantitativos (A)'!R399*$D399*$E399</f>
        <v>62.92</v>
      </c>
      <c r="U399" s="157">
        <f>'Quantitativos (A)'!S399*$D399*$E399</f>
        <v>62.92</v>
      </c>
      <c r="V399" s="157">
        <f>'Quantitativos (A)'!T399*$D399*$E399</f>
        <v>62.92</v>
      </c>
      <c r="W399" s="157">
        <f>'Quantitativos (A)'!U399*$D399*$E399</f>
        <v>62.92</v>
      </c>
      <c r="X399" s="157">
        <f>'Quantitativos (A)'!V399*$D399*$E399</f>
        <v>62.92</v>
      </c>
      <c r="Y399" s="157">
        <f>'Quantitativos (A)'!W399*$D399*$E399</f>
        <v>62.92</v>
      </c>
      <c r="Z399" s="157">
        <f>'Quantitativos (A)'!X399*$D399*$E399</f>
        <v>62.92</v>
      </c>
      <c r="AA399" s="157">
        <f>'Quantitativos (A)'!Y399*$D399*$E399</f>
        <v>62.92</v>
      </c>
      <c r="AB399" s="157">
        <f>'Quantitativos (A)'!Z399*$D399*$E399</f>
        <v>62.92</v>
      </c>
      <c r="AC399" s="157">
        <f>'Quantitativos (A)'!AA399*$D399*$E399</f>
        <v>62.92</v>
      </c>
      <c r="AD399" s="157">
        <f>'Quantitativos (A)'!AB399*$D399*$E399</f>
        <v>62.92</v>
      </c>
      <c r="AE399" s="157">
        <f>'Quantitativos (A)'!AC399*$D399*$E399</f>
        <v>62.92</v>
      </c>
      <c r="AF399" s="157">
        <f>'Quantitativos (A)'!AD399*$D399*$E399</f>
        <v>62.92</v>
      </c>
      <c r="AG399" s="157">
        <f>'Quantitativos (A)'!AE399*$D399*$E399</f>
        <v>62.92</v>
      </c>
      <c r="AH399" s="157">
        <f>'Quantitativos (A)'!AF399*$D399*$E399</f>
        <v>62.92</v>
      </c>
      <c r="AI399" s="158">
        <f>'Quantitativos (A)'!AG399*$D399*$E399</f>
        <v>62.92</v>
      </c>
      <c r="AJ399" s="22"/>
    </row>
    <row r="400" spans="1:36" x14ac:dyDescent="0.25">
      <c r="A400" s="112"/>
      <c r="B400" s="136" t="s">
        <v>449</v>
      </c>
      <c r="C400" s="67" t="s">
        <v>59</v>
      </c>
      <c r="D400" s="157">
        <f>'Dados (F)'!$D$277</f>
        <v>43.19</v>
      </c>
      <c r="E400" s="125">
        <f>IF('Dados (F)'!$D$35=1,1,'Dados (F)'!$C$39)</f>
        <v>1</v>
      </c>
      <c r="F400" s="157">
        <f>'Quantitativos (A)'!D400*$D400*$E400</f>
        <v>86.38</v>
      </c>
      <c r="G400" s="157">
        <f>'Quantitativos (A)'!E400*$D400*$E400</f>
        <v>86.38</v>
      </c>
      <c r="H400" s="157">
        <f>'Quantitativos (A)'!F400*$D400*$E400</f>
        <v>86.38</v>
      </c>
      <c r="I400" s="157">
        <f>'Quantitativos (A)'!G400*$D400*$E400</f>
        <v>86.38</v>
      </c>
      <c r="J400" s="157">
        <f>'Quantitativos (A)'!H400*$D400*$E400</f>
        <v>86.38</v>
      </c>
      <c r="K400" s="157">
        <f>'Quantitativos (A)'!I400*$D400*$E400</f>
        <v>86.38</v>
      </c>
      <c r="L400" s="157">
        <f>'Quantitativos (A)'!J400*$D400*$E400</f>
        <v>86.38</v>
      </c>
      <c r="M400" s="157">
        <f>'Quantitativos (A)'!K400*$D400*$E400</f>
        <v>86.38</v>
      </c>
      <c r="N400" s="157">
        <f>'Quantitativos (A)'!L400*$D400*$E400</f>
        <v>86.38</v>
      </c>
      <c r="O400" s="157">
        <f>'Quantitativos (A)'!M400*$D400*$E400</f>
        <v>86.38</v>
      </c>
      <c r="P400" s="157">
        <f>'Quantitativos (A)'!N400*$D400*$E400</f>
        <v>86.38</v>
      </c>
      <c r="Q400" s="157">
        <f>'Quantitativos (A)'!O400*$D400*$E400</f>
        <v>86.38</v>
      </c>
      <c r="R400" s="157">
        <f>'Quantitativos (A)'!P400*$D400*$E400</f>
        <v>86.38</v>
      </c>
      <c r="S400" s="157">
        <f>'Quantitativos (A)'!Q400*$D400*$E400</f>
        <v>86.38</v>
      </c>
      <c r="T400" s="157">
        <f>'Quantitativos (A)'!R400*$D400*$E400</f>
        <v>86.38</v>
      </c>
      <c r="U400" s="157">
        <f>'Quantitativos (A)'!S400*$D400*$E400</f>
        <v>86.38</v>
      </c>
      <c r="V400" s="157">
        <f>'Quantitativos (A)'!T400*$D400*$E400</f>
        <v>86.38</v>
      </c>
      <c r="W400" s="157">
        <f>'Quantitativos (A)'!U400*$D400*$E400</f>
        <v>86.38</v>
      </c>
      <c r="X400" s="157">
        <f>'Quantitativos (A)'!V400*$D400*$E400</f>
        <v>86.38</v>
      </c>
      <c r="Y400" s="157">
        <f>'Quantitativos (A)'!W400*$D400*$E400</f>
        <v>86.38</v>
      </c>
      <c r="Z400" s="157">
        <f>'Quantitativos (A)'!X400*$D400*$E400</f>
        <v>86.38</v>
      </c>
      <c r="AA400" s="157">
        <f>'Quantitativos (A)'!Y400*$D400*$E400</f>
        <v>86.38</v>
      </c>
      <c r="AB400" s="157">
        <f>'Quantitativos (A)'!Z400*$D400*$E400</f>
        <v>86.38</v>
      </c>
      <c r="AC400" s="157">
        <f>'Quantitativos (A)'!AA400*$D400*$E400</f>
        <v>86.38</v>
      </c>
      <c r="AD400" s="157">
        <f>'Quantitativos (A)'!AB400*$D400*$E400</f>
        <v>86.38</v>
      </c>
      <c r="AE400" s="157">
        <f>'Quantitativos (A)'!AC400*$D400*$E400</f>
        <v>86.38</v>
      </c>
      <c r="AF400" s="157">
        <f>'Quantitativos (A)'!AD400*$D400*$E400</f>
        <v>86.38</v>
      </c>
      <c r="AG400" s="157">
        <f>'Quantitativos (A)'!AE400*$D400*$E400</f>
        <v>86.38</v>
      </c>
      <c r="AH400" s="157">
        <f>'Quantitativos (A)'!AF400*$D400*$E400</f>
        <v>86.38</v>
      </c>
      <c r="AI400" s="158">
        <f>'Quantitativos (A)'!AG400*$D400*$E400</f>
        <v>86.38</v>
      </c>
      <c r="AJ400" s="22"/>
    </row>
    <row r="401" spans="1:36" x14ac:dyDescent="0.25">
      <c r="A401" s="112"/>
      <c r="B401" s="136" t="s">
        <v>110</v>
      </c>
      <c r="C401" s="67" t="s">
        <v>59</v>
      </c>
      <c r="D401" s="157">
        <f>'Dados (F)'!$D$278</f>
        <v>60.79</v>
      </c>
      <c r="E401" s="125">
        <f>IF('Dados (F)'!$D$35=1,1,'Dados (F)'!$C$39)</f>
        <v>1</v>
      </c>
      <c r="F401" s="157">
        <f>'Quantitativos (A)'!D401*$D401*$E401</f>
        <v>121.58</v>
      </c>
      <c r="G401" s="157">
        <f>'Quantitativos (A)'!E401*$D401*$E401</f>
        <v>121.58</v>
      </c>
      <c r="H401" s="157">
        <f>'Quantitativos (A)'!F401*$D401*$E401</f>
        <v>121.58</v>
      </c>
      <c r="I401" s="157">
        <f>'Quantitativos (A)'!G401*$D401*$E401</f>
        <v>121.58</v>
      </c>
      <c r="J401" s="157">
        <f>'Quantitativos (A)'!H401*$D401*$E401</f>
        <v>121.58</v>
      </c>
      <c r="K401" s="157">
        <f>'Quantitativos (A)'!I401*$D401*$E401</f>
        <v>121.58</v>
      </c>
      <c r="L401" s="157">
        <f>'Quantitativos (A)'!J401*$D401*$E401</f>
        <v>121.58</v>
      </c>
      <c r="M401" s="157">
        <f>'Quantitativos (A)'!K401*$D401*$E401</f>
        <v>121.58</v>
      </c>
      <c r="N401" s="157">
        <f>'Quantitativos (A)'!L401*$D401*$E401</f>
        <v>121.58</v>
      </c>
      <c r="O401" s="157">
        <f>'Quantitativos (A)'!M401*$D401*$E401</f>
        <v>121.58</v>
      </c>
      <c r="P401" s="157">
        <f>'Quantitativos (A)'!N401*$D401*$E401</f>
        <v>121.58</v>
      </c>
      <c r="Q401" s="157">
        <f>'Quantitativos (A)'!O401*$D401*$E401</f>
        <v>121.58</v>
      </c>
      <c r="R401" s="157">
        <f>'Quantitativos (A)'!P401*$D401*$E401</f>
        <v>121.58</v>
      </c>
      <c r="S401" s="157">
        <f>'Quantitativos (A)'!Q401*$D401*$E401</f>
        <v>121.58</v>
      </c>
      <c r="T401" s="157">
        <f>'Quantitativos (A)'!R401*$D401*$E401</f>
        <v>121.58</v>
      </c>
      <c r="U401" s="157">
        <f>'Quantitativos (A)'!S401*$D401*$E401</f>
        <v>121.58</v>
      </c>
      <c r="V401" s="157">
        <f>'Quantitativos (A)'!T401*$D401*$E401</f>
        <v>121.58</v>
      </c>
      <c r="W401" s="157">
        <f>'Quantitativos (A)'!U401*$D401*$E401</f>
        <v>121.58</v>
      </c>
      <c r="X401" s="157">
        <f>'Quantitativos (A)'!V401*$D401*$E401</f>
        <v>121.58</v>
      </c>
      <c r="Y401" s="157">
        <f>'Quantitativos (A)'!W401*$D401*$E401</f>
        <v>121.58</v>
      </c>
      <c r="Z401" s="157">
        <f>'Quantitativos (A)'!X401*$D401*$E401</f>
        <v>121.58</v>
      </c>
      <c r="AA401" s="157">
        <f>'Quantitativos (A)'!Y401*$D401*$E401</f>
        <v>121.58</v>
      </c>
      <c r="AB401" s="157">
        <f>'Quantitativos (A)'!Z401*$D401*$E401</f>
        <v>121.58</v>
      </c>
      <c r="AC401" s="157">
        <f>'Quantitativos (A)'!AA401*$D401*$E401</f>
        <v>121.58</v>
      </c>
      <c r="AD401" s="157">
        <f>'Quantitativos (A)'!AB401*$D401*$E401</f>
        <v>121.58</v>
      </c>
      <c r="AE401" s="157">
        <f>'Quantitativos (A)'!AC401*$D401*$E401</f>
        <v>121.58</v>
      </c>
      <c r="AF401" s="157">
        <f>'Quantitativos (A)'!AD401*$D401*$E401</f>
        <v>121.58</v>
      </c>
      <c r="AG401" s="157">
        <f>'Quantitativos (A)'!AE401*$D401*$E401</f>
        <v>121.58</v>
      </c>
      <c r="AH401" s="157">
        <f>'Quantitativos (A)'!AF401*$D401*$E401</f>
        <v>121.58</v>
      </c>
      <c r="AI401" s="158">
        <f>'Quantitativos (A)'!AG401*$D401*$E401</f>
        <v>121.58</v>
      </c>
      <c r="AJ401" s="22"/>
    </row>
    <row r="402" spans="1:36" x14ac:dyDescent="0.25">
      <c r="A402" s="112"/>
      <c r="B402" s="136" t="s">
        <v>450</v>
      </c>
      <c r="C402" s="67" t="s">
        <v>59</v>
      </c>
      <c r="D402" s="157">
        <f>'Dados (F)'!$D$279</f>
        <v>88.04</v>
      </c>
      <c r="E402" s="125">
        <f>IF('Dados (F)'!$D$35=1,1,'Dados (F)'!$C$39)</f>
        <v>1</v>
      </c>
      <c r="F402" s="157">
        <f>'Quantitativos (A)'!D402*$D402*$E402</f>
        <v>176.08</v>
      </c>
      <c r="G402" s="157">
        <f>'Quantitativos (A)'!E402*$D402*$E402</f>
        <v>176.08</v>
      </c>
      <c r="H402" s="157">
        <f>'Quantitativos (A)'!F402*$D402*$E402</f>
        <v>176.08</v>
      </c>
      <c r="I402" s="157">
        <f>'Quantitativos (A)'!G402*$D402*$E402</f>
        <v>176.08</v>
      </c>
      <c r="J402" s="157">
        <f>'Quantitativos (A)'!H402*$D402*$E402</f>
        <v>176.08</v>
      </c>
      <c r="K402" s="157">
        <f>'Quantitativos (A)'!I402*$D402*$E402</f>
        <v>176.08</v>
      </c>
      <c r="L402" s="157">
        <f>'Quantitativos (A)'!J402*$D402*$E402</f>
        <v>176.08</v>
      </c>
      <c r="M402" s="157">
        <f>'Quantitativos (A)'!K402*$D402*$E402</f>
        <v>176.08</v>
      </c>
      <c r="N402" s="157">
        <f>'Quantitativos (A)'!L402*$D402*$E402</f>
        <v>176.08</v>
      </c>
      <c r="O402" s="157">
        <f>'Quantitativos (A)'!M402*$D402*$E402</f>
        <v>176.08</v>
      </c>
      <c r="P402" s="157">
        <f>'Quantitativos (A)'!N402*$D402*$E402</f>
        <v>176.08</v>
      </c>
      <c r="Q402" s="157">
        <f>'Quantitativos (A)'!O402*$D402*$E402</f>
        <v>176.08</v>
      </c>
      <c r="R402" s="157">
        <f>'Quantitativos (A)'!P402*$D402*$E402</f>
        <v>176.08</v>
      </c>
      <c r="S402" s="157">
        <f>'Quantitativos (A)'!Q402*$D402*$E402</f>
        <v>176.08</v>
      </c>
      <c r="T402" s="157">
        <f>'Quantitativos (A)'!R402*$D402*$E402</f>
        <v>176.08</v>
      </c>
      <c r="U402" s="157">
        <f>'Quantitativos (A)'!S402*$D402*$E402</f>
        <v>176.08</v>
      </c>
      <c r="V402" s="157">
        <f>'Quantitativos (A)'!T402*$D402*$E402</f>
        <v>176.08</v>
      </c>
      <c r="W402" s="157">
        <f>'Quantitativos (A)'!U402*$D402*$E402</f>
        <v>176.08</v>
      </c>
      <c r="X402" s="157">
        <f>'Quantitativos (A)'!V402*$D402*$E402</f>
        <v>176.08</v>
      </c>
      <c r="Y402" s="157">
        <f>'Quantitativos (A)'!W402*$D402*$E402</f>
        <v>176.08</v>
      </c>
      <c r="Z402" s="157">
        <f>'Quantitativos (A)'!X402*$D402*$E402</f>
        <v>176.08</v>
      </c>
      <c r="AA402" s="157">
        <f>'Quantitativos (A)'!Y402*$D402*$E402</f>
        <v>176.08</v>
      </c>
      <c r="AB402" s="157">
        <f>'Quantitativos (A)'!Z402*$D402*$E402</f>
        <v>176.08</v>
      </c>
      <c r="AC402" s="157">
        <f>'Quantitativos (A)'!AA402*$D402*$E402</f>
        <v>176.08</v>
      </c>
      <c r="AD402" s="157">
        <f>'Quantitativos (A)'!AB402*$D402*$E402</f>
        <v>176.08</v>
      </c>
      <c r="AE402" s="157">
        <f>'Quantitativos (A)'!AC402*$D402*$E402</f>
        <v>176.08</v>
      </c>
      <c r="AF402" s="157">
        <f>'Quantitativos (A)'!AD402*$D402*$E402</f>
        <v>176.08</v>
      </c>
      <c r="AG402" s="157">
        <f>'Quantitativos (A)'!AE402*$D402*$E402</f>
        <v>176.08</v>
      </c>
      <c r="AH402" s="157">
        <f>'Quantitativos (A)'!AF402*$D402*$E402</f>
        <v>176.08</v>
      </c>
      <c r="AI402" s="158">
        <f>'Quantitativos (A)'!AG402*$D402*$E402</f>
        <v>176.08</v>
      </c>
      <c r="AJ402" s="22"/>
    </row>
    <row r="403" spans="1:36" x14ac:dyDescent="0.25">
      <c r="A403" s="112"/>
      <c r="B403" s="136" t="s">
        <v>111</v>
      </c>
      <c r="C403" s="67" t="s">
        <v>59</v>
      </c>
      <c r="D403" s="157">
        <f>'Dados (F)'!$D$280</f>
        <v>30.43</v>
      </c>
      <c r="E403" s="125">
        <f>IF('Dados (F)'!$D$35=1,1,'Dados (F)'!$C$39)</f>
        <v>1</v>
      </c>
      <c r="F403" s="157">
        <f>'Quantitativos (A)'!D403*$D403*$E403</f>
        <v>30.43</v>
      </c>
      <c r="G403" s="157">
        <f>'Quantitativos (A)'!E403*$D403*$E403</f>
        <v>30.43</v>
      </c>
      <c r="H403" s="157">
        <f>'Quantitativos (A)'!F403*$D403*$E403</f>
        <v>30.43</v>
      </c>
      <c r="I403" s="157">
        <f>'Quantitativos (A)'!G403*$D403*$E403</f>
        <v>30.43</v>
      </c>
      <c r="J403" s="157">
        <f>'Quantitativos (A)'!H403*$D403*$E403</f>
        <v>30.43</v>
      </c>
      <c r="K403" s="157">
        <f>'Quantitativos (A)'!I403*$D403*$E403</f>
        <v>30.43</v>
      </c>
      <c r="L403" s="157">
        <f>'Quantitativos (A)'!J403*$D403*$E403</f>
        <v>30.43</v>
      </c>
      <c r="M403" s="157">
        <f>'Quantitativos (A)'!K403*$D403*$E403</f>
        <v>30.43</v>
      </c>
      <c r="N403" s="157">
        <f>'Quantitativos (A)'!L403*$D403*$E403</f>
        <v>30.43</v>
      </c>
      <c r="O403" s="157">
        <f>'Quantitativos (A)'!M403*$D403*$E403</f>
        <v>30.43</v>
      </c>
      <c r="P403" s="157">
        <f>'Quantitativos (A)'!N403*$D403*$E403</f>
        <v>30.43</v>
      </c>
      <c r="Q403" s="157">
        <f>'Quantitativos (A)'!O403*$D403*$E403</f>
        <v>30.43</v>
      </c>
      <c r="R403" s="157">
        <f>'Quantitativos (A)'!P403*$D403*$E403</f>
        <v>30.43</v>
      </c>
      <c r="S403" s="157">
        <f>'Quantitativos (A)'!Q403*$D403*$E403</f>
        <v>30.43</v>
      </c>
      <c r="T403" s="157">
        <f>'Quantitativos (A)'!R403*$D403*$E403</f>
        <v>30.43</v>
      </c>
      <c r="U403" s="157">
        <f>'Quantitativos (A)'!S403*$D403*$E403</f>
        <v>30.43</v>
      </c>
      <c r="V403" s="157">
        <f>'Quantitativos (A)'!T403*$D403*$E403</f>
        <v>30.43</v>
      </c>
      <c r="W403" s="157">
        <f>'Quantitativos (A)'!U403*$D403*$E403</f>
        <v>30.43</v>
      </c>
      <c r="X403" s="157">
        <f>'Quantitativos (A)'!V403*$D403*$E403</f>
        <v>30.43</v>
      </c>
      <c r="Y403" s="157">
        <f>'Quantitativos (A)'!W403*$D403*$E403</f>
        <v>30.43</v>
      </c>
      <c r="Z403" s="157">
        <f>'Quantitativos (A)'!X403*$D403*$E403</f>
        <v>30.43</v>
      </c>
      <c r="AA403" s="157">
        <f>'Quantitativos (A)'!Y403*$D403*$E403</f>
        <v>30.43</v>
      </c>
      <c r="AB403" s="157">
        <f>'Quantitativos (A)'!Z403*$D403*$E403</f>
        <v>30.43</v>
      </c>
      <c r="AC403" s="157">
        <f>'Quantitativos (A)'!AA403*$D403*$E403</f>
        <v>30.43</v>
      </c>
      <c r="AD403" s="157">
        <f>'Quantitativos (A)'!AB403*$D403*$E403</f>
        <v>30.43</v>
      </c>
      <c r="AE403" s="157">
        <f>'Quantitativos (A)'!AC403*$D403*$E403</f>
        <v>30.43</v>
      </c>
      <c r="AF403" s="157">
        <f>'Quantitativos (A)'!AD403*$D403*$E403</f>
        <v>30.43</v>
      </c>
      <c r="AG403" s="157">
        <f>'Quantitativos (A)'!AE403*$D403*$E403</f>
        <v>30.43</v>
      </c>
      <c r="AH403" s="157">
        <f>'Quantitativos (A)'!AF403*$D403*$E403</f>
        <v>30.43</v>
      </c>
      <c r="AI403" s="158">
        <f>'Quantitativos (A)'!AG403*$D403*$E403</f>
        <v>30.43</v>
      </c>
      <c r="AJ403" s="22"/>
    </row>
    <row r="404" spans="1:36" x14ac:dyDescent="0.25">
      <c r="A404" s="112"/>
      <c r="B404" s="136" t="s">
        <v>112</v>
      </c>
      <c r="C404" s="67" t="s">
        <v>59</v>
      </c>
      <c r="D404" s="157">
        <f>'Dados (F)'!$D$281</f>
        <v>34.49</v>
      </c>
      <c r="E404" s="125">
        <f>IF('Dados (F)'!$D$35=1,1,'Dados (F)'!$C$39)</f>
        <v>1</v>
      </c>
      <c r="F404" s="157">
        <f>'Quantitativos (A)'!D404*$D404*$E404</f>
        <v>34.49</v>
      </c>
      <c r="G404" s="157">
        <f>'Quantitativos (A)'!E404*$D404*$E404</f>
        <v>34.49</v>
      </c>
      <c r="H404" s="157">
        <f>'Quantitativos (A)'!F404*$D404*$E404</f>
        <v>34.49</v>
      </c>
      <c r="I404" s="157">
        <f>'Quantitativos (A)'!G404*$D404*$E404</f>
        <v>34.49</v>
      </c>
      <c r="J404" s="157">
        <f>'Quantitativos (A)'!H404*$D404*$E404</f>
        <v>34.49</v>
      </c>
      <c r="K404" s="157">
        <f>'Quantitativos (A)'!I404*$D404*$E404</f>
        <v>34.49</v>
      </c>
      <c r="L404" s="157">
        <f>'Quantitativos (A)'!J404*$D404*$E404</f>
        <v>34.49</v>
      </c>
      <c r="M404" s="157">
        <f>'Quantitativos (A)'!K404*$D404*$E404</f>
        <v>34.49</v>
      </c>
      <c r="N404" s="157">
        <f>'Quantitativos (A)'!L404*$D404*$E404</f>
        <v>34.49</v>
      </c>
      <c r="O404" s="157">
        <f>'Quantitativos (A)'!M404*$D404*$E404</f>
        <v>34.49</v>
      </c>
      <c r="P404" s="157">
        <f>'Quantitativos (A)'!N404*$D404*$E404</f>
        <v>34.49</v>
      </c>
      <c r="Q404" s="157">
        <f>'Quantitativos (A)'!O404*$D404*$E404</f>
        <v>34.49</v>
      </c>
      <c r="R404" s="157">
        <f>'Quantitativos (A)'!P404*$D404*$E404</f>
        <v>34.49</v>
      </c>
      <c r="S404" s="157">
        <f>'Quantitativos (A)'!Q404*$D404*$E404</f>
        <v>34.49</v>
      </c>
      <c r="T404" s="157">
        <f>'Quantitativos (A)'!R404*$D404*$E404</f>
        <v>34.49</v>
      </c>
      <c r="U404" s="157">
        <f>'Quantitativos (A)'!S404*$D404*$E404</f>
        <v>34.49</v>
      </c>
      <c r="V404" s="157">
        <f>'Quantitativos (A)'!T404*$D404*$E404</f>
        <v>34.49</v>
      </c>
      <c r="W404" s="157">
        <f>'Quantitativos (A)'!U404*$D404*$E404</f>
        <v>34.49</v>
      </c>
      <c r="X404" s="157">
        <f>'Quantitativos (A)'!V404*$D404*$E404</f>
        <v>34.49</v>
      </c>
      <c r="Y404" s="157">
        <f>'Quantitativos (A)'!W404*$D404*$E404</f>
        <v>34.49</v>
      </c>
      <c r="Z404" s="157">
        <f>'Quantitativos (A)'!X404*$D404*$E404</f>
        <v>34.49</v>
      </c>
      <c r="AA404" s="157">
        <f>'Quantitativos (A)'!Y404*$D404*$E404</f>
        <v>34.49</v>
      </c>
      <c r="AB404" s="157">
        <f>'Quantitativos (A)'!Z404*$D404*$E404</f>
        <v>34.49</v>
      </c>
      <c r="AC404" s="157">
        <f>'Quantitativos (A)'!AA404*$D404*$E404</f>
        <v>34.49</v>
      </c>
      <c r="AD404" s="157">
        <f>'Quantitativos (A)'!AB404*$D404*$E404</f>
        <v>34.49</v>
      </c>
      <c r="AE404" s="157">
        <f>'Quantitativos (A)'!AC404*$D404*$E404</f>
        <v>34.49</v>
      </c>
      <c r="AF404" s="157">
        <f>'Quantitativos (A)'!AD404*$D404*$E404</f>
        <v>34.49</v>
      </c>
      <c r="AG404" s="157">
        <f>'Quantitativos (A)'!AE404*$D404*$E404</f>
        <v>34.49</v>
      </c>
      <c r="AH404" s="157">
        <f>'Quantitativos (A)'!AF404*$D404*$E404</f>
        <v>34.49</v>
      </c>
      <c r="AI404" s="158">
        <f>'Quantitativos (A)'!AG404*$D404*$E404</f>
        <v>34.49</v>
      </c>
      <c r="AJ404" s="22"/>
    </row>
    <row r="405" spans="1:36" x14ac:dyDescent="0.25">
      <c r="A405" s="112"/>
      <c r="B405" s="136" t="s">
        <v>113</v>
      </c>
      <c r="C405" s="67" t="s">
        <v>59</v>
      </c>
      <c r="D405" s="157">
        <f>'Dados (F)'!$D$282</f>
        <v>38.56</v>
      </c>
      <c r="E405" s="125">
        <f>IF('Dados (F)'!$D$35=1,1,'Dados (F)'!$C$39)</f>
        <v>1</v>
      </c>
      <c r="F405" s="157">
        <f>'Quantitativos (A)'!D405*$D405*$E405</f>
        <v>38.56</v>
      </c>
      <c r="G405" s="157">
        <f>'Quantitativos (A)'!E405*$D405*$E405</f>
        <v>38.56</v>
      </c>
      <c r="H405" s="157">
        <f>'Quantitativos (A)'!F405*$D405*$E405</f>
        <v>38.56</v>
      </c>
      <c r="I405" s="157">
        <f>'Quantitativos (A)'!G405*$D405*$E405</f>
        <v>38.56</v>
      </c>
      <c r="J405" s="157">
        <f>'Quantitativos (A)'!H405*$D405*$E405</f>
        <v>38.56</v>
      </c>
      <c r="K405" s="157">
        <f>'Quantitativos (A)'!I405*$D405*$E405</f>
        <v>38.56</v>
      </c>
      <c r="L405" s="157">
        <f>'Quantitativos (A)'!J405*$D405*$E405</f>
        <v>38.56</v>
      </c>
      <c r="M405" s="157">
        <f>'Quantitativos (A)'!K405*$D405*$E405</f>
        <v>38.56</v>
      </c>
      <c r="N405" s="157">
        <f>'Quantitativos (A)'!L405*$D405*$E405</f>
        <v>38.56</v>
      </c>
      <c r="O405" s="157">
        <f>'Quantitativos (A)'!M405*$D405*$E405</f>
        <v>38.56</v>
      </c>
      <c r="P405" s="157">
        <f>'Quantitativos (A)'!N405*$D405*$E405</f>
        <v>38.56</v>
      </c>
      <c r="Q405" s="157">
        <f>'Quantitativos (A)'!O405*$D405*$E405</f>
        <v>38.56</v>
      </c>
      <c r="R405" s="157">
        <f>'Quantitativos (A)'!P405*$D405*$E405</f>
        <v>38.56</v>
      </c>
      <c r="S405" s="157">
        <f>'Quantitativos (A)'!Q405*$D405*$E405</f>
        <v>38.56</v>
      </c>
      <c r="T405" s="157">
        <f>'Quantitativos (A)'!R405*$D405*$E405</f>
        <v>38.56</v>
      </c>
      <c r="U405" s="157">
        <f>'Quantitativos (A)'!S405*$D405*$E405</f>
        <v>38.56</v>
      </c>
      <c r="V405" s="157">
        <f>'Quantitativos (A)'!T405*$D405*$E405</f>
        <v>38.56</v>
      </c>
      <c r="W405" s="157">
        <f>'Quantitativos (A)'!U405*$D405*$E405</f>
        <v>38.56</v>
      </c>
      <c r="X405" s="157">
        <f>'Quantitativos (A)'!V405*$D405*$E405</f>
        <v>38.56</v>
      </c>
      <c r="Y405" s="157">
        <f>'Quantitativos (A)'!W405*$D405*$E405</f>
        <v>38.56</v>
      </c>
      <c r="Z405" s="157">
        <f>'Quantitativos (A)'!X405*$D405*$E405</f>
        <v>38.56</v>
      </c>
      <c r="AA405" s="157">
        <f>'Quantitativos (A)'!Y405*$D405*$E405</f>
        <v>38.56</v>
      </c>
      <c r="AB405" s="157">
        <f>'Quantitativos (A)'!Z405*$D405*$E405</f>
        <v>38.56</v>
      </c>
      <c r="AC405" s="157">
        <f>'Quantitativos (A)'!AA405*$D405*$E405</f>
        <v>38.56</v>
      </c>
      <c r="AD405" s="157">
        <f>'Quantitativos (A)'!AB405*$D405*$E405</f>
        <v>38.56</v>
      </c>
      <c r="AE405" s="157">
        <f>'Quantitativos (A)'!AC405*$D405*$E405</f>
        <v>38.56</v>
      </c>
      <c r="AF405" s="157">
        <f>'Quantitativos (A)'!AD405*$D405*$E405</f>
        <v>38.56</v>
      </c>
      <c r="AG405" s="157">
        <f>'Quantitativos (A)'!AE405*$D405*$E405</f>
        <v>38.56</v>
      </c>
      <c r="AH405" s="157">
        <f>'Quantitativos (A)'!AF405*$D405*$E405</f>
        <v>38.56</v>
      </c>
      <c r="AI405" s="158">
        <f>'Quantitativos (A)'!AG405*$D405*$E405</f>
        <v>38.56</v>
      </c>
      <c r="AJ405" s="22"/>
    </row>
    <row r="406" spans="1:36" x14ac:dyDescent="0.25">
      <c r="A406" s="112"/>
      <c r="B406" s="136" t="s">
        <v>114</v>
      </c>
      <c r="C406" s="67" t="s">
        <v>59</v>
      </c>
      <c r="D406" s="157">
        <f>'Dados (F)'!$D$283</f>
        <v>62.9</v>
      </c>
      <c r="E406" s="125">
        <f>IF('Dados (F)'!$D$35=1,1,'Dados (F)'!$C$39)</f>
        <v>1</v>
      </c>
      <c r="F406" s="157">
        <f>'Quantitativos (A)'!D406*$D406*$E406</f>
        <v>62.9</v>
      </c>
      <c r="G406" s="157">
        <f>'Quantitativos (A)'!E406*$D406*$E406</f>
        <v>62.9</v>
      </c>
      <c r="H406" s="157">
        <f>'Quantitativos (A)'!F406*$D406*$E406</f>
        <v>62.9</v>
      </c>
      <c r="I406" s="157">
        <f>'Quantitativos (A)'!G406*$D406*$E406</f>
        <v>62.9</v>
      </c>
      <c r="J406" s="157">
        <f>'Quantitativos (A)'!H406*$D406*$E406</f>
        <v>62.9</v>
      </c>
      <c r="K406" s="157">
        <f>'Quantitativos (A)'!I406*$D406*$E406</f>
        <v>62.9</v>
      </c>
      <c r="L406" s="157">
        <f>'Quantitativos (A)'!J406*$D406*$E406</f>
        <v>62.9</v>
      </c>
      <c r="M406" s="157">
        <f>'Quantitativos (A)'!K406*$D406*$E406</f>
        <v>62.9</v>
      </c>
      <c r="N406" s="157">
        <f>'Quantitativos (A)'!L406*$D406*$E406</f>
        <v>62.9</v>
      </c>
      <c r="O406" s="157">
        <f>'Quantitativos (A)'!M406*$D406*$E406</f>
        <v>62.9</v>
      </c>
      <c r="P406" s="157">
        <f>'Quantitativos (A)'!N406*$D406*$E406</f>
        <v>62.9</v>
      </c>
      <c r="Q406" s="157">
        <f>'Quantitativos (A)'!O406*$D406*$E406</f>
        <v>62.9</v>
      </c>
      <c r="R406" s="157">
        <f>'Quantitativos (A)'!P406*$D406*$E406</f>
        <v>62.9</v>
      </c>
      <c r="S406" s="157">
        <f>'Quantitativos (A)'!Q406*$D406*$E406</f>
        <v>62.9</v>
      </c>
      <c r="T406" s="157">
        <f>'Quantitativos (A)'!R406*$D406*$E406</f>
        <v>62.9</v>
      </c>
      <c r="U406" s="157">
        <f>'Quantitativos (A)'!S406*$D406*$E406</f>
        <v>62.9</v>
      </c>
      <c r="V406" s="157">
        <f>'Quantitativos (A)'!T406*$D406*$E406</f>
        <v>62.9</v>
      </c>
      <c r="W406" s="157">
        <f>'Quantitativos (A)'!U406*$D406*$E406</f>
        <v>62.9</v>
      </c>
      <c r="X406" s="157">
        <f>'Quantitativos (A)'!V406*$D406*$E406</f>
        <v>62.9</v>
      </c>
      <c r="Y406" s="157">
        <f>'Quantitativos (A)'!W406*$D406*$E406</f>
        <v>62.9</v>
      </c>
      <c r="Z406" s="157">
        <f>'Quantitativos (A)'!X406*$D406*$E406</f>
        <v>62.9</v>
      </c>
      <c r="AA406" s="157">
        <f>'Quantitativos (A)'!Y406*$D406*$E406</f>
        <v>62.9</v>
      </c>
      <c r="AB406" s="157">
        <f>'Quantitativos (A)'!Z406*$D406*$E406</f>
        <v>62.9</v>
      </c>
      <c r="AC406" s="157">
        <f>'Quantitativos (A)'!AA406*$D406*$E406</f>
        <v>62.9</v>
      </c>
      <c r="AD406" s="157">
        <f>'Quantitativos (A)'!AB406*$D406*$E406</f>
        <v>62.9</v>
      </c>
      <c r="AE406" s="157">
        <f>'Quantitativos (A)'!AC406*$D406*$E406</f>
        <v>62.9</v>
      </c>
      <c r="AF406" s="157">
        <f>'Quantitativos (A)'!AD406*$D406*$E406</f>
        <v>62.9</v>
      </c>
      <c r="AG406" s="157">
        <f>'Quantitativos (A)'!AE406*$D406*$E406</f>
        <v>62.9</v>
      </c>
      <c r="AH406" s="157">
        <f>'Quantitativos (A)'!AF406*$D406*$E406</f>
        <v>62.9</v>
      </c>
      <c r="AI406" s="158">
        <f>'Quantitativos (A)'!AG406*$D406*$E406</f>
        <v>62.9</v>
      </c>
      <c r="AJ406" s="22"/>
    </row>
    <row r="407" spans="1:36" x14ac:dyDescent="0.25">
      <c r="A407" s="112"/>
      <c r="B407" s="136" t="s">
        <v>115</v>
      </c>
      <c r="C407" s="67" t="s">
        <v>59</v>
      </c>
      <c r="D407" s="157">
        <f>'Dados (F)'!$D$284</f>
        <v>71.010000000000005</v>
      </c>
      <c r="E407" s="125">
        <f>IF('Dados (F)'!$D$35=1,1,'Dados (F)'!$C$39)</f>
        <v>1</v>
      </c>
      <c r="F407" s="157">
        <f>'Quantitativos (A)'!D407*$D407*$E407</f>
        <v>71.010000000000005</v>
      </c>
      <c r="G407" s="157">
        <f>'Quantitativos (A)'!E407*$D407*$E407</f>
        <v>71.010000000000005</v>
      </c>
      <c r="H407" s="157">
        <f>'Quantitativos (A)'!F407*$D407*$E407</f>
        <v>71.010000000000005</v>
      </c>
      <c r="I407" s="157">
        <f>'Quantitativos (A)'!G407*$D407*$E407</f>
        <v>71.010000000000005</v>
      </c>
      <c r="J407" s="157">
        <f>'Quantitativos (A)'!H407*$D407*$E407</f>
        <v>71.010000000000005</v>
      </c>
      <c r="K407" s="157">
        <f>'Quantitativos (A)'!I407*$D407*$E407</f>
        <v>71.010000000000005</v>
      </c>
      <c r="L407" s="157">
        <f>'Quantitativos (A)'!J407*$D407*$E407</f>
        <v>71.010000000000005</v>
      </c>
      <c r="M407" s="157">
        <f>'Quantitativos (A)'!K407*$D407*$E407</f>
        <v>71.010000000000005</v>
      </c>
      <c r="N407" s="157">
        <f>'Quantitativos (A)'!L407*$D407*$E407</f>
        <v>71.010000000000005</v>
      </c>
      <c r="O407" s="157">
        <f>'Quantitativos (A)'!M407*$D407*$E407</f>
        <v>71.010000000000005</v>
      </c>
      <c r="P407" s="157">
        <f>'Quantitativos (A)'!N407*$D407*$E407</f>
        <v>71.010000000000005</v>
      </c>
      <c r="Q407" s="157">
        <f>'Quantitativos (A)'!O407*$D407*$E407</f>
        <v>71.010000000000005</v>
      </c>
      <c r="R407" s="157">
        <f>'Quantitativos (A)'!P407*$D407*$E407</f>
        <v>71.010000000000005</v>
      </c>
      <c r="S407" s="157">
        <f>'Quantitativos (A)'!Q407*$D407*$E407</f>
        <v>71.010000000000005</v>
      </c>
      <c r="T407" s="157">
        <f>'Quantitativos (A)'!R407*$D407*$E407</f>
        <v>71.010000000000005</v>
      </c>
      <c r="U407" s="157">
        <f>'Quantitativos (A)'!S407*$D407*$E407</f>
        <v>71.010000000000005</v>
      </c>
      <c r="V407" s="157">
        <f>'Quantitativos (A)'!T407*$D407*$E407</f>
        <v>71.010000000000005</v>
      </c>
      <c r="W407" s="157">
        <f>'Quantitativos (A)'!U407*$D407*$E407</f>
        <v>71.010000000000005</v>
      </c>
      <c r="X407" s="157">
        <f>'Quantitativos (A)'!V407*$D407*$E407</f>
        <v>71.010000000000005</v>
      </c>
      <c r="Y407" s="157">
        <f>'Quantitativos (A)'!W407*$D407*$E407</f>
        <v>71.010000000000005</v>
      </c>
      <c r="Z407" s="157">
        <f>'Quantitativos (A)'!X407*$D407*$E407</f>
        <v>71.010000000000005</v>
      </c>
      <c r="AA407" s="157">
        <f>'Quantitativos (A)'!Y407*$D407*$E407</f>
        <v>71.010000000000005</v>
      </c>
      <c r="AB407" s="157">
        <f>'Quantitativos (A)'!Z407*$D407*$E407</f>
        <v>71.010000000000005</v>
      </c>
      <c r="AC407" s="157">
        <f>'Quantitativos (A)'!AA407*$D407*$E407</f>
        <v>71.010000000000005</v>
      </c>
      <c r="AD407" s="157">
        <f>'Quantitativos (A)'!AB407*$D407*$E407</f>
        <v>71.010000000000005</v>
      </c>
      <c r="AE407" s="157">
        <f>'Quantitativos (A)'!AC407*$D407*$E407</f>
        <v>71.010000000000005</v>
      </c>
      <c r="AF407" s="157">
        <f>'Quantitativos (A)'!AD407*$D407*$E407</f>
        <v>71.010000000000005</v>
      </c>
      <c r="AG407" s="157">
        <f>'Quantitativos (A)'!AE407*$D407*$E407</f>
        <v>71.010000000000005</v>
      </c>
      <c r="AH407" s="157">
        <f>'Quantitativos (A)'!AF407*$D407*$E407</f>
        <v>71.010000000000005</v>
      </c>
      <c r="AI407" s="158">
        <f>'Quantitativos (A)'!AG407*$D407*$E407</f>
        <v>71.010000000000005</v>
      </c>
      <c r="AJ407" s="22"/>
    </row>
    <row r="408" spans="1:36" x14ac:dyDescent="0.25">
      <c r="A408" s="112"/>
      <c r="B408" s="136" t="s">
        <v>116</v>
      </c>
      <c r="C408" s="67" t="s">
        <v>59</v>
      </c>
      <c r="D408" s="157">
        <f>'Dados (F)'!$D$285</f>
        <v>97.39</v>
      </c>
      <c r="E408" s="125">
        <f>IF('Dados (F)'!$D$35=1,1,'Dados (F)'!$C$39)</f>
        <v>1</v>
      </c>
      <c r="F408" s="157">
        <f>'Quantitativos (A)'!D408*$D408*$E408</f>
        <v>97.39</v>
      </c>
      <c r="G408" s="157">
        <f>'Quantitativos (A)'!E408*$D408*$E408</f>
        <v>97.39</v>
      </c>
      <c r="H408" s="157">
        <f>'Quantitativos (A)'!F408*$D408*$E408</f>
        <v>97.39</v>
      </c>
      <c r="I408" s="157">
        <f>'Quantitativos (A)'!G408*$D408*$E408</f>
        <v>97.39</v>
      </c>
      <c r="J408" s="157">
        <f>'Quantitativos (A)'!H408*$D408*$E408</f>
        <v>97.39</v>
      </c>
      <c r="K408" s="157">
        <f>'Quantitativos (A)'!I408*$D408*$E408</f>
        <v>97.39</v>
      </c>
      <c r="L408" s="157">
        <f>'Quantitativos (A)'!J408*$D408*$E408</f>
        <v>97.39</v>
      </c>
      <c r="M408" s="157">
        <f>'Quantitativos (A)'!K408*$D408*$E408</f>
        <v>97.39</v>
      </c>
      <c r="N408" s="157">
        <f>'Quantitativos (A)'!L408*$D408*$E408</f>
        <v>97.39</v>
      </c>
      <c r="O408" s="157">
        <f>'Quantitativos (A)'!M408*$D408*$E408</f>
        <v>97.39</v>
      </c>
      <c r="P408" s="157">
        <f>'Quantitativos (A)'!N408*$D408*$E408</f>
        <v>97.39</v>
      </c>
      <c r="Q408" s="157">
        <f>'Quantitativos (A)'!O408*$D408*$E408</f>
        <v>97.39</v>
      </c>
      <c r="R408" s="157">
        <f>'Quantitativos (A)'!P408*$D408*$E408</f>
        <v>97.39</v>
      </c>
      <c r="S408" s="157">
        <f>'Quantitativos (A)'!Q408*$D408*$E408</f>
        <v>97.39</v>
      </c>
      <c r="T408" s="157">
        <f>'Quantitativos (A)'!R408*$D408*$E408</f>
        <v>97.39</v>
      </c>
      <c r="U408" s="157">
        <f>'Quantitativos (A)'!S408*$D408*$E408</f>
        <v>97.39</v>
      </c>
      <c r="V408" s="157">
        <f>'Quantitativos (A)'!T408*$D408*$E408</f>
        <v>97.39</v>
      </c>
      <c r="W408" s="157">
        <f>'Quantitativos (A)'!U408*$D408*$E408</f>
        <v>97.39</v>
      </c>
      <c r="X408" s="157">
        <f>'Quantitativos (A)'!V408*$D408*$E408</f>
        <v>97.39</v>
      </c>
      <c r="Y408" s="157">
        <f>'Quantitativos (A)'!W408*$D408*$E408</f>
        <v>97.39</v>
      </c>
      <c r="Z408" s="157">
        <f>'Quantitativos (A)'!X408*$D408*$E408</f>
        <v>97.39</v>
      </c>
      <c r="AA408" s="157">
        <f>'Quantitativos (A)'!Y408*$D408*$E408</f>
        <v>97.39</v>
      </c>
      <c r="AB408" s="157">
        <f>'Quantitativos (A)'!Z408*$D408*$E408</f>
        <v>97.39</v>
      </c>
      <c r="AC408" s="157">
        <f>'Quantitativos (A)'!AA408*$D408*$E408</f>
        <v>97.39</v>
      </c>
      <c r="AD408" s="157">
        <f>'Quantitativos (A)'!AB408*$D408*$E408</f>
        <v>97.39</v>
      </c>
      <c r="AE408" s="157">
        <f>'Quantitativos (A)'!AC408*$D408*$E408</f>
        <v>97.39</v>
      </c>
      <c r="AF408" s="157">
        <f>'Quantitativos (A)'!AD408*$D408*$E408</f>
        <v>97.39</v>
      </c>
      <c r="AG408" s="157">
        <f>'Quantitativos (A)'!AE408*$D408*$E408</f>
        <v>97.39</v>
      </c>
      <c r="AH408" s="157">
        <f>'Quantitativos (A)'!AF408*$D408*$E408</f>
        <v>97.39</v>
      </c>
      <c r="AI408" s="158">
        <f>'Quantitativos (A)'!AG408*$D408*$E408</f>
        <v>97.39</v>
      </c>
      <c r="AJ408" s="22"/>
    </row>
    <row r="409" spans="1:36" x14ac:dyDescent="0.25">
      <c r="A409" s="112"/>
      <c r="B409" s="136" t="s">
        <v>117</v>
      </c>
      <c r="C409" s="67" t="s">
        <v>59</v>
      </c>
      <c r="D409" s="157">
        <f>'Dados (F)'!$D$286</f>
        <v>24.35</v>
      </c>
      <c r="E409" s="125">
        <f>IF('Dados (F)'!$D$35=1,1,'Dados (F)'!$C$39)</f>
        <v>1</v>
      </c>
      <c r="F409" s="157">
        <f>'Quantitativos (A)'!D409*$D409*$E409</f>
        <v>24.35</v>
      </c>
      <c r="G409" s="157">
        <f>'Quantitativos (A)'!E409*$D409*$E409</f>
        <v>24.35</v>
      </c>
      <c r="H409" s="157">
        <f>'Quantitativos (A)'!F409*$D409*$E409</f>
        <v>24.35</v>
      </c>
      <c r="I409" s="157">
        <f>'Quantitativos (A)'!G409*$D409*$E409</f>
        <v>24.35</v>
      </c>
      <c r="J409" s="157">
        <f>'Quantitativos (A)'!H409*$D409*$E409</f>
        <v>24.35</v>
      </c>
      <c r="K409" s="157">
        <f>'Quantitativos (A)'!I409*$D409*$E409</f>
        <v>24.35</v>
      </c>
      <c r="L409" s="157">
        <f>'Quantitativos (A)'!J409*$D409*$E409</f>
        <v>24.35</v>
      </c>
      <c r="M409" s="157">
        <f>'Quantitativos (A)'!K409*$D409*$E409</f>
        <v>24.35</v>
      </c>
      <c r="N409" s="157">
        <f>'Quantitativos (A)'!L409*$D409*$E409</f>
        <v>24.35</v>
      </c>
      <c r="O409" s="157">
        <f>'Quantitativos (A)'!M409*$D409*$E409</f>
        <v>24.35</v>
      </c>
      <c r="P409" s="157">
        <f>'Quantitativos (A)'!N409*$D409*$E409</f>
        <v>24.35</v>
      </c>
      <c r="Q409" s="157">
        <f>'Quantitativos (A)'!O409*$D409*$E409</f>
        <v>24.35</v>
      </c>
      <c r="R409" s="157">
        <f>'Quantitativos (A)'!P409*$D409*$E409</f>
        <v>24.35</v>
      </c>
      <c r="S409" s="157">
        <f>'Quantitativos (A)'!Q409*$D409*$E409</f>
        <v>24.35</v>
      </c>
      <c r="T409" s="157">
        <f>'Quantitativos (A)'!R409*$D409*$E409</f>
        <v>24.35</v>
      </c>
      <c r="U409" s="157">
        <f>'Quantitativos (A)'!S409*$D409*$E409</f>
        <v>24.35</v>
      </c>
      <c r="V409" s="157">
        <f>'Quantitativos (A)'!T409*$D409*$E409</f>
        <v>24.35</v>
      </c>
      <c r="W409" s="157">
        <f>'Quantitativos (A)'!U409*$D409*$E409</f>
        <v>24.35</v>
      </c>
      <c r="X409" s="157">
        <f>'Quantitativos (A)'!V409*$D409*$E409</f>
        <v>24.35</v>
      </c>
      <c r="Y409" s="157">
        <f>'Quantitativos (A)'!W409*$D409*$E409</f>
        <v>24.35</v>
      </c>
      <c r="Z409" s="157">
        <f>'Quantitativos (A)'!X409*$D409*$E409</f>
        <v>24.35</v>
      </c>
      <c r="AA409" s="157">
        <f>'Quantitativos (A)'!Y409*$D409*$E409</f>
        <v>24.35</v>
      </c>
      <c r="AB409" s="157">
        <f>'Quantitativos (A)'!Z409*$D409*$E409</f>
        <v>24.35</v>
      </c>
      <c r="AC409" s="157">
        <f>'Quantitativos (A)'!AA409*$D409*$E409</f>
        <v>24.35</v>
      </c>
      <c r="AD409" s="157">
        <f>'Quantitativos (A)'!AB409*$D409*$E409</f>
        <v>24.35</v>
      </c>
      <c r="AE409" s="157">
        <f>'Quantitativos (A)'!AC409*$D409*$E409</f>
        <v>24.35</v>
      </c>
      <c r="AF409" s="157">
        <f>'Quantitativos (A)'!AD409*$D409*$E409</f>
        <v>24.35</v>
      </c>
      <c r="AG409" s="157">
        <f>'Quantitativos (A)'!AE409*$D409*$E409</f>
        <v>24.35</v>
      </c>
      <c r="AH409" s="157">
        <f>'Quantitativos (A)'!AF409*$D409*$E409</f>
        <v>24.35</v>
      </c>
      <c r="AI409" s="158">
        <f>'Quantitativos (A)'!AG409*$D409*$E409</f>
        <v>24.35</v>
      </c>
      <c r="AJ409" s="22"/>
    </row>
    <row r="410" spans="1:36" x14ac:dyDescent="0.25">
      <c r="A410" s="112"/>
      <c r="B410" s="136" t="s">
        <v>118</v>
      </c>
      <c r="C410" s="67" t="s">
        <v>59</v>
      </c>
      <c r="D410" s="157">
        <f>'Dados (F)'!$D$287</f>
        <v>26.71</v>
      </c>
      <c r="E410" s="125">
        <f>IF('Dados (F)'!$D$35=1,1,'Dados (F)'!$C$39)</f>
        <v>1</v>
      </c>
      <c r="F410" s="157">
        <f>'Quantitativos (A)'!D410*$D410*$E410</f>
        <v>26.71</v>
      </c>
      <c r="G410" s="157">
        <f>'Quantitativos (A)'!E410*$D410*$E410</f>
        <v>26.71</v>
      </c>
      <c r="H410" s="157">
        <f>'Quantitativos (A)'!F410*$D410*$E410</f>
        <v>26.71</v>
      </c>
      <c r="I410" s="157">
        <f>'Quantitativos (A)'!G410*$D410*$E410</f>
        <v>26.71</v>
      </c>
      <c r="J410" s="157">
        <f>'Quantitativos (A)'!H410*$D410*$E410</f>
        <v>26.71</v>
      </c>
      <c r="K410" s="157">
        <f>'Quantitativos (A)'!I410*$D410*$E410</f>
        <v>26.71</v>
      </c>
      <c r="L410" s="157">
        <f>'Quantitativos (A)'!J410*$D410*$E410</f>
        <v>26.71</v>
      </c>
      <c r="M410" s="157">
        <f>'Quantitativos (A)'!K410*$D410*$E410</f>
        <v>26.71</v>
      </c>
      <c r="N410" s="157">
        <f>'Quantitativos (A)'!L410*$D410*$E410</f>
        <v>26.71</v>
      </c>
      <c r="O410" s="157">
        <f>'Quantitativos (A)'!M410*$D410*$E410</f>
        <v>26.71</v>
      </c>
      <c r="P410" s="157">
        <f>'Quantitativos (A)'!N410*$D410*$E410</f>
        <v>26.71</v>
      </c>
      <c r="Q410" s="157">
        <f>'Quantitativos (A)'!O410*$D410*$E410</f>
        <v>26.71</v>
      </c>
      <c r="R410" s="157">
        <f>'Quantitativos (A)'!P410*$D410*$E410</f>
        <v>26.71</v>
      </c>
      <c r="S410" s="157">
        <f>'Quantitativos (A)'!Q410*$D410*$E410</f>
        <v>26.71</v>
      </c>
      <c r="T410" s="157">
        <f>'Quantitativos (A)'!R410*$D410*$E410</f>
        <v>26.71</v>
      </c>
      <c r="U410" s="157">
        <f>'Quantitativos (A)'!S410*$D410*$E410</f>
        <v>26.71</v>
      </c>
      <c r="V410" s="157">
        <f>'Quantitativos (A)'!T410*$D410*$E410</f>
        <v>26.71</v>
      </c>
      <c r="W410" s="157">
        <f>'Quantitativos (A)'!U410*$D410*$E410</f>
        <v>26.71</v>
      </c>
      <c r="X410" s="157">
        <f>'Quantitativos (A)'!V410*$D410*$E410</f>
        <v>26.71</v>
      </c>
      <c r="Y410" s="157">
        <f>'Quantitativos (A)'!W410*$D410*$E410</f>
        <v>26.71</v>
      </c>
      <c r="Z410" s="157">
        <f>'Quantitativos (A)'!X410*$D410*$E410</f>
        <v>26.71</v>
      </c>
      <c r="AA410" s="157">
        <f>'Quantitativos (A)'!Y410*$D410*$E410</f>
        <v>26.71</v>
      </c>
      <c r="AB410" s="157">
        <f>'Quantitativos (A)'!Z410*$D410*$E410</f>
        <v>26.71</v>
      </c>
      <c r="AC410" s="157">
        <f>'Quantitativos (A)'!AA410*$D410*$E410</f>
        <v>26.71</v>
      </c>
      <c r="AD410" s="157">
        <f>'Quantitativos (A)'!AB410*$D410*$E410</f>
        <v>26.71</v>
      </c>
      <c r="AE410" s="157">
        <f>'Quantitativos (A)'!AC410*$D410*$E410</f>
        <v>26.71</v>
      </c>
      <c r="AF410" s="157">
        <f>'Quantitativos (A)'!AD410*$D410*$E410</f>
        <v>26.71</v>
      </c>
      <c r="AG410" s="157">
        <f>'Quantitativos (A)'!AE410*$D410*$E410</f>
        <v>26.71</v>
      </c>
      <c r="AH410" s="157">
        <f>'Quantitativos (A)'!AF410*$D410*$E410</f>
        <v>26.71</v>
      </c>
      <c r="AI410" s="158">
        <f>'Quantitativos (A)'!AG410*$D410*$E410</f>
        <v>26.71</v>
      </c>
      <c r="AJ410" s="22"/>
    </row>
    <row r="411" spans="1:36" x14ac:dyDescent="0.25">
      <c r="A411" s="112"/>
      <c r="B411" s="136" t="s">
        <v>119</v>
      </c>
      <c r="C411" s="67" t="s">
        <v>59</v>
      </c>
      <c r="D411" s="157">
        <f>'Dados (F)'!$D$288</f>
        <v>27.72</v>
      </c>
      <c r="E411" s="125">
        <f>IF('Dados (F)'!$D$35=1,1,'Dados (F)'!$C$39)</f>
        <v>1</v>
      </c>
      <c r="F411" s="157">
        <f>'Quantitativos (A)'!D411*$D411*$E411</f>
        <v>27.72</v>
      </c>
      <c r="G411" s="157">
        <f>'Quantitativos (A)'!E411*$D411*$E411</f>
        <v>27.72</v>
      </c>
      <c r="H411" s="157">
        <f>'Quantitativos (A)'!F411*$D411*$E411</f>
        <v>27.72</v>
      </c>
      <c r="I411" s="157">
        <f>'Quantitativos (A)'!G411*$D411*$E411</f>
        <v>27.72</v>
      </c>
      <c r="J411" s="157">
        <f>'Quantitativos (A)'!H411*$D411*$E411</f>
        <v>27.72</v>
      </c>
      <c r="K411" s="157">
        <f>'Quantitativos (A)'!I411*$D411*$E411</f>
        <v>27.72</v>
      </c>
      <c r="L411" s="157">
        <f>'Quantitativos (A)'!J411*$D411*$E411</f>
        <v>27.72</v>
      </c>
      <c r="M411" s="157">
        <f>'Quantitativos (A)'!K411*$D411*$E411</f>
        <v>27.72</v>
      </c>
      <c r="N411" s="157">
        <f>'Quantitativos (A)'!L411*$D411*$E411</f>
        <v>27.72</v>
      </c>
      <c r="O411" s="157">
        <f>'Quantitativos (A)'!M411*$D411*$E411</f>
        <v>27.72</v>
      </c>
      <c r="P411" s="157">
        <f>'Quantitativos (A)'!N411*$D411*$E411</f>
        <v>27.72</v>
      </c>
      <c r="Q411" s="157">
        <f>'Quantitativos (A)'!O411*$D411*$E411</f>
        <v>27.72</v>
      </c>
      <c r="R411" s="157">
        <f>'Quantitativos (A)'!P411*$D411*$E411</f>
        <v>27.72</v>
      </c>
      <c r="S411" s="157">
        <f>'Quantitativos (A)'!Q411*$D411*$E411</f>
        <v>27.72</v>
      </c>
      <c r="T411" s="157">
        <f>'Quantitativos (A)'!R411*$D411*$E411</f>
        <v>27.72</v>
      </c>
      <c r="U411" s="157">
        <f>'Quantitativos (A)'!S411*$D411*$E411</f>
        <v>27.72</v>
      </c>
      <c r="V411" s="157">
        <f>'Quantitativos (A)'!T411*$D411*$E411</f>
        <v>27.72</v>
      </c>
      <c r="W411" s="157">
        <f>'Quantitativos (A)'!U411*$D411*$E411</f>
        <v>27.72</v>
      </c>
      <c r="X411" s="157">
        <f>'Quantitativos (A)'!V411*$D411*$E411</f>
        <v>27.72</v>
      </c>
      <c r="Y411" s="157">
        <f>'Quantitativos (A)'!W411*$D411*$E411</f>
        <v>27.72</v>
      </c>
      <c r="Z411" s="157">
        <f>'Quantitativos (A)'!X411*$D411*$E411</f>
        <v>27.72</v>
      </c>
      <c r="AA411" s="157">
        <f>'Quantitativos (A)'!Y411*$D411*$E411</f>
        <v>27.72</v>
      </c>
      <c r="AB411" s="157">
        <f>'Quantitativos (A)'!Z411*$D411*$E411</f>
        <v>27.72</v>
      </c>
      <c r="AC411" s="157">
        <f>'Quantitativos (A)'!AA411*$D411*$E411</f>
        <v>27.72</v>
      </c>
      <c r="AD411" s="157">
        <f>'Quantitativos (A)'!AB411*$D411*$E411</f>
        <v>27.72</v>
      </c>
      <c r="AE411" s="157">
        <f>'Quantitativos (A)'!AC411*$D411*$E411</f>
        <v>27.72</v>
      </c>
      <c r="AF411" s="157">
        <f>'Quantitativos (A)'!AD411*$D411*$E411</f>
        <v>27.72</v>
      </c>
      <c r="AG411" s="157">
        <f>'Quantitativos (A)'!AE411*$D411*$E411</f>
        <v>27.72</v>
      </c>
      <c r="AH411" s="157">
        <f>'Quantitativos (A)'!AF411*$D411*$E411</f>
        <v>27.72</v>
      </c>
      <c r="AI411" s="158">
        <f>'Quantitativos (A)'!AG411*$D411*$E411</f>
        <v>27.72</v>
      </c>
      <c r="AJ411" s="22"/>
    </row>
    <row r="412" spans="1:36" x14ac:dyDescent="0.25">
      <c r="A412" s="112"/>
      <c r="B412" s="136" t="s">
        <v>120</v>
      </c>
      <c r="C412" s="67" t="s">
        <v>59</v>
      </c>
      <c r="D412" s="157">
        <f>'Dados (F)'!$D$289</f>
        <v>74.38</v>
      </c>
      <c r="E412" s="125">
        <f>IF('Dados (F)'!$D$35=1,1,'Dados (F)'!$C$39)</f>
        <v>1</v>
      </c>
      <c r="F412" s="157">
        <f>'Quantitativos (A)'!D412*$D412*$E412</f>
        <v>74.38</v>
      </c>
      <c r="G412" s="157">
        <f>'Quantitativos (A)'!E412*$D412*$E412</f>
        <v>74.38</v>
      </c>
      <c r="H412" s="157">
        <f>'Quantitativos (A)'!F412*$D412*$E412</f>
        <v>74.38</v>
      </c>
      <c r="I412" s="157">
        <f>'Quantitativos (A)'!G412*$D412*$E412</f>
        <v>74.38</v>
      </c>
      <c r="J412" s="157">
        <f>'Quantitativos (A)'!H412*$D412*$E412</f>
        <v>74.38</v>
      </c>
      <c r="K412" s="157">
        <f>'Quantitativos (A)'!I412*$D412*$E412</f>
        <v>74.38</v>
      </c>
      <c r="L412" s="157">
        <f>'Quantitativos (A)'!J412*$D412*$E412</f>
        <v>74.38</v>
      </c>
      <c r="M412" s="157">
        <f>'Quantitativos (A)'!K412*$D412*$E412</f>
        <v>74.38</v>
      </c>
      <c r="N412" s="157">
        <f>'Quantitativos (A)'!L412*$D412*$E412</f>
        <v>74.38</v>
      </c>
      <c r="O412" s="157">
        <f>'Quantitativos (A)'!M412*$D412*$E412</f>
        <v>74.38</v>
      </c>
      <c r="P412" s="157">
        <f>'Quantitativos (A)'!N412*$D412*$E412</f>
        <v>74.38</v>
      </c>
      <c r="Q412" s="157">
        <f>'Quantitativos (A)'!O412*$D412*$E412</f>
        <v>74.38</v>
      </c>
      <c r="R412" s="157">
        <f>'Quantitativos (A)'!P412*$D412*$E412</f>
        <v>74.38</v>
      </c>
      <c r="S412" s="157">
        <f>'Quantitativos (A)'!Q412*$D412*$E412</f>
        <v>74.38</v>
      </c>
      <c r="T412" s="157">
        <f>'Quantitativos (A)'!R412*$D412*$E412</f>
        <v>74.38</v>
      </c>
      <c r="U412" s="157">
        <f>'Quantitativos (A)'!S412*$D412*$E412</f>
        <v>74.38</v>
      </c>
      <c r="V412" s="157">
        <f>'Quantitativos (A)'!T412*$D412*$E412</f>
        <v>74.38</v>
      </c>
      <c r="W412" s="157">
        <f>'Quantitativos (A)'!U412*$D412*$E412</f>
        <v>74.38</v>
      </c>
      <c r="X412" s="157">
        <f>'Quantitativos (A)'!V412*$D412*$E412</f>
        <v>74.38</v>
      </c>
      <c r="Y412" s="157">
        <f>'Quantitativos (A)'!W412*$D412*$E412</f>
        <v>74.38</v>
      </c>
      <c r="Z412" s="157">
        <f>'Quantitativos (A)'!X412*$D412*$E412</f>
        <v>74.38</v>
      </c>
      <c r="AA412" s="157">
        <f>'Quantitativos (A)'!Y412*$D412*$E412</f>
        <v>74.38</v>
      </c>
      <c r="AB412" s="157">
        <f>'Quantitativos (A)'!Z412*$D412*$E412</f>
        <v>74.38</v>
      </c>
      <c r="AC412" s="157">
        <f>'Quantitativos (A)'!AA412*$D412*$E412</f>
        <v>74.38</v>
      </c>
      <c r="AD412" s="157">
        <f>'Quantitativos (A)'!AB412*$D412*$E412</f>
        <v>74.38</v>
      </c>
      <c r="AE412" s="157">
        <f>'Quantitativos (A)'!AC412*$D412*$E412</f>
        <v>74.38</v>
      </c>
      <c r="AF412" s="157">
        <f>'Quantitativos (A)'!AD412*$D412*$E412</f>
        <v>74.38</v>
      </c>
      <c r="AG412" s="157">
        <f>'Quantitativos (A)'!AE412*$D412*$E412</f>
        <v>74.38</v>
      </c>
      <c r="AH412" s="157">
        <f>'Quantitativos (A)'!AF412*$D412*$E412</f>
        <v>74.38</v>
      </c>
      <c r="AI412" s="158">
        <f>'Quantitativos (A)'!AG412*$D412*$E412</f>
        <v>74.38</v>
      </c>
      <c r="AJ412" s="22"/>
    </row>
    <row r="413" spans="1:36" x14ac:dyDescent="0.25">
      <c r="A413" s="112"/>
      <c r="B413" s="136" t="s">
        <v>121</v>
      </c>
      <c r="C413" s="67" t="s">
        <v>59</v>
      </c>
      <c r="D413" s="157">
        <f>'Dados (F)'!$D$290</f>
        <v>98.37</v>
      </c>
      <c r="E413" s="125">
        <f>IF('Dados (F)'!$D$35=1,1,'Dados (F)'!$C$39)</f>
        <v>1</v>
      </c>
      <c r="F413" s="157">
        <f>'Quantitativos (A)'!D413*$D413*$E413</f>
        <v>98.37</v>
      </c>
      <c r="G413" s="157">
        <f>'Quantitativos (A)'!E413*$D413*$E413</f>
        <v>98.37</v>
      </c>
      <c r="H413" s="157">
        <f>'Quantitativos (A)'!F413*$D413*$E413</f>
        <v>98.37</v>
      </c>
      <c r="I413" s="157">
        <f>'Quantitativos (A)'!G413*$D413*$E413</f>
        <v>98.37</v>
      </c>
      <c r="J413" s="157">
        <f>'Quantitativos (A)'!H413*$D413*$E413</f>
        <v>98.37</v>
      </c>
      <c r="K413" s="157">
        <f>'Quantitativos (A)'!I413*$D413*$E413</f>
        <v>98.37</v>
      </c>
      <c r="L413" s="157">
        <f>'Quantitativos (A)'!J413*$D413*$E413</f>
        <v>98.37</v>
      </c>
      <c r="M413" s="157">
        <f>'Quantitativos (A)'!K413*$D413*$E413</f>
        <v>98.37</v>
      </c>
      <c r="N413" s="157">
        <f>'Quantitativos (A)'!L413*$D413*$E413</f>
        <v>98.37</v>
      </c>
      <c r="O413" s="157">
        <f>'Quantitativos (A)'!M413*$D413*$E413</f>
        <v>98.37</v>
      </c>
      <c r="P413" s="157">
        <f>'Quantitativos (A)'!N413*$D413*$E413</f>
        <v>98.37</v>
      </c>
      <c r="Q413" s="157">
        <f>'Quantitativos (A)'!O413*$D413*$E413</f>
        <v>98.37</v>
      </c>
      <c r="R413" s="157">
        <f>'Quantitativos (A)'!P413*$D413*$E413</f>
        <v>98.37</v>
      </c>
      <c r="S413" s="157">
        <f>'Quantitativos (A)'!Q413*$D413*$E413</f>
        <v>98.37</v>
      </c>
      <c r="T413" s="157">
        <f>'Quantitativos (A)'!R413*$D413*$E413</f>
        <v>98.37</v>
      </c>
      <c r="U413" s="157">
        <f>'Quantitativos (A)'!S413*$D413*$E413</f>
        <v>98.37</v>
      </c>
      <c r="V413" s="157">
        <f>'Quantitativos (A)'!T413*$D413*$E413</f>
        <v>98.37</v>
      </c>
      <c r="W413" s="157">
        <f>'Quantitativos (A)'!U413*$D413*$E413</f>
        <v>98.37</v>
      </c>
      <c r="X413" s="157">
        <f>'Quantitativos (A)'!V413*$D413*$E413</f>
        <v>98.37</v>
      </c>
      <c r="Y413" s="157">
        <f>'Quantitativos (A)'!W413*$D413*$E413</f>
        <v>98.37</v>
      </c>
      <c r="Z413" s="157">
        <f>'Quantitativos (A)'!X413*$D413*$E413</f>
        <v>98.37</v>
      </c>
      <c r="AA413" s="157">
        <f>'Quantitativos (A)'!Y413*$D413*$E413</f>
        <v>98.37</v>
      </c>
      <c r="AB413" s="157">
        <f>'Quantitativos (A)'!Z413*$D413*$E413</f>
        <v>98.37</v>
      </c>
      <c r="AC413" s="157">
        <f>'Quantitativos (A)'!AA413*$D413*$E413</f>
        <v>98.37</v>
      </c>
      <c r="AD413" s="157">
        <f>'Quantitativos (A)'!AB413*$D413*$E413</f>
        <v>98.37</v>
      </c>
      <c r="AE413" s="157">
        <f>'Quantitativos (A)'!AC413*$D413*$E413</f>
        <v>98.37</v>
      </c>
      <c r="AF413" s="157">
        <f>'Quantitativos (A)'!AD413*$D413*$E413</f>
        <v>98.37</v>
      </c>
      <c r="AG413" s="157">
        <f>'Quantitativos (A)'!AE413*$D413*$E413</f>
        <v>98.37</v>
      </c>
      <c r="AH413" s="157">
        <f>'Quantitativos (A)'!AF413*$D413*$E413</f>
        <v>98.37</v>
      </c>
      <c r="AI413" s="158">
        <f>'Quantitativos (A)'!AG413*$D413*$E413</f>
        <v>98.37</v>
      </c>
      <c r="AJ413" s="22"/>
    </row>
    <row r="414" spans="1:36" x14ac:dyDescent="0.25">
      <c r="A414" s="112"/>
      <c r="B414" s="136" t="s">
        <v>122</v>
      </c>
      <c r="C414" s="67" t="s">
        <v>59</v>
      </c>
      <c r="D414" s="157">
        <f>'Dados (F)'!$D$291</f>
        <v>120.53</v>
      </c>
      <c r="E414" s="125">
        <f>IF('Dados (F)'!$D$35=1,1,'Dados (F)'!$C$39)</f>
        <v>1</v>
      </c>
      <c r="F414" s="157">
        <f>'Quantitativos (A)'!D414*$D414*$E414</f>
        <v>120.53</v>
      </c>
      <c r="G414" s="157">
        <f>'Quantitativos (A)'!E414*$D414*$E414</f>
        <v>120.53</v>
      </c>
      <c r="H414" s="157">
        <f>'Quantitativos (A)'!F414*$D414*$E414</f>
        <v>120.53</v>
      </c>
      <c r="I414" s="157">
        <f>'Quantitativos (A)'!G414*$D414*$E414</f>
        <v>120.53</v>
      </c>
      <c r="J414" s="157">
        <f>'Quantitativos (A)'!H414*$D414*$E414</f>
        <v>120.53</v>
      </c>
      <c r="K414" s="157">
        <f>'Quantitativos (A)'!I414*$D414*$E414</f>
        <v>120.53</v>
      </c>
      <c r="L414" s="157">
        <f>'Quantitativos (A)'!J414*$D414*$E414</f>
        <v>120.53</v>
      </c>
      <c r="M414" s="157">
        <f>'Quantitativos (A)'!K414*$D414*$E414</f>
        <v>120.53</v>
      </c>
      <c r="N414" s="157">
        <f>'Quantitativos (A)'!L414*$D414*$E414</f>
        <v>120.53</v>
      </c>
      <c r="O414" s="157">
        <f>'Quantitativos (A)'!M414*$D414*$E414</f>
        <v>120.53</v>
      </c>
      <c r="P414" s="157">
        <f>'Quantitativos (A)'!N414*$D414*$E414</f>
        <v>120.53</v>
      </c>
      <c r="Q414" s="157">
        <f>'Quantitativos (A)'!O414*$D414*$E414</f>
        <v>120.53</v>
      </c>
      <c r="R414" s="157">
        <f>'Quantitativos (A)'!P414*$D414*$E414</f>
        <v>120.53</v>
      </c>
      <c r="S414" s="157">
        <f>'Quantitativos (A)'!Q414*$D414*$E414</f>
        <v>120.53</v>
      </c>
      <c r="T414" s="157">
        <f>'Quantitativos (A)'!R414*$D414*$E414</f>
        <v>120.53</v>
      </c>
      <c r="U414" s="157">
        <f>'Quantitativos (A)'!S414*$D414*$E414</f>
        <v>120.53</v>
      </c>
      <c r="V414" s="157">
        <f>'Quantitativos (A)'!T414*$D414*$E414</f>
        <v>120.53</v>
      </c>
      <c r="W414" s="157">
        <f>'Quantitativos (A)'!U414*$D414*$E414</f>
        <v>120.53</v>
      </c>
      <c r="X414" s="157">
        <f>'Quantitativos (A)'!V414*$D414*$E414</f>
        <v>120.53</v>
      </c>
      <c r="Y414" s="157">
        <f>'Quantitativos (A)'!W414*$D414*$E414</f>
        <v>120.53</v>
      </c>
      <c r="Z414" s="157">
        <f>'Quantitativos (A)'!X414*$D414*$E414</f>
        <v>120.53</v>
      </c>
      <c r="AA414" s="157">
        <f>'Quantitativos (A)'!Y414*$D414*$E414</f>
        <v>120.53</v>
      </c>
      <c r="AB414" s="157">
        <f>'Quantitativos (A)'!Z414*$D414*$E414</f>
        <v>120.53</v>
      </c>
      <c r="AC414" s="157">
        <f>'Quantitativos (A)'!AA414*$D414*$E414</f>
        <v>120.53</v>
      </c>
      <c r="AD414" s="157">
        <f>'Quantitativos (A)'!AB414*$D414*$E414</f>
        <v>120.53</v>
      </c>
      <c r="AE414" s="157">
        <f>'Quantitativos (A)'!AC414*$D414*$E414</f>
        <v>120.53</v>
      </c>
      <c r="AF414" s="157">
        <f>'Quantitativos (A)'!AD414*$D414*$E414</f>
        <v>120.53</v>
      </c>
      <c r="AG414" s="157">
        <f>'Quantitativos (A)'!AE414*$D414*$E414</f>
        <v>120.53</v>
      </c>
      <c r="AH414" s="157">
        <f>'Quantitativos (A)'!AF414*$D414*$E414</f>
        <v>120.53</v>
      </c>
      <c r="AI414" s="158">
        <f>'Quantitativos (A)'!AG414*$D414*$E414</f>
        <v>120.53</v>
      </c>
      <c r="AJ414" s="22"/>
    </row>
    <row r="415" spans="1:36" x14ac:dyDescent="0.25">
      <c r="A415" s="112"/>
      <c r="B415" s="136" t="s">
        <v>123</v>
      </c>
      <c r="C415" s="67" t="s">
        <v>59</v>
      </c>
      <c r="D415" s="157">
        <f>'Dados (F)'!$D$292</f>
        <v>16.11</v>
      </c>
      <c r="E415" s="125">
        <f>IF('Dados (F)'!$D$35=1,1,'Dados (F)'!$C$39)</f>
        <v>1</v>
      </c>
      <c r="F415" s="157">
        <f>'Quantitativos (A)'!D415*$D415*$E415</f>
        <v>16.11</v>
      </c>
      <c r="G415" s="157">
        <f>'Quantitativos (A)'!E415*$D415*$E415</f>
        <v>16.11</v>
      </c>
      <c r="H415" s="157">
        <f>'Quantitativos (A)'!F415*$D415*$E415</f>
        <v>16.11</v>
      </c>
      <c r="I415" s="157">
        <f>'Quantitativos (A)'!G415*$D415*$E415</f>
        <v>16.11</v>
      </c>
      <c r="J415" s="157">
        <f>'Quantitativos (A)'!H415*$D415*$E415</f>
        <v>16.11</v>
      </c>
      <c r="K415" s="157">
        <f>'Quantitativos (A)'!I415*$D415*$E415</f>
        <v>16.11</v>
      </c>
      <c r="L415" s="157">
        <f>'Quantitativos (A)'!J415*$D415*$E415</f>
        <v>16.11</v>
      </c>
      <c r="M415" s="157">
        <f>'Quantitativos (A)'!K415*$D415*$E415</f>
        <v>16.11</v>
      </c>
      <c r="N415" s="157">
        <f>'Quantitativos (A)'!L415*$D415*$E415</f>
        <v>16.11</v>
      </c>
      <c r="O415" s="157">
        <f>'Quantitativos (A)'!M415*$D415*$E415</f>
        <v>16.11</v>
      </c>
      <c r="P415" s="157">
        <f>'Quantitativos (A)'!N415*$D415*$E415</f>
        <v>16.11</v>
      </c>
      <c r="Q415" s="157">
        <f>'Quantitativos (A)'!O415*$D415*$E415</f>
        <v>16.11</v>
      </c>
      <c r="R415" s="157">
        <f>'Quantitativos (A)'!P415*$D415*$E415</f>
        <v>16.11</v>
      </c>
      <c r="S415" s="157">
        <f>'Quantitativos (A)'!Q415*$D415*$E415</f>
        <v>16.11</v>
      </c>
      <c r="T415" s="157">
        <f>'Quantitativos (A)'!R415*$D415*$E415</f>
        <v>16.11</v>
      </c>
      <c r="U415" s="157">
        <f>'Quantitativos (A)'!S415*$D415*$E415</f>
        <v>16.11</v>
      </c>
      <c r="V415" s="157">
        <f>'Quantitativos (A)'!T415*$D415*$E415</f>
        <v>16.11</v>
      </c>
      <c r="W415" s="157">
        <f>'Quantitativos (A)'!U415*$D415*$E415</f>
        <v>16.11</v>
      </c>
      <c r="X415" s="157">
        <f>'Quantitativos (A)'!V415*$D415*$E415</f>
        <v>16.11</v>
      </c>
      <c r="Y415" s="157">
        <f>'Quantitativos (A)'!W415*$D415*$E415</f>
        <v>16.11</v>
      </c>
      <c r="Z415" s="157">
        <f>'Quantitativos (A)'!X415*$D415*$E415</f>
        <v>16.11</v>
      </c>
      <c r="AA415" s="157">
        <f>'Quantitativos (A)'!Y415*$D415*$E415</f>
        <v>16.11</v>
      </c>
      <c r="AB415" s="157">
        <f>'Quantitativos (A)'!Z415*$D415*$E415</f>
        <v>16.11</v>
      </c>
      <c r="AC415" s="157">
        <f>'Quantitativos (A)'!AA415*$D415*$E415</f>
        <v>16.11</v>
      </c>
      <c r="AD415" s="157">
        <f>'Quantitativos (A)'!AB415*$D415*$E415</f>
        <v>16.11</v>
      </c>
      <c r="AE415" s="157">
        <f>'Quantitativos (A)'!AC415*$D415*$E415</f>
        <v>16.11</v>
      </c>
      <c r="AF415" s="157">
        <f>'Quantitativos (A)'!AD415*$D415*$E415</f>
        <v>16.11</v>
      </c>
      <c r="AG415" s="157">
        <f>'Quantitativos (A)'!AE415*$D415*$E415</f>
        <v>16.11</v>
      </c>
      <c r="AH415" s="157">
        <f>'Quantitativos (A)'!AF415*$D415*$E415</f>
        <v>16.11</v>
      </c>
      <c r="AI415" s="158">
        <f>'Quantitativos (A)'!AG415*$D415*$E415</f>
        <v>16.11</v>
      </c>
      <c r="AJ415" s="22"/>
    </row>
    <row r="416" spans="1:36" x14ac:dyDescent="0.25">
      <c r="A416" s="112"/>
      <c r="B416" s="136" t="s">
        <v>124</v>
      </c>
      <c r="C416" s="67" t="s">
        <v>59</v>
      </c>
      <c r="D416" s="157">
        <f>'Dados (F)'!$D$293</f>
        <v>16.11</v>
      </c>
      <c r="E416" s="125">
        <f>IF('Dados (F)'!$D$35=1,1,'Dados (F)'!$C$39)</f>
        <v>1</v>
      </c>
      <c r="F416" s="157">
        <f>'Quantitativos (A)'!D416*$D416*$E416</f>
        <v>16.11</v>
      </c>
      <c r="G416" s="157">
        <f>'Quantitativos (A)'!E416*$D416*$E416</f>
        <v>16.11</v>
      </c>
      <c r="H416" s="157">
        <f>'Quantitativos (A)'!F416*$D416*$E416</f>
        <v>16.11</v>
      </c>
      <c r="I416" s="157">
        <f>'Quantitativos (A)'!G416*$D416*$E416</f>
        <v>16.11</v>
      </c>
      <c r="J416" s="157">
        <f>'Quantitativos (A)'!H416*$D416*$E416</f>
        <v>16.11</v>
      </c>
      <c r="K416" s="157">
        <f>'Quantitativos (A)'!I416*$D416*$E416</f>
        <v>16.11</v>
      </c>
      <c r="L416" s="157">
        <f>'Quantitativos (A)'!J416*$D416*$E416</f>
        <v>16.11</v>
      </c>
      <c r="M416" s="157">
        <f>'Quantitativos (A)'!K416*$D416*$E416</f>
        <v>16.11</v>
      </c>
      <c r="N416" s="157">
        <f>'Quantitativos (A)'!L416*$D416*$E416</f>
        <v>16.11</v>
      </c>
      <c r="O416" s="157">
        <f>'Quantitativos (A)'!M416*$D416*$E416</f>
        <v>16.11</v>
      </c>
      <c r="P416" s="157">
        <f>'Quantitativos (A)'!N416*$D416*$E416</f>
        <v>16.11</v>
      </c>
      <c r="Q416" s="157">
        <f>'Quantitativos (A)'!O416*$D416*$E416</f>
        <v>16.11</v>
      </c>
      <c r="R416" s="157">
        <f>'Quantitativos (A)'!P416*$D416*$E416</f>
        <v>16.11</v>
      </c>
      <c r="S416" s="157">
        <f>'Quantitativos (A)'!Q416*$D416*$E416</f>
        <v>16.11</v>
      </c>
      <c r="T416" s="157">
        <f>'Quantitativos (A)'!R416*$D416*$E416</f>
        <v>16.11</v>
      </c>
      <c r="U416" s="157">
        <f>'Quantitativos (A)'!S416*$D416*$E416</f>
        <v>16.11</v>
      </c>
      <c r="V416" s="157">
        <f>'Quantitativos (A)'!T416*$D416*$E416</f>
        <v>16.11</v>
      </c>
      <c r="W416" s="157">
        <f>'Quantitativos (A)'!U416*$D416*$E416</f>
        <v>16.11</v>
      </c>
      <c r="X416" s="157">
        <f>'Quantitativos (A)'!V416*$D416*$E416</f>
        <v>16.11</v>
      </c>
      <c r="Y416" s="157">
        <f>'Quantitativos (A)'!W416*$D416*$E416</f>
        <v>16.11</v>
      </c>
      <c r="Z416" s="157">
        <f>'Quantitativos (A)'!X416*$D416*$E416</f>
        <v>16.11</v>
      </c>
      <c r="AA416" s="157">
        <f>'Quantitativos (A)'!Y416*$D416*$E416</f>
        <v>16.11</v>
      </c>
      <c r="AB416" s="157">
        <f>'Quantitativos (A)'!Z416*$D416*$E416</f>
        <v>16.11</v>
      </c>
      <c r="AC416" s="157">
        <f>'Quantitativos (A)'!AA416*$D416*$E416</f>
        <v>16.11</v>
      </c>
      <c r="AD416" s="157">
        <f>'Quantitativos (A)'!AB416*$D416*$E416</f>
        <v>16.11</v>
      </c>
      <c r="AE416" s="157">
        <f>'Quantitativos (A)'!AC416*$D416*$E416</f>
        <v>16.11</v>
      </c>
      <c r="AF416" s="157">
        <f>'Quantitativos (A)'!AD416*$D416*$E416</f>
        <v>16.11</v>
      </c>
      <c r="AG416" s="157">
        <f>'Quantitativos (A)'!AE416*$D416*$E416</f>
        <v>16.11</v>
      </c>
      <c r="AH416" s="157">
        <f>'Quantitativos (A)'!AF416*$D416*$E416</f>
        <v>16.11</v>
      </c>
      <c r="AI416" s="158">
        <f>'Quantitativos (A)'!AG416*$D416*$E416</f>
        <v>16.11</v>
      </c>
      <c r="AJ416" s="22"/>
    </row>
    <row r="417" spans="1:36" x14ac:dyDescent="0.25">
      <c r="A417" s="112"/>
      <c r="B417" s="136" t="s">
        <v>125</v>
      </c>
      <c r="C417" s="67" t="s">
        <v>59</v>
      </c>
      <c r="D417" s="157">
        <f>'Dados (F)'!$D$294</f>
        <v>14.67</v>
      </c>
      <c r="E417" s="125">
        <f>IF('Dados (F)'!$D$35=1,1,'Dados (F)'!$C$39)</f>
        <v>1</v>
      </c>
      <c r="F417" s="157">
        <f>'Quantitativos (A)'!D417*$D417*$E417</f>
        <v>14.67</v>
      </c>
      <c r="G417" s="157">
        <f>'Quantitativos (A)'!E417*$D417*$E417</f>
        <v>14.67</v>
      </c>
      <c r="H417" s="157">
        <f>'Quantitativos (A)'!F417*$D417*$E417</f>
        <v>14.67</v>
      </c>
      <c r="I417" s="157">
        <f>'Quantitativos (A)'!G417*$D417*$E417</f>
        <v>14.67</v>
      </c>
      <c r="J417" s="157">
        <f>'Quantitativos (A)'!H417*$D417*$E417</f>
        <v>14.67</v>
      </c>
      <c r="K417" s="157">
        <f>'Quantitativos (A)'!I417*$D417*$E417</f>
        <v>14.67</v>
      </c>
      <c r="L417" s="157">
        <f>'Quantitativos (A)'!J417*$D417*$E417</f>
        <v>14.67</v>
      </c>
      <c r="M417" s="157">
        <f>'Quantitativos (A)'!K417*$D417*$E417</f>
        <v>14.67</v>
      </c>
      <c r="N417" s="157">
        <f>'Quantitativos (A)'!L417*$D417*$E417</f>
        <v>14.67</v>
      </c>
      <c r="O417" s="157">
        <f>'Quantitativos (A)'!M417*$D417*$E417</f>
        <v>14.67</v>
      </c>
      <c r="P417" s="157">
        <f>'Quantitativos (A)'!N417*$D417*$E417</f>
        <v>14.67</v>
      </c>
      <c r="Q417" s="157">
        <f>'Quantitativos (A)'!O417*$D417*$E417</f>
        <v>14.67</v>
      </c>
      <c r="R417" s="157">
        <f>'Quantitativos (A)'!P417*$D417*$E417</f>
        <v>14.67</v>
      </c>
      <c r="S417" s="157">
        <f>'Quantitativos (A)'!Q417*$D417*$E417</f>
        <v>14.67</v>
      </c>
      <c r="T417" s="157">
        <f>'Quantitativos (A)'!R417*$D417*$E417</f>
        <v>14.67</v>
      </c>
      <c r="U417" s="157">
        <f>'Quantitativos (A)'!S417*$D417*$E417</f>
        <v>14.67</v>
      </c>
      <c r="V417" s="157">
        <f>'Quantitativos (A)'!T417*$D417*$E417</f>
        <v>14.67</v>
      </c>
      <c r="W417" s="157">
        <f>'Quantitativos (A)'!U417*$D417*$E417</f>
        <v>14.67</v>
      </c>
      <c r="X417" s="157">
        <f>'Quantitativos (A)'!V417*$D417*$E417</f>
        <v>14.67</v>
      </c>
      <c r="Y417" s="157">
        <f>'Quantitativos (A)'!W417*$D417*$E417</f>
        <v>14.67</v>
      </c>
      <c r="Z417" s="157">
        <f>'Quantitativos (A)'!X417*$D417*$E417</f>
        <v>14.67</v>
      </c>
      <c r="AA417" s="157">
        <f>'Quantitativos (A)'!Y417*$D417*$E417</f>
        <v>14.67</v>
      </c>
      <c r="AB417" s="157">
        <f>'Quantitativos (A)'!Z417*$D417*$E417</f>
        <v>14.67</v>
      </c>
      <c r="AC417" s="157">
        <f>'Quantitativos (A)'!AA417*$D417*$E417</f>
        <v>14.67</v>
      </c>
      <c r="AD417" s="157">
        <f>'Quantitativos (A)'!AB417*$D417*$E417</f>
        <v>14.67</v>
      </c>
      <c r="AE417" s="157">
        <f>'Quantitativos (A)'!AC417*$D417*$E417</f>
        <v>14.67</v>
      </c>
      <c r="AF417" s="157">
        <f>'Quantitativos (A)'!AD417*$D417*$E417</f>
        <v>14.67</v>
      </c>
      <c r="AG417" s="157">
        <f>'Quantitativos (A)'!AE417*$D417*$E417</f>
        <v>14.67</v>
      </c>
      <c r="AH417" s="157">
        <f>'Quantitativos (A)'!AF417*$D417*$E417</f>
        <v>14.67</v>
      </c>
      <c r="AI417" s="158">
        <f>'Quantitativos (A)'!AG417*$D417*$E417</f>
        <v>14.67</v>
      </c>
      <c r="AJ417" s="22"/>
    </row>
    <row r="418" spans="1:36" x14ac:dyDescent="0.25">
      <c r="A418" s="112"/>
      <c r="B418" s="136" t="s">
        <v>126</v>
      </c>
      <c r="C418" s="67" t="s">
        <v>59</v>
      </c>
      <c r="D418" s="157">
        <f>'Dados (F)'!$D$295</f>
        <v>12.86</v>
      </c>
      <c r="E418" s="125">
        <f>IF('Dados (F)'!$D$35=1,1,'Dados (F)'!$C$39)</f>
        <v>1</v>
      </c>
      <c r="F418" s="157">
        <f>'Quantitativos (A)'!D418*$D418*$E418</f>
        <v>12.86</v>
      </c>
      <c r="G418" s="157">
        <f>'Quantitativos (A)'!E418*$D418*$E418</f>
        <v>12.86</v>
      </c>
      <c r="H418" s="157">
        <f>'Quantitativos (A)'!F418*$D418*$E418</f>
        <v>12.86</v>
      </c>
      <c r="I418" s="157">
        <f>'Quantitativos (A)'!G418*$D418*$E418</f>
        <v>12.86</v>
      </c>
      <c r="J418" s="157">
        <f>'Quantitativos (A)'!H418*$D418*$E418</f>
        <v>12.86</v>
      </c>
      <c r="K418" s="157">
        <f>'Quantitativos (A)'!I418*$D418*$E418</f>
        <v>12.86</v>
      </c>
      <c r="L418" s="157">
        <f>'Quantitativos (A)'!J418*$D418*$E418</f>
        <v>12.86</v>
      </c>
      <c r="M418" s="157">
        <f>'Quantitativos (A)'!K418*$D418*$E418</f>
        <v>12.86</v>
      </c>
      <c r="N418" s="157">
        <f>'Quantitativos (A)'!L418*$D418*$E418</f>
        <v>12.86</v>
      </c>
      <c r="O418" s="157">
        <f>'Quantitativos (A)'!M418*$D418*$E418</f>
        <v>12.86</v>
      </c>
      <c r="P418" s="157">
        <f>'Quantitativos (A)'!N418*$D418*$E418</f>
        <v>12.86</v>
      </c>
      <c r="Q418" s="157">
        <f>'Quantitativos (A)'!O418*$D418*$E418</f>
        <v>12.86</v>
      </c>
      <c r="R418" s="157">
        <f>'Quantitativos (A)'!P418*$D418*$E418</f>
        <v>12.86</v>
      </c>
      <c r="S418" s="157">
        <f>'Quantitativos (A)'!Q418*$D418*$E418</f>
        <v>12.86</v>
      </c>
      <c r="T418" s="157">
        <f>'Quantitativos (A)'!R418*$D418*$E418</f>
        <v>12.86</v>
      </c>
      <c r="U418" s="157">
        <f>'Quantitativos (A)'!S418*$D418*$E418</f>
        <v>12.86</v>
      </c>
      <c r="V418" s="157">
        <f>'Quantitativos (A)'!T418*$D418*$E418</f>
        <v>12.86</v>
      </c>
      <c r="W418" s="157">
        <f>'Quantitativos (A)'!U418*$D418*$E418</f>
        <v>12.86</v>
      </c>
      <c r="X418" s="157">
        <f>'Quantitativos (A)'!V418*$D418*$E418</f>
        <v>12.86</v>
      </c>
      <c r="Y418" s="157">
        <f>'Quantitativos (A)'!W418*$D418*$E418</f>
        <v>12.86</v>
      </c>
      <c r="Z418" s="157">
        <f>'Quantitativos (A)'!X418*$D418*$E418</f>
        <v>12.86</v>
      </c>
      <c r="AA418" s="157">
        <f>'Quantitativos (A)'!Y418*$D418*$E418</f>
        <v>12.86</v>
      </c>
      <c r="AB418" s="157">
        <f>'Quantitativos (A)'!Z418*$D418*$E418</f>
        <v>12.86</v>
      </c>
      <c r="AC418" s="157">
        <f>'Quantitativos (A)'!AA418*$D418*$E418</f>
        <v>12.86</v>
      </c>
      <c r="AD418" s="157">
        <f>'Quantitativos (A)'!AB418*$D418*$E418</f>
        <v>12.86</v>
      </c>
      <c r="AE418" s="157">
        <f>'Quantitativos (A)'!AC418*$D418*$E418</f>
        <v>12.86</v>
      </c>
      <c r="AF418" s="157">
        <f>'Quantitativos (A)'!AD418*$D418*$E418</f>
        <v>12.86</v>
      </c>
      <c r="AG418" s="157">
        <f>'Quantitativos (A)'!AE418*$D418*$E418</f>
        <v>12.86</v>
      </c>
      <c r="AH418" s="157">
        <f>'Quantitativos (A)'!AF418*$D418*$E418</f>
        <v>12.86</v>
      </c>
      <c r="AI418" s="158">
        <f>'Quantitativos (A)'!AG418*$D418*$E418</f>
        <v>12.86</v>
      </c>
      <c r="AJ418" s="22"/>
    </row>
    <row r="419" spans="1:36" x14ac:dyDescent="0.25">
      <c r="A419" s="112"/>
      <c r="B419" s="136" t="s">
        <v>127</v>
      </c>
      <c r="C419" s="67" t="s">
        <v>59</v>
      </c>
      <c r="D419" s="157">
        <f>'Dados (F)'!$D$296</f>
        <v>12.86</v>
      </c>
      <c r="E419" s="125">
        <f>IF('Dados (F)'!$D$35=1,1,'Dados (F)'!$C$39)</f>
        <v>1</v>
      </c>
      <c r="F419" s="157">
        <f>'Quantitativos (A)'!D419*$D419*$E419</f>
        <v>12.86</v>
      </c>
      <c r="G419" s="157">
        <f>'Quantitativos (A)'!E419*$D419*$E419</f>
        <v>12.86</v>
      </c>
      <c r="H419" s="157">
        <f>'Quantitativos (A)'!F419*$D419*$E419</f>
        <v>12.86</v>
      </c>
      <c r="I419" s="157">
        <f>'Quantitativos (A)'!G419*$D419*$E419</f>
        <v>12.86</v>
      </c>
      <c r="J419" s="157">
        <f>'Quantitativos (A)'!H419*$D419*$E419</f>
        <v>12.86</v>
      </c>
      <c r="K419" s="157">
        <f>'Quantitativos (A)'!I419*$D419*$E419</f>
        <v>12.86</v>
      </c>
      <c r="L419" s="157">
        <f>'Quantitativos (A)'!J419*$D419*$E419</f>
        <v>12.86</v>
      </c>
      <c r="M419" s="157">
        <f>'Quantitativos (A)'!K419*$D419*$E419</f>
        <v>12.86</v>
      </c>
      <c r="N419" s="157">
        <f>'Quantitativos (A)'!L419*$D419*$E419</f>
        <v>12.86</v>
      </c>
      <c r="O419" s="157">
        <f>'Quantitativos (A)'!M419*$D419*$E419</f>
        <v>12.86</v>
      </c>
      <c r="P419" s="157">
        <f>'Quantitativos (A)'!N419*$D419*$E419</f>
        <v>12.86</v>
      </c>
      <c r="Q419" s="157">
        <f>'Quantitativos (A)'!O419*$D419*$E419</f>
        <v>12.86</v>
      </c>
      <c r="R419" s="157">
        <f>'Quantitativos (A)'!P419*$D419*$E419</f>
        <v>12.86</v>
      </c>
      <c r="S419" s="157">
        <f>'Quantitativos (A)'!Q419*$D419*$E419</f>
        <v>12.86</v>
      </c>
      <c r="T419" s="157">
        <f>'Quantitativos (A)'!R419*$D419*$E419</f>
        <v>12.86</v>
      </c>
      <c r="U419" s="157">
        <f>'Quantitativos (A)'!S419*$D419*$E419</f>
        <v>12.86</v>
      </c>
      <c r="V419" s="157">
        <f>'Quantitativos (A)'!T419*$D419*$E419</f>
        <v>12.86</v>
      </c>
      <c r="W419" s="157">
        <f>'Quantitativos (A)'!U419*$D419*$E419</f>
        <v>12.86</v>
      </c>
      <c r="X419" s="157">
        <f>'Quantitativos (A)'!V419*$D419*$E419</f>
        <v>12.86</v>
      </c>
      <c r="Y419" s="157">
        <f>'Quantitativos (A)'!W419*$D419*$E419</f>
        <v>12.86</v>
      </c>
      <c r="Z419" s="157">
        <f>'Quantitativos (A)'!X419*$D419*$E419</f>
        <v>12.86</v>
      </c>
      <c r="AA419" s="157">
        <f>'Quantitativos (A)'!Y419*$D419*$E419</f>
        <v>12.86</v>
      </c>
      <c r="AB419" s="157">
        <f>'Quantitativos (A)'!Z419*$D419*$E419</f>
        <v>12.86</v>
      </c>
      <c r="AC419" s="157">
        <f>'Quantitativos (A)'!AA419*$D419*$E419</f>
        <v>12.86</v>
      </c>
      <c r="AD419" s="157">
        <f>'Quantitativos (A)'!AB419*$D419*$E419</f>
        <v>12.86</v>
      </c>
      <c r="AE419" s="157">
        <f>'Quantitativos (A)'!AC419*$D419*$E419</f>
        <v>12.86</v>
      </c>
      <c r="AF419" s="157">
        <f>'Quantitativos (A)'!AD419*$D419*$E419</f>
        <v>12.86</v>
      </c>
      <c r="AG419" s="157">
        <f>'Quantitativos (A)'!AE419*$D419*$E419</f>
        <v>12.86</v>
      </c>
      <c r="AH419" s="157">
        <f>'Quantitativos (A)'!AF419*$D419*$E419</f>
        <v>12.86</v>
      </c>
      <c r="AI419" s="158">
        <f>'Quantitativos (A)'!AG419*$D419*$E419</f>
        <v>12.86</v>
      </c>
      <c r="AJ419" s="22"/>
    </row>
    <row r="420" spans="1:36" x14ac:dyDescent="0.25">
      <c r="A420" s="112"/>
      <c r="B420" s="136" t="s">
        <v>128</v>
      </c>
      <c r="C420" s="67" t="s">
        <v>59</v>
      </c>
      <c r="D420" s="157">
        <f>'Dados (F)'!$D$297</f>
        <v>14.67</v>
      </c>
      <c r="E420" s="125">
        <f>IF('Dados (F)'!$D$35=1,1,'Dados (F)'!$C$39)</f>
        <v>1</v>
      </c>
      <c r="F420" s="157">
        <f>'Quantitativos (A)'!D420*$D420*$E420</f>
        <v>14.67</v>
      </c>
      <c r="G420" s="157">
        <f>'Quantitativos (A)'!E420*$D420*$E420</f>
        <v>14.67</v>
      </c>
      <c r="H420" s="157">
        <f>'Quantitativos (A)'!F420*$D420*$E420</f>
        <v>14.67</v>
      </c>
      <c r="I420" s="157">
        <f>'Quantitativos (A)'!G420*$D420*$E420</f>
        <v>14.67</v>
      </c>
      <c r="J420" s="157">
        <f>'Quantitativos (A)'!H420*$D420*$E420</f>
        <v>14.67</v>
      </c>
      <c r="K420" s="157">
        <f>'Quantitativos (A)'!I420*$D420*$E420</f>
        <v>14.67</v>
      </c>
      <c r="L420" s="157">
        <f>'Quantitativos (A)'!J420*$D420*$E420</f>
        <v>14.67</v>
      </c>
      <c r="M420" s="157">
        <f>'Quantitativos (A)'!K420*$D420*$E420</f>
        <v>14.67</v>
      </c>
      <c r="N420" s="157">
        <f>'Quantitativos (A)'!L420*$D420*$E420</f>
        <v>14.67</v>
      </c>
      <c r="O420" s="157">
        <f>'Quantitativos (A)'!M420*$D420*$E420</f>
        <v>14.67</v>
      </c>
      <c r="P420" s="157">
        <f>'Quantitativos (A)'!N420*$D420*$E420</f>
        <v>14.67</v>
      </c>
      <c r="Q420" s="157">
        <f>'Quantitativos (A)'!O420*$D420*$E420</f>
        <v>14.67</v>
      </c>
      <c r="R420" s="157">
        <f>'Quantitativos (A)'!P420*$D420*$E420</f>
        <v>14.67</v>
      </c>
      <c r="S420" s="157">
        <f>'Quantitativos (A)'!Q420*$D420*$E420</f>
        <v>14.67</v>
      </c>
      <c r="T420" s="157">
        <f>'Quantitativos (A)'!R420*$D420*$E420</f>
        <v>14.67</v>
      </c>
      <c r="U420" s="157">
        <f>'Quantitativos (A)'!S420*$D420*$E420</f>
        <v>14.67</v>
      </c>
      <c r="V420" s="157">
        <f>'Quantitativos (A)'!T420*$D420*$E420</f>
        <v>14.67</v>
      </c>
      <c r="W420" s="157">
        <f>'Quantitativos (A)'!U420*$D420*$E420</f>
        <v>14.67</v>
      </c>
      <c r="X420" s="157">
        <f>'Quantitativos (A)'!V420*$D420*$E420</f>
        <v>14.67</v>
      </c>
      <c r="Y420" s="157">
        <f>'Quantitativos (A)'!W420*$D420*$E420</f>
        <v>14.67</v>
      </c>
      <c r="Z420" s="157">
        <f>'Quantitativos (A)'!X420*$D420*$E420</f>
        <v>14.67</v>
      </c>
      <c r="AA420" s="157">
        <f>'Quantitativos (A)'!Y420*$D420*$E420</f>
        <v>14.67</v>
      </c>
      <c r="AB420" s="157">
        <f>'Quantitativos (A)'!Z420*$D420*$E420</f>
        <v>14.67</v>
      </c>
      <c r="AC420" s="157">
        <f>'Quantitativos (A)'!AA420*$D420*$E420</f>
        <v>14.67</v>
      </c>
      <c r="AD420" s="157">
        <f>'Quantitativos (A)'!AB420*$D420*$E420</f>
        <v>14.67</v>
      </c>
      <c r="AE420" s="157">
        <f>'Quantitativos (A)'!AC420*$D420*$E420</f>
        <v>14.67</v>
      </c>
      <c r="AF420" s="157">
        <f>'Quantitativos (A)'!AD420*$D420*$E420</f>
        <v>14.67</v>
      </c>
      <c r="AG420" s="157">
        <f>'Quantitativos (A)'!AE420*$D420*$E420</f>
        <v>14.67</v>
      </c>
      <c r="AH420" s="157">
        <f>'Quantitativos (A)'!AF420*$D420*$E420</f>
        <v>14.67</v>
      </c>
      <c r="AI420" s="158">
        <f>'Quantitativos (A)'!AG420*$D420*$E420</f>
        <v>14.67</v>
      </c>
      <c r="AJ420" s="22"/>
    </row>
    <row r="421" spans="1:36" x14ac:dyDescent="0.25">
      <c r="A421" s="112"/>
      <c r="B421" s="136" t="s">
        <v>129</v>
      </c>
      <c r="C421" s="67" t="s">
        <v>59</v>
      </c>
      <c r="D421" s="157">
        <f>'Dados (F)'!$D$298</f>
        <v>24.59</v>
      </c>
      <c r="E421" s="125">
        <f>IF('Dados (F)'!$D$35=1,1,'Dados (F)'!$C$39)</f>
        <v>1</v>
      </c>
      <c r="F421" s="157">
        <f>'Quantitativos (A)'!D421*$D421*$E421</f>
        <v>24.59</v>
      </c>
      <c r="G421" s="157">
        <f>'Quantitativos (A)'!E421*$D421*$E421</f>
        <v>24.59</v>
      </c>
      <c r="H421" s="157">
        <f>'Quantitativos (A)'!F421*$D421*$E421</f>
        <v>24.59</v>
      </c>
      <c r="I421" s="157">
        <f>'Quantitativos (A)'!G421*$D421*$E421</f>
        <v>24.59</v>
      </c>
      <c r="J421" s="157">
        <f>'Quantitativos (A)'!H421*$D421*$E421</f>
        <v>24.59</v>
      </c>
      <c r="K421" s="157">
        <f>'Quantitativos (A)'!I421*$D421*$E421</f>
        <v>24.59</v>
      </c>
      <c r="L421" s="157">
        <f>'Quantitativos (A)'!J421*$D421*$E421</f>
        <v>24.59</v>
      </c>
      <c r="M421" s="157">
        <f>'Quantitativos (A)'!K421*$D421*$E421</f>
        <v>24.59</v>
      </c>
      <c r="N421" s="157">
        <f>'Quantitativos (A)'!L421*$D421*$E421</f>
        <v>24.59</v>
      </c>
      <c r="O421" s="157">
        <f>'Quantitativos (A)'!M421*$D421*$E421</f>
        <v>24.59</v>
      </c>
      <c r="P421" s="157">
        <f>'Quantitativos (A)'!N421*$D421*$E421</f>
        <v>24.59</v>
      </c>
      <c r="Q421" s="157">
        <f>'Quantitativos (A)'!O421*$D421*$E421</f>
        <v>24.59</v>
      </c>
      <c r="R421" s="157">
        <f>'Quantitativos (A)'!P421*$D421*$E421</f>
        <v>24.59</v>
      </c>
      <c r="S421" s="157">
        <f>'Quantitativos (A)'!Q421*$D421*$E421</f>
        <v>24.59</v>
      </c>
      <c r="T421" s="157">
        <f>'Quantitativos (A)'!R421*$D421*$E421</f>
        <v>24.59</v>
      </c>
      <c r="U421" s="157">
        <f>'Quantitativos (A)'!S421*$D421*$E421</f>
        <v>24.59</v>
      </c>
      <c r="V421" s="157">
        <f>'Quantitativos (A)'!T421*$D421*$E421</f>
        <v>24.59</v>
      </c>
      <c r="W421" s="157">
        <f>'Quantitativos (A)'!U421*$D421*$E421</f>
        <v>24.59</v>
      </c>
      <c r="X421" s="157">
        <f>'Quantitativos (A)'!V421*$D421*$E421</f>
        <v>24.59</v>
      </c>
      <c r="Y421" s="157">
        <f>'Quantitativos (A)'!W421*$D421*$E421</f>
        <v>24.59</v>
      </c>
      <c r="Z421" s="157">
        <f>'Quantitativos (A)'!X421*$D421*$E421</f>
        <v>24.59</v>
      </c>
      <c r="AA421" s="157">
        <f>'Quantitativos (A)'!Y421*$D421*$E421</f>
        <v>24.59</v>
      </c>
      <c r="AB421" s="157">
        <f>'Quantitativos (A)'!Z421*$D421*$E421</f>
        <v>24.59</v>
      </c>
      <c r="AC421" s="157">
        <f>'Quantitativos (A)'!AA421*$D421*$E421</f>
        <v>24.59</v>
      </c>
      <c r="AD421" s="157">
        <f>'Quantitativos (A)'!AB421*$D421*$E421</f>
        <v>24.59</v>
      </c>
      <c r="AE421" s="157">
        <f>'Quantitativos (A)'!AC421*$D421*$E421</f>
        <v>24.59</v>
      </c>
      <c r="AF421" s="157">
        <f>'Quantitativos (A)'!AD421*$D421*$E421</f>
        <v>24.59</v>
      </c>
      <c r="AG421" s="157">
        <f>'Quantitativos (A)'!AE421*$D421*$E421</f>
        <v>24.59</v>
      </c>
      <c r="AH421" s="157">
        <f>'Quantitativos (A)'!AF421*$D421*$E421</f>
        <v>24.59</v>
      </c>
      <c r="AI421" s="158">
        <f>'Quantitativos (A)'!AG421*$D421*$E421</f>
        <v>24.59</v>
      </c>
      <c r="AJ421" s="22"/>
    </row>
    <row r="422" spans="1:36" x14ac:dyDescent="0.25">
      <c r="A422" s="112"/>
      <c r="B422" s="136" t="s">
        <v>130</v>
      </c>
      <c r="C422" s="67" t="s">
        <v>59</v>
      </c>
      <c r="D422" s="157">
        <f>'Dados (F)'!$D$299</f>
        <v>30.43</v>
      </c>
      <c r="E422" s="125">
        <f>IF('Dados (F)'!$D$35=1,1,'Dados (F)'!$C$39)</f>
        <v>1</v>
      </c>
      <c r="F422" s="157">
        <f>'Quantitativos (A)'!D422*$D422*$E422</f>
        <v>30.43</v>
      </c>
      <c r="G422" s="157">
        <f>'Quantitativos (A)'!E422*$D422*$E422</f>
        <v>30.43</v>
      </c>
      <c r="H422" s="157">
        <f>'Quantitativos (A)'!F422*$D422*$E422</f>
        <v>30.43</v>
      </c>
      <c r="I422" s="157">
        <f>'Quantitativos (A)'!G422*$D422*$E422</f>
        <v>30.43</v>
      </c>
      <c r="J422" s="157">
        <f>'Quantitativos (A)'!H422*$D422*$E422</f>
        <v>30.43</v>
      </c>
      <c r="K422" s="157">
        <f>'Quantitativos (A)'!I422*$D422*$E422</f>
        <v>30.43</v>
      </c>
      <c r="L422" s="157">
        <f>'Quantitativos (A)'!J422*$D422*$E422</f>
        <v>30.43</v>
      </c>
      <c r="M422" s="157">
        <f>'Quantitativos (A)'!K422*$D422*$E422</f>
        <v>30.43</v>
      </c>
      <c r="N422" s="157">
        <f>'Quantitativos (A)'!L422*$D422*$E422</f>
        <v>30.43</v>
      </c>
      <c r="O422" s="157">
        <f>'Quantitativos (A)'!M422*$D422*$E422</f>
        <v>30.43</v>
      </c>
      <c r="P422" s="157">
        <f>'Quantitativos (A)'!N422*$D422*$E422</f>
        <v>30.43</v>
      </c>
      <c r="Q422" s="157">
        <f>'Quantitativos (A)'!O422*$D422*$E422</f>
        <v>30.43</v>
      </c>
      <c r="R422" s="157">
        <f>'Quantitativos (A)'!P422*$D422*$E422</f>
        <v>30.43</v>
      </c>
      <c r="S422" s="157">
        <f>'Quantitativos (A)'!Q422*$D422*$E422</f>
        <v>30.43</v>
      </c>
      <c r="T422" s="157">
        <f>'Quantitativos (A)'!R422*$D422*$E422</f>
        <v>30.43</v>
      </c>
      <c r="U422" s="157">
        <f>'Quantitativos (A)'!S422*$D422*$E422</f>
        <v>30.43</v>
      </c>
      <c r="V422" s="157">
        <f>'Quantitativos (A)'!T422*$D422*$E422</f>
        <v>30.43</v>
      </c>
      <c r="W422" s="157">
        <f>'Quantitativos (A)'!U422*$D422*$E422</f>
        <v>30.43</v>
      </c>
      <c r="X422" s="157">
        <f>'Quantitativos (A)'!V422*$D422*$E422</f>
        <v>30.43</v>
      </c>
      <c r="Y422" s="157">
        <f>'Quantitativos (A)'!W422*$D422*$E422</f>
        <v>30.43</v>
      </c>
      <c r="Z422" s="157">
        <f>'Quantitativos (A)'!X422*$D422*$E422</f>
        <v>30.43</v>
      </c>
      <c r="AA422" s="157">
        <f>'Quantitativos (A)'!Y422*$D422*$E422</f>
        <v>30.43</v>
      </c>
      <c r="AB422" s="157">
        <f>'Quantitativos (A)'!Z422*$D422*$E422</f>
        <v>30.43</v>
      </c>
      <c r="AC422" s="157">
        <f>'Quantitativos (A)'!AA422*$D422*$E422</f>
        <v>30.43</v>
      </c>
      <c r="AD422" s="157">
        <f>'Quantitativos (A)'!AB422*$D422*$E422</f>
        <v>30.43</v>
      </c>
      <c r="AE422" s="157">
        <f>'Quantitativos (A)'!AC422*$D422*$E422</f>
        <v>30.43</v>
      </c>
      <c r="AF422" s="157">
        <f>'Quantitativos (A)'!AD422*$D422*$E422</f>
        <v>30.43</v>
      </c>
      <c r="AG422" s="157">
        <f>'Quantitativos (A)'!AE422*$D422*$E422</f>
        <v>30.43</v>
      </c>
      <c r="AH422" s="157">
        <f>'Quantitativos (A)'!AF422*$D422*$E422</f>
        <v>30.43</v>
      </c>
      <c r="AI422" s="158">
        <f>'Quantitativos (A)'!AG422*$D422*$E422</f>
        <v>30.43</v>
      </c>
      <c r="AJ422" s="22"/>
    </row>
    <row r="423" spans="1:36" x14ac:dyDescent="0.25">
      <c r="A423" s="112"/>
      <c r="B423" s="136" t="s">
        <v>131</v>
      </c>
      <c r="C423" s="67" t="s">
        <v>59</v>
      </c>
      <c r="D423" s="157">
        <f>'Dados (F)'!$D$300</f>
        <v>30.43</v>
      </c>
      <c r="E423" s="125">
        <f>IF('Dados (F)'!$D$35=1,1,'Dados (F)'!$C$39)</f>
        <v>1</v>
      </c>
      <c r="F423" s="157">
        <f>'Quantitativos (A)'!D423*$D423*$E423</f>
        <v>30.43</v>
      </c>
      <c r="G423" s="157">
        <f>'Quantitativos (A)'!E423*$D423*$E423</f>
        <v>30.43</v>
      </c>
      <c r="H423" s="157">
        <f>'Quantitativos (A)'!F423*$D423*$E423</f>
        <v>30.43</v>
      </c>
      <c r="I423" s="157">
        <f>'Quantitativos (A)'!G423*$D423*$E423</f>
        <v>30.43</v>
      </c>
      <c r="J423" s="157">
        <f>'Quantitativos (A)'!H423*$D423*$E423</f>
        <v>30.43</v>
      </c>
      <c r="K423" s="157">
        <f>'Quantitativos (A)'!I423*$D423*$E423</f>
        <v>30.43</v>
      </c>
      <c r="L423" s="157">
        <f>'Quantitativos (A)'!J423*$D423*$E423</f>
        <v>30.43</v>
      </c>
      <c r="M423" s="157">
        <f>'Quantitativos (A)'!K423*$D423*$E423</f>
        <v>30.43</v>
      </c>
      <c r="N423" s="157">
        <f>'Quantitativos (A)'!L423*$D423*$E423</f>
        <v>30.43</v>
      </c>
      <c r="O423" s="157">
        <f>'Quantitativos (A)'!M423*$D423*$E423</f>
        <v>30.43</v>
      </c>
      <c r="P423" s="157">
        <f>'Quantitativos (A)'!N423*$D423*$E423</f>
        <v>30.43</v>
      </c>
      <c r="Q423" s="157">
        <f>'Quantitativos (A)'!O423*$D423*$E423</f>
        <v>30.43</v>
      </c>
      <c r="R423" s="157">
        <f>'Quantitativos (A)'!P423*$D423*$E423</f>
        <v>30.43</v>
      </c>
      <c r="S423" s="157">
        <f>'Quantitativos (A)'!Q423*$D423*$E423</f>
        <v>30.43</v>
      </c>
      <c r="T423" s="157">
        <f>'Quantitativos (A)'!R423*$D423*$E423</f>
        <v>30.43</v>
      </c>
      <c r="U423" s="157">
        <f>'Quantitativos (A)'!S423*$D423*$E423</f>
        <v>30.43</v>
      </c>
      <c r="V423" s="157">
        <f>'Quantitativos (A)'!T423*$D423*$E423</f>
        <v>30.43</v>
      </c>
      <c r="W423" s="157">
        <f>'Quantitativos (A)'!U423*$D423*$E423</f>
        <v>30.43</v>
      </c>
      <c r="X423" s="157">
        <f>'Quantitativos (A)'!V423*$D423*$E423</f>
        <v>30.43</v>
      </c>
      <c r="Y423" s="157">
        <f>'Quantitativos (A)'!W423*$D423*$E423</f>
        <v>30.43</v>
      </c>
      <c r="Z423" s="157">
        <f>'Quantitativos (A)'!X423*$D423*$E423</f>
        <v>30.43</v>
      </c>
      <c r="AA423" s="157">
        <f>'Quantitativos (A)'!Y423*$D423*$E423</f>
        <v>30.43</v>
      </c>
      <c r="AB423" s="157">
        <f>'Quantitativos (A)'!Z423*$D423*$E423</f>
        <v>30.43</v>
      </c>
      <c r="AC423" s="157">
        <f>'Quantitativos (A)'!AA423*$D423*$E423</f>
        <v>30.43</v>
      </c>
      <c r="AD423" s="157">
        <f>'Quantitativos (A)'!AB423*$D423*$E423</f>
        <v>30.43</v>
      </c>
      <c r="AE423" s="157">
        <f>'Quantitativos (A)'!AC423*$D423*$E423</f>
        <v>30.43</v>
      </c>
      <c r="AF423" s="157">
        <f>'Quantitativos (A)'!AD423*$D423*$E423</f>
        <v>30.43</v>
      </c>
      <c r="AG423" s="157">
        <f>'Quantitativos (A)'!AE423*$D423*$E423</f>
        <v>30.43</v>
      </c>
      <c r="AH423" s="157">
        <f>'Quantitativos (A)'!AF423*$D423*$E423</f>
        <v>30.43</v>
      </c>
      <c r="AI423" s="158">
        <f>'Quantitativos (A)'!AG423*$D423*$E423</f>
        <v>30.43</v>
      </c>
      <c r="AJ423" s="22"/>
    </row>
    <row r="424" spans="1:36" x14ac:dyDescent="0.25">
      <c r="A424" s="112"/>
      <c r="B424" s="136" t="s">
        <v>132</v>
      </c>
      <c r="C424" s="67" t="s">
        <v>59</v>
      </c>
      <c r="D424" s="157">
        <f>'Dados (F)'!$D$301</f>
        <v>27.57</v>
      </c>
      <c r="E424" s="125">
        <f>IF('Dados (F)'!$D$35=1,1,'Dados (F)'!$C$39)</f>
        <v>1</v>
      </c>
      <c r="F424" s="157">
        <f>'Quantitativos (A)'!D424*$D424*$E424</f>
        <v>27.57</v>
      </c>
      <c r="G424" s="157">
        <f>'Quantitativos (A)'!E424*$D424*$E424</f>
        <v>27.57</v>
      </c>
      <c r="H424" s="157">
        <f>'Quantitativos (A)'!F424*$D424*$E424</f>
        <v>27.57</v>
      </c>
      <c r="I424" s="157">
        <f>'Quantitativos (A)'!G424*$D424*$E424</f>
        <v>27.57</v>
      </c>
      <c r="J424" s="157">
        <f>'Quantitativos (A)'!H424*$D424*$E424</f>
        <v>27.57</v>
      </c>
      <c r="K424" s="157">
        <f>'Quantitativos (A)'!I424*$D424*$E424</f>
        <v>27.57</v>
      </c>
      <c r="L424" s="157">
        <f>'Quantitativos (A)'!J424*$D424*$E424</f>
        <v>27.57</v>
      </c>
      <c r="M424" s="157">
        <f>'Quantitativos (A)'!K424*$D424*$E424</f>
        <v>27.57</v>
      </c>
      <c r="N424" s="157">
        <f>'Quantitativos (A)'!L424*$D424*$E424</f>
        <v>27.57</v>
      </c>
      <c r="O424" s="157">
        <f>'Quantitativos (A)'!M424*$D424*$E424</f>
        <v>27.57</v>
      </c>
      <c r="P424" s="157">
        <f>'Quantitativos (A)'!N424*$D424*$E424</f>
        <v>27.57</v>
      </c>
      <c r="Q424" s="157">
        <f>'Quantitativos (A)'!O424*$D424*$E424</f>
        <v>27.57</v>
      </c>
      <c r="R424" s="157">
        <f>'Quantitativos (A)'!P424*$D424*$E424</f>
        <v>27.57</v>
      </c>
      <c r="S424" s="157">
        <f>'Quantitativos (A)'!Q424*$D424*$E424</f>
        <v>27.57</v>
      </c>
      <c r="T424" s="157">
        <f>'Quantitativos (A)'!R424*$D424*$E424</f>
        <v>27.57</v>
      </c>
      <c r="U424" s="157">
        <f>'Quantitativos (A)'!S424*$D424*$E424</f>
        <v>27.57</v>
      </c>
      <c r="V424" s="157">
        <f>'Quantitativos (A)'!T424*$D424*$E424</f>
        <v>27.57</v>
      </c>
      <c r="W424" s="157">
        <f>'Quantitativos (A)'!U424*$D424*$E424</f>
        <v>27.57</v>
      </c>
      <c r="X424" s="157">
        <f>'Quantitativos (A)'!V424*$D424*$E424</f>
        <v>27.57</v>
      </c>
      <c r="Y424" s="157">
        <f>'Quantitativos (A)'!W424*$D424*$E424</f>
        <v>27.57</v>
      </c>
      <c r="Z424" s="157">
        <f>'Quantitativos (A)'!X424*$D424*$E424</f>
        <v>27.57</v>
      </c>
      <c r="AA424" s="157">
        <f>'Quantitativos (A)'!Y424*$D424*$E424</f>
        <v>27.57</v>
      </c>
      <c r="AB424" s="157">
        <f>'Quantitativos (A)'!Z424*$D424*$E424</f>
        <v>27.57</v>
      </c>
      <c r="AC424" s="157">
        <f>'Quantitativos (A)'!AA424*$D424*$E424</f>
        <v>27.57</v>
      </c>
      <c r="AD424" s="157">
        <f>'Quantitativos (A)'!AB424*$D424*$E424</f>
        <v>27.57</v>
      </c>
      <c r="AE424" s="157">
        <f>'Quantitativos (A)'!AC424*$D424*$E424</f>
        <v>27.57</v>
      </c>
      <c r="AF424" s="157">
        <f>'Quantitativos (A)'!AD424*$D424*$E424</f>
        <v>27.57</v>
      </c>
      <c r="AG424" s="157">
        <f>'Quantitativos (A)'!AE424*$D424*$E424</f>
        <v>27.57</v>
      </c>
      <c r="AH424" s="157">
        <f>'Quantitativos (A)'!AF424*$D424*$E424</f>
        <v>27.57</v>
      </c>
      <c r="AI424" s="158">
        <f>'Quantitativos (A)'!AG424*$D424*$E424</f>
        <v>27.57</v>
      </c>
      <c r="AJ424" s="22"/>
    </row>
    <row r="425" spans="1:36" x14ac:dyDescent="0.25">
      <c r="A425" s="112"/>
      <c r="B425" s="136" t="s">
        <v>133</v>
      </c>
      <c r="C425" s="67" t="s">
        <v>59</v>
      </c>
      <c r="D425" s="157">
        <f>'Dados (F)'!$D$302</f>
        <v>41.15</v>
      </c>
      <c r="E425" s="125">
        <f>IF('Dados (F)'!$D$35=1,1,'Dados (F)'!$C$39)</f>
        <v>1</v>
      </c>
      <c r="F425" s="157">
        <f>'Quantitativos (A)'!D425*$D425*$E425</f>
        <v>41.15</v>
      </c>
      <c r="G425" s="157">
        <f>'Quantitativos (A)'!E425*$D425*$E425</f>
        <v>41.15</v>
      </c>
      <c r="H425" s="157">
        <f>'Quantitativos (A)'!F425*$D425*$E425</f>
        <v>41.15</v>
      </c>
      <c r="I425" s="157">
        <f>'Quantitativos (A)'!G425*$D425*$E425</f>
        <v>41.15</v>
      </c>
      <c r="J425" s="157">
        <f>'Quantitativos (A)'!H425*$D425*$E425</f>
        <v>41.15</v>
      </c>
      <c r="K425" s="157">
        <f>'Quantitativos (A)'!I425*$D425*$E425</f>
        <v>41.15</v>
      </c>
      <c r="L425" s="157">
        <f>'Quantitativos (A)'!J425*$D425*$E425</f>
        <v>41.15</v>
      </c>
      <c r="M425" s="157">
        <f>'Quantitativos (A)'!K425*$D425*$E425</f>
        <v>41.15</v>
      </c>
      <c r="N425" s="157">
        <f>'Quantitativos (A)'!L425*$D425*$E425</f>
        <v>41.15</v>
      </c>
      <c r="O425" s="157">
        <f>'Quantitativos (A)'!M425*$D425*$E425</f>
        <v>41.15</v>
      </c>
      <c r="P425" s="157">
        <f>'Quantitativos (A)'!N425*$D425*$E425</f>
        <v>41.15</v>
      </c>
      <c r="Q425" s="157">
        <f>'Quantitativos (A)'!O425*$D425*$E425</f>
        <v>41.15</v>
      </c>
      <c r="R425" s="157">
        <f>'Quantitativos (A)'!P425*$D425*$E425</f>
        <v>41.15</v>
      </c>
      <c r="S425" s="157">
        <f>'Quantitativos (A)'!Q425*$D425*$E425</f>
        <v>41.15</v>
      </c>
      <c r="T425" s="157">
        <f>'Quantitativos (A)'!R425*$D425*$E425</f>
        <v>41.15</v>
      </c>
      <c r="U425" s="157">
        <f>'Quantitativos (A)'!S425*$D425*$E425</f>
        <v>41.15</v>
      </c>
      <c r="V425" s="157">
        <f>'Quantitativos (A)'!T425*$D425*$E425</f>
        <v>41.15</v>
      </c>
      <c r="W425" s="157">
        <f>'Quantitativos (A)'!U425*$D425*$E425</f>
        <v>41.15</v>
      </c>
      <c r="X425" s="157">
        <f>'Quantitativos (A)'!V425*$D425*$E425</f>
        <v>41.15</v>
      </c>
      <c r="Y425" s="157">
        <f>'Quantitativos (A)'!W425*$D425*$E425</f>
        <v>41.15</v>
      </c>
      <c r="Z425" s="157">
        <f>'Quantitativos (A)'!X425*$D425*$E425</f>
        <v>41.15</v>
      </c>
      <c r="AA425" s="157">
        <f>'Quantitativos (A)'!Y425*$D425*$E425</f>
        <v>41.15</v>
      </c>
      <c r="AB425" s="157">
        <f>'Quantitativos (A)'!Z425*$D425*$E425</f>
        <v>41.15</v>
      </c>
      <c r="AC425" s="157">
        <f>'Quantitativos (A)'!AA425*$D425*$E425</f>
        <v>41.15</v>
      </c>
      <c r="AD425" s="157">
        <f>'Quantitativos (A)'!AB425*$D425*$E425</f>
        <v>41.15</v>
      </c>
      <c r="AE425" s="157">
        <f>'Quantitativos (A)'!AC425*$D425*$E425</f>
        <v>41.15</v>
      </c>
      <c r="AF425" s="157">
        <f>'Quantitativos (A)'!AD425*$D425*$E425</f>
        <v>41.15</v>
      </c>
      <c r="AG425" s="157">
        <f>'Quantitativos (A)'!AE425*$D425*$E425</f>
        <v>41.15</v>
      </c>
      <c r="AH425" s="157">
        <f>'Quantitativos (A)'!AF425*$D425*$E425</f>
        <v>41.15</v>
      </c>
      <c r="AI425" s="158">
        <f>'Quantitativos (A)'!AG425*$D425*$E425</f>
        <v>41.15</v>
      </c>
      <c r="AJ425" s="22"/>
    </row>
    <row r="426" spans="1:36" x14ac:dyDescent="0.25">
      <c r="A426" s="112"/>
      <c r="B426" s="136" t="s">
        <v>134</v>
      </c>
      <c r="C426" s="67" t="s">
        <v>59</v>
      </c>
      <c r="D426" s="157">
        <f>'Dados (F)'!$D$303</f>
        <v>13.45</v>
      </c>
      <c r="E426" s="125">
        <f>IF('Dados (F)'!$D$35=1,1,'Dados (F)'!$C$39)</f>
        <v>1</v>
      </c>
      <c r="F426" s="157">
        <f>'Quantitativos (A)'!D426*$D426*$E426</f>
        <v>13.45</v>
      </c>
      <c r="G426" s="157">
        <f>'Quantitativos (A)'!E426*$D426*$E426</f>
        <v>13.45</v>
      </c>
      <c r="H426" s="157">
        <f>'Quantitativos (A)'!F426*$D426*$E426</f>
        <v>13.45</v>
      </c>
      <c r="I426" s="157">
        <f>'Quantitativos (A)'!G426*$D426*$E426</f>
        <v>13.45</v>
      </c>
      <c r="J426" s="157">
        <f>'Quantitativos (A)'!H426*$D426*$E426</f>
        <v>13.45</v>
      </c>
      <c r="K426" s="157">
        <f>'Quantitativos (A)'!I426*$D426*$E426</f>
        <v>13.45</v>
      </c>
      <c r="L426" s="157">
        <f>'Quantitativos (A)'!J426*$D426*$E426</f>
        <v>13.45</v>
      </c>
      <c r="M426" s="157">
        <f>'Quantitativos (A)'!K426*$D426*$E426</f>
        <v>13.45</v>
      </c>
      <c r="N426" s="157">
        <f>'Quantitativos (A)'!L426*$D426*$E426</f>
        <v>13.45</v>
      </c>
      <c r="O426" s="157">
        <f>'Quantitativos (A)'!M426*$D426*$E426</f>
        <v>13.45</v>
      </c>
      <c r="P426" s="157">
        <f>'Quantitativos (A)'!N426*$D426*$E426</f>
        <v>13.45</v>
      </c>
      <c r="Q426" s="157">
        <f>'Quantitativos (A)'!O426*$D426*$E426</f>
        <v>13.45</v>
      </c>
      <c r="R426" s="157">
        <f>'Quantitativos (A)'!P426*$D426*$E426</f>
        <v>13.45</v>
      </c>
      <c r="S426" s="157">
        <f>'Quantitativos (A)'!Q426*$D426*$E426</f>
        <v>13.45</v>
      </c>
      <c r="T426" s="157">
        <f>'Quantitativos (A)'!R426*$D426*$E426</f>
        <v>13.45</v>
      </c>
      <c r="U426" s="157">
        <f>'Quantitativos (A)'!S426*$D426*$E426</f>
        <v>13.45</v>
      </c>
      <c r="V426" s="157">
        <f>'Quantitativos (A)'!T426*$D426*$E426</f>
        <v>13.45</v>
      </c>
      <c r="W426" s="157">
        <f>'Quantitativos (A)'!U426*$D426*$E426</f>
        <v>13.45</v>
      </c>
      <c r="X426" s="157">
        <f>'Quantitativos (A)'!V426*$D426*$E426</f>
        <v>13.45</v>
      </c>
      <c r="Y426" s="157">
        <f>'Quantitativos (A)'!W426*$D426*$E426</f>
        <v>13.45</v>
      </c>
      <c r="Z426" s="157">
        <f>'Quantitativos (A)'!X426*$D426*$E426</f>
        <v>13.45</v>
      </c>
      <c r="AA426" s="157">
        <f>'Quantitativos (A)'!Y426*$D426*$E426</f>
        <v>13.45</v>
      </c>
      <c r="AB426" s="157">
        <f>'Quantitativos (A)'!Z426*$D426*$E426</f>
        <v>13.45</v>
      </c>
      <c r="AC426" s="157">
        <f>'Quantitativos (A)'!AA426*$D426*$E426</f>
        <v>13.45</v>
      </c>
      <c r="AD426" s="157">
        <f>'Quantitativos (A)'!AB426*$D426*$E426</f>
        <v>13.45</v>
      </c>
      <c r="AE426" s="157">
        <f>'Quantitativos (A)'!AC426*$D426*$E426</f>
        <v>13.45</v>
      </c>
      <c r="AF426" s="157">
        <f>'Quantitativos (A)'!AD426*$D426*$E426</f>
        <v>13.45</v>
      </c>
      <c r="AG426" s="157">
        <f>'Quantitativos (A)'!AE426*$D426*$E426</f>
        <v>13.45</v>
      </c>
      <c r="AH426" s="157">
        <f>'Quantitativos (A)'!AF426*$D426*$E426</f>
        <v>13.45</v>
      </c>
      <c r="AI426" s="158">
        <f>'Quantitativos (A)'!AG426*$D426*$E426</f>
        <v>13.45</v>
      </c>
      <c r="AJ426" s="22"/>
    </row>
    <row r="427" spans="1:36" x14ac:dyDescent="0.25">
      <c r="A427" s="112"/>
      <c r="B427" s="136" t="s">
        <v>135</v>
      </c>
      <c r="C427" s="67" t="s">
        <v>59</v>
      </c>
      <c r="D427" s="157">
        <f>'Dados (F)'!$D$304</f>
        <v>14.87</v>
      </c>
      <c r="E427" s="125">
        <f>IF('Dados (F)'!$D$35=1,1,'Dados (F)'!$C$39)</f>
        <v>1</v>
      </c>
      <c r="F427" s="157">
        <f>'Quantitativos (A)'!D427*$D427*$E427</f>
        <v>14.87</v>
      </c>
      <c r="G427" s="157">
        <f>'Quantitativos (A)'!E427*$D427*$E427</f>
        <v>14.87</v>
      </c>
      <c r="H427" s="157">
        <f>'Quantitativos (A)'!F427*$D427*$E427</f>
        <v>14.87</v>
      </c>
      <c r="I427" s="157">
        <f>'Quantitativos (A)'!G427*$D427*$E427</f>
        <v>14.87</v>
      </c>
      <c r="J427" s="157">
        <f>'Quantitativos (A)'!H427*$D427*$E427</f>
        <v>14.87</v>
      </c>
      <c r="K427" s="157">
        <f>'Quantitativos (A)'!I427*$D427*$E427</f>
        <v>14.87</v>
      </c>
      <c r="L427" s="157">
        <f>'Quantitativos (A)'!J427*$D427*$E427</f>
        <v>14.87</v>
      </c>
      <c r="M427" s="157">
        <f>'Quantitativos (A)'!K427*$D427*$E427</f>
        <v>14.87</v>
      </c>
      <c r="N427" s="157">
        <f>'Quantitativos (A)'!L427*$D427*$E427</f>
        <v>14.87</v>
      </c>
      <c r="O427" s="157">
        <f>'Quantitativos (A)'!M427*$D427*$E427</f>
        <v>14.87</v>
      </c>
      <c r="P427" s="157">
        <f>'Quantitativos (A)'!N427*$D427*$E427</f>
        <v>14.87</v>
      </c>
      <c r="Q427" s="157">
        <f>'Quantitativos (A)'!O427*$D427*$E427</f>
        <v>14.87</v>
      </c>
      <c r="R427" s="157">
        <f>'Quantitativos (A)'!P427*$D427*$E427</f>
        <v>14.87</v>
      </c>
      <c r="S427" s="157">
        <f>'Quantitativos (A)'!Q427*$D427*$E427</f>
        <v>14.87</v>
      </c>
      <c r="T427" s="157">
        <f>'Quantitativos (A)'!R427*$D427*$E427</f>
        <v>14.87</v>
      </c>
      <c r="U427" s="157">
        <f>'Quantitativos (A)'!S427*$D427*$E427</f>
        <v>14.87</v>
      </c>
      <c r="V427" s="157">
        <f>'Quantitativos (A)'!T427*$D427*$E427</f>
        <v>14.87</v>
      </c>
      <c r="W427" s="157">
        <f>'Quantitativos (A)'!U427*$D427*$E427</f>
        <v>14.87</v>
      </c>
      <c r="X427" s="157">
        <f>'Quantitativos (A)'!V427*$D427*$E427</f>
        <v>14.87</v>
      </c>
      <c r="Y427" s="157">
        <f>'Quantitativos (A)'!W427*$D427*$E427</f>
        <v>14.87</v>
      </c>
      <c r="Z427" s="157">
        <f>'Quantitativos (A)'!X427*$D427*$E427</f>
        <v>14.87</v>
      </c>
      <c r="AA427" s="157">
        <f>'Quantitativos (A)'!Y427*$D427*$E427</f>
        <v>14.87</v>
      </c>
      <c r="AB427" s="157">
        <f>'Quantitativos (A)'!Z427*$D427*$E427</f>
        <v>14.87</v>
      </c>
      <c r="AC427" s="157">
        <f>'Quantitativos (A)'!AA427*$D427*$E427</f>
        <v>14.87</v>
      </c>
      <c r="AD427" s="157">
        <f>'Quantitativos (A)'!AB427*$D427*$E427</f>
        <v>14.87</v>
      </c>
      <c r="AE427" s="157">
        <f>'Quantitativos (A)'!AC427*$D427*$E427</f>
        <v>14.87</v>
      </c>
      <c r="AF427" s="157">
        <f>'Quantitativos (A)'!AD427*$D427*$E427</f>
        <v>14.87</v>
      </c>
      <c r="AG427" s="157">
        <f>'Quantitativos (A)'!AE427*$D427*$E427</f>
        <v>14.87</v>
      </c>
      <c r="AH427" s="157">
        <f>'Quantitativos (A)'!AF427*$D427*$E427</f>
        <v>14.87</v>
      </c>
      <c r="AI427" s="158">
        <f>'Quantitativos (A)'!AG427*$D427*$E427</f>
        <v>14.87</v>
      </c>
      <c r="AJ427" s="22"/>
    </row>
    <row r="428" spans="1:36" x14ac:dyDescent="0.25">
      <c r="A428" s="112"/>
      <c r="B428" s="136" t="s">
        <v>136</v>
      </c>
      <c r="C428" s="67" t="s">
        <v>59</v>
      </c>
      <c r="D428" s="157">
        <f>'Dados (F)'!$D$305</f>
        <v>16.34</v>
      </c>
      <c r="E428" s="125">
        <f>IF('Dados (F)'!$D$35=1,1,'Dados (F)'!$C$39)</f>
        <v>1</v>
      </c>
      <c r="F428" s="157">
        <f>'Quantitativos (A)'!D428*$D428*$E428</f>
        <v>16.34</v>
      </c>
      <c r="G428" s="157">
        <f>'Quantitativos (A)'!E428*$D428*$E428</f>
        <v>16.34</v>
      </c>
      <c r="H428" s="157">
        <f>'Quantitativos (A)'!F428*$D428*$E428</f>
        <v>16.34</v>
      </c>
      <c r="I428" s="157">
        <f>'Quantitativos (A)'!G428*$D428*$E428</f>
        <v>16.34</v>
      </c>
      <c r="J428" s="157">
        <f>'Quantitativos (A)'!H428*$D428*$E428</f>
        <v>16.34</v>
      </c>
      <c r="K428" s="157">
        <f>'Quantitativos (A)'!I428*$D428*$E428</f>
        <v>16.34</v>
      </c>
      <c r="L428" s="157">
        <f>'Quantitativos (A)'!J428*$D428*$E428</f>
        <v>16.34</v>
      </c>
      <c r="M428" s="157">
        <f>'Quantitativos (A)'!K428*$D428*$E428</f>
        <v>16.34</v>
      </c>
      <c r="N428" s="157">
        <f>'Quantitativos (A)'!L428*$D428*$E428</f>
        <v>16.34</v>
      </c>
      <c r="O428" s="157">
        <f>'Quantitativos (A)'!M428*$D428*$E428</f>
        <v>16.34</v>
      </c>
      <c r="P428" s="157">
        <f>'Quantitativos (A)'!N428*$D428*$E428</f>
        <v>16.34</v>
      </c>
      <c r="Q428" s="157">
        <f>'Quantitativos (A)'!O428*$D428*$E428</f>
        <v>16.34</v>
      </c>
      <c r="R428" s="157">
        <f>'Quantitativos (A)'!P428*$D428*$E428</f>
        <v>16.34</v>
      </c>
      <c r="S428" s="157">
        <f>'Quantitativos (A)'!Q428*$D428*$E428</f>
        <v>16.34</v>
      </c>
      <c r="T428" s="157">
        <f>'Quantitativos (A)'!R428*$D428*$E428</f>
        <v>16.34</v>
      </c>
      <c r="U428" s="157">
        <f>'Quantitativos (A)'!S428*$D428*$E428</f>
        <v>16.34</v>
      </c>
      <c r="V428" s="157">
        <f>'Quantitativos (A)'!T428*$D428*$E428</f>
        <v>16.34</v>
      </c>
      <c r="W428" s="157">
        <f>'Quantitativos (A)'!U428*$D428*$E428</f>
        <v>16.34</v>
      </c>
      <c r="X428" s="157">
        <f>'Quantitativos (A)'!V428*$D428*$E428</f>
        <v>16.34</v>
      </c>
      <c r="Y428" s="157">
        <f>'Quantitativos (A)'!W428*$D428*$E428</f>
        <v>16.34</v>
      </c>
      <c r="Z428" s="157">
        <f>'Quantitativos (A)'!X428*$D428*$E428</f>
        <v>16.34</v>
      </c>
      <c r="AA428" s="157">
        <f>'Quantitativos (A)'!Y428*$D428*$E428</f>
        <v>16.34</v>
      </c>
      <c r="AB428" s="157">
        <f>'Quantitativos (A)'!Z428*$D428*$E428</f>
        <v>16.34</v>
      </c>
      <c r="AC428" s="157">
        <f>'Quantitativos (A)'!AA428*$D428*$E428</f>
        <v>16.34</v>
      </c>
      <c r="AD428" s="157">
        <f>'Quantitativos (A)'!AB428*$D428*$E428</f>
        <v>16.34</v>
      </c>
      <c r="AE428" s="157">
        <f>'Quantitativos (A)'!AC428*$D428*$E428</f>
        <v>16.34</v>
      </c>
      <c r="AF428" s="157">
        <f>'Quantitativos (A)'!AD428*$D428*$E428</f>
        <v>16.34</v>
      </c>
      <c r="AG428" s="157">
        <f>'Quantitativos (A)'!AE428*$D428*$E428</f>
        <v>16.34</v>
      </c>
      <c r="AH428" s="157">
        <f>'Quantitativos (A)'!AF428*$D428*$E428</f>
        <v>16.34</v>
      </c>
      <c r="AI428" s="158">
        <f>'Quantitativos (A)'!AG428*$D428*$E428</f>
        <v>16.34</v>
      </c>
      <c r="AJ428" s="22"/>
    </row>
    <row r="429" spans="1:36" x14ac:dyDescent="0.25">
      <c r="A429" s="112"/>
      <c r="B429" s="136" t="s">
        <v>137</v>
      </c>
      <c r="C429" s="67" t="s">
        <v>59</v>
      </c>
      <c r="D429" s="157">
        <f>'Dados (F)'!$D$306</f>
        <v>34.130000000000003</v>
      </c>
      <c r="E429" s="125">
        <f>IF('Dados (F)'!$D$35=1,1,'Dados (F)'!$C$39)</f>
        <v>1</v>
      </c>
      <c r="F429" s="157">
        <f>'Quantitativos (A)'!D429*$D429*$E429</f>
        <v>34.130000000000003</v>
      </c>
      <c r="G429" s="157">
        <f>'Quantitativos (A)'!E429*$D429*$E429</f>
        <v>34.130000000000003</v>
      </c>
      <c r="H429" s="157">
        <f>'Quantitativos (A)'!F429*$D429*$E429</f>
        <v>34.130000000000003</v>
      </c>
      <c r="I429" s="157">
        <f>'Quantitativos (A)'!G429*$D429*$E429</f>
        <v>34.130000000000003</v>
      </c>
      <c r="J429" s="157">
        <f>'Quantitativos (A)'!H429*$D429*$E429</f>
        <v>34.130000000000003</v>
      </c>
      <c r="K429" s="157">
        <f>'Quantitativos (A)'!I429*$D429*$E429</f>
        <v>34.130000000000003</v>
      </c>
      <c r="L429" s="157">
        <f>'Quantitativos (A)'!J429*$D429*$E429</f>
        <v>34.130000000000003</v>
      </c>
      <c r="M429" s="157">
        <f>'Quantitativos (A)'!K429*$D429*$E429</f>
        <v>34.130000000000003</v>
      </c>
      <c r="N429" s="157">
        <f>'Quantitativos (A)'!L429*$D429*$E429</f>
        <v>34.130000000000003</v>
      </c>
      <c r="O429" s="157">
        <f>'Quantitativos (A)'!M429*$D429*$E429</f>
        <v>34.130000000000003</v>
      </c>
      <c r="P429" s="157">
        <f>'Quantitativos (A)'!N429*$D429*$E429</f>
        <v>34.130000000000003</v>
      </c>
      <c r="Q429" s="157">
        <f>'Quantitativos (A)'!O429*$D429*$E429</f>
        <v>34.130000000000003</v>
      </c>
      <c r="R429" s="157">
        <f>'Quantitativos (A)'!P429*$D429*$E429</f>
        <v>34.130000000000003</v>
      </c>
      <c r="S429" s="157">
        <f>'Quantitativos (A)'!Q429*$D429*$E429</f>
        <v>34.130000000000003</v>
      </c>
      <c r="T429" s="157">
        <f>'Quantitativos (A)'!R429*$D429*$E429</f>
        <v>34.130000000000003</v>
      </c>
      <c r="U429" s="157">
        <f>'Quantitativos (A)'!S429*$D429*$E429</f>
        <v>34.130000000000003</v>
      </c>
      <c r="V429" s="157">
        <f>'Quantitativos (A)'!T429*$D429*$E429</f>
        <v>34.130000000000003</v>
      </c>
      <c r="W429" s="157">
        <f>'Quantitativos (A)'!U429*$D429*$E429</f>
        <v>34.130000000000003</v>
      </c>
      <c r="X429" s="157">
        <f>'Quantitativos (A)'!V429*$D429*$E429</f>
        <v>34.130000000000003</v>
      </c>
      <c r="Y429" s="157">
        <f>'Quantitativos (A)'!W429*$D429*$E429</f>
        <v>34.130000000000003</v>
      </c>
      <c r="Z429" s="157">
        <f>'Quantitativos (A)'!X429*$D429*$E429</f>
        <v>34.130000000000003</v>
      </c>
      <c r="AA429" s="157">
        <f>'Quantitativos (A)'!Y429*$D429*$E429</f>
        <v>34.130000000000003</v>
      </c>
      <c r="AB429" s="157">
        <f>'Quantitativos (A)'!Z429*$D429*$E429</f>
        <v>34.130000000000003</v>
      </c>
      <c r="AC429" s="157">
        <f>'Quantitativos (A)'!AA429*$D429*$E429</f>
        <v>34.130000000000003</v>
      </c>
      <c r="AD429" s="157">
        <f>'Quantitativos (A)'!AB429*$D429*$E429</f>
        <v>34.130000000000003</v>
      </c>
      <c r="AE429" s="157">
        <f>'Quantitativos (A)'!AC429*$D429*$E429</f>
        <v>34.130000000000003</v>
      </c>
      <c r="AF429" s="157">
        <f>'Quantitativos (A)'!AD429*$D429*$E429</f>
        <v>34.130000000000003</v>
      </c>
      <c r="AG429" s="157">
        <f>'Quantitativos (A)'!AE429*$D429*$E429</f>
        <v>34.130000000000003</v>
      </c>
      <c r="AH429" s="157">
        <f>'Quantitativos (A)'!AF429*$D429*$E429</f>
        <v>34.130000000000003</v>
      </c>
      <c r="AI429" s="158">
        <f>'Quantitativos (A)'!AG429*$D429*$E429</f>
        <v>34.130000000000003</v>
      </c>
      <c r="AJ429" s="22"/>
    </row>
    <row r="430" spans="1:36" x14ac:dyDescent="0.25">
      <c r="A430" s="112"/>
      <c r="B430" s="136" t="s">
        <v>138</v>
      </c>
      <c r="C430" s="67" t="s">
        <v>59</v>
      </c>
      <c r="D430" s="157">
        <f>'Dados (F)'!$D$307</f>
        <v>32.9</v>
      </c>
      <c r="E430" s="125">
        <f>IF('Dados (F)'!$D$35=1,1,'Dados (F)'!$C$39)</f>
        <v>1</v>
      </c>
      <c r="F430" s="157">
        <f>'Quantitativos (A)'!D430*$D430*$E430</f>
        <v>32.9</v>
      </c>
      <c r="G430" s="157">
        <f>'Quantitativos (A)'!E430*$D430*$E430</f>
        <v>32.9</v>
      </c>
      <c r="H430" s="157">
        <f>'Quantitativos (A)'!F430*$D430*$E430</f>
        <v>32.9</v>
      </c>
      <c r="I430" s="157">
        <f>'Quantitativos (A)'!G430*$D430*$E430</f>
        <v>32.9</v>
      </c>
      <c r="J430" s="157">
        <f>'Quantitativos (A)'!H430*$D430*$E430</f>
        <v>32.9</v>
      </c>
      <c r="K430" s="157">
        <f>'Quantitativos (A)'!I430*$D430*$E430</f>
        <v>32.9</v>
      </c>
      <c r="L430" s="157">
        <f>'Quantitativos (A)'!J430*$D430*$E430</f>
        <v>32.9</v>
      </c>
      <c r="M430" s="157">
        <f>'Quantitativos (A)'!K430*$D430*$E430</f>
        <v>32.9</v>
      </c>
      <c r="N430" s="157">
        <f>'Quantitativos (A)'!L430*$D430*$E430</f>
        <v>32.9</v>
      </c>
      <c r="O430" s="157">
        <f>'Quantitativos (A)'!M430*$D430*$E430</f>
        <v>32.9</v>
      </c>
      <c r="P430" s="157">
        <f>'Quantitativos (A)'!N430*$D430*$E430</f>
        <v>32.9</v>
      </c>
      <c r="Q430" s="157">
        <f>'Quantitativos (A)'!O430*$D430*$E430</f>
        <v>32.9</v>
      </c>
      <c r="R430" s="157">
        <f>'Quantitativos (A)'!P430*$D430*$E430</f>
        <v>32.9</v>
      </c>
      <c r="S430" s="157">
        <f>'Quantitativos (A)'!Q430*$D430*$E430</f>
        <v>32.9</v>
      </c>
      <c r="T430" s="157">
        <f>'Quantitativos (A)'!R430*$D430*$E430</f>
        <v>32.9</v>
      </c>
      <c r="U430" s="157">
        <f>'Quantitativos (A)'!S430*$D430*$E430</f>
        <v>32.9</v>
      </c>
      <c r="V430" s="157">
        <f>'Quantitativos (A)'!T430*$D430*$E430</f>
        <v>32.9</v>
      </c>
      <c r="W430" s="157">
        <f>'Quantitativos (A)'!U430*$D430*$E430</f>
        <v>32.9</v>
      </c>
      <c r="X430" s="157">
        <f>'Quantitativos (A)'!V430*$D430*$E430</f>
        <v>32.9</v>
      </c>
      <c r="Y430" s="157">
        <f>'Quantitativos (A)'!W430*$D430*$E430</f>
        <v>32.9</v>
      </c>
      <c r="Z430" s="157">
        <f>'Quantitativos (A)'!X430*$D430*$E430</f>
        <v>32.9</v>
      </c>
      <c r="AA430" s="157">
        <f>'Quantitativos (A)'!Y430*$D430*$E430</f>
        <v>32.9</v>
      </c>
      <c r="AB430" s="157">
        <f>'Quantitativos (A)'!Z430*$D430*$E430</f>
        <v>32.9</v>
      </c>
      <c r="AC430" s="157">
        <f>'Quantitativos (A)'!AA430*$D430*$E430</f>
        <v>32.9</v>
      </c>
      <c r="AD430" s="157">
        <f>'Quantitativos (A)'!AB430*$D430*$E430</f>
        <v>32.9</v>
      </c>
      <c r="AE430" s="157">
        <f>'Quantitativos (A)'!AC430*$D430*$E430</f>
        <v>32.9</v>
      </c>
      <c r="AF430" s="157">
        <f>'Quantitativos (A)'!AD430*$D430*$E430</f>
        <v>32.9</v>
      </c>
      <c r="AG430" s="157">
        <f>'Quantitativos (A)'!AE430*$D430*$E430</f>
        <v>32.9</v>
      </c>
      <c r="AH430" s="157">
        <f>'Quantitativos (A)'!AF430*$D430*$E430</f>
        <v>32.9</v>
      </c>
      <c r="AI430" s="158">
        <f>'Quantitativos (A)'!AG430*$D430*$E430</f>
        <v>32.9</v>
      </c>
      <c r="AJ430" s="22"/>
    </row>
    <row r="431" spans="1:36" x14ac:dyDescent="0.25">
      <c r="A431" s="112"/>
      <c r="B431" s="136" t="s">
        <v>139</v>
      </c>
      <c r="C431" s="67" t="s">
        <v>59</v>
      </c>
      <c r="D431" s="157">
        <f>'Dados (F)'!$D$308</f>
        <v>39.71</v>
      </c>
      <c r="E431" s="125">
        <f>IF('Dados (F)'!$D$35=1,1,'Dados (F)'!$C$39)</f>
        <v>1</v>
      </c>
      <c r="F431" s="157">
        <f>'Quantitativos (A)'!D431*$D431*$E431</f>
        <v>39.71</v>
      </c>
      <c r="G431" s="157">
        <f>'Quantitativos (A)'!E431*$D431*$E431</f>
        <v>39.71</v>
      </c>
      <c r="H431" s="157">
        <f>'Quantitativos (A)'!F431*$D431*$E431</f>
        <v>39.71</v>
      </c>
      <c r="I431" s="157">
        <f>'Quantitativos (A)'!G431*$D431*$E431</f>
        <v>39.71</v>
      </c>
      <c r="J431" s="157">
        <f>'Quantitativos (A)'!H431*$D431*$E431</f>
        <v>39.71</v>
      </c>
      <c r="K431" s="157">
        <f>'Quantitativos (A)'!I431*$D431*$E431</f>
        <v>39.71</v>
      </c>
      <c r="L431" s="157">
        <f>'Quantitativos (A)'!J431*$D431*$E431</f>
        <v>39.71</v>
      </c>
      <c r="M431" s="157">
        <f>'Quantitativos (A)'!K431*$D431*$E431</f>
        <v>39.71</v>
      </c>
      <c r="N431" s="157">
        <f>'Quantitativos (A)'!L431*$D431*$E431</f>
        <v>39.71</v>
      </c>
      <c r="O431" s="157">
        <f>'Quantitativos (A)'!M431*$D431*$E431</f>
        <v>39.71</v>
      </c>
      <c r="P431" s="157">
        <f>'Quantitativos (A)'!N431*$D431*$E431</f>
        <v>39.71</v>
      </c>
      <c r="Q431" s="157">
        <f>'Quantitativos (A)'!O431*$D431*$E431</f>
        <v>39.71</v>
      </c>
      <c r="R431" s="157">
        <f>'Quantitativos (A)'!P431*$D431*$E431</f>
        <v>39.71</v>
      </c>
      <c r="S431" s="157">
        <f>'Quantitativos (A)'!Q431*$D431*$E431</f>
        <v>39.71</v>
      </c>
      <c r="T431" s="157">
        <f>'Quantitativos (A)'!R431*$D431*$E431</f>
        <v>39.71</v>
      </c>
      <c r="U431" s="157">
        <f>'Quantitativos (A)'!S431*$D431*$E431</f>
        <v>39.71</v>
      </c>
      <c r="V431" s="157">
        <f>'Quantitativos (A)'!T431*$D431*$E431</f>
        <v>39.71</v>
      </c>
      <c r="W431" s="157">
        <f>'Quantitativos (A)'!U431*$D431*$E431</f>
        <v>39.71</v>
      </c>
      <c r="X431" s="157">
        <f>'Quantitativos (A)'!V431*$D431*$E431</f>
        <v>39.71</v>
      </c>
      <c r="Y431" s="157">
        <f>'Quantitativos (A)'!W431*$D431*$E431</f>
        <v>39.71</v>
      </c>
      <c r="Z431" s="157">
        <f>'Quantitativos (A)'!X431*$D431*$E431</f>
        <v>39.71</v>
      </c>
      <c r="AA431" s="157">
        <f>'Quantitativos (A)'!Y431*$D431*$E431</f>
        <v>39.71</v>
      </c>
      <c r="AB431" s="157">
        <f>'Quantitativos (A)'!Z431*$D431*$E431</f>
        <v>39.71</v>
      </c>
      <c r="AC431" s="157">
        <f>'Quantitativos (A)'!AA431*$D431*$E431</f>
        <v>39.71</v>
      </c>
      <c r="AD431" s="157">
        <f>'Quantitativos (A)'!AB431*$D431*$E431</f>
        <v>39.71</v>
      </c>
      <c r="AE431" s="157">
        <f>'Quantitativos (A)'!AC431*$D431*$E431</f>
        <v>39.71</v>
      </c>
      <c r="AF431" s="157">
        <f>'Quantitativos (A)'!AD431*$D431*$E431</f>
        <v>39.71</v>
      </c>
      <c r="AG431" s="157">
        <f>'Quantitativos (A)'!AE431*$D431*$E431</f>
        <v>39.71</v>
      </c>
      <c r="AH431" s="157">
        <f>'Quantitativos (A)'!AF431*$D431*$E431</f>
        <v>39.71</v>
      </c>
      <c r="AI431" s="158">
        <f>'Quantitativos (A)'!AG431*$D431*$E431</f>
        <v>39.71</v>
      </c>
      <c r="AJ431" s="22"/>
    </row>
    <row r="432" spans="1:36" x14ac:dyDescent="0.25">
      <c r="A432" s="112"/>
      <c r="B432" s="136" t="s">
        <v>140</v>
      </c>
      <c r="C432" s="67" t="s">
        <v>59</v>
      </c>
      <c r="D432" s="157">
        <f>'Dados (F)'!$D$309</f>
        <v>40.22</v>
      </c>
      <c r="E432" s="125">
        <f>IF('Dados (F)'!$D$35=1,1,'Dados (F)'!$C$39)</f>
        <v>1</v>
      </c>
      <c r="F432" s="157">
        <f>'Quantitativos (A)'!D432*$D432*$E432</f>
        <v>40.22</v>
      </c>
      <c r="G432" s="157">
        <f>'Quantitativos (A)'!E432*$D432*$E432</f>
        <v>40.22</v>
      </c>
      <c r="H432" s="157">
        <f>'Quantitativos (A)'!F432*$D432*$E432</f>
        <v>40.22</v>
      </c>
      <c r="I432" s="157">
        <f>'Quantitativos (A)'!G432*$D432*$E432</f>
        <v>40.22</v>
      </c>
      <c r="J432" s="157">
        <f>'Quantitativos (A)'!H432*$D432*$E432</f>
        <v>40.22</v>
      </c>
      <c r="K432" s="157">
        <f>'Quantitativos (A)'!I432*$D432*$E432</f>
        <v>40.22</v>
      </c>
      <c r="L432" s="157">
        <f>'Quantitativos (A)'!J432*$D432*$E432</f>
        <v>40.22</v>
      </c>
      <c r="M432" s="157">
        <f>'Quantitativos (A)'!K432*$D432*$E432</f>
        <v>40.22</v>
      </c>
      <c r="N432" s="157">
        <f>'Quantitativos (A)'!L432*$D432*$E432</f>
        <v>40.22</v>
      </c>
      <c r="O432" s="157">
        <f>'Quantitativos (A)'!M432*$D432*$E432</f>
        <v>40.22</v>
      </c>
      <c r="P432" s="157">
        <f>'Quantitativos (A)'!N432*$D432*$E432</f>
        <v>40.22</v>
      </c>
      <c r="Q432" s="157">
        <f>'Quantitativos (A)'!O432*$D432*$E432</f>
        <v>40.22</v>
      </c>
      <c r="R432" s="157">
        <f>'Quantitativos (A)'!P432*$D432*$E432</f>
        <v>40.22</v>
      </c>
      <c r="S432" s="157">
        <f>'Quantitativos (A)'!Q432*$D432*$E432</f>
        <v>40.22</v>
      </c>
      <c r="T432" s="157">
        <f>'Quantitativos (A)'!R432*$D432*$E432</f>
        <v>40.22</v>
      </c>
      <c r="U432" s="157">
        <f>'Quantitativos (A)'!S432*$D432*$E432</f>
        <v>40.22</v>
      </c>
      <c r="V432" s="157">
        <f>'Quantitativos (A)'!T432*$D432*$E432</f>
        <v>40.22</v>
      </c>
      <c r="W432" s="157">
        <f>'Quantitativos (A)'!U432*$D432*$E432</f>
        <v>40.22</v>
      </c>
      <c r="X432" s="157">
        <f>'Quantitativos (A)'!V432*$D432*$E432</f>
        <v>40.22</v>
      </c>
      <c r="Y432" s="157">
        <f>'Quantitativos (A)'!W432*$D432*$E432</f>
        <v>40.22</v>
      </c>
      <c r="Z432" s="157">
        <f>'Quantitativos (A)'!X432*$D432*$E432</f>
        <v>40.22</v>
      </c>
      <c r="AA432" s="157">
        <f>'Quantitativos (A)'!Y432*$D432*$E432</f>
        <v>40.22</v>
      </c>
      <c r="AB432" s="157">
        <f>'Quantitativos (A)'!Z432*$D432*$E432</f>
        <v>40.22</v>
      </c>
      <c r="AC432" s="157">
        <f>'Quantitativos (A)'!AA432*$D432*$E432</f>
        <v>40.22</v>
      </c>
      <c r="AD432" s="157">
        <f>'Quantitativos (A)'!AB432*$D432*$E432</f>
        <v>40.22</v>
      </c>
      <c r="AE432" s="157">
        <f>'Quantitativos (A)'!AC432*$D432*$E432</f>
        <v>40.22</v>
      </c>
      <c r="AF432" s="157">
        <f>'Quantitativos (A)'!AD432*$D432*$E432</f>
        <v>40.22</v>
      </c>
      <c r="AG432" s="157">
        <f>'Quantitativos (A)'!AE432*$D432*$E432</f>
        <v>40.22</v>
      </c>
      <c r="AH432" s="157">
        <f>'Quantitativos (A)'!AF432*$D432*$E432</f>
        <v>40.22</v>
      </c>
      <c r="AI432" s="158">
        <f>'Quantitativos (A)'!AG432*$D432*$E432</f>
        <v>40.22</v>
      </c>
      <c r="AJ432" s="22"/>
    </row>
    <row r="433" spans="1:36" x14ac:dyDescent="0.25">
      <c r="A433" s="112"/>
      <c r="B433" s="136" t="s">
        <v>141</v>
      </c>
      <c r="C433" s="67" t="s">
        <v>59</v>
      </c>
      <c r="D433" s="157">
        <f>'Dados (F)'!$D$310</f>
        <v>42.08</v>
      </c>
      <c r="E433" s="125">
        <f>IF('Dados (F)'!$D$35=1,1,'Dados (F)'!$C$39)</f>
        <v>1</v>
      </c>
      <c r="F433" s="157">
        <f>'Quantitativos (A)'!D433*$D433*$E433</f>
        <v>42.08</v>
      </c>
      <c r="G433" s="157">
        <f>'Quantitativos (A)'!E433*$D433*$E433</f>
        <v>42.08</v>
      </c>
      <c r="H433" s="157">
        <f>'Quantitativos (A)'!F433*$D433*$E433</f>
        <v>42.08</v>
      </c>
      <c r="I433" s="157">
        <f>'Quantitativos (A)'!G433*$D433*$E433</f>
        <v>42.08</v>
      </c>
      <c r="J433" s="157">
        <f>'Quantitativos (A)'!H433*$D433*$E433</f>
        <v>42.08</v>
      </c>
      <c r="K433" s="157">
        <f>'Quantitativos (A)'!I433*$D433*$E433</f>
        <v>42.08</v>
      </c>
      <c r="L433" s="157">
        <f>'Quantitativos (A)'!J433*$D433*$E433</f>
        <v>42.08</v>
      </c>
      <c r="M433" s="157">
        <f>'Quantitativos (A)'!K433*$D433*$E433</f>
        <v>42.08</v>
      </c>
      <c r="N433" s="157">
        <f>'Quantitativos (A)'!L433*$D433*$E433</f>
        <v>42.08</v>
      </c>
      <c r="O433" s="157">
        <f>'Quantitativos (A)'!M433*$D433*$E433</f>
        <v>42.08</v>
      </c>
      <c r="P433" s="157">
        <f>'Quantitativos (A)'!N433*$D433*$E433</f>
        <v>42.08</v>
      </c>
      <c r="Q433" s="157">
        <f>'Quantitativos (A)'!O433*$D433*$E433</f>
        <v>42.08</v>
      </c>
      <c r="R433" s="157">
        <f>'Quantitativos (A)'!P433*$D433*$E433</f>
        <v>42.08</v>
      </c>
      <c r="S433" s="157">
        <f>'Quantitativos (A)'!Q433*$D433*$E433</f>
        <v>42.08</v>
      </c>
      <c r="T433" s="157">
        <f>'Quantitativos (A)'!R433*$D433*$E433</f>
        <v>42.08</v>
      </c>
      <c r="U433" s="157">
        <f>'Quantitativos (A)'!S433*$D433*$E433</f>
        <v>42.08</v>
      </c>
      <c r="V433" s="157">
        <f>'Quantitativos (A)'!T433*$D433*$E433</f>
        <v>42.08</v>
      </c>
      <c r="W433" s="157">
        <f>'Quantitativos (A)'!U433*$D433*$E433</f>
        <v>42.08</v>
      </c>
      <c r="X433" s="157">
        <f>'Quantitativos (A)'!V433*$D433*$E433</f>
        <v>42.08</v>
      </c>
      <c r="Y433" s="157">
        <f>'Quantitativos (A)'!W433*$D433*$E433</f>
        <v>42.08</v>
      </c>
      <c r="Z433" s="157">
        <f>'Quantitativos (A)'!X433*$D433*$E433</f>
        <v>42.08</v>
      </c>
      <c r="AA433" s="157">
        <f>'Quantitativos (A)'!Y433*$D433*$E433</f>
        <v>42.08</v>
      </c>
      <c r="AB433" s="157">
        <f>'Quantitativos (A)'!Z433*$D433*$E433</f>
        <v>42.08</v>
      </c>
      <c r="AC433" s="157">
        <f>'Quantitativos (A)'!AA433*$D433*$E433</f>
        <v>42.08</v>
      </c>
      <c r="AD433" s="157">
        <f>'Quantitativos (A)'!AB433*$D433*$E433</f>
        <v>42.08</v>
      </c>
      <c r="AE433" s="157">
        <f>'Quantitativos (A)'!AC433*$D433*$E433</f>
        <v>42.08</v>
      </c>
      <c r="AF433" s="157">
        <f>'Quantitativos (A)'!AD433*$D433*$E433</f>
        <v>42.08</v>
      </c>
      <c r="AG433" s="157">
        <f>'Quantitativos (A)'!AE433*$D433*$E433</f>
        <v>42.08</v>
      </c>
      <c r="AH433" s="157">
        <f>'Quantitativos (A)'!AF433*$D433*$E433</f>
        <v>42.08</v>
      </c>
      <c r="AI433" s="158">
        <f>'Quantitativos (A)'!AG433*$D433*$E433</f>
        <v>42.08</v>
      </c>
      <c r="AJ433" s="22"/>
    </row>
    <row r="434" spans="1:36" x14ac:dyDescent="0.25">
      <c r="A434" s="112"/>
      <c r="B434" s="136" t="s">
        <v>142</v>
      </c>
      <c r="C434" s="67" t="s">
        <v>59</v>
      </c>
      <c r="D434" s="157">
        <f>'Dados (F)'!$D$311</f>
        <v>41.33</v>
      </c>
      <c r="E434" s="125">
        <f>IF('Dados (F)'!$D$35=1,1,'Dados (F)'!$C$39)</f>
        <v>1</v>
      </c>
      <c r="F434" s="157">
        <f>'Quantitativos (A)'!D434*$D434*$E434</f>
        <v>41.33</v>
      </c>
      <c r="G434" s="157">
        <f>'Quantitativos (A)'!E434*$D434*$E434</f>
        <v>41.33</v>
      </c>
      <c r="H434" s="157">
        <f>'Quantitativos (A)'!F434*$D434*$E434</f>
        <v>41.33</v>
      </c>
      <c r="I434" s="157">
        <f>'Quantitativos (A)'!G434*$D434*$E434</f>
        <v>41.33</v>
      </c>
      <c r="J434" s="157">
        <f>'Quantitativos (A)'!H434*$D434*$E434</f>
        <v>41.33</v>
      </c>
      <c r="K434" s="157">
        <f>'Quantitativos (A)'!I434*$D434*$E434</f>
        <v>41.33</v>
      </c>
      <c r="L434" s="157">
        <f>'Quantitativos (A)'!J434*$D434*$E434</f>
        <v>41.33</v>
      </c>
      <c r="M434" s="157">
        <f>'Quantitativos (A)'!K434*$D434*$E434</f>
        <v>41.33</v>
      </c>
      <c r="N434" s="157">
        <f>'Quantitativos (A)'!L434*$D434*$E434</f>
        <v>41.33</v>
      </c>
      <c r="O434" s="157">
        <f>'Quantitativos (A)'!M434*$D434*$E434</f>
        <v>41.33</v>
      </c>
      <c r="P434" s="157">
        <f>'Quantitativos (A)'!N434*$D434*$E434</f>
        <v>41.33</v>
      </c>
      <c r="Q434" s="157">
        <f>'Quantitativos (A)'!O434*$D434*$E434</f>
        <v>41.33</v>
      </c>
      <c r="R434" s="157">
        <f>'Quantitativos (A)'!P434*$D434*$E434</f>
        <v>41.33</v>
      </c>
      <c r="S434" s="157">
        <f>'Quantitativos (A)'!Q434*$D434*$E434</f>
        <v>41.33</v>
      </c>
      <c r="T434" s="157">
        <f>'Quantitativos (A)'!R434*$D434*$E434</f>
        <v>41.33</v>
      </c>
      <c r="U434" s="157">
        <f>'Quantitativos (A)'!S434*$D434*$E434</f>
        <v>41.33</v>
      </c>
      <c r="V434" s="157">
        <f>'Quantitativos (A)'!T434*$D434*$E434</f>
        <v>41.33</v>
      </c>
      <c r="W434" s="157">
        <f>'Quantitativos (A)'!U434*$D434*$E434</f>
        <v>41.33</v>
      </c>
      <c r="X434" s="157">
        <f>'Quantitativos (A)'!V434*$D434*$E434</f>
        <v>41.33</v>
      </c>
      <c r="Y434" s="157">
        <f>'Quantitativos (A)'!W434*$D434*$E434</f>
        <v>41.33</v>
      </c>
      <c r="Z434" s="157">
        <f>'Quantitativos (A)'!X434*$D434*$E434</f>
        <v>41.33</v>
      </c>
      <c r="AA434" s="157">
        <f>'Quantitativos (A)'!Y434*$D434*$E434</f>
        <v>41.33</v>
      </c>
      <c r="AB434" s="157">
        <f>'Quantitativos (A)'!Z434*$D434*$E434</f>
        <v>41.33</v>
      </c>
      <c r="AC434" s="157">
        <f>'Quantitativos (A)'!AA434*$D434*$E434</f>
        <v>41.33</v>
      </c>
      <c r="AD434" s="157">
        <f>'Quantitativos (A)'!AB434*$D434*$E434</f>
        <v>41.33</v>
      </c>
      <c r="AE434" s="157">
        <f>'Quantitativos (A)'!AC434*$D434*$E434</f>
        <v>41.33</v>
      </c>
      <c r="AF434" s="157">
        <f>'Quantitativos (A)'!AD434*$D434*$E434</f>
        <v>41.33</v>
      </c>
      <c r="AG434" s="157">
        <f>'Quantitativos (A)'!AE434*$D434*$E434</f>
        <v>41.33</v>
      </c>
      <c r="AH434" s="157">
        <f>'Quantitativos (A)'!AF434*$D434*$E434</f>
        <v>41.33</v>
      </c>
      <c r="AI434" s="158">
        <f>'Quantitativos (A)'!AG434*$D434*$E434</f>
        <v>41.33</v>
      </c>
      <c r="AJ434" s="22"/>
    </row>
    <row r="435" spans="1:36" x14ac:dyDescent="0.25">
      <c r="A435" s="112"/>
      <c r="B435" s="136" t="s">
        <v>143</v>
      </c>
      <c r="C435" s="67" t="s">
        <v>59</v>
      </c>
      <c r="D435" s="157">
        <f>'Dados (F)'!$D$312</f>
        <v>55.35</v>
      </c>
      <c r="E435" s="125">
        <f>IF('Dados (F)'!$D$35=1,1,'Dados (F)'!$C$39)</f>
        <v>1</v>
      </c>
      <c r="F435" s="157">
        <f>'Quantitativos (A)'!D435*$D435*$E435</f>
        <v>55.35</v>
      </c>
      <c r="G435" s="157">
        <f>'Quantitativos (A)'!E435*$D435*$E435</f>
        <v>55.35</v>
      </c>
      <c r="H435" s="157">
        <f>'Quantitativos (A)'!F435*$D435*$E435</f>
        <v>55.35</v>
      </c>
      <c r="I435" s="157">
        <f>'Quantitativos (A)'!G435*$D435*$E435</f>
        <v>55.35</v>
      </c>
      <c r="J435" s="157">
        <f>'Quantitativos (A)'!H435*$D435*$E435</f>
        <v>55.35</v>
      </c>
      <c r="K435" s="157">
        <f>'Quantitativos (A)'!I435*$D435*$E435</f>
        <v>55.35</v>
      </c>
      <c r="L435" s="157">
        <f>'Quantitativos (A)'!J435*$D435*$E435</f>
        <v>55.35</v>
      </c>
      <c r="M435" s="157">
        <f>'Quantitativos (A)'!K435*$D435*$E435</f>
        <v>55.35</v>
      </c>
      <c r="N435" s="157">
        <f>'Quantitativos (A)'!L435*$D435*$E435</f>
        <v>55.35</v>
      </c>
      <c r="O435" s="157">
        <f>'Quantitativos (A)'!M435*$D435*$E435</f>
        <v>55.35</v>
      </c>
      <c r="P435" s="157">
        <f>'Quantitativos (A)'!N435*$D435*$E435</f>
        <v>55.35</v>
      </c>
      <c r="Q435" s="157">
        <f>'Quantitativos (A)'!O435*$D435*$E435</f>
        <v>55.35</v>
      </c>
      <c r="R435" s="157">
        <f>'Quantitativos (A)'!P435*$D435*$E435</f>
        <v>55.35</v>
      </c>
      <c r="S435" s="157">
        <f>'Quantitativos (A)'!Q435*$D435*$E435</f>
        <v>55.35</v>
      </c>
      <c r="T435" s="157">
        <f>'Quantitativos (A)'!R435*$D435*$E435</f>
        <v>55.35</v>
      </c>
      <c r="U435" s="157">
        <f>'Quantitativos (A)'!S435*$D435*$E435</f>
        <v>55.35</v>
      </c>
      <c r="V435" s="157">
        <f>'Quantitativos (A)'!T435*$D435*$E435</f>
        <v>55.35</v>
      </c>
      <c r="W435" s="157">
        <f>'Quantitativos (A)'!U435*$D435*$E435</f>
        <v>55.35</v>
      </c>
      <c r="X435" s="157">
        <f>'Quantitativos (A)'!V435*$D435*$E435</f>
        <v>55.35</v>
      </c>
      <c r="Y435" s="157">
        <f>'Quantitativos (A)'!W435*$D435*$E435</f>
        <v>55.35</v>
      </c>
      <c r="Z435" s="157">
        <f>'Quantitativos (A)'!X435*$D435*$E435</f>
        <v>55.35</v>
      </c>
      <c r="AA435" s="157">
        <f>'Quantitativos (A)'!Y435*$D435*$E435</f>
        <v>55.35</v>
      </c>
      <c r="AB435" s="157">
        <f>'Quantitativos (A)'!Z435*$D435*$E435</f>
        <v>55.35</v>
      </c>
      <c r="AC435" s="157">
        <f>'Quantitativos (A)'!AA435*$D435*$E435</f>
        <v>55.35</v>
      </c>
      <c r="AD435" s="157">
        <f>'Quantitativos (A)'!AB435*$D435*$E435</f>
        <v>55.35</v>
      </c>
      <c r="AE435" s="157">
        <f>'Quantitativos (A)'!AC435*$D435*$E435</f>
        <v>55.35</v>
      </c>
      <c r="AF435" s="157">
        <f>'Quantitativos (A)'!AD435*$D435*$E435</f>
        <v>55.35</v>
      </c>
      <c r="AG435" s="157">
        <f>'Quantitativos (A)'!AE435*$D435*$E435</f>
        <v>55.35</v>
      </c>
      <c r="AH435" s="157">
        <f>'Quantitativos (A)'!AF435*$D435*$E435</f>
        <v>55.35</v>
      </c>
      <c r="AI435" s="158">
        <f>'Quantitativos (A)'!AG435*$D435*$E435</f>
        <v>55.35</v>
      </c>
      <c r="AJ435" s="22"/>
    </row>
    <row r="436" spans="1:36" x14ac:dyDescent="0.25">
      <c r="A436" s="112"/>
      <c r="B436" s="136" t="s">
        <v>144</v>
      </c>
      <c r="C436" s="67" t="s">
        <v>59</v>
      </c>
      <c r="D436" s="157">
        <f>'Dados (F)'!$D$313</f>
        <v>72.28</v>
      </c>
      <c r="E436" s="125">
        <f>IF('Dados (F)'!$D$35=1,1,'Dados (F)'!$C$39)</f>
        <v>1</v>
      </c>
      <c r="F436" s="157">
        <f>'Quantitativos (A)'!D436*$D436*$E436</f>
        <v>72.28</v>
      </c>
      <c r="G436" s="157">
        <f>'Quantitativos (A)'!E436*$D436*$E436</f>
        <v>72.28</v>
      </c>
      <c r="H436" s="157">
        <f>'Quantitativos (A)'!F436*$D436*$E436</f>
        <v>72.28</v>
      </c>
      <c r="I436" s="157">
        <f>'Quantitativos (A)'!G436*$D436*$E436</f>
        <v>72.28</v>
      </c>
      <c r="J436" s="157">
        <f>'Quantitativos (A)'!H436*$D436*$E436</f>
        <v>72.28</v>
      </c>
      <c r="K436" s="157">
        <f>'Quantitativos (A)'!I436*$D436*$E436</f>
        <v>72.28</v>
      </c>
      <c r="L436" s="157">
        <f>'Quantitativos (A)'!J436*$D436*$E436</f>
        <v>72.28</v>
      </c>
      <c r="M436" s="157">
        <f>'Quantitativos (A)'!K436*$D436*$E436</f>
        <v>72.28</v>
      </c>
      <c r="N436" s="157">
        <f>'Quantitativos (A)'!L436*$D436*$E436</f>
        <v>72.28</v>
      </c>
      <c r="O436" s="157">
        <f>'Quantitativos (A)'!M436*$D436*$E436</f>
        <v>72.28</v>
      </c>
      <c r="P436" s="157">
        <f>'Quantitativos (A)'!N436*$D436*$E436</f>
        <v>72.28</v>
      </c>
      <c r="Q436" s="157">
        <f>'Quantitativos (A)'!O436*$D436*$E436</f>
        <v>72.28</v>
      </c>
      <c r="R436" s="157">
        <f>'Quantitativos (A)'!P436*$D436*$E436</f>
        <v>72.28</v>
      </c>
      <c r="S436" s="157">
        <f>'Quantitativos (A)'!Q436*$D436*$E436</f>
        <v>72.28</v>
      </c>
      <c r="T436" s="157">
        <f>'Quantitativos (A)'!R436*$D436*$E436</f>
        <v>72.28</v>
      </c>
      <c r="U436" s="157">
        <f>'Quantitativos (A)'!S436*$D436*$E436</f>
        <v>72.28</v>
      </c>
      <c r="V436" s="157">
        <f>'Quantitativos (A)'!T436*$D436*$E436</f>
        <v>72.28</v>
      </c>
      <c r="W436" s="157">
        <f>'Quantitativos (A)'!U436*$D436*$E436</f>
        <v>72.28</v>
      </c>
      <c r="X436" s="157">
        <f>'Quantitativos (A)'!V436*$D436*$E436</f>
        <v>72.28</v>
      </c>
      <c r="Y436" s="157">
        <f>'Quantitativos (A)'!W436*$D436*$E436</f>
        <v>72.28</v>
      </c>
      <c r="Z436" s="157">
        <f>'Quantitativos (A)'!X436*$D436*$E436</f>
        <v>72.28</v>
      </c>
      <c r="AA436" s="157">
        <f>'Quantitativos (A)'!Y436*$D436*$E436</f>
        <v>72.28</v>
      </c>
      <c r="AB436" s="157">
        <f>'Quantitativos (A)'!Z436*$D436*$E436</f>
        <v>72.28</v>
      </c>
      <c r="AC436" s="157">
        <f>'Quantitativos (A)'!AA436*$D436*$E436</f>
        <v>72.28</v>
      </c>
      <c r="AD436" s="157">
        <f>'Quantitativos (A)'!AB436*$D436*$E436</f>
        <v>72.28</v>
      </c>
      <c r="AE436" s="157">
        <f>'Quantitativos (A)'!AC436*$D436*$E436</f>
        <v>72.28</v>
      </c>
      <c r="AF436" s="157">
        <f>'Quantitativos (A)'!AD436*$D436*$E436</f>
        <v>72.28</v>
      </c>
      <c r="AG436" s="157">
        <f>'Quantitativos (A)'!AE436*$D436*$E436</f>
        <v>72.28</v>
      </c>
      <c r="AH436" s="157">
        <f>'Quantitativos (A)'!AF436*$D436*$E436</f>
        <v>72.28</v>
      </c>
      <c r="AI436" s="158">
        <f>'Quantitativos (A)'!AG436*$D436*$E436</f>
        <v>72.28</v>
      </c>
      <c r="AJ436" s="22"/>
    </row>
    <row r="437" spans="1:36" x14ac:dyDescent="0.25">
      <c r="A437" s="112"/>
      <c r="B437" s="136" t="s">
        <v>145</v>
      </c>
      <c r="C437" s="67" t="s">
        <v>59</v>
      </c>
      <c r="D437" s="157">
        <f>'Dados (F)'!$D$314</f>
        <v>19.18</v>
      </c>
      <c r="E437" s="125">
        <f>IF('Dados (F)'!$D$35=1,1,'Dados (F)'!$C$39)</f>
        <v>1</v>
      </c>
      <c r="F437" s="157">
        <f>'Quantitativos (A)'!D437*$D437*$E437</f>
        <v>19.18</v>
      </c>
      <c r="G437" s="157">
        <f>'Quantitativos (A)'!E437*$D437*$E437</f>
        <v>19.18</v>
      </c>
      <c r="H437" s="157">
        <f>'Quantitativos (A)'!F437*$D437*$E437</f>
        <v>19.18</v>
      </c>
      <c r="I437" s="157">
        <f>'Quantitativos (A)'!G437*$D437*$E437</f>
        <v>19.18</v>
      </c>
      <c r="J437" s="157">
        <f>'Quantitativos (A)'!H437*$D437*$E437</f>
        <v>19.18</v>
      </c>
      <c r="K437" s="157">
        <f>'Quantitativos (A)'!I437*$D437*$E437</f>
        <v>19.18</v>
      </c>
      <c r="L437" s="157">
        <f>'Quantitativos (A)'!J437*$D437*$E437</f>
        <v>19.18</v>
      </c>
      <c r="M437" s="157">
        <f>'Quantitativos (A)'!K437*$D437*$E437</f>
        <v>19.18</v>
      </c>
      <c r="N437" s="157">
        <f>'Quantitativos (A)'!L437*$D437*$E437</f>
        <v>19.18</v>
      </c>
      <c r="O437" s="157">
        <f>'Quantitativos (A)'!M437*$D437*$E437</f>
        <v>19.18</v>
      </c>
      <c r="P437" s="157">
        <f>'Quantitativos (A)'!N437*$D437*$E437</f>
        <v>19.18</v>
      </c>
      <c r="Q437" s="157">
        <f>'Quantitativos (A)'!O437*$D437*$E437</f>
        <v>19.18</v>
      </c>
      <c r="R437" s="157">
        <f>'Quantitativos (A)'!P437*$D437*$E437</f>
        <v>19.18</v>
      </c>
      <c r="S437" s="157">
        <f>'Quantitativos (A)'!Q437*$D437*$E437</f>
        <v>19.18</v>
      </c>
      <c r="T437" s="157">
        <f>'Quantitativos (A)'!R437*$D437*$E437</f>
        <v>19.18</v>
      </c>
      <c r="U437" s="157">
        <f>'Quantitativos (A)'!S437*$D437*$E437</f>
        <v>19.18</v>
      </c>
      <c r="V437" s="157">
        <f>'Quantitativos (A)'!T437*$D437*$E437</f>
        <v>19.18</v>
      </c>
      <c r="W437" s="157">
        <f>'Quantitativos (A)'!U437*$D437*$E437</f>
        <v>19.18</v>
      </c>
      <c r="X437" s="157">
        <f>'Quantitativos (A)'!V437*$D437*$E437</f>
        <v>19.18</v>
      </c>
      <c r="Y437" s="157">
        <f>'Quantitativos (A)'!W437*$D437*$E437</f>
        <v>19.18</v>
      </c>
      <c r="Z437" s="157">
        <f>'Quantitativos (A)'!X437*$D437*$E437</f>
        <v>19.18</v>
      </c>
      <c r="AA437" s="157">
        <f>'Quantitativos (A)'!Y437*$D437*$E437</f>
        <v>19.18</v>
      </c>
      <c r="AB437" s="157">
        <f>'Quantitativos (A)'!Z437*$D437*$E437</f>
        <v>19.18</v>
      </c>
      <c r="AC437" s="157">
        <f>'Quantitativos (A)'!AA437*$D437*$E437</f>
        <v>19.18</v>
      </c>
      <c r="AD437" s="157">
        <f>'Quantitativos (A)'!AB437*$D437*$E437</f>
        <v>19.18</v>
      </c>
      <c r="AE437" s="157">
        <f>'Quantitativos (A)'!AC437*$D437*$E437</f>
        <v>19.18</v>
      </c>
      <c r="AF437" s="157">
        <f>'Quantitativos (A)'!AD437*$D437*$E437</f>
        <v>19.18</v>
      </c>
      <c r="AG437" s="157">
        <f>'Quantitativos (A)'!AE437*$D437*$E437</f>
        <v>19.18</v>
      </c>
      <c r="AH437" s="157">
        <f>'Quantitativos (A)'!AF437*$D437*$E437</f>
        <v>19.18</v>
      </c>
      <c r="AI437" s="158">
        <f>'Quantitativos (A)'!AG437*$D437*$E437</f>
        <v>19.18</v>
      </c>
      <c r="AJ437" s="22"/>
    </row>
    <row r="438" spans="1:36" x14ac:dyDescent="0.25">
      <c r="A438" s="112"/>
      <c r="B438" s="136" t="s">
        <v>146</v>
      </c>
      <c r="C438" s="67" t="s">
        <v>59</v>
      </c>
      <c r="D438" s="157">
        <f>'Dados (F)'!$D$315</f>
        <v>34.549999999999997</v>
      </c>
      <c r="E438" s="125">
        <f>IF('Dados (F)'!$D$35=1,1,'Dados (F)'!$C$39)</f>
        <v>1</v>
      </c>
      <c r="F438" s="157">
        <f>'Quantitativos (A)'!D438*$D438*$E438</f>
        <v>34.549999999999997</v>
      </c>
      <c r="G438" s="157">
        <f>'Quantitativos (A)'!E438*$D438*$E438</f>
        <v>34.549999999999997</v>
      </c>
      <c r="H438" s="157">
        <f>'Quantitativos (A)'!F438*$D438*$E438</f>
        <v>34.549999999999997</v>
      </c>
      <c r="I438" s="157">
        <f>'Quantitativos (A)'!G438*$D438*$E438</f>
        <v>34.549999999999997</v>
      </c>
      <c r="J438" s="157">
        <f>'Quantitativos (A)'!H438*$D438*$E438</f>
        <v>34.549999999999997</v>
      </c>
      <c r="K438" s="157">
        <f>'Quantitativos (A)'!I438*$D438*$E438</f>
        <v>34.549999999999997</v>
      </c>
      <c r="L438" s="157">
        <f>'Quantitativos (A)'!J438*$D438*$E438</f>
        <v>34.549999999999997</v>
      </c>
      <c r="M438" s="157">
        <f>'Quantitativos (A)'!K438*$D438*$E438</f>
        <v>34.549999999999997</v>
      </c>
      <c r="N438" s="157">
        <f>'Quantitativos (A)'!L438*$D438*$E438</f>
        <v>34.549999999999997</v>
      </c>
      <c r="O438" s="157">
        <f>'Quantitativos (A)'!M438*$D438*$E438</f>
        <v>34.549999999999997</v>
      </c>
      <c r="P438" s="157">
        <f>'Quantitativos (A)'!N438*$D438*$E438</f>
        <v>34.549999999999997</v>
      </c>
      <c r="Q438" s="157">
        <f>'Quantitativos (A)'!O438*$D438*$E438</f>
        <v>34.549999999999997</v>
      </c>
      <c r="R438" s="157">
        <f>'Quantitativos (A)'!P438*$D438*$E438</f>
        <v>34.549999999999997</v>
      </c>
      <c r="S438" s="157">
        <f>'Quantitativos (A)'!Q438*$D438*$E438</f>
        <v>34.549999999999997</v>
      </c>
      <c r="T438" s="157">
        <f>'Quantitativos (A)'!R438*$D438*$E438</f>
        <v>34.549999999999997</v>
      </c>
      <c r="U438" s="157">
        <f>'Quantitativos (A)'!S438*$D438*$E438</f>
        <v>34.549999999999997</v>
      </c>
      <c r="V438" s="157">
        <f>'Quantitativos (A)'!T438*$D438*$E438</f>
        <v>34.549999999999997</v>
      </c>
      <c r="W438" s="157">
        <f>'Quantitativos (A)'!U438*$D438*$E438</f>
        <v>34.549999999999997</v>
      </c>
      <c r="X438" s="157">
        <f>'Quantitativos (A)'!V438*$D438*$E438</f>
        <v>34.549999999999997</v>
      </c>
      <c r="Y438" s="157">
        <f>'Quantitativos (A)'!W438*$D438*$E438</f>
        <v>34.549999999999997</v>
      </c>
      <c r="Z438" s="157">
        <f>'Quantitativos (A)'!X438*$D438*$E438</f>
        <v>34.549999999999997</v>
      </c>
      <c r="AA438" s="157">
        <f>'Quantitativos (A)'!Y438*$D438*$E438</f>
        <v>34.549999999999997</v>
      </c>
      <c r="AB438" s="157">
        <f>'Quantitativos (A)'!Z438*$D438*$E438</f>
        <v>34.549999999999997</v>
      </c>
      <c r="AC438" s="157">
        <f>'Quantitativos (A)'!AA438*$D438*$E438</f>
        <v>34.549999999999997</v>
      </c>
      <c r="AD438" s="157">
        <f>'Quantitativos (A)'!AB438*$D438*$E438</f>
        <v>34.549999999999997</v>
      </c>
      <c r="AE438" s="157">
        <f>'Quantitativos (A)'!AC438*$D438*$E438</f>
        <v>34.549999999999997</v>
      </c>
      <c r="AF438" s="157">
        <f>'Quantitativos (A)'!AD438*$D438*$E438</f>
        <v>34.549999999999997</v>
      </c>
      <c r="AG438" s="157">
        <f>'Quantitativos (A)'!AE438*$D438*$E438</f>
        <v>34.549999999999997</v>
      </c>
      <c r="AH438" s="157">
        <f>'Quantitativos (A)'!AF438*$D438*$E438</f>
        <v>34.549999999999997</v>
      </c>
      <c r="AI438" s="158">
        <f>'Quantitativos (A)'!AG438*$D438*$E438</f>
        <v>34.549999999999997</v>
      </c>
      <c r="AJ438" s="22"/>
    </row>
    <row r="439" spans="1:36" x14ac:dyDescent="0.25">
      <c r="A439" s="112"/>
      <c r="B439" s="136" t="s">
        <v>147</v>
      </c>
      <c r="C439" s="67" t="s">
        <v>59</v>
      </c>
      <c r="D439" s="157">
        <f>'Dados (F)'!$D$316</f>
        <v>39.32</v>
      </c>
      <c r="E439" s="125">
        <f>IF('Dados (F)'!$D$35=1,1,'Dados (F)'!$C$39)</f>
        <v>1</v>
      </c>
      <c r="F439" s="157">
        <f>'Quantitativos (A)'!D439*$D439*$E439</f>
        <v>39.32</v>
      </c>
      <c r="G439" s="157">
        <f>'Quantitativos (A)'!E439*$D439*$E439</f>
        <v>39.32</v>
      </c>
      <c r="H439" s="157">
        <f>'Quantitativos (A)'!F439*$D439*$E439</f>
        <v>39.32</v>
      </c>
      <c r="I439" s="157">
        <f>'Quantitativos (A)'!G439*$D439*$E439</f>
        <v>39.32</v>
      </c>
      <c r="J439" s="157">
        <f>'Quantitativos (A)'!H439*$D439*$E439</f>
        <v>39.32</v>
      </c>
      <c r="K439" s="157">
        <f>'Quantitativos (A)'!I439*$D439*$E439</f>
        <v>39.32</v>
      </c>
      <c r="L439" s="157">
        <f>'Quantitativos (A)'!J439*$D439*$E439</f>
        <v>39.32</v>
      </c>
      <c r="M439" s="157">
        <f>'Quantitativos (A)'!K439*$D439*$E439</f>
        <v>39.32</v>
      </c>
      <c r="N439" s="157">
        <f>'Quantitativos (A)'!L439*$D439*$E439</f>
        <v>39.32</v>
      </c>
      <c r="O439" s="157">
        <f>'Quantitativos (A)'!M439*$D439*$E439</f>
        <v>39.32</v>
      </c>
      <c r="P439" s="157">
        <f>'Quantitativos (A)'!N439*$D439*$E439</f>
        <v>39.32</v>
      </c>
      <c r="Q439" s="157">
        <f>'Quantitativos (A)'!O439*$D439*$E439</f>
        <v>39.32</v>
      </c>
      <c r="R439" s="157">
        <f>'Quantitativos (A)'!P439*$D439*$E439</f>
        <v>39.32</v>
      </c>
      <c r="S439" s="157">
        <f>'Quantitativos (A)'!Q439*$D439*$E439</f>
        <v>39.32</v>
      </c>
      <c r="T439" s="157">
        <f>'Quantitativos (A)'!R439*$D439*$E439</f>
        <v>39.32</v>
      </c>
      <c r="U439" s="157">
        <f>'Quantitativos (A)'!S439*$D439*$E439</f>
        <v>39.32</v>
      </c>
      <c r="V439" s="157">
        <f>'Quantitativos (A)'!T439*$D439*$E439</f>
        <v>39.32</v>
      </c>
      <c r="W439" s="157">
        <f>'Quantitativos (A)'!U439*$D439*$E439</f>
        <v>39.32</v>
      </c>
      <c r="X439" s="157">
        <f>'Quantitativos (A)'!V439*$D439*$E439</f>
        <v>39.32</v>
      </c>
      <c r="Y439" s="157">
        <f>'Quantitativos (A)'!W439*$D439*$E439</f>
        <v>39.32</v>
      </c>
      <c r="Z439" s="157">
        <f>'Quantitativos (A)'!X439*$D439*$E439</f>
        <v>39.32</v>
      </c>
      <c r="AA439" s="157">
        <f>'Quantitativos (A)'!Y439*$D439*$E439</f>
        <v>39.32</v>
      </c>
      <c r="AB439" s="157">
        <f>'Quantitativos (A)'!Z439*$D439*$E439</f>
        <v>39.32</v>
      </c>
      <c r="AC439" s="157">
        <f>'Quantitativos (A)'!AA439*$D439*$E439</f>
        <v>39.32</v>
      </c>
      <c r="AD439" s="157">
        <f>'Quantitativos (A)'!AB439*$D439*$E439</f>
        <v>39.32</v>
      </c>
      <c r="AE439" s="157">
        <f>'Quantitativos (A)'!AC439*$D439*$E439</f>
        <v>39.32</v>
      </c>
      <c r="AF439" s="157">
        <f>'Quantitativos (A)'!AD439*$D439*$E439</f>
        <v>39.32</v>
      </c>
      <c r="AG439" s="157">
        <f>'Quantitativos (A)'!AE439*$D439*$E439</f>
        <v>39.32</v>
      </c>
      <c r="AH439" s="157">
        <f>'Quantitativos (A)'!AF439*$D439*$E439</f>
        <v>39.32</v>
      </c>
      <c r="AI439" s="158">
        <f>'Quantitativos (A)'!AG439*$D439*$E439</f>
        <v>39.32</v>
      </c>
      <c r="AJ439" s="22"/>
    </row>
    <row r="440" spans="1:36" x14ac:dyDescent="0.25">
      <c r="A440" s="112"/>
      <c r="B440" s="136" t="s">
        <v>148</v>
      </c>
      <c r="C440" s="67" t="s">
        <v>59</v>
      </c>
      <c r="D440" s="157">
        <f>'Dados (F)'!$D$317</f>
        <v>52.65</v>
      </c>
      <c r="E440" s="125">
        <f>IF('Dados (F)'!$D$35=1,1,'Dados (F)'!$C$39)</f>
        <v>1</v>
      </c>
      <c r="F440" s="157">
        <f>'Quantitativos (A)'!D440*$D440*$E440</f>
        <v>52.65</v>
      </c>
      <c r="G440" s="157">
        <f>'Quantitativos (A)'!E440*$D440*$E440</f>
        <v>52.65</v>
      </c>
      <c r="H440" s="157">
        <f>'Quantitativos (A)'!F440*$D440*$E440</f>
        <v>52.65</v>
      </c>
      <c r="I440" s="157">
        <f>'Quantitativos (A)'!G440*$D440*$E440</f>
        <v>52.65</v>
      </c>
      <c r="J440" s="157">
        <f>'Quantitativos (A)'!H440*$D440*$E440</f>
        <v>52.65</v>
      </c>
      <c r="K440" s="157">
        <f>'Quantitativos (A)'!I440*$D440*$E440</f>
        <v>52.65</v>
      </c>
      <c r="L440" s="157">
        <f>'Quantitativos (A)'!J440*$D440*$E440</f>
        <v>52.65</v>
      </c>
      <c r="M440" s="157">
        <f>'Quantitativos (A)'!K440*$D440*$E440</f>
        <v>52.65</v>
      </c>
      <c r="N440" s="157">
        <f>'Quantitativos (A)'!L440*$D440*$E440</f>
        <v>52.65</v>
      </c>
      <c r="O440" s="157">
        <f>'Quantitativos (A)'!M440*$D440*$E440</f>
        <v>52.65</v>
      </c>
      <c r="P440" s="157">
        <f>'Quantitativos (A)'!N440*$D440*$E440</f>
        <v>52.65</v>
      </c>
      <c r="Q440" s="157">
        <f>'Quantitativos (A)'!O440*$D440*$E440</f>
        <v>52.65</v>
      </c>
      <c r="R440" s="157">
        <f>'Quantitativos (A)'!P440*$D440*$E440</f>
        <v>52.65</v>
      </c>
      <c r="S440" s="157">
        <f>'Quantitativos (A)'!Q440*$D440*$E440</f>
        <v>52.65</v>
      </c>
      <c r="T440" s="157">
        <f>'Quantitativos (A)'!R440*$D440*$E440</f>
        <v>52.65</v>
      </c>
      <c r="U440" s="157">
        <f>'Quantitativos (A)'!S440*$D440*$E440</f>
        <v>52.65</v>
      </c>
      <c r="V440" s="157">
        <f>'Quantitativos (A)'!T440*$D440*$E440</f>
        <v>52.65</v>
      </c>
      <c r="W440" s="157">
        <f>'Quantitativos (A)'!U440*$D440*$E440</f>
        <v>52.65</v>
      </c>
      <c r="X440" s="157">
        <f>'Quantitativos (A)'!V440*$D440*$E440</f>
        <v>52.65</v>
      </c>
      <c r="Y440" s="157">
        <f>'Quantitativos (A)'!W440*$D440*$E440</f>
        <v>52.65</v>
      </c>
      <c r="Z440" s="157">
        <f>'Quantitativos (A)'!X440*$D440*$E440</f>
        <v>52.65</v>
      </c>
      <c r="AA440" s="157">
        <f>'Quantitativos (A)'!Y440*$D440*$E440</f>
        <v>52.65</v>
      </c>
      <c r="AB440" s="157">
        <f>'Quantitativos (A)'!Z440*$D440*$E440</f>
        <v>52.65</v>
      </c>
      <c r="AC440" s="157">
        <f>'Quantitativos (A)'!AA440*$D440*$E440</f>
        <v>52.65</v>
      </c>
      <c r="AD440" s="157">
        <f>'Quantitativos (A)'!AB440*$D440*$E440</f>
        <v>52.65</v>
      </c>
      <c r="AE440" s="157">
        <f>'Quantitativos (A)'!AC440*$D440*$E440</f>
        <v>52.65</v>
      </c>
      <c r="AF440" s="157">
        <f>'Quantitativos (A)'!AD440*$D440*$E440</f>
        <v>52.65</v>
      </c>
      <c r="AG440" s="157">
        <f>'Quantitativos (A)'!AE440*$D440*$E440</f>
        <v>52.65</v>
      </c>
      <c r="AH440" s="157">
        <f>'Quantitativos (A)'!AF440*$D440*$E440</f>
        <v>52.65</v>
      </c>
      <c r="AI440" s="158">
        <f>'Quantitativos (A)'!AG440*$D440*$E440</f>
        <v>52.65</v>
      </c>
      <c r="AJ440" s="22"/>
    </row>
    <row r="441" spans="1:36" x14ac:dyDescent="0.25">
      <c r="A441" s="112"/>
      <c r="B441" s="136" t="s">
        <v>149</v>
      </c>
      <c r="C441" s="67" t="s">
        <v>59</v>
      </c>
      <c r="D441" s="157">
        <f>'Dados (F)'!$D$318</f>
        <v>72.34</v>
      </c>
      <c r="E441" s="125">
        <f>IF('Dados (F)'!$D$35=1,1,'Dados (F)'!$C$39)</f>
        <v>1</v>
      </c>
      <c r="F441" s="157">
        <f>'Quantitativos (A)'!D441*$D441*$E441</f>
        <v>72.34</v>
      </c>
      <c r="G441" s="157">
        <f>'Quantitativos (A)'!E441*$D441*$E441</f>
        <v>72.34</v>
      </c>
      <c r="H441" s="157">
        <f>'Quantitativos (A)'!F441*$D441*$E441</f>
        <v>72.34</v>
      </c>
      <c r="I441" s="157">
        <f>'Quantitativos (A)'!G441*$D441*$E441</f>
        <v>72.34</v>
      </c>
      <c r="J441" s="157">
        <f>'Quantitativos (A)'!H441*$D441*$E441</f>
        <v>72.34</v>
      </c>
      <c r="K441" s="157">
        <f>'Quantitativos (A)'!I441*$D441*$E441</f>
        <v>72.34</v>
      </c>
      <c r="L441" s="157">
        <f>'Quantitativos (A)'!J441*$D441*$E441</f>
        <v>72.34</v>
      </c>
      <c r="M441" s="157">
        <f>'Quantitativos (A)'!K441*$D441*$E441</f>
        <v>72.34</v>
      </c>
      <c r="N441" s="157">
        <f>'Quantitativos (A)'!L441*$D441*$E441</f>
        <v>72.34</v>
      </c>
      <c r="O441" s="157">
        <f>'Quantitativos (A)'!M441*$D441*$E441</f>
        <v>72.34</v>
      </c>
      <c r="P441" s="157">
        <f>'Quantitativos (A)'!N441*$D441*$E441</f>
        <v>72.34</v>
      </c>
      <c r="Q441" s="157">
        <f>'Quantitativos (A)'!O441*$D441*$E441</f>
        <v>72.34</v>
      </c>
      <c r="R441" s="157">
        <f>'Quantitativos (A)'!P441*$D441*$E441</f>
        <v>72.34</v>
      </c>
      <c r="S441" s="157">
        <f>'Quantitativos (A)'!Q441*$D441*$E441</f>
        <v>72.34</v>
      </c>
      <c r="T441" s="157">
        <f>'Quantitativos (A)'!R441*$D441*$E441</f>
        <v>72.34</v>
      </c>
      <c r="U441" s="157">
        <f>'Quantitativos (A)'!S441*$D441*$E441</f>
        <v>72.34</v>
      </c>
      <c r="V441" s="157">
        <f>'Quantitativos (A)'!T441*$D441*$E441</f>
        <v>72.34</v>
      </c>
      <c r="W441" s="157">
        <f>'Quantitativos (A)'!U441*$D441*$E441</f>
        <v>72.34</v>
      </c>
      <c r="X441" s="157">
        <f>'Quantitativos (A)'!V441*$D441*$E441</f>
        <v>72.34</v>
      </c>
      <c r="Y441" s="157">
        <f>'Quantitativos (A)'!W441*$D441*$E441</f>
        <v>72.34</v>
      </c>
      <c r="Z441" s="157">
        <f>'Quantitativos (A)'!X441*$D441*$E441</f>
        <v>72.34</v>
      </c>
      <c r="AA441" s="157">
        <f>'Quantitativos (A)'!Y441*$D441*$E441</f>
        <v>72.34</v>
      </c>
      <c r="AB441" s="157">
        <f>'Quantitativos (A)'!Z441*$D441*$E441</f>
        <v>72.34</v>
      </c>
      <c r="AC441" s="157">
        <f>'Quantitativos (A)'!AA441*$D441*$E441</f>
        <v>72.34</v>
      </c>
      <c r="AD441" s="157">
        <f>'Quantitativos (A)'!AB441*$D441*$E441</f>
        <v>72.34</v>
      </c>
      <c r="AE441" s="157">
        <f>'Quantitativos (A)'!AC441*$D441*$E441</f>
        <v>72.34</v>
      </c>
      <c r="AF441" s="157">
        <f>'Quantitativos (A)'!AD441*$D441*$E441</f>
        <v>72.34</v>
      </c>
      <c r="AG441" s="157">
        <f>'Quantitativos (A)'!AE441*$D441*$E441</f>
        <v>72.34</v>
      </c>
      <c r="AH441" s="157">
        <f>'Quantitativos (A)'!AF441*$D441*$E441</f>
        <v>72.34</v>
      </c>
      <c r="AI441" s="158">
        <f>'Quantitativos (A)'!AG441*$D441*$E441</f>
        <v>72.34</v>
      </c>
      <c r="AJ441" s="22"/>
    </row>
    <row r="442" spans="1:36" x14ac:dyDescent="0.25">
      <c r="A442" s="112"/>
      <c r="B442" s="136" t="s">
        <v>150</v>
      </c>
      <c r="C442" s="67" t="s">
        <v>59</v>
      </c>
      <c r="D442" s="157">
        <f>'Dados (F)'!$D$319</f>
        <v>81.17</v>
      </c>
      <c r="E442" s="125">
        <f>IF('Dados (F)'!$D$35=1,1,'Dados (F)'!$C$39)</f>
        <v>1</v>
      </c>
      <c r="F442" s="157">
        <f>'Quantitativos (A)'!D442*$D442*$E442</f>
        <v>81.17</v>
      </c>
      <c r="G442" s="157">
        <f>'Quantitativos (A)'!E442*$D442*$E442</f>
        <v>81.17</v>
      </c>
      <c r="H442" s="157">
        <f>'Quantitativos (A)'!F442*$D442*$E442</f>
        <v>81.17</v>
      </c>
      <c r="I442" s="157">
        <f>'Quantitativos (A)'!G442*$D442*$E442</f>
        <v>81.17</v>
      </c>
      <c r="J442" s="157">
        <f>'Quantitativos (A)'!H442*$D442*$E442</f>
        <v>81.17</v>
      </c>
      <c r="K442" s="157">
        <f>'Quantitativos (A)'!I442*$D442*$E442</f>
        <v>81.17</v>
      </c>
      <c r="L442" s="157">
        <f>'Quantitativos (A)'!J442*$D442*$E442</f>
        <v>81.17</v>
      </c>
      <c r="M442" s="157">
        <f>'Quantitativos (A)'!K442*$D442*$E442</f>
        <v>81.17</v>
      </c>
      <c r="N442" s="157">
        <f>'Quantitativos (A)'!L442*$D442*$E442</f>
        <v>81.17</v>
      </c>
      <c r="O442" s="157">
        <f>'Quantitativos (A)'!M442*$D442*$E442</f>
        <v>81.17</v>
      </c>
      <c r="P442" s="157">
        <f>'Quantitativos (A)'!N442*$D442*$E442</f>
        <v>81.17</v>
      </c>
      <c r="Q442" s="157">
        <f>'Quantitativos (A)'!O442*$D442*$E442</f>
        <v>81.17</v>
      </c>
      <c r="R442" s="157">
        <f>'Quantitativos (A)'!P442*$D442*$E442</f>
        <v>81.17</v>
      </c>
      <c r="S442" s="157">
        <f>'Quantitativos (A)'!Q442*$D442*$E442</f>
        <v>81.17</v>
      </c>
      <c r="T442" s="157">
        <f>'Quantitativos (A)'!R442*$D442*$E442</f>
        <v>81.17</v>
      </c>
      <c r="U442" s="157">
        <f>'Quantitativos (A)'!S442*$D442*$E442</f>
        <v>81.17</v>
      </c>
      <c r="V442" s="157">
        <f>'Quantitativos (A)'!T442*$D442*$E442</f>
        <v>81.17</v>
      </c>
      <c r="W442" s="157">
        <f>'Quantitativos (A)'!U442*$D442*$E442</f>
        <v>81.17</v>
      </c>
      <c r="X442" s="157">
        <f>'Quantitativos (A)'!V442*$D442*$E442</f>
        <v>81.17</v>
      </c>
      <c r="Y442" s="157">
        <f>'Quantitativos (A)'!W442*$D442*$E442</f>
        <v>81.17</v>
      </c>
      <c r="Z442" s="157">
        <f>'Quantitativos (A)'!X442*$D442*$E442</f>
        <v>81.17</v>
      </c>
      <c r="AA442" s="157">
        <f>'Quantitativos (A)'!Y442*$D442*$E442</f>
        <v>81.17</v>
      </c>
      <c r="AB442" s="157">
        <f>'Quantitativos (A)'!Z442*$D442*$E442</f>
        <v>81.17</v>
      </c>
      <c r="AC442" s="157">
        <f>'Quantitativos (A)'!AA442*$D442*$E442</f>
        <v>81.17</v>
      </c>
      <c r="AD442" s="157">
        <f>'Quantitativos (A)'!AB442*$D442*$E442</f>
        <v>81.17</v>
      </c>
      <c r="AE442" s="157">
        <f>'Quantitativos (A)'!AC442*$D442*$E442</f>
        <v>81.17</v>
      </c>
      <c r="AF442" s="157">
        <f>'Quantitativos (A)'!AD442*$D442*$E442</f>
        <v>81.17</v>
      </c>
      <c r="AG442" s="157">
        <f>'Quantitativos (A)'!AE442*$D442*$E442</f>
        <v>81.17</v>
      </c>
      <c r="AH442" s="157">
        <f>'Quantitativos (A)'!AF442*$D442*$E442</f>
        <v>81.17</v>
      </c>
      <c r="AI442" s="158">
        <f>'Quantitativos (A)'!AG442*$D442*$E442</f>
        <v>81.17</v>
      </c>
      <c r="AJ442" s="22"/>
    </row>
    <row r="443" spans="1:36" x14ac:dyDescent="0.25">
      <c r="A443" s="112"/>
      <c r="B443" s="136" t="s">
        <v>151</v>
      </c>
      <c r="C443" s="67" t="s">
        <v>59</v>
      </c>
      <c r="D443" s="157">
        <f>'Dados (F)'!$D$320</f>
        <v>18.18</v>
      </c>
      <c r="E443" s="125">
        <f>IF('Dados (F)'!$D$35=1,1,'Dados (F)'!$C$39)</f>
        <v>1</v>
      </c>
      <c r="F443" s="157">
        <f>'Quantitativos (A)'!D443*$D443*$E443</f>
        <v>72.72</v>
      </c>
      <c r="G443" s="157">
        <f>'Quantitativos (A)'!E443*$D443*$E443</f>
        <v>72.72</v>
      </c>
      <c r="H443" s="157">
        <f>'Quantitativos (A)'!F443*$D443*$E443</f>
        <v>72.72</v>
      </c>
      <c r="I443" s="157">
        <f>'Quantitativos (A)'!G443*$D443*$E443</f>
        <v>72.72</v>
      </c>
      <c r="J443" s="157">
        <f>'Quantitativos (A)'!H443*$D443*$E443</f>
        <v>72.72</v>
      </c>
      <c r="K443" s="157">
        <f>'Quantitativos (A)'!I443*$D443*$E443</f>
        <v>72.72</v>
      </c>
      <c r="L443" s="157">
        <f>'Quantitativos (A)'!J443*$D443*$E443</f>
        <v>72.72</v>
      </c>
      <c r="M443" s="157">
        <f>'Quantitativos (A)'!K443*$D443*$E443</f>
        <v>72.72</v>
      </c>
      <c r="N443" s="157">
        <f>'Quantitativos (A)'!L443*$D443*$E443</f>
        <v>72.72</v>
      </c>
      <c r="O443" s="157">
        <f>'Quantitativos (A)'!M443*$D443*$E443</f>
        <v>72.72</v>
      </c>
      <c r="P443" s="157">
        <f>'Quantitativos (A)'!N443*$D443*$E443</f>
        <v>72.72</v>
      </c>
      <c r="Q443" s="157">
        <f>'Quantitativos (A)'!O443*$D443*$E443</f>
        <v>72.72</v>
      </c>
      <c r="R443" s="157">
        <f>'Quantitativos (A)'!P443*$D443*$E443</f>
        <v>72.72</v>
      </c>
      <c r="S443" s="157">
        <f>'Quantitativos (A)'!Q443*$D443*$E443</f>
        <v>72.72</v>
      </c>
      <c r="T443" s="157">
        <f>'Quantitativos (A)'!R443*$D443*$E443</f>
        <v>72.72</v>
      </c>
      <c r="U443" s="157">
        <f>'Quantitativos (A)'!S443*$D443*$E443</f>
        <v>72.72</v>
      </c>
      <c r="V443" s="157">
        <f>'Quantitativos (A)'!T443*$D443*$E443</f>
        <v>72.72</v>
      </c>
      <c r="W443" s="157">
        <f>'Quantitativos (A)'!U443*$D443*$E443</f>
        <v>72.72</v>
      </c>
      <c r="X443" s="157">
        <f>'Quantitativos (A)'!V443*$D443*$E443</f>
        <v>72.72</v>
      </c>
      <c r="Y443" s="157">
        <f>'Quantitativos (A)'!W443*$D443*$E443</f>
        <v>72.72</v>
      </c>
      <c r="Z443" s="157">
        <f>'Quantitativos (A)'!X443*$D443*$E443</f>
        <v>72.72</v>
      </c>
      <c r="AA443" s="157">
        <f>'Quantitativos (A)'!Y443*$D443*$E443</f>
        <v>72.72</v>
      </c>
      <c r="AB443" s="157">
        <f>'Quantitativos (A)'!Z443*$D443*$E443</f>
        <v>72.72</v>
      </c>
      <c r="AC443" s="157">
        <f>'Quantitativos (A)'!AA443*$D443*$E443</f>
        <v>72.72</v>
      </c>
      <c r="AD443" s="157">
        <f>'Quantitativos (A)'!AB443*$D443*$E443</f>
        <v>72.72</v>
      </c>
      <c r="AE443" s="157">
        <f>'Quantitativos (A)'!AC443*$D443*$E443</f>
        <v>72.72</v>
      </c>
      <c r="AF443" s="157">
        <f>'Quantitativos (A)'!AD443*$D443*$E443</f>
        <v>72.72</v>
      </c>
      <c r="AG443" s="157">
        <f>'Quantitativos (A)'!AE443*$D443*$E443</f>
        <v>72.72</v>
      </c>
      <c r="AH443" s="157">
        <f>'Quantitativos (A)'!AF443*$D443*$E443</f>
        <v>72.72</v>
      </c>
      <c r="AI443" s="158">
        <f>'Quantitativos (A)'!AG443*$D443*$E443</f>
        <v>72.72</v>
      </c>
      <c r="AJ443" s="22"/>
    </row>
    <row r="444" spans="1:36" x14ac:dyDescent="0.25">
      <c r="A444" s="112"/>
      <c r="B444" s="136" t="s">
        <v>152</v>
      </c>
      <c r="C444" s="67" t="s">
        <v>59</v>
      </c>
      <c r="D444" s="157">
        <f>'Dados (F)'!$D$321</f>
        <v>74.400000000000006</v>
      </c>
      <c r="E444" s="125">
        <f>IF('Dados (F)'!$D$35=1,1,'Dados (F)'!$C$39)</f>
        <v>1</v>
      </c>
      <c r="F444" s="157">
        <f>'Quantitativos (A)'!D444*$D444*$E444</f>
        <v>74.400000000000006</v>
      </c>
      <c r="G444" s="157">
        <f>'Quantitativos (A)'!E444*$D444*$E444</f>
        <v>74.400000000000006</v>
      </c>
      <c r="H444" s="157">
        <f>'Quantitativos (A)'!F444*$D444*$E444</f>
        <v>74.400000000000006</v>
      </c>
      <c r="I444" s="157">
        <f>'Quantitativos (A)'!G444*$D444*$E444</f>
        <v>74.400000000000006</v>
      </c>
      <c r="J444" s="157">
        <f>'Quantitativos (A)'!H444*$D444*$E444</f>
        <v>74.400000000000006</v>
      </c>
      <c r="K444" s="157">
        <f>'Quantitativos (A)'!I444*$D444*$E444</f>
        <v>74.400000000000006</v>
      </c>
      <c r="L444" s="157">
        <f>'Quantitativos (A)'!J444*$D444*$E444</f>
        <v>74.400000000000006</v>
      </c>
      <c r="M444" s="157">
        <f>'Quantitativos (A)'!K444*$D444*$E444</f>
        <v>74.400000000000006</v>
      </c>
      <c r="N444" s="157">
        <f>'Quantitativos (A)'!L444*$D444*$E444</f>
        <v>74.400000000000006</v>
      </c>
      <c r="O444" s="157">
        <f>'Quantitativos (A)'!M444*$D444*$E444</f>
        <v>74.400000000000006</v>
      </c>
      <c r="P444" s="157">
        <f>'Quantitativos (A)'!N444*$D444*$E444</f>
        <v>74.400000000000006</v>
      </c>
      <c r="Q444" s="157">
        <f>'Quantitativos (A)'!O444*$D444*$E444</f>
        <v>74.400000000000006</v>
      </c>
      <c r="R444" s="157">
        <f>'Quantitativos (A)'!P444*$D444*$E444</f>
        <v>74.400000000000006</v>
      </c>
      <c r="S444" s="157">
        <f>'Quantitativos (A)'!Q444*$D444*$E444</f>
        <v>74.400000000000006</v>
      </c>
      <c r="T444" s="157">
        <f>'Quantitativos (A)'!R444*$D444*$E444</f>
        <v>74.400000000000006</v>
      </c>
      <c r="U444" s="157">
        <f>'Quantitativos (A)'!S444*$D444*$E444</f>
        <v>74.400000000000006</v>
      </c>
      <c r="V444" s="157">
        <f>'Quantitativos (A)'!T444*$D444*$E444</f>
        <v>74.400000000000006</v>
      </c>
      <c r="W444" s="157">
        <f>'Quantitativos (A)'!U444*$D444*$E444</f>
        <v>74.400000000000006</v>
      </c>
      <c r="X444" s="157">
        <f>'Quantitativos (A)'!V444*$D444*$E444</f>
        <v>74.400000000000006</v>
      </c>
      <c r="Y444" s="157">
        <f>'Quantitativos (A)'!W444*$D444*$E444</f>
        <v>74.400000000000006</v>
      </c>
      <c r="Z444" s="157">
        <f>'Quantitativos (A)'!X444*$D444*$E444</f>
        <v>74.400000000000006</v>
      </c>
      <c r="AA444" s="157">
        <f>'Quantitativos (A)'!Y444*$D444*$E444</f>
        <v>74.400000000000006</v>
      </c>
      <c r="AB444" s="157">
        <f>'Quantitativos (A)'!Z444*$D444*$E444</f>
        <v>74.400000000000006</v>
      </c>
      <c r="AC444" s="157">
        <f>'Quantitativos (A)'!AA444*$D444*$E444</f>
        <v>74.400000000000006</v>
      </c>
      <c r="AD444" s="157">
        <f>'Quantitativos (A)'!AB444*$D444*$E444</f>
        <v>74.400000000000006</v>
      </c>
      <c r="AE444" s="157">
        <f>'Quantitativos (A)'!AC444*$D444*$E444</f>
        <v>74.400000000000006</v>
      </c>
      <c r="AF444" s="157">
        <f>'Quantitativos (A)'!AD444*$D444*$E444</f>
        <v>74.400000000000006</v>
      </c>
      <c r="AG444" s="157">
        <f>'Quantitativos (A)'!AE444*$D444*$E444</f>
        <v>74.400000000000006</v>
      </c>
      <c r="AH444" s="157">
        <f>'Quantitativos (A)'!AF444*$D444*$E444</f>
        <v>74.400000000000006</v>
      </c>
      <c r="AI444" s="158">
        <f>'Quantitativos (A)'!AG444*$D444*$E444</f>
        <v>74.400000000000006</v>
      </c>
      <c r="AJ444" s="22"/>
    </row>
    <row r="445" spans="1:36" x14ac:dyDescent="0.25">
      <c r="A445" s="112"/>
      <c r="B445" s="136" t="s">
        <v>153</v>
      </c>
      <c r="C445" s="67" t="s">
        <v>59</v>
      </c>
      <c r="D445" s="157">
        <f>'Dados (F)'!$D$322</f>
        <v>90.94</v>
      </c>
      <c r="E445" s="125">
        <f>IF('Dados (F)'!$D$35=1,1,'Dados (F)'!$C$39)</f>
        <v>1</v>
      </c>
      <c r="F445" s="157">
        <f>'Quantitativos (A)'!D445*$D445*$E445</f>
        <v>90.94</v>
      </c>
      <c r="G445" s="157">
        <f>'Quantitativos (A)'!E445*$D445*$E445</f>
        <v>90.94</v>
      </c>
      <c r="H445" s="157">
        <f>'Quantitativos (A)'!F445*$D445*$E445</f>
        <v>90.94</v>
      </c>
      <c r="I445" s="157">
        <f>'Quantitativos (A)'!G445*$D445*$E445</f>
        <v>90.94</v>
      </c>
      <c r="J445" s="157">
        <f>'Quantitativos (A)'!H445*$D445*$E445</f>
        <v>90.94</v>
      </c>
      <c r="K445" s="157">
        <f>'Quantitativos (A)'!I445*$D445*$E445</f>
        <v>90.94</v>
      </c>
      <c r="L445" s="157">
        <f>'Quantitativos (A)'!J445*$D445*$E445</f>
        <v>90.94</v>
      </c>
      <c r="M445" s="157">
        <f>'Quantitativos (A)'!K445*$D445*$E445</f>
        <v>90.94</v>
      </c>
      <c r="N445" s="157">
        <f>'Quantitativos (A)'!L445*$D445*$E445</f>
        <v>90.94</v>
      </c>
      <c r="O445" s="157">
        <f>'Quantitativos (A)'!M445*$D445*$E445</f>
        <v>90.94</v>
      </c>
      <c r="P445" s="157">
        <f>'Quantitativos (A)'!N445*$D445*$E445</f>
        <v>90.94</v>
      </c>
      <c r="Q445" s="157">
        <f>'Quantitativos (A)'!O445*$D445*$E445</f>
        <v>90.94</v>
      </c>
      <c r="R445" s="157">
        <f>'Quantitativos (A)'!P445*$D445*$E445</f>
        <v>90.94</v>
      </c>
      <c r="S445" s="157">
        <f>'Quantitativos (A)'!Q445*$D445*$E445</f>
        <v>90.94</v>
      </c>
      <c r="T445" s="157">
        <f>'Quantitativos (A)'!R445*$D445*$E445</f>
        <v>90.94</v>
      </c>
      <c r="U445" s="157">
        <f>'Quantitativos (A)'!S445*$D445*$E445</f>
        <v>90.94</v>
      </c>
      <c r="V445" s="157">
        <f>'Quantitativos (A)'!T445*$D445*$E445</f>
        <v>90.94</v>
      </c>
      <c r="W445" s="157">
        <f>'Quantitativos (A)'!U445*$D445*$E445</f>
        <v>90.94</v>
      </c>
      <c r="X445" s="157">
        <f>'Quantitativos (A)'!V445*$D445*$E445</f>
        <v>90.94</v>
      </c>
      <c r="Y445" s="157">
        <f>'Quantitativos (A)'!W445*$D445*$E445</f>
        <v>90.94</v>
      </c>
      <c r="Z445" s="157">
        <f>'Quantitativos (A)'!X445*$D445*$E445</f>
        <v>90.94</v>
      </c>
      <c r="AA445" s="157">
        <f>'Quantitativos (A)'!Y445*$D445*$E445</f>
        <v>90.94</v>
      </c>
      <c r="AB445" s="157">
        <f>'Quantitativos (A)'!Z445*$D445*$E445</f>
        <v>90.94</v>
      </c>
      <c r="AC445" s="157">
        <f>'Quantitativos (A)'!AA445*$D445*$E445</f>
        <v>90.94</v>
      </c>
      <c r="AD445" s="157">
        <f>'Quantitativos (A)'!AB445*$D445*$E445</f>
        <v>90.94</v>
      </c>
      <c r="AE445" s="157">
        <f>'Quantitativos (A)'!AC445*$D445*$E445</f>
        <v>90.94</v>
      </c>
      <c r="AF445" s="157">
        <f>'Quantitativos (A)'!AD445*$D445*$E445</f>
        <v>90.94</v>
      </c>
      <c r="AG445" s="157">
        <f>'Quantitativos (A)'!AE445*$D445*$E445</f>
        <v>90.94</v>
      </c>
      <c r="AH445" s="157">
        <f>'Quantitativos (A)'!AF445*$D445*$E445</f>
        <v>90.94</v>
      </c>
      <c r="AI445" s="158">
        <f>'Quantitativos (A)'!AG445*$D445*$E445</f>
        <v>90.94</v>
      </c>
      <c r="AJ445" s="22"/>
    </row>
    <row r="446" spans="1:36" x14ac:dyDescent="0.25">
      <c r="A446" s="112"/>
      <c r="B446" s="136" t="s">
        <v>154</v>
      </c>
      <c r="C446" s="67" t="s">
        <v>59</v>
      </c>
      <c r="D446" s="157">
        <f>'Dados (F)'!$D$323</f>
        <v>66.19</v>
      </c>
      <c r="E446" s="125">
        <f>IF('Dados (F)'!$D$35=1,1,'Dados (F)'!$C$39)</f>
        <v>1</v>
      </c>
      <c r="F446" s="157">
        <f>'Quantitativos (A)'!D446*$D446*$E446</f>
        <v>132.38</v>
      </c>
      <c r="G446" s="157">
        <f>'Quantitativos (A)'!E446*$D446*$E446</f>
        <v>132.38</v>
      </c>
      <c r="H446" s="157">
        <f>'Quantitativos (A)'!F446*$D446*$E446</f>
        <v>132.38</v>
      </c>
      <c r="I446" s="157">
        <f>'Quantitativos (A)'!G446*$D446*$E446</f>
        <v>132.38</v>
      </c>
      <c r="J446" s="157">
        <f>'Quantitativos (A)'!H446*$D446*$E446</f>
        <v>132.38</v>
      </c>
      <c r="K446" s="157">
        <f>'Quantitativos (A)'!I446*$D446*$E446</f>
        <v>132.38</v>
      </c>
      <c r="L446" s="157">
        <f>'Quantitativos (A)'!J446*$D446*$E446</f>
        <v>132.38</v>
      </c>
      <c r="M446" s="157">
        <f>'Quantitativos (A)'!K446*$D446*$E446</f>
        <v>132.38</v>
      </c>
      <c r="N446" s="157">
        <f>'Quantitativos (A)'!L446*$D446*$E446</f>
        <v>132.38</v>
      </c>
      <c r="O446" s="157">
        <f>'Quantitativos (A)'!M446*$D446*$E446</f>
        <v>132.38</v>
      </c>
      <c r="P446" s="157">
        <f>'Quantitativos (A)'!N446*$D446*$E446</f>
        <v>132.38</v>
      </c>
      <c r="Q446" s="157">
        <f>'Quantitativos (A)'!O446*$D446*$E446</f>
        <v>132.38</v>
      </c>
      <c r="R446" s="157">
        <f>'Quantitativos (A)'!P446*$D446*$E446</f>
        <v>132.38</v>
      </c>
      <c r="S446" s="157">
        <f>'Quantitativos (A)'!Q446*$D446*$E446</f>
        <v>132.38</v>
      </c>
      <c r="T446" s="157">
        <f>'Quantitativos (A)'!R446*$D446*$E446</f>
        <v>132.38</v>
      </c>
      <c r="U446" s="157">
        <f>'Quantitativos (A)'!S446*$D446*$E446</f>
        <v>132.38</v>
      </c>
      <c r="V446" s="157">
        <f>'Quantitativos (A)'!T446*$D446*$E446</f>
        <v>132.38</v>
      </c>
      <c r="W446" s="157">
        <f>'Quantitativos (A)'!U446*$D446*$E446</f>
        <v>132.38</v>
      </c>
      <c r="X446" s="157">
        <f>'Quantitativos (A)'!V446*$D446*$E446</f>
        <v>132.38</v>
      </c>
      <c r="Y446" s="157">
        <f>'Quantitativos (A)'!W446*$D446*$E446</f>
        <v>132.38</v>
      </c>
      <c r="Z446" s="157">
        <f>'Quantitativos (A)'!X446*$D446*$E446</f>
        <v>132.38</v>
      </c>
      <c r="AA446" s="157">
        <f>'Quantitativos (A)'!Y446*$D446*$E446</f>
        <v>132.38</v>
      </c>
      <c r="AB446" s="157">
        <f>'Quantitativos (A)'!Z446*$D446*$E446</f>
        <v>132.38</v>
      </c>
      <c r="AC446" s="157">
        <f>'Quantitativos (A)'!AA446*$D446*$E446</f>
        <v>132.38</v>
      </c>
      <c r="AD446" s="157">
        <f>'Quantitativos (A)'!AB446*$D446*$E446</f>
        <v>132.38</v>
      </c>
      <c r="AE446" s="157">
        <f>'Quantitativos (A)'!AC446*$D446*$E446</f>
        <v>132.38</v>
      </c>
      <c r="AF446" s="157">
        <f>'Quantitativos (A)'!AD446*$D446*$E446</f>
        <v>132.38</v>
      </c>
      <c r="AG446" s="157">
        <f>'Quantitativos (A)'!AE446*$D446*$E446</f>
        <v>132.38</v>
      </c>
      <c r="AH446" s="157">
        <f>'Quantitativos (A)'!AF446*$D446*$E446</f>
        <v>132.38</v>
      </c>
      <c r="AI446" s="158">
        <f>'Quantitativos (A)'!AG446*$D446*$E446</f>
        <v>132.38</v>
      </c>
      <c r="AJ446" s="22"/>
    </row>
    <row r="447" spans="1:36" x14ac:dyDescent="0.25">
      <c r="A447" s="112"/>
      <c r="B447" s="136" t="s">
        <v>155</v>
      </c>
      <c r="C447" s="67" t="s">
        <v>59</v>
      </c>
      <c r="D447" s="157">
        <f>'Dados (F)'!$D$324</f>
        <v>153.07</v>
      </c>
      <c r="E447" s="125">
        <f>IF('Dados (F)'!$D$35=1,1,'Dados (F)'!$C$39)</f>
        <v>1</v>
      </c>
      <c r="F447" s="157">
        <f>'Quantitativos (A)'!D447*$D447*$E447</f>
        <v>459.21</v>
      </c>
      <c r="G447" s="157">
        <f>'Quantitativos (A)'!E447*$D447*$E447</f>
        <v>459.21</v>
      </c>
      <c r="H447" s="157">
        <f>'Quantitativos (A)'!F447*$D447*$E447</f>
        <v>459.21</v>
      </c>
      <c r="I447" s="157">
        <f>'Quantitativos (A)'!G447*$D447*$E447</f>
        <v>459.21</v>
      </c>
      <c r="J447" s="157">
        <f>'Quantitativos (A)'!H447*$D447*$E447</f>
        <v>459.21</v>
      </c>
      <c r="K447" s="157">
        <f>'Quantitativos (A)'!I447*$D447*$E447</f>
        <v>459.21</v>
      </c>
      <c r="L447" s="157">
        <f>'Quantitativos (A)'!J447*$D447*$E447</f>
        <v>459.21</v>
      </c>
      <c r="M447" s="157">
        <f>'Quantitativos (A)'!K447*$D447*$E447</f>
        <v>459.21</v>
      </c>
      <c r="N447" s="157">
        <f>'Quantitativos (A)'!L447*$D447*$E447</f>
        <v>459.21</v>
      </c>
      <c r="O447" s="157">
        <f>'Quantitativos (A)'!M447*$D447*$E447</f>
        <v>459.21</v>
      </c>
      <c r="P447" s="157">
        <f>'Quantitativos (A)'!N447*$D447*$E447</f>
        <v>459.21</v>
      </c>
      <c r="Q447" s="157">
        <f>'Quantitativos (A)'!O447*$D447*$E447</f>
        <v>459.21</v>
      </c>
      <c r="R447" s="157">
        <f>'Quantitativos (A)'!P447*$D447*$E447</f>
        <v>459.21</v>
      </c>
      <c r="S447" s="157">
        <f>'Quantitativos (A)'!Q447*$D447*$E447</f>
        <v>459.21</v>
      </c>
      <c r="T447" s="157">
        <f>'Quantitativos (A)'!R447*$D447*$E447</f>
        <v>459.21</v>
      </c>
      <c r="U447" s="157">
        <f>'Quantitativos (A)'!S447*$D447*$E447</f>
        <v>459.21</v>
      </c>
      <c r="V447" s="157">
        <f>'Quantitativos (A)'!T447*$D447*$E447</f>
        <v>459.21</v>
      </c>
      <c r="W447" s="157">
        <f>'Quantitativos (A)'!U447*$D447*$E447</f>
        <v>459.21</v>
      </c>
      <c r="X447" s="157">
        <f>'Quantitativos (A)'!V447*$D447*$E447</f>
        <v>459.21</v>
      </c>
      <c r="Y447" s="157">
        <f>'Quantitativos (A)'!W447*$D447*$E447</f>
        <v>459.21</v>
      </c>
      <c r="Z447" s="157">
        <f>'Quantitativos (A)'!X447*$D447*$E447</f>
        <v>459.21</v>
      </c>
      <c r="AA447" s="157">
        <f>'Quantitativos (A)'!Y447*$D447*$E447</f>
        <v>459.21</v>
      </c>
      <c r="AB447" s="157">
        <f>'Quantitativos (A)'!Z447*$D447*$E447</f>
        <v>459.21</v>
      </c>
      <c r="AC447" s="157">
        <f>'Quantitativos (A)'!AA447*$D447*$E447</f>
        <v>459.21</v>
      </c>
      <c r="AD447" s="157">
        <f>'Quantitativos (A)'!AB447*$D447*$E447</f>
        <v>459.21</v>
      </c>
      <c r="AE447" s="157">
        <f>'Quantitativos (A)'!AC447*$D447*$E447</f>
        <v>459.21</v>
      </c>
      <c r="AF447" s="157">
        <f>'Quantitativos (A)'!AD447*$D447*$E447</f>
        <v>459.21</v>
      </c>
      <c r="AG447" s="157">
        <f>'Quantitativos (A)'!AE447*$D447*$E447</f>
        <v>459.21</v>
      </c>
      <c r="AH447" s="157">
        <f>'Quantitativos (A)'!AF447*$D447*$E447</f>
        <v>459.21</v>
      </c>
      <c r="AI447" s="158">
        <f>'Quantitativos (A)'!AG447*$D447*$E447</f>
        <v>459.21</v>
      </c>
      <c r="AJ447" s="22"/>
    </row>
    <row r="448" spans="1:36" x14ac:dyDescent="0.25">
      <c r="A448" s="112"/>
      <c r="B448" s="136" t="s">
        <v>156</v>
      </c>
      <c r="C448" s="67" t="s">
        <v>59</v>
      </c>
      <c r="D448" s="157">
        <f>'Dados (F)'!$D$325</f>
        <v>214.32</v>
      </c>
      <c r="E448" s="125">
        <f>IF('Dados (F)'!$D$35=1,1,'Dados (F)'!$C$39)</f>
        <v>1</v>
      </c>
      <c r="F448" s="157">
        <f>'Quantitativos (A)'!D448*$D448*$E448</f>
        <v>214.32</v>
      </c>
      <c r="G448" s="157">
        <f>'Quantitativos (A)'!E448*$D448*$E448</f>
        <v>214.32</v>
      </c>
      <c r="H448" s="157">
        <f>'Quantitativos (A)'!F448*$D448*$E448</f>
        <v>214.32</v>
      </c>
      <c r="I448" s="157">
        <f>'Quantitativos (A)'!G448*$D448*$E448</f>
        <v>214.32</v>
      </c>
      <c r="J448" s="157">
        <f>'Quantitativos (A)'!H448*$D448*$E448</f>
        <v>214.32</v>
      </c>
      <c r="K448" s="157">
        <f>'Quantitativos (A)'!I448*$D448*$E448</f>
        <v>214.32</v>
      </c>
      <c r="L448" s="157">
        <f>'Quantitativos (A)'!J448*$D448*$E448</f>
        <v>214.32</v>
      </c>
      <c r="M448" s="157">
        <f>'Quantitativos (A)'!K448*$D448*$E448</f>
        <v>214.32</v>
      </c>
      <c r="N448" s="157">
        <f>'Quantitativos (A)'!L448*$D448*$E448</f>
        <v>214.32</v>
      </c>
      <c r="O448" s="157">
        <f>'Quantitativos (A)'!M448*$D448*$E448</f>
        <v>214.32</v>
      </c>
      <c r="P448" s="157">
        <f>'Quantitativos (A)'!N448*$D448*$E448</f>
        <v>214.32</v>
      </c>
      <c r="Q448" s="157">
        <f>'Quantitativos (A)'!O448*$D448*$E448</f>
        <v>214.32</v>
      </c>
      <c r="R448" s="157">
        <f>'Quantitativos (A)'!P448*$D448*$E448</f>
        <v>214.32</v>
      </c>
      <c r="S448" s="157">
        <f>'Quantitativos (A)'!Q448*$D448*$E448</f>
        <v>214.32</v>
      </c>
      <c r="T448" s="157">
        <f>'Quantitativos (A)'!R448*$D448*$E448</f>
        <v>214.32</v>
      </c>
      <c r="U448" s="157">
        <f>'Quantitativos (A)'!S448*$D448*$E448</f>
        <v>214.32</v>
      </c>
      <c r="V448" s="157">
        <f>'Quantitativos (A)'!T448*$D448*$E448</f>
        <v>214.32</v>
      </c>
      <c r="W448" s="157">
        <f>'Quantitativos (A)'!U448*$D448*$E448</f>
        <v>214.32</v>
      </c>
      <c r="X448" s="157">
        <f>'Quantitativos (A)'!V448*$D448*$E448</f>
        <v>214.32</v>
      </c>
      <c r="Y448" s="157">
        <f>'Quantitativos (A)'!W448*$D448*$E448</f>
        <v>214.32</v>
      </c>
      <c r="Z448" s="157">
        <f>'Quantitativos (A)'!X448*$D448*$E448</f>
        <v>214.32</v>
      </c>
      <c r="AA448" s="157">
        <f>'Quantitativos (A)'!Y448*$D448*$E448</f>
        <v>214.32</v>
      </c>
      <c r="AB448" s="157">
        <f>'Quantitativos (A)'!Z448*$D448*$E448</f>
        <v>214.32</v>
      </c>
      <c r="AC448" s="157">
        <f>'Quantitativos (A)'!AA448*$D448*$E448</f>
        <v>214.32</v>
      </c>
      <c r="AD448" s="157">
        <f>'Quantitativos (A)'!AB448*$D448*$E448</f>
        <v>214.32</v>
      </c>
      <c r="AE448" s="157">
        <f>'Quantitativos (A)'!AC448*$D448*$E448</f>
        <v>214.32</v>
      </c>
      <c r="AF448" s="157">
        <f>'Quantitativos (A)'!AD448*$D448*$E448</f>
        <v>214.32</v>
      </c>
      <c r="AG448" s="157">
        <f>'Quantitativos (A)'!AE448*$D448*$E448</f>
        <v>214.32</v>
      </c>
      <c r="AH448" s="157">
        <f>'Quantitativos (A)'!AF448*$D448*$E448</f>
        <v>214.32</v>
      </c>
      <c r="AI448" s="158">
        <f>'Quantitativos (A)'!AG448*$D448*$E448</f>
        <v>214.32</v>
      </c>
      <c r="AJ448" s="22"/>
    </row>
    <row r="449" spans="1:36" x14ac:dyDescent="0.25">
      <c r="A449" s="112"/>
      <c r="B449" s="136" t="s">
        <v>451</v>
      </c>
      <c r="C449" s="67" t="s">
        <v>59</v>
      </c>
      <c r="D449" s="157">
        <f>'Dados (F)'!$D$326</f>
        <v>31.31</v>
      </c>
      <c r="E449" s="125">
        <f>IF('Dados (F)'!$D$35=1,1,'Dados (F)'!$C$39)</f>
        <v>1</v>
      </c>
      <c r="F449" s="157">
        <f>'Quantitativos (A)'!D449*$D449*$E449</f>
        <v>93.929999999999993</v>
      </c>
      <c r="G449" s="157">
        <f>'Quantitativos (A)'!E449*$D449*$E449</f>
        <v>93.929999999999993</v>
      </c>
      <c r="H449" s="157">
        <f>'Quantitativos (A)'!F449*$D449*$E449</f>
        <v>93.929999999999993</v>
      </c>
      <c r="I449" s="157">
        <f>'Quantitativos (A)'!G449*$D449*$E449</f>
        <v>93.929999999999993</v>
      </c>
      <c r="J449" s="157">
        <f>'Quantitativos (A)'!H449*$D449*$E449</f>
        <v>93.929999999999993</v>
      </c>
      <c r="K449" s="157">
        <f>'Quantitativos (A)'!I449*$D449*$E449</f>
        <v>93.929999999999993</v>
      </c>
      <c r="L449" s="157">
        <f>'Quantitativos (A)'!J449*$D449*$E449</f>
        <v>93.929999999999993</v>
      </c>
      <c r="M449" s="157">
        <f>'Quantitativos (A)'!K449*$D449*$E449</f>
        <v>93.929999999999993</v>
      </c>
      <c r="N449" s="157">
        <f>'Quantitativos (A)'!L449*$D449*$E449</f>
        <v>93.929999999999993</v>
      </c>
      <c r="O449" s="157">
        <f>'Quantitativos (A)'!M449*$D449*$E449</f>
        <v>93.929999999999993</v>
      </c>
      <c r="P449" s="157">
        <f>'Quantitativos (A)'!N449*$D449*$E449</f>
        <v>93.929999999999993</v>
      </c>
      <c r="Q449" s="157">
        <f>'Quantitativos (A)'!O449*$D449*$E449</f>
        <v>93.929999999999993</v>
      </c>
      <c r="R449" s="157">
        <f>'Quantitativos (A)'!P449*$D449*$E449</f>
        <v>93.929999999999993</v>
      </c>
      <c r="S449" s="157">
        <f>'Quantitativos (A)'!Q449*$D449*$E449</f>
        <v>93.929999999999993</v>
      </c>
      <c r="T449" s="157">
        <f>'Quantitativos (A)'!R449*$D449*$E449</f>
        <v>93.929999999999993</v>
      </c>
      <c r="U449" s="157">
        <f>'Quantitativos (A)'!S449*$D449*$E449</f>
        <v>93.929999999999993</v>
      </c>
      <c r="V449" s="157">
        <f>'Quantitativos (A)'!T449*$D449*$E449</f>
        <v>93.929999999999993</v>
      </c>
      <c r="W449" s="157">
        <f>'Quantitativos (A)'!U449*$D449*$E449</f>
        <v>93.929999999999993</v>
      </c>
      <c r="X449" s="157">
        <f>'Quantitativos (A)'!V449*$D449*$E449</f>
        <v>93.929999999999993</v>
      </c>
      <c r="Y449" s="157">
        <f>'Quantitativos (A)'!W449*$D449*$E449</f>
        <v>93.929999999999993</v>
      </c>
      <c r="Z449" s="157">
        <f>'Quantitativos (A)'!X449*$D449*$E449</f>
        <v>93.929999999999993</v>
      </c>
      <c r="AA449" s="157">
        <f>'Quantitativos (A)'!Y449*$D449*$E449</f>
        <v>93.929999999999993</v>
      </c>
      <c r="AB449" s="157">
        <f>'Quantitativos (A)'!Z449*$D449*$E449</f>
        <v>93.929999999999993</v>
      </c>
      <c r="AC449" s="157">
        <f>'Quantitativos (A)'!AA449*$D449*$E449</f>
        <v>93.929999999999993</v>
      </c>
      <c r="AD449" s="157">
        <f>'Quantitativos (A)'!AB449*$D449*$E449</f>
        <v>93.929999999999993</v>
      </c>
      <c r="AE449" s="157">
        <f>'Quantitativos (A)'!AC449*$D449*$E449</f>
        <v>93.929999999999993</v>
      </c>
      <c r="AF449" s="157">
        <f>'Quantitativos (A)'!AD449*$D449*$E449</f>
        <v>93.929999999999993</v>
      </c>
      <c r="AG449" s="157">
        <f>'Quantitativos (A)'!AE449*$D449*$E449</f>
        <v>93.929999999999993</v>
      </c>
      <c r="AH449" s="157">
        <f>'Quantitativos (A)'!AF449*$D449*$E449</f>
        <v>93.929999999999993</v>
      </c>
      <c r="AI449" s="158">
        <f>'Quantitativos (A)'!AG449*$D449*$E449</f>
        <v>93.929999999999993</v>
      </c>
      <c r="AJ449" s="22"/>
    </row>
    <row r="450" spans="1:36" x14ac:dyDescent="0.25">
      <c r="A450" s="112"/>
      <c r="B450" s="136" t="s">
        <v>452</v>
      </c>
      <c r="C450" s="67" t="s">
        <v>59</v>
      </c>
      <c r="D450" s="157">
        <f>'Dados (F)'!$D$327</f>
        <v>41.58</v>
      </c>
      <c r="E450" s="125">
        <f>IF('Dados (F)'!$D$35=1,1,'Dados (F)'!$C$39)</f>
        <v>1</v>
      </c>
      <c r="F450" s="157">
        <f>'Quantitativos (A)'!D450*$D450*$E450</f>
        <v>124.74</v>
      </c>
      <c r="G450" s="157">
        <f>'Quantitativos (A)'!E450*$D450*$E450</f>
        <v>124.74</v>
      </c>
      <c r="H450" s="157">
        <f>'Quantitativos (A)'!F450*$D450*$E450</f>
        <v>124.74</v>
      </c>
      <c r="I450" s="157">
        <f>'Quantitativos (A)'!G450*$D450*$E450</f>
        <v>124.74</v>
      </c>
      <c r="J450" s="157">
        <f>'Quantitativos (A)'!H450*$D450*$E450</f>
        <v>124.74</v>
      </c>
      <c r="K450" s="157">
        <f>'Quantitativos (A)'!I450*$D450*$E450</f>
        <v>124.74</v>
      </c>
      <c r="L450" s="157">
        <f>'Quantitativos (A)'!J450*$D450*$E450</f>
        <v>124.74</v>
      </c>
      <c r="M450" s="157">
        <f>'Quantitativos (A)'!K450*$D450*$E450</f>
        <v>124.74</v>
      </c>
      <c r="N450" s="157">
        <f>'Quantitativos (A)'!L450*$D450*$E450</f>
        <v>124.74</v>
      </c>
      <c r="O450" s="157">
        <f>'Quantitativos (A)'!M450*$D450*$E450</f>
        <v>124.74</v>
      </c>
      <c r="P450" s="157">
        <f>'Quantitativos (A)'!N450*$D450*$E450</f>
        <v>124.74</v>
      </c>
      <c r="Q450" s="157">
        <f>'Quantitativos (A)'!O450*$D450*$E450</f>
        <v>124.74</v>
      </c>
      <c r="R450" s="157">
        <f>'Quantitativos (A)'!P450*$D450*$E450</f>
        <v>124.74</v>
      </c>
      <c r="S450" s="157">
        <f>'Quantitativos (A)'!Q450*$D450*$E450</f>
        <v>124.74</v>
      </c>
      <c r="T450" s="157">
        <f>'Quantitativos (A)'!R450*$D450*$E450</f>
        <v>124.74</v>
      </c>
      <c r="U450" s="157">
        <f>'Quantitativos (A)'!S450*$D450*$E450</f>
        <v>124.74</v>
      </c>
      <c r="V450" s="157">
        <f>'Quantitativos (A)'!T450*$D450*$E450</f>
        <v>124.74</v>
      </c>
      <c r="W450" s="157">
        <f>'Quantitativos (A)'!U450*$D450*$E450</f>
        <v>124.74</v>
      </c>
      <c r="X450" s="157">
        <f>'Quantitativos (A)'!V450*$D450*$E450</f>
        <v>124.74</v>
      </c>
      <c r="Y450" s="157">
        <f>'Quantitativos (A)'!W450*$D450*$E450</f>
        <v>124.74</v>
      </c>
      <c r="Z450" s="157">
        <f>'Quantitativos (A)'!X450*$D450*$E450</f>
        <v>124.74</v>
      </c>
      <c r="AA450" s="157">
        <f>'Quantitativos (A)'!Y450*$D450*$E450</f>
        <v>124.74</v>
      </c>
      <c r="AB450" s="157">
        <f>'Quantitativos (A)'!Z450*$D450*$E450</f>
        <v>124.74</v>
      </c>
      <c r="AC450" s="157">
        <f>'Quantitativos (A)'!AA450*$D450*$E450</f>
        <v>124.74</v>
      </c>
      <c r="AD450" s="157">
        <f>'Quantitativos (A)'!AB450*$D450*$E450</f>
        <v>124.74</v>
      </c>
      <c r="AE450" s="157">
        <f>'Quantitativos (A)'!AC450*$D450*$E450</f>
        <v>124.74</v>
      </c>
      <c r="AF450" s="157">
        <f>'Quantitativos (A)'!AD450*$D450*$E450</f>
        <v>124.74</v>
      </c>
      <c r="AG450" s="157">
        <f>'Quantitativos (A)'!AE450*$D450*$E450</f>
        <v>124.74</v>
      </c>
      <c r="AH450" s="157">
        <f>'Quantitativos (A)'!AF450*$D450*$E450</f>
        <v>124.74</v>
      </c>
      <c r="AI450" s="158">
        <f>'Quantitativos (A)'!AG450*$D450*$E450</f>
        <v>124.74</v>
      </c>
      <c r="AJ450" s="22"/>
    </row>
    <row r="451" spans="1:36" x14ac:dyDescent="0.25">
      <c r="A451" s="112"/>
      <c r="B451" s="136" t="s">
        <v>453</v>
      </c>
      <c r="C451" s="67" t="s">
        <v>59</v>
      </c>
      <c r="D451" s="157">
        <f>'Dados (F)'!$D$328</f>
        <v>23.72</v>
      </c>
      <c r="E451" s="125">
        <f>IF('Dados (F)'!$D$35=1,1,'Dados (F)'!$C$39)</f>
        <v>1</v>
      </c>
      <c r="F451" s="157">
        <f>'Quantitativos (A)'!D451*$D451*$E451</f>
        <v>71.16</v>
      </c>
      <c r="G451" s="157">
        <f>'Quantitativos (A)'!E451*$D451*$E451</f>
        <v>71.16</v>
      </c>
      <c r="H451" s="157">
        <f>'Quantitativos (A)'!F451*$D451*$E451</f>
        <v>71.16</v>
      </c>
      <c r="I451" s="157">
        <f>'Quantitativos (A)'!G451*$D451*$E451</f>
        <v>71.16</v>
      </c>
      <c r="J451" s="157">
        <f>'Quantitativos (A)'!H451*$D451*$E451</f>
        <v>71.16</v>
      </c>
      <c r="K451" s="157">
        <f>'Quantitativos (A)'!I451*$D451*$E451</f>
        <v>71.16</v>
      </c>
      <c r="L451" s="157">
        <f>'Quantitativos (A)'!J451*$D451*$E451</f>
        <v>71.16</v>
      </c>
      <c r="M451" s="157">
        <f>'Quantitativos (A)'!K451*$D451*$E451</f>
        <v>71.16</v>
      </c>
      <c r="N451" s="157">
        <f>'Quantitativos (A)'!L451*$D451*$E451</f>
        <v>71.16</v>
      </c>
      <c r="O451" s="157">
        <f>'Quantitativos (A)'!M451*$D451*$E451</f>
        <v>71.16</v>
      </c>
      <c r="P451" s="157">
        <f>'Quantitativos (A)'!N451*$D451*$E451</f>
        <v>71.16</v>
      </c>
      <c r="Q451" s="157">
        <f>'Quantitativos (A)'!O451*$D451*$E451</f>
        <v>71.16</v>
      </c>
      <c r="R451" s="157">
        <f>'Quantitativos (A)'!P451*$D451*$E451</f>
        <v>71.16</v>
      </c>
      <c r="S451" s="157">
        <f>'Quantitativos (A)'!Q451*$D451*$E451</f>
        <v>71.16</v>
      </c>
      <c r="T451" s="157">
        <f>'Quantitativos (A)'!R451*$D451*$E451</f>
        <v>71.16</v>
      </c>
      <c r="U451" s="157">
        <f>'Quantitativos (A)'!S451*$D451*$E451</f>
        <v>71.16</v>
      </c>
      <c r="V451" s="157">
        <f>'Quantitativos (A)'!T451*$D451*$E451</f>
        <v>71.16</v>
      </c>
      <c r="W451" s="157">
        <f>'Quantitativos (A)'!U451*$D451*$E451</f>
        <v>71.16</v>
      </c>
      <c r="X451" s="157">
        <f>'Quantitativos (A)'!V451*$D451*$E451</f>
        <v>71.16</v>
      </c>
      <c r="Y451" s="157">
        <f>'Quantitativos (A)'!W451*$D451*$E451</f>
        <v>71.16</v>
      </c>
      <c r="Z451" s="157">
        <f>'Quantitativos (A)'!X451*$D451*$E451</f>
        <v>71.16</v>
      </c>
      <c r="AA451" s="157">
        <f>'Quantitativos (A)'!Y451*$D451*$E451</f>
        <v>71.16</v>
      </c>
      <c r="AB451" s="157">
        <f>'Quantitativos (A)'!Z451*$D451*$E451</f>
        <v>71.16</v>
      </c>
      <c r="AC451" s="157">
        <f>'Quantitativos (A)'!AA451*$D451*$E451</f>
        <v>71.16</v>
      </c>
      <c r="AD451" s="157">
        <f>'Quantitativos (A)'!AB451*$D451*$E451</f>
        <v>71.16</v>
      </c>
      <c r="AE451" s="157">
        <f>'Quantitativos (A)'!AC451*$D451*$E451</f>
        <v>71.16</v>
      </c>
      <c r="AF451" s="157">
        <f>'Quantitativos (A)'!AD451*$D451*$E451</f>
        <v>71.16</v>
      </c>
      <c r="AG451" s="157">
        <f>'Quantitativos (A)'!AE451*$D451*$E451</f>
        <v>71.16</v>
      </c>
      <c r="AH451" s="157">
        <f>'Quantitativos (A)'!AF451*$D451*$E451</f>
        <v>71.16</v>
      </c>
      <c r="AI451" s="158">
        <f>'Quantitativos (A)'!AG451*$D451*$E451</f>
        <v>71.16</v>
      </c>
      <c r="AJ451" s="22"/>
    </row>
    <row r="452" spans="1:36" x14ac:dyDescent="0.25">
      <c r="A452" s="112"/>
      <c r="B452" s="136" t="s">
        <v>157</v>
      </c>
      <c r="C452" s="67" t="s">
        <v>59</v>
      </c>
      <c r="D452" s="157">
        <f>'Dados (F)'!$D$329</f>
        <v>46.61</v>
      </c>
      <c r="E452" s="125">
        <f>IF('Dados (F)'!$D$35=1,1,'Dados (F)'!$C$39)</f>
        <v>1</v>
      </c>
      <c r="F452" s="157">
        <f>'Quantitativos (A)'!D452*$D452*$E452</f>
        <v>46.61</v>
      </c>
      <c r="G452" s="157">
        <f>'Quantitativos (A)'!E452*$D452*$E452</f>
        <v>46.61</v>
      </c>
      <c r="H452" s="157">
        <f>'Quantitativos (A)'!F452*$D452*$E452</f>
        <v>46.61</v>
      </c>
      <c r="I452" s="157">
        <f>'Quantitativos (A)'!G452*$D452*$E452</f>
        <v>46.61</v>
      </c>
      <c r="J452" s="157">
        <f>'Quantitativos (A)'!H452*$D452*$E452</f>
        <v>46.61</v>
      </c>
      <c r="K452" s="157">
        <f>'Quantitativos (A)'!I452*$D452*$E452</f>
        <v>46.61</v>
      </c>
      <c r="L452" s="157">
        <f>'Quantitativos (A)'!J452*$D452*$E452</f>
        <v>46.61</v>
      </c>
      <c r="M452" s="157">
        <f>'Quantitativos (A)'!K452*$D452*$E452</f>
        <v>46.61</v>
      </c>
      <c r="N452" s="157">
        <f>'Quantitativos (A)'!L452*$D452*$E452</f>
        <v>46.61</v>
      </c>
      <c r="O452" s="157">
        <f>'Quantitativos (A)'!M452*$D452*$E452</f>
        <v>46.61</v>
      </c>
      <c r="P452" s="157">
        <f>'Quantitativos (A)'!N452*$D452*$E452</f>
        <v>46.61</v>
      </c>
      <c r="Q452" s="157">
        <f>'Quantitativos (A)'!O452*$D452*$E452</f>
        <v>46.61</v>
      </c>
      <c r="R452" s="157">
        <f>'Quantitativos (A)'!P452*$D452*$E452</f>
        <v>46.61</v>
      </c>
      <c r="S452" s="157">
        <f>'Quantitativos (A)'!Q452*$D452*$E452</f>
        <v>46.61</v>
      </c>
      <c r="T452" s="157">
        <f>'Quantitativos (A)'!R452*$D452*$E452</f>
        <v>46.61</v>
      </c>
      <c r="U452" s="157">
        <f>'Quantitativos (A)'!S452*$D452*$E452</f>
        <v>46.61</v>
      </c>
      <c r="V452" s="157">
        <f>'Quantitativos (A)'!T452*$D452*$E452</f>
        <v>46.61</v>
      </c>
      <c r="W452" s="157">
        <f>'Quantitativos (A)'!U452*$D452*$E452</f>
        <v>46.61</v>
      </c>
      <c r="X452" s="157">
        <f>'Quantitativos (A)'!V452*$D452*$E452</f>
        <v>46.61</v>
      </c>
      <c r="Y452" s="157">
        <f>'Quantitativos (A)'!W452*$D452*$E452</f>
        <v>46.61</v>
      </c>
      <c r="Z452" s="157">
        <f>'Quantitativos (A)'!X452*$D452*$E452</f>
        <v>46.61</v>
      </c>
      <c r="AA452" s="157">
        <f>'Quantitativos (A)'!Y452*$D452*$E452</f>
        <v>46.61</v>
      </c>
      <c r="AB452" s="157">
        <f>'Quantitativos (A)'!Z452*$D452*$E452</f>
        <v>46.61</v>
      </c>
      <c r="AC452" s="157">
        <f>'Quantitativos (A)'!AA452*$D452*$E452</f>
        <v>46.61</v>
      </c>
      <c r="AD452" s="157">
        <f>'Quantitativos (A)'!AB452*$D452*$E452</f>
        <v>46.61</v>
      </c>
      <c r="AE452" s="157">
        <f>'Quantitativos (A)'!AC452*$D452*$E452</f>
        <v>46.61</v>
      </c>
      <c r="AF452" s="157">
        <f>'Quantitativos (A)'!AD452*$D452*$E452</f>
        <v>46.61</v>
      </c>
      <c r="AG452" s="157">
        <f>'Quantitativos (A)'!AE452*$D452*$E452</f>
        <v>46.61</v>
      </c>
      <c r="AH452" s="157">
        <f>'Quantitativos (A)'!AF452*$D452*$E452</f>
        <v>46.61</v>
      </c>
      <c r="AI452" s="158">
        <f>'Quantitativos (A)'!AG452*$D452*$E452</f>
        <v>46.61</v>
      </c>
      <c r="AJ452" s="22"/>
    </row>
    <row r="453" spans="1:36" x14ac:dyDescent="0.25">
      <c r="A453" s="112"/>
      <c r="B453" s="136" t="s">
        <v>158</v>
      </c>
      <c r="C453" s="67" t="s">
        <v>59</v>
      </c>
      <c r="D453" s="157">
        <f>'Dados (F)'!$D$330</f>
        <v>29.69</v>
      </c>
      <c r="E453" s="125">
        <f>IF('Dados (F)'!$D$35=1,1,'Dados (F)'!$C$39)</f>
        <v>1</v>
      </c>
      <c r="F453" s="157">
        <f>'Quantitativos (A)'!D453*$D453*$E453</f>
        <v>29.69</v>
      </c>
      <c r="G453" s="157">
        <f>'Quantitativos (A)'!E453*$D453*$E453</f>
        <v>29.69</v>
      </c>
      <c r="H453" s="157">
        <f>'Quantitativos (A)'!F453*$D453*$E453</f>
        <v>29.69</v>
      </c>
      <c r="I453" s="157">
        <f>'Quantitativos (A)'!G453*$D453*$E453</f>
        <v>29.69</v>
      </c>
      <c r="J453" s="157">
        <f>'Quantitativos (A)'!H453*$D453*$E453</f>
        <v>29.69</v>
      </c>
      <c r="K453" s="157">
        <f>'Quantitativos (A)'!I453*$D453*$E453</f>
        <v>29.69</v>
      </c>
      <c r="L453" s="157">
        <f>'Quantitativos (A)'!J453*$D453*$E453</f>
        <v>29.69</v>
      </c>
      <c r="M453" s="157">
        <f>'Quantitativos (A)'!K453*$D453*$E453</f>
        <v>29.69</v>
      </c>
      <c r="N453" s="157">
        <f>'Quantitativos (A)'!L453*$D453*$E453</f>
        <v>29.69</v>
      </c>
      <c r="O453" s="157">
        <f>'Quantitativos (A)'!M453*$D453*$E453</f>
        <v>29.69</v>
      </c>
      <c r="P453" s="157">
        <f>'Quantitativos (A)'!N453*$D453*$E453</f>
        <v>29.69</v>
      </c>
      <c r="Q453" s="157">
        <f>'Quantitativos (A)'!O453*$D453*$E453</f>
        <v>29.69</v>
      </c>
      <c r="R453" s="157">
        <f>'Quantitativos (A)'!P453*$D453*$E453</f>
        <v>29.69</v>
      </c>
      <c r="S453" s="157">
        <f>'Quantitativos (A)'!Q453*$D453*$E453</f>
        <v>29.69</v>
      </c>
      <c r="T453" s="157">
        <f>'Quantitativos (A)'!R453*$D453*$E453</f>
        <v>29.69</v>
      </c>
      <c r="U453" s="157">
        <f>'Quantitativos (A)'!S453*$D453*$E453</f>
        <v>29.69</v>
      </c>
      <c r="V453" s="157">
        <f>'Quantitativos (A)'!T453*$D453*$E453</f>
        <v>29.69</v>
      </c>
      <c r="W453" s="157">
        <f>'Quantitativos (A)'!U453*$D453*$E453</f>
        <v>29.69</v>
      </c>
      <c r="X453" s="157">
        <f>'Quantitativos (A)'!V453*$D453*$E453</f>
        <v>29.69</v>
      </c>
      <c r="Y453" s="157">
        <f>'Quantitativos (A)'!W453*$D453*$E453</f>
        <v>29.69</v>
      </c>
      <c r="Z453" s="157">
        <f>'Quantitativos (A)'!X453*$D453*$E453</f>
        <v>29.69</v>
      </c>
      <c r="AA453" s="157">
        <f>'Quantitativos (A)'!Y453*$D453*$E453</f>
        <v>29.69</v>
      </c>
      <c r="AB453" s="157">
        <f>'Quantitativos (A)'!Z453*$D453*$E453</f>
        <v>29.69</v>
      </c>
      <c r="AC453" s="157">
        <f>'Quantitativos (A)'!AA453*$D453*$E453</f>
        <v>29.69</v>
      </c>
      <c r="AD453" s="157">
        <f>'Quantitativos (A)'!AB453*$D453*$E453</f>
        <v>29.69</v>
      </c>
      <c r="AE453" s="157">
        <f>'Quantitativos (A)'!AC453*$D453*$E453</f>
        <v>29.69</v>
      </c>
      <c r="AF453" s="157">
        <f>'Quantitativos (A)'!AD453*$D453*$E453</f>
        <v>29.69</v>
      </c>
      <c r="AG453" s="157">
        <f>'Quantitativos (A)'!AE453*$D453*$E453</f>
        <v>29.69</v>
      </c>
      <c r="AH453" s="157">
        <f>'Quantitativos (A)'!AF453*$D453*$E453</f>
        <v>29.69</v>
      </c>
      <c r="AI453" s="158">
        <f>'Quantitativos (A)'!AG453*$D453*$E453</f>
        <v>29.69</v>
      </c>
      <c r="AJ453" s="22"/>
    </row>
    <row r="454" spans="1:36" x14ac:dyDescent="0.25">
      <c r="A454" s="112"/>
      <c r="B454" s="136" t="s">
        <v>159</v>
      </c>
      <c r="C454" s="67" t="s">
        <v>59</v>
      </c>
      <c r="D454" s="157">
        <f>'Dados (F)'!$D$331</f>
        <v>45.88</v>
      </c>
      <c r="E454" s="125">
        <f>IF('Dados (F)'!$D$35=1,1,'Dados (F)'!$C$39)</f>
        <v>1</v>
      </c>
      <c r="F454" s="157">
        <f>'Quantitativos (A)'!D454*$D454*$E454</f>
        <v>45.88</v>
      </c>
      <c r="G454" s="157">
        <f>'Quantitativos (A)'!E454*$D454*$E454</f>
        <v>45.88</v>
      </c>
      <c r="H454" s="157">
        <f>'Quantitativos (A)'!F454*$D454*$E454</f>
        <v>45.88</v>
      </c>
      <c r="I454" s="157">
        <f>'Quantitativos (A)'!G454*$D454*$E454</f>
        <v>45.88</v>
      </c>
      <c r="J454" s="157">
        <f>'Quantitativos (A)'!H454*$D454*$E454</f>
        <v>45.88</v>
      </c>
      <c r="K454" s="157">
        <f>'Quantitativos (A)'!I454*$D454*$E454</f>
        <v>45.88</v>
      </c>
      <c r="L454" s="157">
        <f>'Quantitativos (A)'!J454*$D454*$E454</f>
        <v>45.88</v>
      </c>
      <c r="M454" s="157">
        <f>'Quantitativos (A)'!K454*$D454*$E454</f>
        <v>45.88</v>
      </c>
      <c r="N454" s="157">
        <f>'Quantitativos (A)'!L454*$D454*$E454</f>
        <v>45.88</v>
      </c>
      <c r="O454" s="157">
        <f>'Quantitativos (A)'!M454*$D454*$E454</f>
        <v>45.88</v>
      </c>
      <c r="P454" s="157">
        <f>'Quantitativos (A)'!N454*$D454*$E454</f>
        <v>45.88</v>
      </c>
      <c r="Q454" s="157">
        <f>'Quantitativos (A)'!O454*$D454*$E454</f>
        <v>45.88</v>
      </c>
      <c r="R454" s="157">
        <f>'Quantitativos (A)'!P454*$D454*$E454</f>
        <v>45.88</v>
      </c>
      <c r="S454" s="157">
        <f>'Quantitativos (A)'!Q454*$D454*$E454</f>
        <v>45.88</v>
      </c>
      <c r="T454" s="157">
        <f>'Quantitativos (A)'!R454*$D454*$E454</f>
        <v>45.88</v>
      </c>
      <c r="U454" s="157">
        <f>'Quantitativos (A)'!S454*$D454*$E454</f>
        <v>45.88</v>
      </c>
      <c r="V454" s="157">
        <f>'Quantitativos (A)'!T454*$D454*$E454</f>
        <v>45.88</v>
      </c>
      <c r="W454" s="157">
        <f>'Quantitativos (A)'!U454*$D454*$E454</f>
        <v>45.88</v>
      </c>
      <c r="X454" s="157">
        <f>'Quantitativos (A)'!V454*$D454*$E454</f>
        <v>45.88</v>
      </c>
      <c r="Y454" s="157">
        <f>'Quantitativos (A)'!W454*$D454*$E454</f>
        <v>45.88</v>
      </c>
      <c r="Z454" s="157">
        <f>'Quantitativos (A)'!X454*$D454*$E454</f>
        <v>45.88</v>
      </c>
      <c r="AA454" s="157">
        <f>'Quantitativos (A)'!Y454*$D454*$E454</f>
        <v>45.88</v>
      </c>
      <c r="AB454" s="157">
        <f>'Quantitativos (A)'!Z454*$D454*$E454</f>
        <v>45.88</v>
      </c>
      <c r="AC454" s="157">
        <f>'Quantitativos (A)'!AA454*$D454*$E454</f>
        <v>45.88</v>
      </c>
      <c r="AD454" s="157">
        <f>'Quantitativos (A)'!AB454*$D454*$E454</f>
        <v>45.88</v>
      </c>
      <c r="AE454" s="157">
        <f>'Quantitativos (A)'!AC454*$D454*$E454</f>
        <v>45.88</v>
      </c>
      <c r="AF454" s="157">
        <f>'Quantitativos (A)'!AD454*$D454*$E454</f>
        <v>45.88</v>
      </c>
      <c r="AG454" s="157">
        <f>'Quantitativos (A)'!AE454*$D454*$E454</f>
        <v>45.88</v>
      </c>
      <c r="AH454" s="157">
        <f>'Quantitativos (A)'!AF454*$D454*$E454</f>
        <v>45.88</v>
      </c>
      <c r="AI454" s="158">
        <f>'Quantitativos (A)'!AG454*$D454*$E454</f>
        <v>45.88</v>
      </c>
      <c r="AJ454" s="22"/>
    </row>
    <row r="455" spans="1:36" x14ac:dyDescent="0.25">
      <c r="A455" s="112"/>
      <c r="B455" s="136" t="s">
        <v>160</v>
      </c>
      <c r="C455" s="67" t="s">
        <v>59</v>
      </c>
      <c r="D455" s="157">
        <f>'Dados (F)'!$D$332</f>
        <v>37.76</v>
      </c>
      <c r="E455" s="125">
        <f>IF('Dados (F)'!$D$35=1,1,'Dados (F)'!$C$39)</f>
        <v>1</v>
      </c>
      <c r="F455" s="157">
        <f>'Quantitativos (A)'!D455*$D455*$E455</f>
        <v>37.76</v>
      </c>
      <c r="G455" s="157">
        <f>'Quantitativos (A)'!E455*$D455*$E455</f>
        <v>37.76</v>
      </c>
      <c r="H455" s="157">
        <f>'Quantitativos (A)'!F455*$D455*$E455</f>
        <v>37.76</v>
      </c>
      <c r="I455" s="157">
        <f>'Quantitativos (A)'!G455*$D455*$E455</f>
        <v>37.76</v>
      </c>
      <c r="J455" s="157">
        <f>'Quantitativos (A)'!H455*$D455*$E455</f>
        <v>37.76</v>
      </c>
      <c r="K455" s="157">
        <f>'Quantitativos (A)'!I455*$D455*$E455</f>
        <v>37.76</v>
      </c>
      <c r="L455" s="157">
        <f>'Quantitativos (A)'!J455*$D455*$E455</f>
        <v>37.76</v>
      </c>
      <c r="M455" s="157">
        <f>'Quantitativos (A)'!K455*$D455*$E455</f>
        <v>37.76</v>
      </c>
      <c r="N455" s="157">
        <f>'Quantitativos (A)'!L455*$D455*$E455</f>
        <v>37.76</v>
      </c>
      <c r="O455" s="157">
        <f>'Quantitativos (A)'!M455*$D455*$E455</f>
        <v>37.76</v>
      </c>
      <c r="P455" s="157">
        <f>'Quantitativos (A)'!N455*$D455*$E455</f>
        <v>37.76</v>
      </c>
      <c r="Q455" s="157">
        <f>'Quantitativos (A)'!O455*$D455*$E455</f>
        <v>37.76</v>
      </c>
      <c r="R455" s="157">
        <f>'Quantitativos (A)'!P455*$D455*$E455</f>
        <v>37.76</v>
      </c>
      <c r="S455" s="157">
        <f>'Quantitativos (A)'!Q455*$D455*$E455</f>
        <v>37.76</v>
      </c>
      <c r="T455" s="157">
        <f>'Quantitativos (A)'!R455*$D455*$E455</f>
        <v>37.76</v>
      </c>
      <c r="U455" s="157">
        <f>'Quantitativos (A)'!S455*$D455*$E455</f>
        <v>37.76</v>
      </c>
      <c r="V455" s="157">
        <f>'Quantitativos (A)'!T455*$D455*$E455</f>
        <v>37.76</v>
      </c>
      <c r="W455" s="157">
        <f>'Quantitativos (A)'!U455*$D455*$E455</f>
        <v>37.76</v>
      </c>
      <c r="X455" s="157">
        <f>'Quantitativos (A)'!V455*$D455*$E455</f>
        <v>37.76</v>
      </c>
      <c r="Y455" s="157">
        <f>'Quantitativos (A)'!W455*$D455*$E455</f>
        <v>37.76</v>
      </c>
      <c r="Z455" s="157">
        <f>'Quantitativos (A)'!X455*$D455*$E455</f>
        <v>37.76</v>
      </c>
      <c r="AA455" s="157">
        <f>'Quantitativos (A)'!Y455*$D455*$E455</f>
        <v>37.76</v>
      </c>
      <c r="AB455" s="157">
        <f>'Quantitativos (A)'!Z455*$D455*$E455</f>
        <v>37.76</v>
      </c>
      <c r="AC455" s="157">
        <f>'Quantitativos (A)'!AA455*$D455*$E455</f>
        <v>37.76</v>
      </c>
      <c r="AD455" s="157">
        <f>'Quantitativos (A)'!AB455*$D455*$E455</f>
        <v>37.76</v>
      </c>
      <c r="AE455" s="157">
        <f>'Quantitativos (A)'!AC455*$D455*$E455</f>
        <v>37.76</v>
      </c>
      <c r="AF455" s="157">
        <f>'Quantitativos (A)'!AD455*$D455*$E455</f>
        <v>37.76</v>
      </c>
      <c r="AG455" s="157">
        <f>'Quantitativos (A)'!AE455*$D455*$E455</f>
        <v>37.76</v>
      </c>
      <c r="AH455" s="157">
        <f>'Quantitativos (A)'!AF455*$D455*$E455</f>
        <v>37.76</v>
      </c>
      <c r="AI455" s="158">
        <f>'Quantitativos (A)'!AG455*$D455*$E455</f>
        <v>37.76</v>
      </c>
      <c r="AJ455" s="22"/>
    </row>
    <row r="456" spans="1:36" x14ac:dyDescent="0.25">
      <c r="A456" s="112"/>
      <c r="B456" s="136" t="s">
        <v>161</v>
      </c>
      <c r="C456" s="67" t="s">
        <v>59</v>
      </c>
      <c r="D456" s="157">
        <f>'Dados (F)'!$D$333</f>
        <v>26.19</v>
      </c>
      <c r="E456" s="125">
        <f>IF('Dados (F)'!$D$35=1,1,'Dados (F)'!$C$39)</f>
        <v>1</v>
      </c>
      <c r="F456" s="157">
        <f>'Quantitativos (A)'!D456*$D456*$E456</f>
        <v>26.19</v>
      </c>
      <c r="G456" s="157">
        <f>'Quantitativos (A)'!E456*$D456*$E456</f>
        <v>26.19</v>
      </c>
      <c r="H456" s="157">
        <f>'Quantitativos (A)'!F456*$D456*$E456</f>
        <v>26.19</v>
      </c>
      <c r="I456" s="157">
        <f>'Quantitativos (A)'!G456*$D456*$E456</f>
        <v>26.19</v>
      </c>
      <c r="J456" s="157">
        <f>'Quantitativos (A)'!H456*$D456*$E456</f>
        <v>26.19</v>
      </c>
      <c r="K456" s="157">
        <f>'Quantitativos (A)'!I456*$D456*$E456</f>
        <v>26.19</v>
      </c>
      <c r="L456" s="157">
        <f>'Quantitativos (A)'!J456*$D456*$E456</f>
        <v>26.19</v>
      </c>
      <c r="M456" s="157">
        <f>'Quantitativos (A)'!K456*$D456*$E456</f>
        <v>26.19</v>
      </c>
      <c r="N456" s="157">
        <f>'Quantitativos (A)'!L456*$D456*$E456</f>
        <v>26.19</v>
      </c>
      <c r="O456" s="157">
        <f>'Quantitativos (A)'!M456*$D456*$E456</f>
        <v>26.19</v>
      </c>
      <c r="P456" s="157">
        <f>'Quantitativos (A)'!N456*$D456*$E456</f>
        <v>26.19</v>
      </c>
      <c r="Q456" s="157">
        <f>'Quantitativos (A)'!O456*$D456*$E456</f>
        <v>26.19</v>
      </c>
      <c r="R456" s="157">
        <f>'Quantitativos (A)'!P456*$D456*$E456</f>
        <v>26.19</v>
      </c>
      <c r="S456" s="157">
        <f>'Quantitativos (A)'!Q456*$D456*$E456</f>
        <v>26.19</v>
      </c>
      <c r="T456" s="157">
        <f>'Quantitativos (A)'!R456*$D456*$E456</f>
        <v>26.19</v>
      </c>
      <c r="U456" s="157">
        <f>'Quantitativos (A)'!S456*$D456*$E456</f>
        <v>26.19</v>
      </c>
      <c r="V456" s="157">
        <f>'Quantitativos (A)'!T456*$D456*$E456</f>
        <v>26.19</v>
      </c>
      <c r="W456" s="157">
        <f>'Quantitativos (A)'!U456*$D456*$E456</f>
        <v>26.19</v>
      </c>
      <c r="X456" s="157">
        <f>'Quantitativos (A)'!V456*$D456*$E456</f>
        <v>26.19</v>
      </c>
      <c r="Y456" s="157">
        <f>'Quantitativos (A)'!W456*$D456*$E456</f>
        <v>26.19</v>
      </c>
      <c r="Z456" s="157">
        <f>'Quantitativos (A)'!X456*$D456*$E456</f>
        <v>26.19</v>
      </c>
      <c r="AA456" s="157">
        <f>'Quantitativos (A)'!Y456*$D456*$E456</f>
        <v>26.19</v>
      </c>
      <c r="AB456" s="157">
        <f>'Quantitativos (A)'!Z456*$D456*$E456</f>
        <v>26.19</v>
      </c>
      <c r="AC456" s="157">
        <f>'Quantitativos (A)'!AA456*$D456*$E456</f>
        <v>26.19</v>
      </c>
      <c r="AD456" s="157">
        <f>'Quantitativos (A)'!AB456*$D456*$E456</f>
        <v>26.19</v>
      </c>
      <c r="AE456" s="157">
        <f>'Quantitativos (A)'!AC456*$D456*$E456</f>
        <v>26.19</v>
      </c>
      <c r="AF456" s="157">
        <f>'Quantitativos (A)'!AD456*$D456*$E456</f>
        <v>26.19</v>
      </c>
      <c r="AG456" s="157">
        <f>'Quantitativos (A)'!AE456*$D456*$E456</f>
        <v>26.19</v>
      </c>
      <c r="AH456" s="157">
        <f>'Quantitativos (A)'!AF456*$D456*$E456</f>
        <v>26.19</v>
      </c>
      <c r="AI456" s="158">
        <f>'Quantitativos (A)'!AG456*$D456*$E456</f>
        <v>26.19</v>
      </c>
      <c r="AJ456" s="22"/>
    </row>
    <row r="457" spans="1:36" x14ac:dyDescent="0.25">
      <c r="A457" s="112"/>
      <c r="B457" s="136" t="s">
        <v>162</v>
      </c>
      <c r="C457" s="67" t="s">
        <v>59</v>
      </c>
      <c r="D457" s="157">
        <f>'Dados (F)'!$D$334</f>
        <v>27.94</v>
      </c>
      <c r="E457" s="125">
        <f>IF('Dados (F)'!$D$35=1,1,'Dados (F)'!$C$39)</f>
        <v>1</v>
      </c>
      <c r="F457" s="157">
        <f>'Quantitativos (A)'!D457*$D457*$E457</f>
        <v>27.94</v>
      </c>
      <c r="G457" s="157">
        <f>'Quantitativos (A)'!E457*$D457*$E457</f>
        <v>27.94</v>
      </c>
      <c r="H457" s="157">
        <f>'Quantitativos (A)'!F457*$D457*$E457</f>
        <v>27.94</v>
      </c>
      <c r="I457" s="157">
        <f>'Quantitativos (A)'!G457*$D457*$E457</f>
        <v>27.94</v>
      </c>
      <c r="J457" s="157">
        <f>'Quantitativos (A)'!H457*$D457*$E457</f>
        <v>27.94</v>
      </c>
      <c r="K457" s="157">
        <f>'Quantitativos (A)'!I457*$D457*$E457</f>
        <v>27.94</v>
      </c>
      <c r="L457" s="157">
        <f>'Quantitativos (A)'!J457*$D457*$E457</f>
        <v>27.94</v>
      </c>
      <c r="M457" s="157">
        <f>'Quantitativos (A)'!K457*$D457*$E457</f>
        <v>27.94</v>
      </c>
      <c r="N457" s="157">
        <f>'Quantitativos (A)'!L457*$D457*$E457</f>
        <v>27.94</v>
      </c>
      <c r="O457" s="157">
        <f>'Quantitativos (A)'!M457*$D457*$E457</f>
        <v>27.94</v>
      </c>
      <c r="P457" s="157">
        <f>'Quantitativos (A)'!N457*$D457*$E457</f>
        <v>27.94</v>
      </c>
      <c r="Q457" s="157">
        <f>'Quantitativos (A)'!O457*$D457*$E457</f>
        <v>27.94</v>
      </c>
      <c r="R457" s="157">
        <f>'Quantitativos (A)'!P457*$D457*$E457</f>
        <v>27.94</v>
      </c>
      <c r="S457" s="157">
        <f>'Quantitativos (A)'!Q457*$D457*$E457</f>
        <v>27.94</v>
      </c>
      <c r="T457" s="157">
        <f>'Quantitativos (A)'!R457*$D457*$E457</f>
        <v>27.94</v>
      </c>
      <c r="U457" s="157">
        <f>'Quantitativos (A)'!S457*$D457*$E457</f>
        <v>27.94</v>
      </c>
      <c r="V457" s="157">
        <f>'Quantitativos (A)'!T457*$D457*$E457</f>
        <v>27.94</v>
      </c>
      <c r="W457" s="157">
        <f>'Quantitativos (A)'!U457*$D457*$E457</f>
        <v>27.94</v>
      </c>
      <c r="X457" s="157">
        <f>'Quantitativos (A)'!V457*$D457*$E457</f>
        <v>27.94</v>
      </c>
      <c r="Y457" s="157">
        <f>'Quantitativos (A)'!W457*$D457*$E457</f>
        <v>27.94</v>
      </c>
      <c r="Z457" s="157">
        <f>'Quantitativos (A)'!X457*$D457*$E457</f>
        <v>27.94</v>
      </c>
      <c r="AA457" s="157">
        <f>'Quantitativos (A)'!Y457*$D457*$E457</f>
        <v>27.94</v>
      </c>
      <c r="AB457" s="157">
        <f>'Quantitativos (A)'!Z457*$D457*$E457</f>
        <v>27.94</v>
      </c>
      <c r="AC457" s="157">
        <f>'Quantitativos (A)'!AA457*$D457*$E457</f>
        <v>27.94</v>
      </c>
      <c r="AD457" s="157">
        <f>'Quantitativos (A)'!AB457*$D457*$E457</f>
        <v>27.94</v>
      </c>
      <c r="AE457" s="157">
        <f>'Quantitativos (A)'!AC457*$D457*$E457</f>
        <v>27.94</v>
      </c>
      <c r="AF457" s="157">
        <f>'Quantitativos (A)'!AD457*$D457*$E457</f>
        <v>27.94</v>
      </c>
      <c r="AG457" s="157">
        <f>'Quantitativos (A)'!AE457*$D457*$E457</f>
        <v>27.94</v>
      </c>
      <c r="AH457" s="157">
        <f>'Quantitativos (A)'!AF457*$D457*$E457</f>
        <v>27.94</v>
      </c>
      <c r="AI457" s="158">
        <f>'Quantitativos (A)'!AG457*$D457*$E457</f>
        <v>27.94</v>
      </c>
      <c r="AJ457" s="22"/>
    </row>
    <row r="458" spans="1:36" x14ac:dyDescent="0.25">
      <c r="A458" s="112"/>
      <c r="B458" s="136" t="s">
        <v>163</v>
      </c>
      <c r="C458" s="67" t="s">
        <v>59</v>
      </c>
      <c r="D458" s="157">
        <f>'Dados (F)'!$D$335</f>
        <v>39.979999999999997</v>
      </c>
      <c r="E458" s="125">
        <f>IF('Dados (F)'!$D$35=1,1,'Dados (F)'!$C$39)</f>
        <v>1</v>
      </c>
      <c r="F458" s="157">
        <f>'Quantitativos (A)'!D458*$D458*$E458</f>
        <v>39.979999999999997</v>
      </c>
      <c r="G458" s="157">
        <f>'Quantitativos (A)'!E458*$D458*$E458</f>
        <v>39.979999999999997</v>
      </c>
      <c r="H458" s="157">
        <f>'Quantitativos (A)'!F458*$D458*$E458</f>
        <v>39.979999999999997</v>
      </c>
      <c r="I458" s="157">
        <f>'Quantitativos (A)'!G458*$D458*$E458</f>
        <v>39.979999999999997</v>
      </c>
      <c r="J458" s="157">
        <f>'Quantitativos (A)'!H458*$D458*$E458</f>
        <v>39.979999999999997</v>
      </c>
      <c r="K458" s="157">
        <f>'Quantitativos (A)'!I458*$D458*$E458</f>
        <v>39.979999999999997</v>
      </c>
      <c r="L458" s="157">
        <f>'Quantitativos (A)'!J458*$D458*$E458</f>
        <v>39.979999999999997</v>
      </c>
      <c r="M458" s="157">
        <f>'Quantitativos (A)'!K458*$D458*$E458</f>
        <v>39.979999999999997</v>
      </c>
      <c r="N458" s="157">
        <f>'Quantitativos (A)'!L458*$D458*$E458</f>
        <v>39.979999999999997</v>
      </c>
      <c r="O458" s="157">
        <f>'Quantitativos (A)'!M458*$D458*$E458</f>
        <v>39.979999999999997</v>
      </c>
      <c r="P458" s="157">
        <f>'Quantitativos (A)'!N458*$D458*$E458</f>
        <v>39.979999999999997</v>
      </c>
      <c r="Q458" s="157">
        <f>'Quantitativos (A)'!O458*$D458*$E458</f>
        <v>39.979999999999997</v>
      </c>
      <c r="R458" s="157">
        <f>'Quantitativos (A)'!P458*$D458*$E458</f>
        <v>39.979999999999997</v>
      </c>
      <c r="S458" s="157">
        <f>'Quantitativos (A)'!Q458*$D458*$E458</f>
        <v>39.979999999999997</v>
      </c>
      <c r="T458" s="157">
        <f>'Quantitativos (A)'!R458*$D458*$E458</f>
        <v>39.979999999999997</v>
      </c>
      <c r="U458" s="157">
        <f>'Quantitativos (A)'!S458*$D458*$E458</f>
        <v>39.979999999999997</v>
      </c>
      <c r="V458" s="157">
        <f>'Quantitativos (A)'!T458*$D458*$E458</f>
        <v>39.979999999999997</v>
      </c>
      <c r="W458" s="157">
        <f>'Quantitativos (A)'!U458*$D458*$E458</f>
        <v>39.979999999999997</v>
      </c>
      <c r="X458" s="157">
        <f>'Quantitativos (A)'!V458*$D458*$E458</f>
        <v>39.979999999999997</v>
      </c>
      <c r="Y458" s="157">
        <f>'Quantitativos (A)'!W458*$D458*$E458</f>
        <v>39.979999999999997</v>
      </c>
      <c r="Z458" s="157">
        <f>'Quantitativos (A)'!X458*$D458*$E458</f>
        <v>39.979999999999997</v>
      </c>
      <c r="AA458" s="157">
        <f>'Quantitativos (A)'!Y458*$D458*$E458</f>
        <v>39.979999999999997</v>
      </c>
      <c r="AB458" s="157">
        <f>'Quantitativos (A)'!Z458*$D458*$E458</f>
        <v>39.979999999999997</v>
      </c>
      <c r="AC458" s="157">
        <f>'Quantitativos (A)'!AA458*$D458*$E458</f>
        <v>39.979999999999997</v>
      </c>
      <c r="AD458" s="157">
        <f>'Quantitativos (A)'!AB458*$D458*$E458</f>
        <v>39.979999999999997</v>
      </c>
      <c r="AE458" s="157">
        <f>'Quantitativos (A)'!AC458*$D458*$E458</f>
        <v>39.979999999999997</v>
      </c>
      <c r="AF458" s="157">
        <f>'Quantitativos (A)'!AD458*$D458*$E458</f>
        <v>39.979999999999997</v>
      </c>
      <c r="AG458" s="157">
        <f>'Quantitativos (A)'!AE458*$D458*$E458</f>
        <v>39.979999999999997</v>
      </c>
      <c r="AH458" s="157">
        <f>'Quantitativos (A)'!AF458*$D458*$E458</f>
        <v>39.979999999999997</v>
      </c>
      <c r="AI458" s="158">
        <f>'Quantitativos (A)'!AG458*$D458*$E458</f>
        <v>39.979999999999997</v>
      </c>
      <c r="AJ458" s="22"/>
    </row>
    <row r="459" spans="1:36" x14ac:dyDescent="0.25">
      <c r="A459" s="112"/>
      <c r="B459" s="136" t="s">
        <v>164</v>
      </c>
      <c r="C459" s="67" t="s">
        <v>59</v>
      </c>
      <c r="D459" s="157">
        <f>'Dados (F)'!$D$336</f>
        <v>34.9</v>
      </c>
      <c r="E459" s="125">
        <f>IF('Dados (F)'!$D$35=1,1,'Dados (F)'!$C$39)</f>
        <v>1</v>
      </c>
      <c r="F459" s="157">
        <f>'Quantitativos (A)'!D459*$D459*$E459</f>
        <v>34.9</v>
      </c>
      <c r="G459" s="157">
        <f>'Quantitativos (A)'!E459*$D459*$E459</f>
        <v>34.9</v>
      </c>
      <c r="H459" s="157">
        <f>'Quantitativos (A)'!F459*$D459*$E459</f>
        <v>34.9</v>
      </c>
      <c r="I459" s="157">
        <f>'Quantitativos (A)'!G459*$D459*$E459</f>
        <v>34.9</v>
      </c>
      <c r="J459" s="157">
        <f>'Quantitativos (A)'!H459*$D459*$E459</f>
        <v>34.9</v>
      </c>
      <c r="K459" s="157">
        <f>'Quantitativos (A)'!I459*$D459*$E459</f>
        <v>34.9</v>
      </c>
      <c r="L459" s="157">
        <f>'Quantitativos (A)'!J459*$D459*$E459</f>
        <v>34.9</v>
      </c>
      <c r="M459" s="157">
        <f>'Quantitativos (A)'!K459*$D459*$E459</f>
        <v>34.9</v>
      </c>
      <c r="N459" s="157">
        <f>'Quantitativos (A)'!L459*$D459*$E459</f>
        <v>34.9</v>
      </c>
      <c r="O459" s="157">
        <f>'Quantitativos (A)'!M459*$D459*$E459</f>
        <v>34.9</v>
      </c>
      <c r="P459" s="157">
        <f>'Quantitativos (A)'!N459*$D459*$E459</f>
        <v>34.9</v>
      </c>
      <c r="Q459" s="157">
        <f>'Quantitativos (A)'!O459*$D459*$E459</f>
        <v>34.9</v>
      </c>
      <c r="R459" s="157">
        <f>'Quantitativos (A)'!P459*$D459*$E459</f>
        <v>34.9</v>
      </c>
      <c r="S459" s="157">
        <f>'Quantitativos (A)'!Q459*$D459*$E459</f>
        <v>34.9</v>
      </c>
      <c r="T459" s="157">
        <f>'Quantitativos (A)'!R459*$D459*$E459</f>
        <v>34.9</v>
      </c>
      <c r="U459" s="157">
        <f>'Quantitativos (A)'!S459*$D459*$E459</f>
        <v>34.9</v>
      </c>
      <c r="V459" s="157">
        <f>'Quantitativos (A)'!T459*$D459*$E459</f>
        <v>34.9</v>
      </c>
      <c r="W459" s="157">
        <f>'Quantitativos (A)'!U459*$D459*$E459</f>
        <v>34.9</v>
      </c>
      <c r="X459" s="157">
        <f>'Quantitativos (A)'!V459*$D459*$E459</f>
        <v>34.9</v>
      </c>
      <c r="Y459" s="157">
        <f>'Quantitativos (A)'!W459*$D459*$E459</f>
        <v>34.9</v>
      </c>
      <c r="Z459" s="157">
        <f>'Quantitativos (A)'!X459*$D459*$E459</f>
        <v>34.9</v>
      </c>
      <c r="AA459" s="157">
        <f>'Quantitativos (A)'!Y459*$D459*$E459</f>
        <v>34.9</v>
      </c>
      <c r="AB459" s="157">
        <f>'Quantitativos (A)'!Z459*$D459*$E459</f>
        <v>34.9</v>
      </c>
      <c r="AC459" s="157">
        <f>'Quantitativos (A)'!AA459*$D459*$E459</f>
        <v>34.9</v>
      </c>
      <c r="AD459" s="157">
        <f>'Quantitativos (A)'!AB459*$D459*$E459</f>
        <v>34.9</v>
      </c>
      <c r="AE459" s="157">
        <f>'Quantitativos (A)'!AC459*$D459*$E459</f>
        <v>34.9</v>
      </c>
      <c r="AF459" s="157">
        <f>'Quantitativos (A)'!AD459*$D459*$E459</f>
        <v>34.9</v>
      </c>
      <c r="AG459" s="157">
        <f>'Quantitativos (A)'!AE459*$D459*$E459</f>
        <v>34.9</v>
      </c>
      <c r="AH459" s="157">
        <f>'Quantitativos (A)'!AF459*$D459*$E459</f>
        <v>34.9</v>
      </c>
      <c r="AI459" s="158">
        <f>'Quantitativos (A)'!AG459*$D459*$E459</f>
        <v>34.9</v>
      </c>
      <c r="AJ459" s="22"/>
    </row>
    <row r="460" spans="1:36" x14ac:dyDescent="0.25">
      <c r="A460" s="112"/>
      <c r="B460" s="136" t="s">
        <v>165</v>
      </c>
      <c r="C460" s="67" t="s">
        <v>59</v>
      </c>
      <c r="D460" s="157">
        <f>'Dados (F)'!$D$337</f>
        <v>125.29</v>
      </c>
      <c r="E460" s="125">
        <f>IF('Dados (F)'!$D$35=1,1,'Dados (F)'!$C$39)</f>
        <v>1</v>
      </c>
      <c r="F460" s="157">
        <f>'Quantitativos (A)'!D460*$D460*$E460</f>
        <v>125.29</v>
      </c>
      <c r="G460" s="157">
        <f>'Quantitativos (A)'!E460*$D460*$E460</f>
        <v>125.29</v>
      </c>
      <c r="H460" s="157">
        <f>'Quantitativos (A)'!F460*$D460*$E460</f>
        <v>125.29</v>
      </c>
      <c r="I460" s="157">
        <f>'Quantitativos (A)'!G460*$D460*$E460</f>
        <v>125.29</v>
      </c>
      <c r="J460" s="157">
        <f>'Quantitativos (A)'!H460*$D460*$E460</f>
        <v>125.29</v>
      </c>
      <c r="K460" s="157">
        <f>'Quantitativos (A)'!I460*$D460*$E460</f>
        <v>125.29</v>
      </c>
      <c r="L460" s="157">
        <f>'Quantitativos (A)'!J460*$D460*$E460</f>
        <v>125.29</v>
      </c>
      <c r="M460" s="157">
        <f>'Quantitativos (A)'!K460*$D460*$E460</f>
        <v>125.29</v>
      </c>
      <c r="N460" s="157">
        <f>'Quantitativos (A)'!L460*$D460*$E460</f>
        <v>125.29</v>
      </c>
      <c r="O460" s="157">
        <f>'Quantitativos (A)'!M460*$D460*$E460</f>
        <v>125.29</v>
      </c>
      <c r="P460" s="157">
        <f>'Quantitativos (A)'!N460*$D460*$E460</f>
        <v>125.29</v>
      </c>
      <c r="Q460" s="157">
        <f>'Quantitativos (A)'!O460*$D460*$E460</f>
        <v>125.29</v>
      </c>
      <c r="R460" s="157">
        <f>'Quantitativos (A)'!P460*$D460*$E460</f>
        <v>125.29</v>
      </c>
      <c r="S460" s="157">
        <f>'Quantitativos (A)'!Q460*$D460*$E460</f>
        <v>125.29</v>
      </c>
      <c r="T460" s="157">
        <f>'Quantitativos (A)'!R460*$D460*$E460</f>
        <v>125.29</v>
      </c>
      <c r="U460" s="157">
        <f>'Quantitativos (A)'!S460*$D460*$E460</f>
        <v>125.29</v>
      </c>
      <c r="V460" s="157">
        <f>'Quantitativos (A)'!T460*$D460*$E460</f>
        <v>125.29</v>
      </c>
      <c r="W460" s="157">
        <f>'Quantitativos (A)'!U460*$D460*$E460</f>
        <v>125.29</v>
      </c>
      <c r="X460" s="157">
        <f>'Quantitativos (A)'!V460*$D460*$E460</f>
        <v>125.29</v>
      </c>
      <c r="Y460" s="157">
        <f>'Quantitativos (A)'!W460*$D460*$E460</f>
        <v>125.29</v>
      </c>
      <c r="Z460" s="157">
        <f>'Quantitativos (A)'!X460*$D460*$E460</f>
        <v>125.29</v>
      </c>
      <c r="AA460" s="157">
        <f>'Quantitativos (A)'!Y460*$D460*$E460</f>
        <v>125.29</v>
      </c>
      <c r="AB460" s="157">
        <f>'Quantitativos (A)'!Z460*$D460*$E460</f>
        <v>125.29</v>
      </c>
      <c r="AC460" s="157">
        <f>'Quantitativos (A)'!AA460*$D460*$E460</f>
        <v>125.29</v>
      </c>
      <c r="AD460" s="157">
        <f>'Quantitativos (A)'!AB460*$D460*$E460</f>
        <v>125.29</v>
      </c>
      <c r="AE460" s="157">
        <f>'Quantitativos (A)'!AC460*$D460*$E460</f>
        <v>125.29</v>
      </c>
      <c r="AF460" s="157">
        <f>'Quantitativos (A)'!AD460*$D460*$E460</f>
        <v>125.29</v>
      </c>
      <c r="AG460" s="157">
        <f>'Quantitativos (A)'!AE460*$D460*$E460</f>
        <v>125.29</v>
      </c>
      <c r="AH460" s="157">
        <f>'Quantitativos (A)'!AF460*$D460*$E460</f>
        <v>125.29</v>
      </c>
      <c r="AI460" s="158">
        <f>'Quantitativos (A)'!AG460*$D460*$E460</f>
        <v>125.29</v>
      </c>
      <c r="AJ460" s="22"/>
    </row>
    <row r="461" spans="1:36" x14ac:dyDescent="0.25">
      <c r="A461" s="112"/>
      <c r="B461" s="136" t="s">
        <v>166</v>
      </c>
      <c r="C461" s="67" t="s">
        <v>59</v>
      </c>
      <c r="D461" s="157">
        <f>'Dados (F)'!$D$338</f>
        <v>313.8</v>
      </c>
      <c r="E461" s="125">
        <f>IF('Dados (F)'!$D$35=1,1,'Dados (F)'!$C$39)</f>
        <v>1</v>
      </c>
      <c r="F461" s="157">
        <f>'Quantitativos (A)'!D461*$D461*$E461</f>
        <v>313.8</v>
      </c>
      <c r="G461" s="157">
        <f>'Quantitativos (A)'!E461*$D461*$E461</f>
        <v>313.8</v>
      </c>
      <c r="H461" s="157">
        <f>'Quantitativos (A)'!F461*$D461*$E461</f>
        <v>313.8</v>
      </c>
      <c r="I461" s="157">
        <f>'Quantitativos (A)'!G461*$D461*$E461</f>
        <v>313.8</v>
      </c>
      <c r="J461" s="157">
        <f>'Quantitativos (A)'!H461*$D461*$E461</f>
        <v>313.8</v>
      </c>
      <c r="K461" s="157">
        <f>'Quantitativos (A)'!I461*$D461*$E461</f>
        <v>313.8</v>
      </c>
      <c r="L461" s="157">
        <f>'Quantitativos (A)'!J461*$D461*$E461</f>
        <v>313.8</v>
      </c>
      <c r="M461" s="157">
        <f>'Quantitativos (A)'!K461*$D461*$E461</f>
        <v>313.8</v>
      </c>
      <c r="N461" s="157">
        <f>'Quantitativos (A)'!L461*$D461*$E461</f>
        <v>313.8</v>
      </c>
      <c r="O461" s="157">
        <f>'Quantitativos (A)'!M461*$D461*$E461</f>
        <v>313.8</v>
      </c>
      <c r="P461" s="157">
        <f>'Quantitativos (A)'!N461*$D461*$E461</f>
        <v>313.8</v>
      </c>
      <c r="Q461" s="157">
        <f>'Quantitativos (A)'!O461*$D461*$E461</f>
        <v>313.8</v>
      </c>
      <c r="R461" s="157">
        <f>'Quantitativos (A)'!P461*$D461*$E461</f>
        <v>313.8</v>
      </c>
      <c r="S461" s="157">
        <f>'Quantitativos (A)'!Q461*$D461*$E461</f>
        <v>313.8</v>
      </c>
      <c r="T461" s="157">
        <f>'Quantitativos (A)'!R461*$D461*$E461</f>
        <v>313.8</v>
      </c>
      <c r="U461" s="157">
        <f>'Quantitativos (A)'!S461*$D461*$E461</f>
        <v>313.8</v>
      </c>
      <c r="V461" s="157">
        <f>'Quantitativos (A)'!T461*$D461*$E461</f>
        <v>313.8</v>
      </c>
      <c r="W461" s="157">
        <f>'Quantitativos (A)'!U461*$D461*$E461</f>
        <v>313.8</v>
      </c>
      <c r="X461" s="157">
        <f>'Quantitativos (A)'!V461*$D461*$E461</f>
        <v>313.8</v>
      </c>
      <c r="Y461" s="157">
        <f>'Quantitativos (A)'!W461*$D461*$E461</f>
        <v>313.8</v>
      </c>
      <c r="Z461" s="157">
        <f>'Quantitativos (A)'!X461*$D461*$E461</f>
        <v>313.8</v>
      </c>
      <c r="AA461" s="157">
        <f>'Quantitativos (A)'!Y461*$D461*$E461</f>
        <v>313.8</v>
      </c>
      <c r="AB461" s="157">
        <f>'Quantitativos (A)'!Z461*$D461*$E461</f>
        <v>313.8</v>
      </c>
      <c r="AC461" s="157">
        <f>'Quantitativos (A)'!AA461*$D461*$E461</f>
        <v>313.8</v>
      </c>
      <c r="AD461" s="157">
        <f>'Quantitativos (A)'!AB461*$D461*$E461</f>
        <v>313.8</v>
      </c>
      <c r="AE461" s="157">
        <f>'Quantitativos (A)'!AC461*$D461*$E461</f>
        <v>313.8</v>
      </c>
      <c r="AF461" s="157">
        <f>'Quantitativos (A)'!AD461*$D461*$E461</f>
        <v>313.8</v>
      </c>
      <c r="AG461" s="157">
        <f>'Quantitativos (A)'!AE461*$D461*$E461</f>
        <v>313.8</v>
      </c>
      <c r="AH461" s="157">
        <f>'Quantitativos (A)'!AF461*$D461*$E461</f>
        <v>313.8</v>
      </c>
      <c r="AI461" s="158">
        <f>'Quantitativos (A)'!AG461*$D461*$E461</f>
        <v>313.8</v>
      </c>
      <c r="AJ461" s="22"/>
    </row>
    <row r="462" spans="1:36" x14ac:dyDescent="0.25">
      <c r="A462" s="112"/>
      <c r="B462" s="136" t="s">
        <v>167</v>
      </c>
      <c r="C462" s="67" t="s">
        <v>59</v>
      </c>
      <c r="D462" s="157">
        <f>'Dados (F)'!$D$339</f>
        <v>7.94</v>
      </c>
      <c r="E462" s="125">
        <f>IF('Dados (F)'!$D$35=1,1,'Dados (F)'!$C$39)</f>
        <v>1</v>
      </c>
      <c r="F462" s="157">
        <f>'Quantitativos (A)'!D462*$D462*$E462</f>
        <v>7.94</v>
      </c>
      <c r="G462" s="157">
        <f>'Quantitativos (A)'!E462*$D462*$E462</f>
        <v>7.94</v>
      </c>
      <c r="H462" s="157">
        <f>'Quantitativos (A)'!F462*$D462*$E462</f>
        <v>7.94</v>
      </c>
      <c r="I462" s="157">
        <f>'Quantitativos (A)'!G462*$D462*$E462</f>
        <v>7.94</v>
      </c>
      <c r="J462" s="157">
        <f>'Quantitativos (A)'!H462*$D462*$E462</f>
        <v>7.94</v>
      </c>
      <c r="K462" s="157">
        <f>'Quantitativos (A)'!I462*$D462*$E462</f>
        <v>7.94</v>
      </c>
      <c r="L462" s="157">
        <f>'Quantitativos (A)'!J462*$D462*$E462</f>
        <v>7.94</v>
      </c>
      <c r="M462" s="157">
        <f>'Quantitativos (A)'!K462*$D462*$E462</f>
        <v>7.94</v>
      </c>
      <c r="N462" s="157">
        <f>'Quantitativos (A)'!L462*$D462*$E462</f>
        <v>7.94</v>
      </c>
      <c r="O462" s="157">
        <f>'Quantitativos (A)'!M462*$D462*$E462</f>
        <v>7.94</v>
      </c>
      <c r="P462" s="157">
        <f>'Quantitativos (A)'!N462*$D462*$E462</f>
        <v>7.94</v>
      </c>
      <c r="Q462" s="157">
        <f>'Quantitativos (A)'!O462*$D462*$E462</f>
        <v>7.94</v>
      </c>
      <c r="R462" s="157">
        <f>'Quantitativos (A)'!P462*$D462*$E462</f>
        <v>7.94</v>
      </c>
      <c r="S462" s="157">
        <f>'Quantitativos (A)'!Q462*$D462*$E462</f>
        <v>7.94</v>
      </c>
      <c r="T462" s="157">
        <f>'Quantitativos (A)'!R462*$D462*$E462</f>
        <v>7.94</v>
      </c>
      <c r="U462" s="157">
        <f>'Quantitativos (A)'!S462*$D462*$E462</f>
        <v>7.94</v>
      </c>
      <c r="V462" s="157">
        <f>'Quantitativos (A)'!T462*$D462*$E462</f>
        <v>7.94</v>
      </c>
      <c r="W462" s="157">
        <f>'Quantitativos (A)'!U462*$D462*$E462</f>
        <v>7.94</v>
      </c>
      <c r="X462" s="157">
        <f>'Quantitativos (A)'!V462*$D462*$E462</f>
        <v>7.94</v>
      </c>
      <c r="Y462" s="157">
        <f>'Quantitativos (A)'!W462*$D462*$E462</f>
        <v>7.94</v>
      </c>
      <c r="Z462" s="157">
        <f>'Quantitativos (A)'!X462*$D462*$E462</f>
        <v>7.94</v>
      </c>
      <c r="AA462" s="157">
        <f>'Quantitativos (A)'!Y462*$D462*$E462</f>
        <v>7.94</v>
      </c>
      <c r="AB462" s="157">
        <f>'Quantitativos (A)'!Z462*$D462*$E462</f>
        <v>7.94</v>
      </c>
      <c r="AC462" s="157">
        <f>'Quantitativos (A)'!AA462*$D462*$E462</f>
        <v>7.94</v>
      </c>
      <c r="AD462" s="157">
        <f>'Quantitativos (A)'!AB462*$D462*$E462</f>
        <v>7.94</v>
      </c>
      <c r="AE462" s="157">
        <f>'Quantitativos (A)'!AC462*$D462*$E462</f>
        <v>7.94</v>
      </c>
      <c r="AF462" s="157">
        <f>'Quantitativos (A)'!AD462*$D462*$E462</f>
        <v>7.94</v>
      </c>
      <c r="AG462" s="157">
        <f>'Quantitativos (A)'!AE462*$D462*$E462</f>
        <v>7.94</v>
      </c>
      <c r="AH462" s="157">
        <f>'Quantitativos (A)'!AF462*$D462*$E462</f>
        <v>7.94</v>
      </c>
      <c r="AI462" s="158">
        <f>'Quantitativos (A)'!AG462*$D462*$E462</f>
        <v>7.94</v>
      </c>
      <c r="AJ462" s="22"/>
    </row>
    <row r="463" spans="1:36" x14ac:dyDescent="0.25">
      <c r="A463" s="112"/>
      <c r="B463" s="136" t="s">
        <v>168</v>
      </c>
      <c r="C463" s="67" t="s">
        <v>59</v>
      </c>
      <c r="D463" s="157">
        <f>'Dados (F)'!$D$340</f>
        <v>8.34</v>
      </c>
      <c r="E463" s="125">
        <f>IF('Dados (F)'!$D$35=1,1,'Dados (F)'!$C$39)</f>
        <v>1</v>
      </c>
      <c r="F463" s="157">
        <f>'Quantitativos (A)'!D463*$D463*$E463</f>
        <v>8.34</v>
      </c>
      <c r="G463" s="157">
        <f>'Quantitativos (A)'!E463*$D463*$E463</f>
        <v>8.34</v>
      </c>
      <c r="H463" s="157">
        <f>'Quantitativos (A)'!F463*$D463*$E463</f>
        <v>8.34</v>
      </c>
      <c r="I463" s="157">
        <f>'Quantitativos (A)'!G463*$D463*$E463</f>
        <v>8.34</v>
      </c>
      <c r="J463" s="157">
        <f>'Quantitativos (A)'!H463*$D463*$E463</f>
        <v>8.34</v>
      </c>
      <c r="K463" s="157">
        <f>'Quantitativos (A)'!I463*$D463*$E463</f>
        <v>8.34</v>
      </c>
      <c r="L463" s="157">
        <f>'Quantitativos (A)'!J463*$D463*$E463</f>
        <v>8.34</v>
      </c>
      <c r="M463" s="157">
        <f>'Quantitativos (A)'!K463*$D463*$E463</f>
        <v>8.34</v>
      </c>
      <c r="N463" s="157">
        <f>'Quantitativos (A)'!L463*$D463*$E463</f>
        <v>8.34</v>
      </c>
      <c r="O463" s="157">
        <f>'Quantitativos (A)'!M463*$D463*$E463</f>
        <v>8.34</v>
      </c>
      <c r="P463" s="157">
        <f>'Quantitativos (A)'!N463*$D463*$E463</f>
        <v>8.34</v>
      </c>
      <c r="Q463" s="157">
        <f>'Quantitativos (A)'!O463*$D463*$E463</f>
        <v>8.34</v>
      </c>
      <c r="R463" s="157">
        <f>'Quantitativos (A)'!P463*$D463*$E463</f>
        <v>8.34</v>
      </c>
      <c r="S463" s="157">
        <f>'Quantitativos (A)'!Q463*$D463*$E463</f>
        <v>8.34</v>
      </c>
      <c r="T463" s="157">
        <f>'Quantitativos (A)'!R463*$D463*$E463</f>
        <v>8.34</v>
      </c>
      <c r="U463" s="157">
        <f>'Quantitativos (A)'!S463*$D463*$E463</f>
        <v>8.34</v>
      </c>
      <c r="V463" s="157">
        <f>'Quantitativos (A)'!T463*$D463*$E463</f>
        <v>8.34</v>
      </c>
      <c r="W463" s="157">
        <f>'Quantitativos (A)'!U463*$D463*$E463</f>
        <v>8.34</v>
      </c>
      <c r="X463" s="157">
        <f>'Quantitativos (A)'!V463*$D463*$E463</f>
        <v>8.34</v>
      </c>
      <c r="Y463" s="157">
        <f>'Quantitativos (A)'!W463*$D463*$E463</f>
        <v>8.34</v>
      </c>
      <c r="Z463" s="157">
        <f>'Quantitativos (A)'!X463*$D463*$E463</f>
        <v>8.34</v>
      </c>
      <c r="AA463" s="157">
        <f>'Quantitativos (A)'!Y463*$D463*$E463</f>
        <v>8.34</v>
      </c>
      <c r="AB463" s="157">
        <f>'Quantitativos (A)'!Z463*$D463*$E463</f>
        <v>8.34</v>
      </c>
      <c r="AC463" s="157">
        <f>'Quantitativos (A)'!AA463*$D463*$E463</f>
        <v>8.34</v>
      </c>
      <c r="AD463" s="157">
        <f>'Quantitativos (A)'!AB463*$D463*$E463</f>
        <v>8.34</v>
      </c>
      <c r="AE463" s="157">
        <f>'Quantitativos (A)'!AC463*$D463*$E463</f>
        <v>8.34</v>
      </c>
      <c r="AF463" s="157">
        <f>'Quantitativos (A)'!AD463*$D463*$E463</f>
        <v>8.34</v>
      </c>
      <c r="AG463" s="157">
        <f>'Quantitativos (A)'!AE463*$D463*$E463</f>
        <v>8.34</v>
      </c>
      <c r="AH463" s="157">
        <f>'Quantitativos (A)'!AF463*$D463*$E463</f>
        <v>8.34</v>
      </c>
      <c r="AI463" s="158">
        <f>'Quantitativos (A)'!AG463*$D463*$E463</f>
        <v>8.34</v>
      </c>
      <c r="AJ463" s="22"/>
    </row>
    <row r="464" spans="1:36" x14ac:dyDescent="0.25">
      <c r="A464" s="112"/>
      <c r="B464" s="136" t="s">
        <v>169</v>
      </c>
      <c r="C464" s="67" t="s">
        <v>59</v>
      </c>
      <c r="D464" s="157">
        <f>'Dados (F)'!$D$341</f>
        <v>10.14</v>
      </c>
      <c r="E464" s="125">
        <f>IF('Dados (F)'!$D$35=1,1,'Dados (F)'!$C$39)</f>
        <v>1</v>
      </c>
      <c r="F464" s="157">
        <f>'Quantitativos (A)'!D464*$D464*$E464</f>
        <v>10.14</v>
      </c>
      <c r="G464" s="157">
        <f>'Quantitativos (A)'!E464*$D464*$E464</f>
        <v>10.14</v>
      </c>
      <c r="H464" s="157">
        <f>'Quantitativos (A)'!F464*$D464*$E464</f>
        <v>10.14</v>
      </c>
      <c r="I464" s="157">
        <f>'Quantitativos (A)'!G464*$D464*$E464</f>
        <v>10.14</v>
      </c>
      <c r="J464" s="157">
        <f>'Quantitativos (A)'!H464*$D464*$E464</f>
        <v>10.14</v>
      </c>
      <c r="K464" s="157">
        <f>'Quantitativos (A)'!I464*$D464*$E464</f>
        <v>10.14</v>
      </c>
      <c r="L464" s="157">
        <f>'Quantitativos (A)'!J464*$D464*$E464</f>
        <v>10.14</v>
      </c>
      <c r="M464" s="157">
        <f>'Quantitativos (A)'!K464*$D464*$E464</f>
        <v>10.14</v>
      </c>
      <c r="N464" s="157">
        <f>'Quantitativos (A)'!L464*$D464*$E464</f>
        <v>10.14</v>
      </c>
      <c r="O464" s="157">
        <f>'Quantitativos (A)'!M464*$D464*$E464</f>
        <v>10.14</v>
      </c>
      <c r="P464" s="157">
        <f>'Quantitativos (A)'!N464*$D464*$E464</f>
        <v>10.14</v>
      </c>
      <c r="Q464" s="157">
        <f>'Quantitativos (A)'!O464*$D464*$E464</f>
        <v>10.14</v>
      </c>
      <c r="R464" s="157">
        <f>'Quantitativos (A)'!P464*$D464*$E464</f>
        <v>10.14</v>
      </c>
      <c r="S464" s="157">
        <f>'Quantitativos (A)'!Q464*$D464*$E464</f>
        <v>10.14</v>
      </c>
      <c r="T464" s="157">
        <f>'Quantitativos (A)'!R464*$D464*$E464</f>
        <v>10.14</v>
      </c>
      <c r="U464" s="157">
        <f>'Quantitativos (A)'!S464*$D464*$E464</f>
        <v>10.14</v>
      </c>
      <c r="V464" s="157">
        <f>'Quantitativos (A)'!T464*$D464*$E464</f>
        <v>10.14</v>
      </c>
      <c r="W464" s="157">
        <f>'Quantitativos (A)'!U464*$D464*$E464</f>
        <v>10.14</v>
      </c>
      <c r="X464" s="157">
        <f>'Quantitativos (A)'!V464*$D464*$E464</f>
        <v>10.14</v>
      </c>
      <c r="Y464" s="157">
        <f>'Quantitativos (A)'!W464*$D464*$E464</f>
        <v>10.14</v>
      </c>
      <c r="Z464" s="157">
        <f>'Quantitativos (A)'!X464*$D464*$E464</f>
        <v>10.14</v>
      </c>
      <c r="AA464" s="157">
        <f>'Quantitativos (A)'!Y464*$D464*$E464</f>
        <v>10.14</v>
      </c>
      <c r="AB464" s="157">
        <f>'Quantitativos (A)'!Z464*$D464*$E464</f>
        <v>10.14</v>
      </c>
      <c r="AC464" s="157">
        <f>'Quantitativos (A)'!AA464*$D464*$E464</f>
        <v>10.14</v>
      </c>
      <c r="AD464" s="157">
        <f>'Quantitativos (A)'!AB464*$D464*$E464</f>
        <v>10.14</v>
      </c>
      <c r="AE464" s="157">
        <f>'Quantitativos (A)'!AC464*$D464*$E464</f>
        <v>10.14</v>
      </c>
      <c r="AF464" s="157">
        <f>'Quantitativos (A)'!AD464*$D464*$E464</f>
        <v>10.14</v>
      </c>
      <c r="AG464" s="157">
        <f>'Quantitativos (A)'!AE464*$D464*$E464</f>
        <v>10.14</v>
      </c>
      <c r="AH464" s="157">
        <f>'Quantitativos (A)'!AF464*$D464*$E464</f>
        <v>10.14</v>
      </c>
      <c r="AI464" s="158">
        <f>'Quantitativos (A)'!AG464*$D464*$E464</f>
        <v>10.14</v>
      </c>
      <c r="AJ464" s="22"/>
    </row>
    <row r="465" spans="1:36" x14ac:dyDescent="0.25">
      <c r="A465" s="112"/>
      <c r="B465" s="136" t="s">
        <v>170</v>
      </c>
      <c r="C465" s="67" t="s">
        <v>59</v>
      </c>
      <c r="D465" s="157">
        <f>'Dados (F)'!$D$342</f>
        <v>15</v>
      </c>
      <c r="E465" s="125">
        <f>IF('Dados (F)'!$D$35=1,1,'Dados (F)'!$C$39)</f>
        <v>1</v>
      </c>
      <c r="F465" s="157">
        <f>'Quantitativos (A)'!D465*$D465*$E465</f>
        <v>15</v>
      </c>
      <c r="G465" s="157">
        <f>'Quantitativos (A)'!E465*$D465*$E465</f>
        <v>15</v>
      </c>
      <c r="H465" s="157">
        <f>'Quantitativos (A)'!F465*$D465*$E465</f>
        <v>15</v>
      </c>
      <c r="I465" s="157">
        <f>'Quantitativos (A)'!G465*$D465*$E465</f>
        <v>15</v>
      </c>
      <c r="J465" s="157">
        <f>'Quantitativos (A)'!H465*$D465*$E465</f>
        <v>15</v>
      </c>
      <c r="K465" s="157">
        <f>'Quantitativos (A)'!I465*$D465*$E465</f>
        <v>15</v>
      </c>
      <c r="L465" s="157">
        <f>'Quantitativos (A)'!J465*$D465*$E465</f>
        <v>15</v>
      </c>
      <c r="M465" s="157">
        <f>'Quantitativos (A)'!K465*$D465*$E465</f>
        <v>15</v>
      </c>
      <c r="N465" s="157">
        <f>'Quantitativos (A)'!L465*$D465*$E465</f>
        <v>15</v>
      </c>
      <c r="O465" s="157">
        <f>'Quantitativos (A)'!M465*$D465*$E465</f>
        <v>15</v>
      </c>
      <c r="P465" s="157">
        <f>'Quantitativos (A)'!N465*$D465*$E465</f>
        <v>15</v>
      </c>
      <c r="Q465" s="157">
        <f>'Quantitativos (A)'!O465*$D465*$E465</f>
        <v>15</v>
      </c>
      <c r="R465" s="157">
        <f>'Quantitativos (A)'!P465*$D465*$E465</f>
        <v>15</v>
      </c>
      <c r="S465" s="157">
        <f>'Quantitativos (A)'!Q465*$D465*$E465</f>
        <v>15</v>
      </c>
      <c r="T465" s="157">
        <f>'Quantitativos (A)'!R465*$D465*$E465</f>
        <v>15</v>
      </c>
      <c r="U465" s="157">
        <f>'Quantitativos (A)'!S465*$D465*$E465</f>
        <v>15</v>
      </c>
      <c r="V465" s="157">
        <f>'Quantitativos (A)'!T465*$D465*$E465</f>
        <v>15</v>
      </c>
      <c r="W465" s="157">
        <f>'Quantitativos (A)'!U465*$D465*$E465</f>
        <v>15</v>
      </c>
      <c r="X465" s="157">
        <f>'Quantitativos (A)'!V465*$D465*$E465</f>
        <v>15</v>
      </c>
      <c r="Y465" s="157">
        <f>'Quantitativos (A)'!W465*$D465*$E465</f>
        <v>15</v>
      </c>
      <c r="Z465" s="157">
        <f>'Quantitativos (A)'!X465*$D465*$E465</f>
        <v>15</v>
      </c>
      <c r="AA465" s="157">
        <f>'Quantitativos (A)'!Y465*$D465*$E465</f>
        <v>15</v>
      </c>
      <c r="AB465" s="157">
        <f>'Quantitativos (A)'!Z465*$D465*$E465</f>
        <v>15</v>
      </c>
      <c r="AC465" s="157">
        <f>'Quantitativos (A)'!AA465*$D465*$E465</f>
        <v>15</v>
      </c>
      <c r="AD465" s="157">
        <f>'Quantitativos (A)'!AB465*$D465*$E465</f>
        <v>15</v>
      </c>
      <c r="AE465" s="157">
        <f>'Quantitativos (A)'!AC465*$D465*$E465</f>
        <v>15</v>
      </c>
      <c r="AF465" s="157">
        <f>'Quantitativos (A)'!AD465*$D465*$E465</f>
        <v>15</v>
      </c>
      <c r="AG465" s="157">
        <f>'Quantitativos (A)'!AE465*$D465*$E465</f>
        <v>15</v>
      </c>
      <c r="AH465" s="157">
        <f>'Quantitativos (A)'!AF465*$D465*$E465</f>
        <v>15</v>
      </c>
      <c r="AI465" s="158">
        <f>'Quantitativos (A)'!AG465*$D465*$E465</f>
        <v>15</v>
      </c>
      <c r="AJ465" s="22"/>
    </row>
    <row r="466" spans="1:36" x14ac:dyDescent="0.25">
      <c r="A466" s="112"/>
      <c r="B466" s="136" t="s">
        <v>171</v>
      </c>
      <c r="C466" s="67" t="s">
        <v>59</v>
      </c>
      <c r="D466" s="157">
        <f>'Dados (F)'!$D$343</f>
        <v>23.76</v>
      </c>
      <c r="E466" s="125">
        <f>IF('Dados (F)'!$D$35=1,1,'Dados (F)'!$C$39)</f>
        <v>1</v>
      </c>
      <c r="F466" s="157">
        <f>'Quantitativos (A)'!D466*$D466*$E466</f>
        <v>23.76</v>
      </c>
      <c r="G466" s="157">
        <f>'Quantitativos (A)'!E466*$D466*$E466</f>
        <v>23.76</v>
      </c>
      <c r="H466" s="157">
        <f>'Quantitativos (A)'!F466*$D466*$E466</f>
        <v>23.76</v>
      </c>
      <c r="I466" s="157">
        <f>'Quantitativos (A)'!G466*$D466*$E466</f>
        <v>23.76</v>
      </c>
      <c r="J466" s="157">
        <f>'Quantitativos (A)'!H466*$D466*$E466</f>
        <v>23.76</v>
      </c>
      <c r="K466" s="157">
        <f>'Quantitativos (A)'!I466*$D466*$E466</f>
        <v>23.76</v>
      </c>
      <c r="L466" s="157">
        <f>'Quantitativos (A)'!J466*$D466*$E466</f>
        <v>23.76</v>
      </c>
      <c r="M466" s="157">
        <f>'Quantitativos (A)'!K466*$D466*$E466</f>
        <v>23.76</v>
      </c>
      <c r="N466" s="157">
        <f>'Quantitativos (A)'!L466*$D466*$E466</f>
        <v>23.76</v>
      </c>
      <c r="O466" s="157">
        <f>'Quantitativos (A)'!M466*$D466*$E466</f>
        <v>23.76</v>
      </c>
      <c r="P466" s="157">
        <f>'Quantitativos (A)'!N466*$D466*$E466</f>
        <v>23.76</v>
      </c>
      <c r="Q466" s="157">
        <f>'Quantitativos (A)'!O466*$D466*$E466</f>
        <v>23.76</v>
      </c>
      <c r="R466" s="157">
        <f>'Quantitativos (A)'!P466*$D466*$E466</f>
        <v>23.76</v>
      </c>
      <c r="S466" s="157">
        <f>'Quantitativos (A)'!Q466*$D466*$E466</f>
        <v>23.76</v>
      </c>
      <c r="T466" s="157">
        <f>'Quantitativos (A)'!R466*$D466*$E466</f>
        <v>23.76</v>
      </c>
      <c r="U466" s="157">
        <f>'Quantitativos (A)'!S466*$D466*$E466</f>
        <v>23.76</v>
      </c>
      <c r="V466" s="157">
        <f>'Quantitativos (A)'!T466*$D466*$E466</f>
        <v>23.76</v>
      </c>
      <c r="W466" s="157">
        <f>'Quantitativos (A)'!U466*$D466*$E466</f>
        <v>23.76</v>
      </c>
      <c r="X466" s="157">
        <f>'Quantitativos (A)'!V466*$D466*$E466</f>
        <v>23.76</v>
      </c>
      <c r="Y466" s="157">
        <f>'Quantitativos (A)'!W466*$D466*$E466</f>
        <v>23.76</v>
      </c>
      <c r="Z466" s="157">
        <f>'Quantitativos (A)'!X466*$D466*$E466</f>
        <v>23.76</v>
      </c>
      <c r="AA466" s="157">
        <f>'Quantitativos (A)'!Y466*$D466*$E466</f>
        <v>23.76</v>
      </c>
      <c r="AB466" s="157">
        <f>'Quantitativos (A)'!Z466*$D466*$E466</f>
        <v>23.76</v>
      </c>
      <c r="AC466" s="157">
        <f>'Quantitativos (A)'!AA466*$D466*$E466</f>
        <v>23.76</v>
      </c>
      <c r="AD466" s="157">
        <f>'Quantitativos (A)'!AB466*$D466*$E466</f>
        <v>23.76</v>
      </c>
      <c r="AE466" s="157">
        <f>'Quantitativos (A)'!AC466*$D466*$E466</f>
        <v>23.76</v>
      </c>
      <c r="AF466" s="157">
        <f>'Quantitativos (A)'!AD466*$D466*$E466</f>
        <v>23.76</v>
      </c>
      <c r="AG466" s="157">
        <f>'Quantitativos (A)'!AE466*$D466*$E466</f>
        <v>23.76</v>
      </c>
      <c r="AH466" s="157">
        <f>'Quantitativos (A)'!AF466*$D466*$E466</f>
        <v>23.76</v>
      </c>
      <c r="AI466" s="158">
        <f>'Quantitativos (A)'!AG466*$D466*$E466</f>
        <v>23.76</v>
      </c>
      <c r="AJ466" s="22"/>
    </row>
    <row r="467" spans="1:36" x14ac:dyDescent="0.25">
      <c r="A467" s="112"/>
      <c r="B467" s="136" t="s">
        <v>172</v>
      </c>
      <c r="C467" s="67" t="s">
        <v>59</v>
      </c>
      <c r="D467" s="157">
        <f>'Dados (F)'!$D$344</f>
        <v>68.040000000000006</v>
      </c>
      <c r="E467" s="125">
        <f>IF('Dados (F)'!$D$35=1,1,'Dados (F)'!$C$39)</f>
        <v>1</v>
      </c>
      <c r="F467" s="157">
        <f>'Quantitativos (A)'!D467*$D467*$E467</f>
        <v>136.08000000000001</v>
      </c>
      <c r="G467" s="157">
        <f>'Quantitativos (A)'!E467*$D467*$E467</f>
        <v>136.08000000000001</v>
      </c>
      <c r="H467" s="157">
        <f>'Quantitativos (A)'!F467*$D467*$E467</f>
        <v>136.08000000000001</v>
      </c>
      <c r="I467" s="157">
        <f>'Quantitativos (A)'!G467*$D467*$E467</f>
        <v>136.08000000000001</v>
      </c>
      <c r="J467" s="157">
        <f>'Quantitativos (A)'!H467*$D467*$E467</f>
        <v>136.08000000000001</v>
      </c>
      <c r="K467" s="157">
        <f>'Quantitativos (A)'!I467*$D467*$E467</f>
        <v>136.08000000000001</v>
      </c>
      <c r="L467" s="157">
        <f>'Quantitativos (A)'!J467*$D467*$E467</f>
        <v>136.08000000000001</v>
      </c>
      <c r="M467" s="157">
        <f>'Quantitativos (A)'!K467*$D467*$E467</f>
        <v>136.08000000000001</v>
      </c>
      <c r="N467" s="157">
        <f>'Quantitativos (A)'!L467*$D467*$E467</f>
        <v>136.08000000000001</v>
      </c>
      <c r="O467" s="157">
        <f>'Quantitativos (A)'!M467*$D467*$E467</f>
        <v>136.08000000000001</v>
      </c>
      <c r="P467" s="157">
        <f>'Quantitativos (A)'!N467*$D467*$E467</f>
        <v>136.08000000000001</v>
      </c>
      <c r="Q467" s="157">
        <f>'Quantitativos (A)'!O467*$D467*$E467</f>
        <v>136.08000000000001</v>
      </c>
      <c r="R467" s="157">
        <f>'Quantitativos (A)'!P467*$D467*$E467</f>
        <v>136.08000000000001</v>
      </c>
      <c r="S467" s="157">
        <f>'Quantitativos (A)'!Q467*$D467*$E467</f>
        <v>136.08000000000001</v>
      </c>
      <c r="T467" s="157">
        <f>'Quantitativos (A)'!R467*$D467*$E467</f>
        <v>136.08000000000001</v>
      </c>
      <c r="U467" s="157">
        <f>'Quantitativos (A)'!S467*$D467*$E467</f>
        <v>136.08000000000001</v>
      </c>
      <c r="V467" s="157">
        <f>'Quantitativos (A)'!T467*$D467*$E467</f>
        <v>136.08000000000001</v>
      </c>
      <c r="W467" s="157">
        <f>'Quantitativos (A)'!U467*$D467*$E467</f>
        <v>136.08000000000001</v>
      </c>
      <c r="X467" s="157">
        <f>'Quantitativos (A)'!V467*$D467*$E467</f>
        <v>136.08000000000001</v>
      </c>
      <c r="Y467" s="157">
        <f>'Quantitativos (A)'!W467*$D467*$E467</f>
        <v>136.08000000000001</v>
      </c>
      <c r="Z467" s="157">
        <f>'Quantitativos (A)'!X467*$D467*$E467</f>
        <v>136.08000000000001</v>
      </c>
      <c r="AA467" s="157">
        <f>'Quantitativos (A)'!Y467*$D467*$E467</f>
        <v>136.08000000000001</v>
      </c>
      <c r="AB467" s="157">
        <f>'Quantitativos (A)'!Z467*$D467*$E467</f>
        <v>136.08000000000001</v>
      </c>
      <c r="AC467" s="157">
        <f>'Quantitativos (A)'!AA467*$D467*$E467</f>
        <v>136.08000000000001</v>
      </c>
      <c r="AD467" s="157">
        <f>'Quantitativos (A)'!AB467*$D467*$E467</f>
        <v>136.08000000000001</v>
      </c>
      <c r="AE467" s="157">
        <f>'Quantitativos (A)'!AC467*$D467*$E467</f>
        <v>136.08000000000001</v>
      </c>
      <c r="AF467" s="157">
        <f>'Quantitativos (A)'!AD467*$D467*$E467</f>
        <v>136.08000000000001</v>
      </c>
      <c r="AG467" s="157">
        <f>'Quantitativos (A)'!AE467*$D467*$E467</f>
        <v>136.08000000000001</v>
      </c>
      <c r="AH467" s="157">
        <f>'Quantitativos (A)'!AF467*$D467*$E467</f>
        <v>136.08000000000001</v>
      </c>
      <c r="AI467" s="158">
        <f>'Quantitativos (A)'!AG467*$D467*$E467</f>
        <v>136.08000000000001</v>
      </c>
      <c r="AJ467" s="22"/>
    </row>
    <row r="468" spans="1:36" x14ac:dyDescent="0.25">
      <c r="A468" s="112"/>
      <c r="B468" s="136" t="s">
        <v>173</v>
      </c>
      <c r="C468" s="67" t="s">
        <v>59</v>
      </c>
      <c r="D468" s="157">
        <f>'Dados (F)'!$D$345</f>
        <v>982.68</v>
      </c>
      <c r="E468" s="125">
        <f>IF('Dados (F)'!$D$35=1,1,'Dados (F)'!$C$39)</f>
        <v>1</v>
      </c>
      <c r="F468" s="157">
        <f>'Quantitativos (A)'!D468*$D468*$E468</f>
        <v>1965.36</v>
      </c>
      <c r="G468" s="157">
        <f>'Quantitativos (A)'!E468*$D468*$E468</f>
        <v>1965.36</v>
      </c>
      <c r="H468" s="157">
        <f>'Quantitativos (A)'!F468*$D468*$E468</f>
        <v>1965.36</v>
      </c>
      <c r="I468" s="157">
        <f>'Quantitativos (A)'!G468*$D468*$E468</f>
        <v>1965.36</v>
      </c>
      <c r="J468" s="157">
        <f>'Quantitativos (A)'!H468*$D468*$E468</f>
        <v>1965.36</v>
      </c>
      <c r="K468" s="157">
        <f>'Quantitativos (A)'!I468*$D468*$E468</f>
        <v>1965.36</v>
      </c>
      <c r="L468" s="157">
        <f>'Quantitativos (A)'!J468*$D468*$E468</f>
        <v>1965.36</v>
      </c>
      <c r="M468" s="157">
        <f>'Quantitativos (A)'!K468*$D468*$E468</f>
        <v>1965.36</v>
      </c>
      <c r="N468" s="157">
        <f>'Quantitativos (A)'!L468*$D468*$E468</f>
        <v>1965.36</v>
      </c>
      <c r="O468" s="157">
        <f>'Quantitativos (A)'!M468*$D468*$E468</f>
        <v>1965.36</v>
      </c>
      <c r="P468" s="157">
        <f>'Quantitativos (A)'!N468*$D468*$E468</f>
        <v>1965.36</v>
      </c>
      <c r="Q468" s="157">
        <f>'Quantitativos (A)'!O468*$D468*$E468</f>
        <v>1965.36</v>
      </c>
      <c r="R468" s="157">
        <f>'Quantitativos (A)'!P468*$D468*$E468</f>
        <v>1965.36</v>
      </c>
      <c r="S468" s="157">
        <f>'Quantitativos (A)'!Q468*$D468*$E468</f>
        <v>1965.36</v>
      </c>
      <c r="T468" s="157">
        <f>'Quantitativos (A)'!R468*$D468*$E468</f>
        <v>1965.36</v>
      </c>
      <c r="U468" s="157">
        <f>'Quantitativos (A)'!S468*$D468*$E468</f>
        <v>1965.36</v>
      </c>
      <c r="V468" s="157">
        <f>'Quantitativos (A)'!T468*$D468*$E468</f>
        <v>1965.36</v>
      </c>
      <c r="W468" s="157">
        <f>'Quantitativos (A)'!U468*$D468*$E468</f>
        <v>1965.36</v>
      </c>
      <c r="X468" s="157">
        <f>'Quantitativos (A)'!V468*$D468*$E468</f>
        <v>1965.36</v>
      </c>
      <c r="Y468" s="157">
        <f>'Quantitativos (A)'!W468*$D468*$E468</f>
        <v>1965.36</v>
      </c>
      <c r="Z468" s="157">
        <f>'Quantitativos (A)'!X468*$D468*$E468</f>
        <v>1965.36</v>
      </c>
      <c r="AA468" s="157">
        <f>'Quantitativos (A)'!Y468*$D468*$E468</f>
        <v>1965.36</v>
      </c>
      <c r="AB468" s="157">
        <f>'Quantitativos (A)'!Z468*$D468*$E468</f>
        <v>1965.36</v>
      </c>
      <c r="AC468" s="157">
        <f>'Quantitativos (A)'!AA468*$D468*$E468</f>
        <v>1965.36</v>
      </c>
      <c r="AD468" s="157">
        <f>'Quantitativos (A)'!AB468*$D468*$E468</f>
        <v>1965.36</v>
      </c>
      <c r="AE468" s="157">
        <f>'Quantitativos (A)'!AC468*$D468*$E468</f>
        <v>1965.36</v>
      </c>
      <c r="AF468" s="157">
        <f>'Quantitativos (A)'!AD468*$D468*$E468</f>
        <v>1965.36</v>
      </c>
      <c r="AG468" s="157">
        <f>'Quantitativos (A)'!AE468*$D468*$E468</f>
        <v>1965.36</v>
      </c>
      <c r="AH468" s="157">
        <f>'Quantitativos (A)'!AF468*$D468*$E468</f>
        <v>1965.36</v>
      </c>
      <c r="AI468" s="158">
        <f>'Quantitativos (A)'!AG468*$D468*$E468</f>
        <v>1965.36</v>
      </c>
      <c r="AJ468" s="22"/>
    </row>
    <row r="469" spans="1:36" x14ac:dyDescent="0.25">
      <c r="A469" s="112"/>
      <c r="B469" s="136" t="s">
        <v>174</v>
      </c>
      <c r="C469" s="67" t="s">
        <v>59</v>
      </c>
      <c r="D469" s="157">
        <f>'Dados (F)'!$D$346</f>
        <v>4.75</v>
      </c>
      <c r="E469" s="125">
        <f>IF('Dados (F)'!$D$35=1,1,'Dados (F)'!$C$39)</f>
        <v>1</v>
      </c>
      <c r="F469" s="157">
        <f>'Quantitativos (A)'!D469*$D469*$E469</f>
        <v>4.75</v>
      </c>
      <c r="G469" s="157">
        <f>'Quantitativos (A)'!E469*$D469*$E469</f>
        <v>4.75</v>
      </c>
      <c r="H469" s="157">
        <f>'Quantitativos (A)'!F469*$D469*$E469</f>
        <v>4.75</v>
      </c>
      <c r="I469" s="157">
        <f>'Quantitativos (A)'!G469*$D469*$E469</f>
        <v>4.75</v>
      </c>
      <c r="J469" s="157">
        <f>'Quantitativos (A)'!H469*$D469*$E469</f>
        <v>4.75</v>
      </c>
      <c r="K469" s="157">
        <f>'Quantitativos (A)'!I469*$D469*$E469</f>
        <v>4.75</v>
      </c>
      <c r="L469" s="157">
        <f>'Quantitativos (A)'!J469*$D469*$E469</f>
        <v>4.75</v>
      </c>
      <c r="M469" s="157">
        <f>'Quantitativos (A)'!K469*$D469*$E469</f>
        <v>4.75</v>
      </c>
      <c r="N469" s="157">
        <f>'Quantitativos (A)'!L469*$D469*$E469</f>
        <v>4.75</v>
      </c>
      <c r="O469" s="157">
        <f>'Quantitativos (A)'!M469*$D469*$E469</f>
        <v>4.75</v>
      </c>
      <c r="P469" s="157">
        <f>'Quantitativos (A)'!N469*$D469*$E469</f>
        <v>4.75</v>
      </c>
      <c r="Q469" s="157">
        <f>'Quantitativos (A)'!O469*$D469*$E469</f>
        <v>4.75</v>
      </c>
      <c r="R469" s="157">
        <f>'Quantitativos (A)'!P469*$D469*$E469</f>
        <v>4.75</v>
      </c>
      <c r="S469" s="157">
        <f>'Quantitativos (A)'!Q469*$D469*$E469</f>
        <v>4.75</v>
      </c>
      <c r="T469" s="157">
        <f>'Quantitativos (A)'!R469*$D469*$E469</f>
        <v>4.75</v>
      </c>
      <c r="U469" s="157">
        <f>'Quantitativos (A)'!S469*$D469*$E469</f>
        <v>4.75</v>
      </c>
      <c r="V469" s="157">
        <f>'Quantitativos (A)'!T469*$D469*$E469</f>
        <v>4.75</v>
      </c>
      <c r="W469" s="157">
        <f>'Quantitativos (A)'!U469*$D469*$E469</f>
        <v>4.75</v>
      </c>
      <c r="X469" s="157">
        <f>'Quantitativos (A)'!V469*$D469*$E469</f>
        <v>4.75</v>
      </c>
      <c r="Y469" s="157">
        <f>'Quantitativos (A)'!W469*$D469*$E469</f>
        <v>4.75</v>
      </c>
      <c r="Z469" s="157">
        <f>'Quantitativos (A)'!X469*$D469*$E469</f>
        <v>4.75</v>
      </c>
      <c r="AA469" s="157">
        <f>'Quantitativos (A)'!Y469*$D469*$E469</f>
        <v>4.75</v>
      </c>
      <c r="AB469" s="157">
        <f>'Quantitativos (A)'!Z469*$D469*$E469</f>
        <v>4.75</v>
      </c>
      <c r="AC469" s="157">
        <f>'Quantitativos (A)'!AA469*$D469*$E469</f>
        <v>4.75</v>
      </c>
      <c r="AD469" s="157">
        <f>'Quantitativos (A)'!AB469*$D469*$E469</f>
        <v>4.75</v>
      </c>
      <c r="AE469" s="157">
        <f>'Quantitativos (A)'!AC469*$D469*$E469</f>
        <v>4.75</v>
      </c>
      <c r="AF469" s="157">
        <f>'Quantitativos (A)'!AD469*$D469*$E469</f>
        <v>4.75</v>
      </c>
      <c r="AG469" s="157">
        <f>'Quantitativos (A)'!AE469*$D469*$E469</f>
        <v>4.75</v>
      </c>
      <c r="AH469" s="157">
        <f>'Quantitativos (A)'!AF469*$D469*$E469</f>
        <v>4.75</v>
      </c>
      <c r="AI469" s="158">
        <f>'Quantitativos (A)'!AG469*$D469*$E469</f>
        <v>4.75</v>
      </c>
      <c r="AJ469" s="22"/>
    </row>
    <row r="470" spans="1:36" x14ac:dyDescent="0.25">
      <c r="A470" s="112"/>
      <c r="B470" s="136" t="s">
        <v>175</v>
      </c>
      <c r="C470" s="67" t="s">
        <v>59</v>
      </c>
      <c r="D470" s="157">
        <f>'Dados (F)'!$D$347</f>
        <v>1.87</v>
      </c>
      <c r="E470" s="125">
        <f>IF('Dados (F)'!$D$35=1,1,'Dados (F)'!$C$39)</f>
        <v>1</v>
      </c>
      <c r="F470" s="157">
        <f>'Quantitativos (A)'!D470*$D470*$E470</f>
        <v>9.3500000000000014</v>
      </c>
      <c r="G470" s="157">
        <f>'Quantitativos (A)'!E470*$D470*$E470</f>
        <v>9.3500000000000014</v>
      </c>
      <c r="H470" s="157">
        <f>'Quantitativos (A)'!F470*$D470*$E470</f>
        <v>9.3500000000000014</v>
      </c>
      <c r="I470" s="157">
        <f>'Quantitativos (A)'!G470*$D470*$E470</f>
        <v>9.3500000000000014</v>
      </c>
      <c r="J470" s="157">
        <f>'Quantitativos (A)'!H470*$D470*$E470</f>
        <v>9.3500000000000014</v>
      </c>
      <c r="K470" s="157">
        <f>'Quantitativos (A)'!I470*$D470*$E470</f>
        <v>9.3500000000000014</v>
      </c>
      <c r="L470" s="157">
        <f>'Quantitativos (A)'!J470*$D470*$E470</f>
        <v>9.3500000000000014</v>
      </c>
      <c r="M470" s="157">
        <f>'Quantitativos (A)'!K470*$D470*$E470</f>
        <v>9.3500000000000014</v>
      </c>
      <c r="N470" s="157">
        <f>'Quantitativos (A)'!L470*$D470*$E470</f>
        <v>9.3500000000000014</v>
      </c>
      <c r="O470" s="157">
        <f>'Quantitativos (A)'!M470*$D470*$E470</f>
        <v>9.3500000000000014</v>
      </c>
      <c r="P470" s="157">
        <f>'Quantitativos (A)'!N470*$D470*$E470</f>
        <v>9.3500000000000014</v>
      </c>
      <c r="Q470" s="157">
        <f>'Quantitativos (A)'!O470*$D470*$E470</f>
        <v>9.3500000000000014</v>
      </c>
      <c r="R470" s="157">
        <f>'Quantitativos (A)'!P470*$D470*$E470</f>
        <v>9.3500000000000014</v>
      </c>
      <c r="S470" s="157">
        <f>'Quantitativos (A)'!Q470*$D470*$E470</f>
        <v>9.3500000000000014</v>
      </c>
      <c r="T470" s="157">
        <f>'Quantitativos (A)'!R470*$D470*$E470</f>
        <v>9.3500000000000014</v>
      </c>
      <c r="U470" s="157">
        <f>'Quantitativos (A)'!S470*$D470*$E470</f>
        <v>9.3500000000000014</v>
      </c>
      <c r="V470" s="157">
        <f>'Quantitativos (A)'!T470*$D470*$E470</f>
        <v>9.3500000000000014</v>
      </c>
      <c r="W470" s="157">
        <f>'Quantitativos (A)'!U470*$D470*$E470</f>
        <v>9.3500000000000014</v>
      </c>
      <c r="X470" s="157">
        <f>'Quantitativos (A)'!V470*$D470*$E470</f>
        <v>9.3500000000000014</v>
      </c>
      <c r="Y470" s="157">
        <f>'Quantitativos (A)'!W470*$D470*$E470</f>
        <v>9.3500000000000014</v>
      </c>
      <c r="Z470" s="157">
        <f>'Quantitativos (A)'!X470*$D470*$E470</f>
        <v>9.3500000000000014</v>
      </c>
      <c r="AA470" s="157">
        <f>'Quantitativos (A)'!Y470*$D470*$E470</f>
        <v>9.3500000000000014</v>
      </c>
      <c r="AB470" s="157">
        <f>'Quantitativos (A)'!Z470*$D470*$E470</f>
        <v>9.3500000000000014</v>
      </c>
      <c r="AC470" s="157">
        <f>'Quantitativos (A)'!AA470*$D470*$E470</f>
        <v>9.3500000000000014</v>
      </c>
      <c r="AD470" s="157">
        <f>'Quantitativos (A)'!AB470*$D470*$E470</f>
        <v>9.3500000000000014</v>
      </c>
      <c r="AE470" s="157">
        <f>'Quantitativos (A)'!AC470*$D470*$E470</f>
        <v>9.3500000000000014</v>
      </c>
      <c r="AF470" s="157">
        <f>'Quantitativos (A)'!AD470*$D470*$E470</f>
        <v>9.3500000000000014</v>
      </c>
      <c r="AG470" s="157">
        <f>'Quantitativos (A)'!AE470*$D470*$E470</f>
        <v>9.3500000000000014</v>
      </c>
      <c r="AH470" s="157">
        <f>'Quantitativos (A)'!AF470*$D470*$E470</f>
        <v>9.3500000000000014</v>
      </c>
      <c r="AI470" s="158">
        <f>'Quantitativos (A)'!AG470*$D470*$E470</f>
        <v>9.3500000000000014</v>
      </c>
      <c r="AJ470" s="22"/>
    </row>
    <row r="471" spans="1:36" x14ac:dyDescent="0.25">
      <c r="A471" s="112"/>
      <c r="B471" s="136" t="s">
        <v>176</v>
      </c>
      <c r="C471" s="67" t="s">
        <v>59</v>
      </c>
      <c r="D471" s="157">
        <f>'Dados (F)'!$D$348</f>
        <v>24.94</v>
      </c>
      <c r="E471" s="125">
        <f>IF('Dados (F)'!$D$35=1,1,'Dados (F)'!$C$39)</f>
        <v>1</v>
      </c>
      <c r="F471" s="157">
        <f>'Quantitativos (A)'!D471*$D471*$E471</f>
        <v>49.88</v>
      </c>
      <c r="G471" s="157">
        <f>'Quantitativos (A)'!E471*$D471*$E471</f>
        <v>49.88</v>
      </c>
      <c r="H471" s="157">
        <f>'Quantitativos (A)'!F471*$D471*$E471</f>
        <v>49.88</v>
      </c>
      <c r="I471" s="157">
        <f>'Quantitativos (A)'!G471*$D471*$E471</f>
        <v>49.88</v>
      </c>
      <c r="J471" s="157">
        <f>'Quantitativos (A)'!H471*$D471*$E471</f>
        <v>49.88</v>
      </c>
      <c r="K471" s="157">
        <f>'Quantitativos (A)'!I471*$D471*$E471</f>
        <v>49.88</v>
      </c>
      <c r="L471" s="157">
        <f>'Quantitativos (A)'!J471*$D471*$E471</f>
        <v>49.88</v>
      </c>
      <c r="M471" s="157">
        <f>'Quantitativos (A)'!K471*$D471*$E471</f>
        <v>49.88</v>
      </c>
      <c r="N471" s="157">
        <f>'Quantitativos (A)'!L471*$D471*$E471</f>
        <v>49.88</v>
      </c>
      <c r="O471" s="157">
        <f>'Quantitativos (A)'!M471*$D471*$E471</f>
        <v>49.88</v>
      </c>
      <c r="P471" s="157">
        <f>'Quantitativos (A)'!N471*$D471*$E471</f>
        <v>49.88</v>
      </c>
      <c r="Q471" s="157">
        <f>'Quantitativos (A)'!O471*$D471*$E471</f>
        <v>49.88</v>
      </c>
      <c r="R471" s="157">
        <f>'Quantitativos (A)'!P471*$D471*$E471</f>
        <v>49.88</v>
      </c>
      <c r="S471" s="157">
        <f>'Quantitativos (A)'!Q471*$D471*$E471</f>
        <v>49.88</v>
      </c>
      <c r="T471" s="157">
        <f>'Quantitativos (A)'!R471*$D471*$E471</f>
        <v>49.88</v>
      </c>
      <c r="U471" s="157">
        <f>'Quantitativos (A)'!S471*$D471*$E471</f>
        <v>49.88</v>
      </c>
      <c r="V471" s="157">
        <f>'Quantitativos (A)'!T471*$D471*$E471</f>
        <v>49.88</v>
      </c>
      <c r="W471" s="157">
        <f>'Quantitativos (A)'!U471*$D471*$E471</f>
        <v>49.88</v>
      </c>
      <c r="X471" s="157">
        <f>'Quantitativos (A)'!V471*$D471*$E471</f>
        <v>49.88</v>
      </c>
      <c r="Y471" s="157">
        <f>'Quantitativos (A)'!W471*$D471*$E471</f>
        <v>49.88</v>
      </c>
      <c r="Z471" s="157">
        <f>'Quantitativos (A)'!X471*$D471*$E471</f>
        <v>49.88</v>
      </c>
      <c r="AA471" s="157">
        <f>'Quantitativos (A)'!Y471*$D471*$E471</f>
        <v>49.88</v>
      </c>
      <c r="AB471" s="157">
        <f>'Quantitativos (A)'!Z471*$D471*$E471</f>
        <v>49.88</v>
      </c>
      <c r="AC471" s="157">
        <f>'Quantitativos (A)'!AA471*$D471*$E471</f>
        <v>49.88</v>
      </c>
      <c r="AD471" s="157">
        <f>'Quantitativos (A)'!AB471*$D471*$E471</f>
        <v>49.88</v>
      </c>
      <c r="AE471" s="157">
        <f>'Quantitativos (A)'!AC471*$D471*$E471</f>
        <v>49.88</v>
      </c>
      <c r="AF471" s="157">
        <f>'Quantitativos (A)'!AD471*$D471*$E471</f>
        <v>49.88</v>
      </c>
      <c r="AG471" s="157">
        <f>'Quantitativos (A)'!AE471*$D471*$E471</f>
        <v>49.88</v>
      </c>
      <c r="AH471" s="157">
        <f>'Quantitativos (A)'!AF471*$D471*$E471</f>
        <v>49.88</v>
      </c>
      <c r="AI471" s="158">
        <f>'Quantitativos (A)'!AG471*$D471*$E471</f>
        <v>49.88</v>
      </c>
      <c r="AJ471" s="22"/>
    </row>
    <row r="472" spans="1:36" x14ac:dyDescent="0.25">
      <c r="A472" s="112"/>
      <c r="B472" s="136" t="s">
        <v>177</v>
      </c>
      <c r="C472" s="67" t="s">
        <v>59</v>
      </c>
      <c r="D472" s="157">
        <f>'Dados (F)'!$D$349</f>
        <v>28.85</v>
      </c>
      <c r="E472" s="125">
        <f>IF('Dados (F)'!$D$35=1,1,'Dados (F)'!$C$39)</f>
        <v>1</v>
      </c>
      <c r="F472" s="157">
        <f>'Quantitativos (A)'!D472*$D472*$E472</f>
        <v>57.7</v>
      </c>
      <c r="G472" s="157">
        <f>'Quantitativos (A)'!E472*$D472*$E472</f>
        <v>57.7</v>
      </c>
      <c r="H472" s="157">
        <f>'Quantitativos (A)'!F472*$D472*$E472</f>
        <v>57.7</v>
      </c>
      <c r="I472" s="157">
        <f>'Quantitativos (A)'!G472*$D472*$E472</f>
        <v>57.7</v>
      </c>
      <c r="J472" s="157">
        <f>'Quantitativos (A)'!H472*$D472*$E472</f>
        <v>57.7</v>
      </c>
      <c r="K472" s="157">
        <f>'Quantitativos (A)'!I472*$D472*$E472</f>
        <v>57.7</v>
      </c>
      <c r="L472" s="157">
        <f>'Quantitativos (A)'!J472*$D472*$E472</f>
        <v>57.7</v>
      </c>
      <c r="M472" s="157">
        <f>'Quantitativos (A)'!K472*$D472*$E472</f>
        <v>57.7</v>
      </c>
      <c r="N472" s="157">
        <f>'Quantitativos (A)'!L472*$D472*$E472</f>
        <v>57.7</v>
      </c>
      <c r="O472" s="157">
        <f>'Quantitativos (A)'!M472*$D472*$E472</f>
        <v>57.7</v>
      </c>
      <c r="P472" s="157">
        <f>'Quantitativos (A)'!N472*$D472*$E472</f>
        <v>57.7</v>
      </c>
      <c r="Q472" s="157">
        <f>'Quantitativos (A)'!O472*$D472*$E472</f>
        <v>57.7</v>
      </c>
      <c r="R472" s="157">
        <f>'Quantitativos (A)'!P472*$D472*$E472</f>
        <v>57.7</v>
      </c>
      <c r="S472" s="157">
        <f>'Quantitativos (A)'!Q472*$D472*$E472</f>
        <v>57.7</v>
      </c>
      <c r="T472" s="157">
        <f>'Quantitativos (A)'!R472*$D472*$E472</f>
        <v>57.7</v>
      </c>
      <c r="U472" s="157">
        <f>'Quantitativos (A)'!S472*$D472*$E472</f>
        <v>57.7</v>
      </c>
      <c r="V472" s="157">
        <f>'Quantitativos (A)'!T472*$D472*$E472</f>
        <v>57.7</v>
      </c>
      <c r="W472" s="157">
        <f>'Quantitativos (A)'!U472*$D472*$E472</f>
        <v>57.7</v>
      </c>
      <c r="X472" s="157">
        <f>'Quantitativos (A)'!V472*$D472*$E472</f>
        <v>57.7</v>
      </c>
      <c r="Y472" s="157">
        <f>'Quantitativos (A)'!W472*$D472*$E472</f>
        <v>57.7</v>
      </c>
      <c r="Z472" s="157">
        <f>'Quantitativos (A)'!X472*$D472*$E472</f>
        <v>57.7</v>
      </c>
      <c r="AA472" s="157">
        <f>'Quantitativos (A)'!Y472*$D472*$E472</f>
        <v>57.7</v>
      </c>
      <c r="AB472" s="157">
        <f>'Quantitativos (A)'!Z472*$D472*$E472</f>
        <v>57.7</v>
      </c>
      <c r="AC472" s="157">
        <f>'Quantitativos (A)'!AA472*$D472*$E472</f>
        <v>57.7</v>
      </c>
      <c r="AD472" s="157">
        <f>'Quantitativos (A)'!AB472*$D472*$E472</f>
        <v>57.7</v>
      </c>
      <c r="AE472" s="157">
        <f>'Quantitativos (A)'!AC472*$D472*$E472</f>
        <v>57.7</v>
      </c>
      <c r="AF472" s="157">
        <f>'Quantitativos (A)'!AD472*$D472*$E472</f>
        <v>57.7</v>
      </c>
      <c r="AG472" s="157">
        <f>'Quantitativos (A)'!AE472*$D472*$E472</f>
        <v>57.7</v>
      </c>
      <c r="AH472" s="157">
        <f>'Quantitativos (A)'!AF472*$D472*$E472</f>
        <v>57.7</v>
      </c>
      <c r="AI472" s="158">
        <f>'Quantitativos (A)'!AG472*$D472*$E472</f>
        <v>57.7</v>
      </c>
      <c r="AJ472" s="22"/>
    </row>
    <row r="473" spans="1:36" x14ac:dyDescent="0.25">
      <c r="A473" s="112"/>
      <c r="B473" s="136" t="s">
        <v>178</v>
      </c>
      <c r="C473" s="67" t="s">
        <v>59</v>
      </c>
      <c r="D473" s="157">
        <f>'Dados (F)'!$D$350</f>
        <v>33.03</v>
      </c>
      <c r="E473" s="125">
        <f>IF('Dados (F)'!$D$35=1,1,'Dados (F)'!$C$39)</f>
        <v>1</v>
      </c>
      <c r="F473" s="157">
        <f>'Quantitativos (A)'!D473*$D473*$E473</f>
        <v>66.06</v>
      </c>
      <c r="G473" s="157">
        <f>'Quantitativos (A)'!E473*$D473*$E473</f>
        <v>66.06</v>
      </c>
      <c r="H473" s="157">
        <f>'Quantitativos (A)'!F473*$D473*$E473</f>
        <v>66.06</v>
      </c>
      <c r="I473" s="157">
        <f>'Quantitativos (A)'!G473*$D473*$E473</f>
        <v>66.06</v>
      </c>
      <c r="J473" s="157">
        <f>'Quantitativos (A)'!H473*$D473*$E473</f>
        <v>66.06</v>
      </c>
      <c r="K473" s="157">
        <f>'Quantitativos (A)'!I473*$D473*$E473</f>
        <v>66.06</v>
      </c>
      <c r="L473" s="157">
        <f>'Quantitativos (A)'!J473*$D473*$E473</f>
        <v>66.06</v>
      </c>
      <c r="M473" s="157">
        <f>'Quantitativos (A)'!K473*$D473*$E473</f>
        <v>66.06</v>
      </c>
      <c r="N473" s="157">
        <f>'Quantitativos (A)'!L473*$D473*$E473</f>
        <v>66.06</v>
      </c>
      <c r="O473" s="157">
        <f>'Quantitativos (A)'!M473*$D473*$E473</f>
        <v>66.06</v>
      </c>
      <c r="P473" s="157">
        <f>'Quantitativos (A)'!N473*$D473*$E473</f>
        <v>66.06</v>
      </c>
      <c r="Q473" s="157">
        <f>'Quantitativos (A)'!O473*$D473*$E473</f>
        <v>66.06</v>
      </c>
      <c r="R473" s="157">
        <f>'Quantitativos (A)'!P473*$D473*$E473</f>
        <v>66.06</v>
      </c>
      <c r="S473" s="157">
        <f>'Quantitativos (A)'!Q473*$D473*$E473</f>
        <v>66.06</v>
      </c>
      <c r="T473" s="157">
        <f>'Quantitativos (A)'!R473*$D473*$E473</f>
        <v>66.06</v>
      </c>
      <c r="U473" s="157">
        <f>'Quantitativos (A)'!S473*$D473*$E473</f>
        <v>66.06</v>
      </c>
      <c r="V473" s="157">
        <f>'Quantitativos (A)'!T473*$D473*$E473</f>
        <v>66.06</v>
      </c>
      <c r="W473" s="157">
        <f>'Quantitativos (A)'!U473*$D473*$E473</f>
        <v>66.06</v>
      </c>
      <c r="X473" s="157">
        <f>'Quantitativos (A)'!V473*$D473*$E473</f>
        <v>66.06</v>
      </c>
      <c r="Y473" s="157">
        <f>'Quantitativos (A)'!W473*$D473*$E473</f>
        <v>66.06</v>
      </c>
      <c r="Z473" s="157">
        <f>'Quantitativos (A)'!X473*$D473*$E473</f>
        <v>66.06</v>
      </c>
      <c r="AA473" s="157">
        <f>'Quantitativos (A)'!Y473*$D473*$E473</f>
        <v>66.06</v>
      </c>
      <c r="AB473" s="157">
        <f>'Quantitativos (A)'!Z473*$D473*$E473</f>
        <v>66.06</v>
      </c>
      <c r="AC473" s="157">
        <f>'Quantitativos (A)'!AA473*$D473*$E473</f>
        <v>66.06</v>
      </c>
      <c r="AD473" s="157">
        <f>'Quantitativos (A)'!AB473*$D473*$E473</f>
        <v>66.06</v>
      </c>
      <c r="AE473" s="157">
        <f>'Quantitativos (A)'!AC473*$D473*$E473</f>
        <v>66.06</v>
      </c>
      <c r="AF473" s="157">
        <f>'Quantitativos (A)'!AD473*$D473*$E473</f>
        <v>66.06</v>
      </c>
      <c r="AG473" s="157">
        <f>'Quantitativos (A)'!AE473*$D473*$E473</f>
        <v>66.06</v>
      </c>
      <c r="AH473" s="157">
        <f>'Quantitativos (A)'!AF473*$D473*$E473</f>
        <v>66.06</v>
      </c>
      <c r="AI473" s="158">
        <f>'Quantitativos (A)'!AG473*$D473*$E473</f>
        <v>66.06</v>
      </c>
      <c r="AJ473" s="22"/>
    </row>
    <row r="474" spans="1:36" x14ac:dyDescent="0.25">
      <c r="A474" s="112"/>
      <c r="B474" s="136" t="s">
        <v>179</v>
      </c>
      <c r="C474" s="67" t="s">
        <v>59</v>
      </c>
      <c r="D474" s="157">
        <f>'Dados (F)'!$D$351</f>
        <v>44.58</v>
      </c>
      <c r="E474" s="125">
        <f>IF('Dados (F)'!$D$35=1,1,'Dados (F)'!$C$39)</f>
        <v>1</v>
      </c>
      <c r="F474" s="157">
        <f>'Quantitativos (A)'!D474*$D474*$E474</f>
        <v>89.16</v>
      </c>
      <c r="G474" s="157">
        <f>'Quantitativos (A)'!E474*$D474*$E474</f>
        <v>89.16</v>
      </c>
      <c r="H474" s="157">
        <f>'Quantitativos (A)'!F474*$D474*$E474</f>
        <v>89.16</v>
      </c>
      <c r="I474" s="157">
        <f>'Quantitativos (A)'!G474*$D474*$E474</f>
        <v>89.16</v>
      </c>
      <c r="J474" s="157">
        <f>'Quantitativos (A)'!H474*$D474*$E474</f>
        <v>89.16</v>
      </c>
      <c r="K474" s="157">
        <f>'Quantitativos (A)'!I474*$D474*$E474</f>
        <v>89.16</v>
      </c>
      <c r="L474" s="157">
        <f>'Quantitativos (A)'!J474*$D474*$E474</f>
        <v>89.16</v>
      </c>
      <c r="M474" s="157">
        <f>'Quantitativos (A)'!K474*$D474*$E474</f>
        <v>89.16</v>
      </c>
      <c r="N474" s="157">
        <f>'Quantitativos (A)'!L474*$D474*$E474</f>
        <v>89.16</v>
      </c>
      <c r="O474" s="157">
        <f>'Quantitativos (A)'!M474*$D474*$E474</f>
        <v>89.16</v>
      </c>
      <c r="P474" s="157">
        <f>'Quantitativos (A)'!N474*$D474*$E474</f>
        <v>89.16</v>
      </c>
      <c r="Q474" s="157">
        <f>'Quantitativos (A)'!O474*$D474*$E474</f>
        <v>89.16</v>
      </c>
      <c r="R474" s="157">
        <f>'Quantitativos (A)'!P474*$D474*$E474</f>
        <v>89.16</v>
      </c>
      <c r="S474" s="157">
        <f>'Quantitativos (A)'!Q474*$D474*$E474</f>
        <v>89.16</v>
      </c>
      <c r="T474" s="157">
        <f>'Quantitativos (A)'!R474*$D474*$E474</f>
        <v>89.16</v>
      </c>
      <c r="U474" s="157">
        <f>'Quantitativos (A)'!S474*$D474*$E474</f>
        <v>89.16</v>
      </c>
      <c r="V474" s="157">
        <f>'Quantitativos (A)'!T474*$D474*$E474</f>
        <v>89.16</v>
      </c>
      <c r="W474" s="157">
        <f>'Quantitativos (A)'!U474*$D474*$E474</f>
        <v>89.16</v>
      </c>
      <c r="X474" s="157">
        <f>'Quantitativos (A)'!V474*$D474*$E474</f>
        <v>89.16</v>
      </c>
      <c r="Y474" s="157">
        <f>'Quantitativos (A)'!W474*$D474*$E474</f>
        <v>89.16</v>
      </c>
      <c r="Z474" s="157">
        <f>'Quantitativos (A)'!X474*$D474*$E474</f>
        <v>89.16</v>
      </c>
      <c r="AA474" s="157">
        <f>'Quantitativos (A)'!Y474*$D474*$E474</f>
        <v>89.16</v>
      </c>
      <c r="AB474" s="157">
        <f>'Quantitativos (A)'!Z474*$D474*$E474</f>
        <v>89.16</v>
      </c>
      <c r="AC474" s="157">
        <f>'Quantitativos (A)'!AA474*$D474*$E474</f>
        <v>89.16</v>
      </c>
      <c r="AD474" s="157">
        <f>'Quantitativos (A)'!AB474*$D474*$E474</f>
        <v>89.16</v>
      </c>
      <c r="AE474" s="157">
        <f>'Quantitativos (A)'!AC474*$D474*$E474</f>
        <v>89.16</v>
      </c>
      <c r="AF474" s="157">
        <f>'Quantitativos (A)'!AD474*$D474*$E474</f>
        <v>89.16</v>
      </c>
      <c r="AG474" s="157">
        <f>'Quantitativos (A)'!AE474*$D474*$E474</f>
        <v>89.16</v>
      </c>
      <c r="AH474" s="157">
        <f>'Quantitativos (A)'!AF474*$D474*$E474</f>
        <v>89.16</v>
      </c>
      <c r="AI474" s="158">
        <f>'Quantitativos (A)'!AG474*$D474*$E474</f>
        <v>89.16</v>
      </c>
      <c r="AJ474" s="22"/>
    </row>
    <row r="475" spans="1:36" x14ac:dyDescent="0.25">
      <c r="A475" s="112"/>
      <c r="B475" s="120" t="s">
        <v>782</v>
      </c>
      <c r="C475" s="121"/>
      <c r="D475" s="155"/>
      <c r="E475" s="156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60"/>
      <c r="AJ475" s="22"/>
    </row>
    <row r="476" spans="1:36" ht="25.5" x14ac:dyDescent="0.25">
      <c r="A476" s="112"/>
      <c r="B476" s="136" t="s">
        <v>99</v>
      </c>
      <c r="C476" s="67" t="s">
        <v>59</v>
      </c>
      <c r="D476" s="157">
        <f>'Dados (F)'!$D$265</f>
        <v>36.22</v>
      </c>
      <c r="E476" s="125">
        <f>IF('Dados (F)'!$D$35=1,1,'Dados (F)'!$C$39)</f>
        <v>1</v>
      </c>
      <c r="F476" s="157">
        <f>'Quantitativos (A)'!D476*$D476*$E476</f>
        <v>36.22</v>
      </c>
      <c r="G476" s="157">
        <f>'Quantitativos (A)'!E476*$D476*$E476</f>
        <v>36.22</v>
      </c>
      <c r="H476" s="157">
        <f>'Quantitativos (A)'!F476*$D476*$E476</f>
        <v>36.22</v>
      </c>
      <c r="I476" s="157">
        <f>'Quantitativos (A)'!G476*$D476*$E476</f>
        <v>36.22</v>
      </c>
      <c r="J476" s="157">
        <f>'Quantitativos (A)'!H476*$D476*$E476</f>
        <v>36.22</v>
      </c>
      <c r="K476" s="157">
        <f>'Quantitativos (A)'!I476*$D476*$E476</f>
        <v>36.22</v>
      </c>
      <c r="L476" s="157">
        <f>'Quantitativos (A)'!J476*$D476*$E476</f>
        <v>36.22</v>
      </c>
      <c r="M476" s="157">
        <f>'Quantitativos (A)'!K476*$D476*$E476</f>
        <v>36.22</v>
      </c>
      <c r="N476" s="157">
        <f>'Quantitativos (A)'!L476*$D476*$E476</f>
        <v>36.22</v>
      </c>
      <c r="O476" s="157">
        <f>'Quantitativos (A)'!M476*$D476*$E476</f>
        <v>36.22</v>
      </c>
      <c r="P476" s="157">
        <f>'Quantitativos (A)'!N476*$D476*$E476</f>
        <v>36.22</v>
      </c>
      <c r="Q476" s="157">
        <f>'Quantitativos (A)'!O476*$D476*$E476</f>
        <v>36.22</v>
      </c>
      <c r="R476" s="157">
        <f>'Quantitativos (A)'!P476*$D476*$E476</f>
        <v>36.22</v>
      </c>
      <c r="S476" s="157">
        <f>'Quantitativos (A)'!Q476*$D476*$E476</f>
        <v>36.22</v>
      </c>
      <c r="T476" s="157">
        <f>'Quantitativos (A)'!R476*$D476*$E476</f>
        <v>36.22</v>
      </c>
      <c r="U476" s="157">
        <f>'Quantitativos (A)'!S476*$D476*$E476</f>
        <v>36.22</v>
      </c>
      <c r="V476" s="157">
        <f>'Quantitativos (A)'!T476*$D476*$E476</f>
        <v>36.22</v>
      </c>
      <c r="W476" s="157">
        <f>'Quantitativos (A)'!U476*$D476*$E476</f>
        <v>36.22</v>
      </c>
      <c r="X476" s="157">
        <f>'Quantitativos (A)'!V476*$D476*$E476</f>
        <v>36.22</v>
      </c>
      <c r="Y476" s="157">
        <f>'Quantitativos (A)'!W476*$D476*$E476</f>
        <v>36.22</v>
      </c>
      <c r="Z476" s="157">
        <f>'Quantitativos (A)'!X476*$D476*$E476</f>
        <v>36.22</v>
      </c>
      <c r="AA476" s="157">
        <f>'Quantitativos (A)'!Y476*$D476*$E476</f>
        <v>36.22</v>
      </c>
      <c r="AB476" s="157">
        <f>'Quantitativos (A)'!Z476*$D476*$E476</f>
        <v>36.22</v>
      </c>
      <c r="AC476" s="157">
        <f>'Quantitativos (A)'!AA476*$D476*$E476</f>
        <v>36.22</v>
      </c>
      <c r="AD476" s="157">
        <f>'Quantitativos (A)'!AB476*$D476*$E476</f>
        <v>36.22</v>
      </c>
      <c r="AE476" s="157">
        <f>'Quantitativos (A)'!AC476*$D476*$E476</f>
        <v>36.22</v>
      </c>
      <c r="AF476" s="157">
        <f>'Quantitativos (A)'!AD476*$D476*$E476</f>
        <v>36.22</v>
      </c>
      <c r="AG476" s="157">
        <f>'Quantitativos (A)'!AE476*$D476*$E476</f>
        <v>36.22</v>
      </c>
      <c r="AH476" s="157">
        <f>'Quantitativos (A)'!AF476*$D476*$E476</f>
        <v>36.22</v>
      </c>
      <c r="AI476" s="158">
        <f>'Quantitativos (A)'!AG476*$D476*$E476</f>
        <v>36.22</v>
      </c>
      <c r="AJ476" s="22"/>
    </row>
    <row r="477" spans="1:36" x14ac:dyDescent="0.25">
      <c r="A477" s="112"/>
      <c r="B477" s="136" t="s">
        <v>448</v>
      </c>
      <c r="C477" s="67" t="s">
        <v>59</v>
      </c>
      <c r="D477" s="157">
        <f>'Dados (F)'!$D$266</f>
        <v>5.27</v>
      </c>
      <c r="E477" s="125">
        <f>IF('Dados (F)'!$D$35=1,1,'Dados (F)'!$C$39)</f>
        <v>1</v>
      </c>
      <c r="F477" s="157">
        <f>'Quantitativos (A)'!D477*$D477*$E477</f>
        <v>10.54</v>
      </c>
      <c r="G477" s="157">
        <f>'Quantitativos (A)'!E477*$D477*$E477</f>
        <v>10.54</v>
      </c>
      <c r="H477" s="157">
        <f>'Quantitativos (A)'!F477*$D477*$E477</f>
        <v>10.54</v>
      </c>
      <c r="I477" s="157">
        <f>'Quantitativos (A)'!G477*$D477*$E477</f>
        <v>10.54</v>
      </c>
      <c r="J477" s="157">
        <f>'Quantitativos (A)'!H477*$D477*$E477</f>
        <v>10.54</v>
      </c>
      <c r="K477" s="157">
        <f>'Quantitativos (A)'!I477*$D477*$E477</f>
        <v>10.54</v>
      </c>
      <c r="L477" s="157">
        <f>'Quantitativos (A)'!J477*$D477*$E477</f>
        <v>10.54</v>
      </c>
      <c r="M477" s="157">
        <f>'Quantitativos (A)'!K477*$D477*$E477</f>
        <v>10.54</v>
      </c>
      <c r="N477" s="157">
        <f>'Quantitativos (A)'!L477*$D477*$E477</f>
        <v>10.54</v>
      </c>
      <c r="O477" s="157">
        <f>'Quantitativos (A)'!M477*$D477*$E477</f>
        <v>10.54</v>
      </c>
      <c r="P477" s="157">
        <f>'Quantitativos (A)'!N477*$D477*$E477</f>
        <v>10.54</v>
      </c>
      <c r="Q477" s="157">
        <f>'Quantitativos (A)'!O477*$D477*$E477</f>
        <v>10.54</v>
      </c>
      <c r="R477" s="157">
        <f>'Quantitativos (A)'!P477*$D477*$E477</f>
        <v>10.54</v>
      </c>
      <c r="S477" s="157">
        <f>'Quantitativos (A)'!Q477*$D477*$E477</f>
        <v>10.54</v>
      </c>
      <c r="T477" s="157">
        <f>'Quantitativos (A)'!R477*$D477*$E477</f>
        <v>10.54</v>
      </c>
      <c r="U477" s="157">
        <f>'Quantitativos (A)'!S477*$D477*$E477</f>
        <v>10.54</v>
      </c>
      <c r="V477" s="157">
        <f>'Quantitativos (A)'!T477*$D477*$E477</f>
        <v>10.54</v>
      </c>
      <c r="W477" s="157">
        <f>'Quantitativos (A)'!U477*$D477*$E477</f>
        <v>10.54</v>
      </c>
      <c r="X477" s="157">
        <f>'Quantitativos (A)'!V477*$D477*$E477</f>
        <v>10.54</v>
      </c>
      <c r="Y477" s="157">
        <f>'Quantitativos (A)'!W477*$D477*$E477</f>
        <v>10.54</v>
      </c>
      <c r="Z477" s="157">
        <f>'Quantitativos (A)'!X477*$D477*$E477</f>
        <v>10.54</v>
      </c>
      <c r="AA477" s="157">
        <f>'Quantitativos (A)'!Y477*$D477*$E477</f>
        <v>10.54</v>
      </c>
      <c r="AB477" s="157">
        <f>'Quantitativos (A)'!Z477*$D477*$E477</f>
        <v>10.54</v>
      </c>
      <c r="AC477" s="157">
        <f>'Quantitativos (A)'!AA477*$D477*$E477</f>
        <v>10.54</v>
      </c>
      <c r="AD477" s="157">
        <f>'Quantitativos (A)'!AB477*$D477*$E477</f>
        <v>10.54</v>
      </c>
      <c r="AE477" s="157">
        <f>'Quantitativos (A)'!AC477*$D477*$E477</f>
        <v>10.54</v>
      </c>
      <c r="AF477" s="157">
        <f>'Quantitativos (A)'!AD477*$D477*$E477</f>
        <v>10.54</v>
      </c>
      <c r="AG477" s="157">
        <f>'Quantitativos (A)'!AE477*$D477*$E477</f>
        <v>10.54</v>
      </c>
      <c r="AH477" s="157">
        <f>'Quantitativos (A)'!AF477*$D477*$E477</f>
        <v>10.54</v>
      </c>
      <c r="AI477" s="158">
        <f>'Quantitativos (A)'!AG477*$D477*$E477</f>
        <v>10.54</v>
      </c>
      <c r="AJ477" s="22"/>
    </row>
    <row r="478" spans="1:36" x14ac:dyDescent="0.25">
      <c r="A478" s="112"/>
      <c r="B478" s="136" t="s">
        <v>100</v>
      </c>
      <c r="C478" s="67" t="s">
        <v>59</v>
      </c>
      <c r="D478" s="157">
        <f>'Dados (F)'!$D$267</f>
        <v>5.86</v>
      </c>
      <c r="E478" s="125">
        <f>IF('Dados (F)'!$D$35=1,1,'Dados (F)'!$C$39)</f>
        <v>1</v>
      </c>
      <c r="F478" s="157">
        <f>'Quantitativos (A)'!D478*$D478*$E478</f>
        <v>11.72</v>
      </c>
      <c r="G478" s="157">
        <f>'Quantitativos (A)'!E478*$D478*$E478</f>
        <v>11.72</v>
      </c>
      <c r="H478" s="157">
        <f>'Quantitativos (A)'!F478*$D478*$E478</f>
        <v>11.72</v>
      </c>
      <c r="I478" s="157">
        <f>'Quantitativos (A)'!G478*$D478*$E478</f>
        <v>11.72</v>
      </c>
      <c r="J478" s="157">
        <f>'Quantitativos (A)'!H478*$D478*$E478</f>
        <v>11.72</v>
      </c>
      <c r="K478" s="157">
        <f>'Quantitativos (A)'!I478*$D478*$E478</f>
        <v>11.72</v>
      </c>
      <c r="L478" s="157">
        <f>'Quantitativos (A)'!J478*$D478*$E478</f>
        <v>11.72</v>
      </c>
      <c r="M478" s="157">
        <f>'Quantitativos (A)'!K478*$D478*$E478</f>
        <v>11.72</v>
      </c>
      <c r="N478" s="157">
        <f>'Quantitativos (A)'!L478*$D478*$E478</f>
        <v>11.72</v>
      </c>
      <c r="O478" s="157">
        <f>'Quantitativos (A)'!M478*$D478*$E478</f>
        <v>11.72</v>
      </c>
      <c r="P478" s="157">
        <f>'Quantitativos (A)'!N478*$D478*$E478</f>
        <v>11.72</v>
      </c>
      <c r="Q478" s="157">
        <f>'Quantitativos (A)'!O478*$D478*$E478</f>
        <v>11.72</v>
      </c>
      <c r="R478" s="157">
        <f>'Quantitativos (A)'!P478*$D478*$E478</f>
        <v>11.72</v>
      </c>
      <c r="S478" s="157">
        <f>'Quantitativos (A)'!Q478*$D478*$E478</f>
        <v>11.72</v>
      </c>
      <c r="T478" s="157">
        <f>'Quantitativos (A)'!R478*$D478*$E478</f>
        <v>11.72</v>
      </c>
      <c r="U478" s="157">
        <f>'Quantitativos (A)'!S478*$D478*$E478</f>
        <v>11.72</v>
      </c>
      <c r="V478" s="157">
        <f>'Quantitativos (A)'!T478*$D478*$E478</f>
        <v>11.72</v>
      </c>
      <c r="W478" s="157">
        <f>'Quantitativos (A)'!U478*$D478*$E478</f>
        <v>11.72</v>
      </c>
      <c r="X478" s="157">
        <f>'Quantitativos (A)'!V478*$D478*$E478</f>
        <v>11.72</v>
      </c>
      <c r="Y478" s="157">
        <f>'Quantitativos (A)'!W478*$D478*$E478</f>
        <v>11.72</v>
      </c>
      <c r="Z478" s="157">
        <f>'Quantitativos (A)'!X478*$D478*$E478</f>
        <v>11.72</v>
      </c>
      <c r="AA478" s="157">
        <f>'Quantitativos (A)'!Y478*$D478*$E478</f>
        <v>11.72</v>
      </c>
      <c r="AB478" s="157">
        <f>'Quantitativos (A)'!Z478*$D478*$E478</f>
        <v>11.72</v>
      </c>
      <c r="AC478" s="157">
        <f>'Quantitativos (A)'!AA478*$D478*$E478</f>
        <v>11.72</v>
      </c>
      <c r="AD478" s="157">
        <f>'Quantitativos (A)'!AB478*$D478*$E478</f>
        <v>11.72</v>
      </c>
      <c r="AE478" s="157">
        <f>'Quantitativos (A)'!AC478*$D478*$E478</f>
        <v>11.72</v>
      </c>
      <c r="AF478" s="157">
        <f>'Quantitativos (A)'!AD478*$D478*$E478</f>
        <v>11.72</v>
      </c>
      <c r="AG478" s="157">
        <f>'Quantitativos (A)'!AE478*$D478*$E478</f>
        <v>11.72</v>
      </c>
      <c r="AH478" s="157">
        <f>'Quantitativos (A)'!AF478*$D478*$E478</f>
        <v>11.72</v>
      </c>
      <c r="AI478" s="158">
        <f>'Quantitativos (A)'!AG478*$D478*$E478</f>
        <v>11.72</v>
      </c>
      <c r="AJ478" s="22"/>
    </row>
    <row r="479" spans="1:36" x14ac:dyDescent="0.25">
      <c r="A479" s="112"/>
      <c r="B479" s="136" t="s">
        <v>101</v>
      </c>
      <c r="C479" s="67" t="s">
        <v>59</v>
      </c>
      <c r="D479" s="157">
        <f>'Dados (F)'!$D$268</f>
        <v>6.07</v>
      </c>
      <c r="E479" s="125">
        <f>IF('Dados (F)'!$D$35=1,1,'Dados (F)'!$C$39)</f>
        <v>1</v>
      </c>
      <c r="F479" s="157">
        <f>'Quantitativos (A)'!D479*$D479*$E479</f>
        <v>12.14</v>
      </c>
      <c r="G479" s="157">
        <f>'Quantitativos (A)'!E479*$D479*$E479</f>
        <v>12.14</v>
      </c>
      <c r="H479" s="157">
        <f>'Quantitativos (A)'!F479*$D479*$E479</f>
        <v>12.14</v>
      </c>
      <c r="I479" s="157">
        <f>'Quantitativos (A)'!G479*$D479*$E479</f>
        <v>12.14</v>
      </c>
      <c r="J479" s="157">
        <f>'Quantitativos (A)'!H479*$D479*$E479</f>
        <v>12.14</v>
      </c>
      <c r="K479" s="157">
        <f>'Quantitativos (A)'!I479*$D479*$E479</f>
        <v>12.14</v>
      </c>
      <c r="L479" s="157">
        <f>'Quantitativos (A)'!J479*$D479*$E479</f>
        <v>12.14</v>
      </c>
      <c r="M479" s="157">
        <f>'Quantitativos (A)'!K479*$D479*$E479</f>
        <v>12.14</v>
      </c>
      <c r="N479" s="157">
        <f>'Quantitativos (A)'!L479*$D479*$E479</f>
        <v>12.14</v>
      </c>
      <c r="O479" s="157">
        <f>'Quantitativos (A)'!M479*$D479*$E479</f>
        <v>12.14</v>
      </c>
      <c r="P479" s="157">
        <f>'Quantitativos (A)'!N479*$D479*$E479</f>
        <v>12.14</v>
      </c>
      <c r="Q479" s="157">
        <f>'Quantitativos (A)'!O479*$D479*$E479</f>
        <v>12.14</v>
      </c>
      <c r="R479" s="157">
        <f>'Quantitativos (A)'!P479*$D479*$E479</f>
        <v>12.14</v>
      </c>
      <c r="S479" s="157">
        <f>'Quantitativos (A)'!Q479*$D479*$E479</f>
        <v>12.14</v>
      </c>
      <c r="T479" s="157">
        <f>'Quantitativos (A)'!R479*$D479*$E479</f>
        <v>12.14</v>
      </c>
      <c r="U479" s="157">
        <f>'Quantitativos (A)'!S479*$D479*$E479</f>
        <v>12.14</v>
      </c>
      <c r="V479" s="157">
        <f>'Quantitativos (A)'!T479*$D479*$E479</f>
        <v>12.14</v>
      </c>
      <c r="W479" s="157">
        <f>'Quantitativos (A)'!U479*$D479*$E479</f>
        <v>12.14</v>
      </c>
      <c r="X479" s="157">
        <f>'Quantitativos (A)'!V479*$D479*$E479</f>
        <v>12.14</v>
      </c>
      <c r="Y479" s="157">
        <f>'Quantitativos (A)'!W479*$D479*$E479</f>
        <v>12.14</v>
      </c>
      <c r="Z479" s="157">
        <f>'Quantitativos (A)'!X479*$D479*$E479</f>
        <v>12.14</v>
      </c>
      <c r="AA479" s="157">
        <f>'Quantitativos (A)'!Y479*$D479*$E479</f>
        <v>12.14</v>
      </c>
      <c r="AB479" s="157">
        <f>'Quantitativos (A)'!Z479*$D479*$E479</f>
        <v>12.14</v>
      </c>
      <c r="AC479" s="157">
        <f>'Quantitativos (A)'!AA479*$D479*$E479</f>
        <v>12.14</v>
      </c>
      <c r="AD479" s="157">
        <f>'Quantitativos (A)'!AB479*$D479*$E479</f>
        <v>12.14</v>
      </c>
      <c r="AE479" s="157">
        <f>'Quantitativos (A)'!AC479*$D479*$E479</f>
        <v>12.14</v>
      </c>
      <c r="AF479" s="157">
        <f>'Quantitativos (A)'!AD479*$D479*$E479</f>
        <v>12.14</v>
      </c>
      <c r="AG479" s="157">
        <f>'Quantitativos (A)'!AE479*$D479*$E479</f>
        <v>12.14</v>
      </c>
      <c r="AH479" s="157">
        <f>'Quantitativos (A)'!AF479*$D479*$E479</f>
        <v>12.14</v>
      </c>
      <c r="AI479" s="158">
        <f>'Quantitativos (A)'!AG479*$D479*$E479</f>
        <v>12.14</v>
      </c>
      <c r="AJ479" s="22"/>
    </row>
    <row r="480" spans="1:36" x14ac:dyDescent="0.25">
      <c r="A480" s="112"/>
      <c r="B480" s="136" t="s">
        <v>102</v>
      </c>
      <c r="C480" s="67" t="s">
        <v>59</v>
      </c>
      <c r="D480" s="157">
        <f>'Dados (F)'!$D$269</f>
        <v>7.82</v>
      </c>
      <c r="E480" s="125">
        <f>IF('Dados (F)'!$D$35=1,1,'Dados (F)'!$C$39)</f>
        <v>1</v>
      </c>
      <c r="F480" s="157">
        <f>'Quantitativos (A)'!D480*$D480*$E480</f>
        <v>15.64</v>
      </c>
      <c r="G480" s="157">
        <f>'Quantitativos (A)'!E480*$D480*$E480</f>
        <v>15.64</v>
      </c>
      <c r="H480" s="157">
        <f>'Quantitativos (A)'!F480*$D480*$E480</f>
        <v>15.64</v>
      </c>
      <c r="I480" s="157">
        <f>'Quantitativos (A)'!G480*$D480*$E480</f>
        <v>15.64</v>
      </c>
      <c r="J480" s="157">
        <f>'Quantitativos (A)'!H480*$D480*$E480</f>
        <v>15.64</v>
      </c>
      <c r="K480" s="157">
        <f>'Quantitativos (A)'!I480*$D480*$E480</f>
        <v>15.64</v>
      </c>
      <c r="L480" s="157">
        <f>'Quantitativos (A)'!J480*$D480*$E480</f>
        <v>15.64</v>
      </c>
      <c r="M480" s="157">
        <f>'Quantitativos (A)'!K480*$D480*$E480</f>
        <v>15.64</v>
      </c>
      <c r="N480" s="157">
        <f>'Quantitativos (A)'!L480*$D480*$E480</f>
        <v>15.64</v>
      </c>
      <c r="O480" s="157">
        <f>'Quantitativos (A)'!M480*$D480*$E480</f>
        <v>15.64</v>
      </c>
      <c r="P480" s="157">
        <f>'Quantitativos (A)'!N480*$D480*$E480</f>
        <v>15.64</v>
      </c>
      <c r="Q480" s="157">
        <f>'Quantitativos (A)'!O480*$D480*$E480</f>
        <v>15.64</v>
      </c>
      <c r="R480" s="157">
        <f>'Quantitativos (A)'!P480*$D480*$E480</f>
        <v>15.64</v>
      </c>
      <c r="S480" s="157">
        <f>'Quantitativos (A)'!Q480*$D480*$E480</f>
        <v>15.64</v>
      </c>
      <c r="T480" s="157">
        <f>'Quantitativos (A)'!R480*$D480*$E480</f>
        <v>15.64</v>
      </c>
      <c r="U480" s="157">
        <f>'Quantitativos (A)'!S480*$D480*$E480</f>
        <v>15.64</v>
      </c>
      <c r="V480" s="157">
        <f>'Quantitativos (A)'!T480*$D480*$E480</f>
        <v>15.64</v>
      </c>
      <c r="W480" s="157">
        <f>'Quantitativos (A)'!U480*$D480*$E480</f>
        <v>15.64</v>
      </c>
      <c r="X480" s="157">
        <f>'Quantitativos (A)'!V480*$D480*$E480</f>
        <v>15.64</v>
      </c>
      <c r="Y480" s="157">
        <f>'Quantitativos (A)'!W480*$D480*$E480</f>
        <v>15.64</v>
      </c>
      <c r="Z480" s="157">
        <f>'Quantitativos (A)'!X480*$D480*$E480</f>
        <v>15.64</v>
      </c>
      <c r="AA480" s="157">
        <f>'Quantitativos (A)'!Y480*$D480*$E480</f>
        <v>15.64</v>
      </c>
      <c r="AB480" s="157">
        <f>'Quantitativos (A)'!Z480*$D480*$E480</f>
        <v>15.64</v>
      </c>
      <c r="AC480" s="157">
        <f>'Quantitativos (A)'!AA480*$D480*$E480</f>
        <v>15.64</v>
      </c>
      <c r="AD480" s="157">
        <f>'Quantitativos (A)'!AB480*$D480*$E480</f>
        <v>15.64</v>
      </c>
      <c r="AE480" s="157">
        <f>'Quantitativos (A)'!AC480*$D480*$E480</f>
        <v>15.64</v>
      </c>
      <c r="AF480" s="157">
        <f>'Quantitativos (A)'!AD480*$D480*$E480</f>
        <v>15.64</v>
      </c>
      <c r="AG480" s="157">
        <f>'Quantitativos (A)'!AE480*$D480*$E480</f>
        <v>15.64</v>
      </c>
      <c r="AH480" s="157">
        <f>'Quantitativos (A)'!AF480*$D480*$E480</f>
        <v>15.64</v>
      </c>
      <c r="AI480" s="158">
        <f>'Quantitativos (A)'!AG480*$D480*$E480</f>
        <v>15.64</v>
      </c>
      <c r="AJ480" s="22"/>
    </row>
    <row r="481" spans="1:36" x14ac:dyDescent="0.25">
      <c r="A481" s="112"/>
      <c r="B481" s="136" t="s">
        <v>103</v>
      </c>
      <c r="C481" s="67" t="s">
        <v>59</v>
      </c>
      <c r="D481" s="157">
        <f>'Dados (F)'!$D$270</f>
        <v>11.61</v>
      </c>
      <c r="E481" s="125">
        <f>IF('Dados (F)'!$D$35=1,1,'Dados (F)'!$C$39)</f>
        <v>1</v>
      </c>
      <c r="F481" s="157">
        <f>'Quantitativos (A)'!D481*$D481*$E481</f>
        <v>23.22</v>
      </c>
      <c r="G481" s="157">
        <f>'Quantitativos (A)'!E481*$D481*$E481</f>
        <v>23.22</v>
      </c>
      <c r="H481" s="157">
        <f>'Quantitativos (A)'!F481*$D481*$E481</f>
        <v>23.22</v>
      </c>
      <c r="I481" s="157">
        <f>'Quantitativos (A)'!G481*$D481*$E481</f>
        <v>23.22</v>
      </c>
      <c r="J481" s="157">
        <f>'Quantitativos (A)'!H481*$D481*$E481</f>
        <v>23.22</v>
      </c>
      <c r="K481" s="157">
        <f>'Quantitativos (A)'!I481*$D481*$E481</f>
        <v>23.22</v>
      </c>
      <c r="L481" s="157">
        <f>'Quantitativos (A)'!J481*$D481*$E481</f>
        <v>23.22</v>
      </c>
      <c r="M481" s="157">
        <f>'Quantitativos (A)'!K481*$D481*$E481</f>
        <v>23.22</v>
      </c>
      <c r="N481" s="157">
        <f>'Quantitativos (A)'!L481*$D481*$E481</f>
        <v>23.22</v>
      </c>
      <c r="O481" s="157">
        <f>'Quantitativos (A)'!M481*$D481*$E481</f>
        <v>23.22</v>
      </c>
      <c r="P481" s="157">
        <f>'Quantitativos (A)'!N481*$D481*$E481</f>
        <v>23.22</v>
      </c>
      <c r="Q481" s="157">
        <f>'Quantitativos (A)'!O481*$D481*$E481</f>
        <v>23.22</v>
      </c>
      <c r="R481" s="157">
        <f>'Quantitativos (A)'!P481*$D481*$E481</f>
        <v>23.22</v>
      </c>
      <c r="S481" s="157">
        <f>'Quantitativos (A)'!Q481*$D481*$E481</f>
        <v>23.22</v>
      </c>
      <c r="T481" s="157">
        <f>'Quantitativos (A)'!R481*$D481*$E481</f>
        <v>23.22</v>
      </c>
      <c r="U481" s="157">
        <f>'Quantitativos (A)'!S481*$D481*$E481</f>
        <v>23.22</v>
      </c>
      <c r="V481" s="157">
        <f>'Quantitativos (A)'!T481*$D481*$E481</f>
        <v>23.22</v>
      </c>
      <c r="W481" s="157">
        <f>'Quantitativos (A)'!U481*$D481*$E481</f>
        <v>23.22</v>
      </c>
      <c r="X481" s="157">
        <f>'Quantitativos (A)'!V481*$D481*$E481</f>
        <v>23.22</v>
      </c>
      <c r="Y481" s="157">
        <f>'Quantitativos (A)'!W481*$D481*$E481</f>
        <v>23.22</v>
      </c>
      <c r="Z481" s="157">
        <f>'Quantitativos (A)'!X481*$D481*$E481</f>
        <v>23.22</v>
      </c>
      <c r="AA481" s="157">
        <f>'Quantitativos (A)'!Y481*$D481*$E481</f>
        <v>23.22</v>
      </c>
      <c r="AB481" s="157">
        <f>'Quantitativos (A)'!Z481*$D481*$E481</f>
        <v>23.22</v>
      </c>
      <c r="AC481" s="157">
        <f>'Quantitativos (A)'!AA481*$D481*$E481</f>
        <v>23.22</v>
      </c>
      <c r="AD481" s="157">
        <f>'Quantitativos (A)'!AB481*$D481*$E481</f>
        <v>23.22</v>
      </c>
      <c r="AE481" s="157">
        <f>'Quantitativos (A)'!AC481*$D481*$E481</f>
        <v>23.22</v>
      </c>
      <c r="AF481" s="157">
        <f>'Quantitativos (A)'!AD481*$D481*$E481</f>
        <v>23.22</v>
      </c>
      <c r="AG481" s="157">
        <f>'Quantitativos (A)'!AE481*$D481*$E481</f>
        <v>23.22</v>
      </c>
      <c r="AH481" s="157">
        <f>'Quantitativos (A)'!AF481*$D481*$E481</f>
        <v>23.22</v>
      </c>
      <c r="AI481" s="158">
        <f>'Quantitativos (A)'!AG481*$D481*$E481</f>
        <v>23.22</v>
      </c>
      <c r="AJ481" s="22"/>
    </row>
    <row r="482" spans="1:36" x14ac:dyDescent="0.25">
      <c r="A482" s="112"/>
      <c r="B482" s="136" t="s">
        <v>104</v>
      </c>
      <c r="C482" s="67" t="s">
        <v>59</v>
      </c>
      <c r="D482" s="157">
        <f>'Dados (F)'!$D$271</f>
        <v>12.66</v>
      </c>
      <c r="E482" s="125">
        <f>IF('Dados (F)'!$D$35=1,1,'Dados (F)'!$C$39)</f>
        <v>1</v>
      </c>
      <c r="F482" s="157">
        <f>'Quantitativos (A)'!D482*$D482*$E482</f>
        <v>25.32</v>
      </c>
      <c r="G482" s="157">
        <f>'Quantitativos (A)'!E482*$D482*$E482</f>
        <v>25.32</v>
      </c>
      <c r="H482" s="157">
        <f>'Quantitativos (A)'!F482*$D482*$E482</f>
        <v>25.32</v>
      </c>
      <c r="I482" s="157">
        <f>'Quantitativos (A)'!G482*$D482*$E482</f>
        <v>25.32</v>
      </c>
      <c r="J482" s="157">
        <f>'Quantitativos (A)'!H482*$D482*$E482</f>
        <v>25.32</v>
      </c>
      <c r="K482" s="157">
        <f>'Quantitativos (A)'!I482*$D482*$E482</f>
        <v>25.32</v>
      </c>
      <c r="L482" s="157">
        <f>'Quantitativos (A)'!J482*$D482*$E482</f>
        <v>25.32</v>
      </c>
      <c r="M482" s="157">
        <f>'Quantitativos (A)'!K482*$D482*$E482</f>
        <v>25.32</v>
      </c>
      <c r="N482" s="157">
        <f>'Quantitativos (A)'!L482*$D482*$E482</f>
        <v>25.32</v>
      </c>
      <c r="O482" s="157">
        <f>'Quantitativos (A)'!M482*$D482*$E482</f>
        <v>25.32</v>
      </c>
      <c r="P482" s="157">
        <f>'Quantitativos (A)'!N482*$D482*$E482</f>
        <v>25.32</v>
      </c>
      <c r="Q482" s="157">
        <f>'Quantitativos (A)'!O482*$D482*$E482</f>
        <v>25.32</v>
      </c>
      <c r="R482" s="157">
        <f>'Quantitativos (A)'!P482*$D482*$E482</f>
        <v>25.32</v>
      </c>
      <c r="S482" s="157">
        <f>'Quantitativos (A)'!Q482*$D482*$E482</f>
        <v>25.32</v>
      </c>
      <c r="T482" s="157">
        <f>'Quantitativos (A)'!R482*$D482*$E482</f>
        <v>25.32</v>
      </c>
      <c r="U482" s="157">
        <f>'Quantitativos (A)'!S482*$D482*$E482</f>
        <v>25.32</v>
      </c>
      <c r="V482" s="157">
        <f>'Quantitativos (A)'!T482*$D482*$E482</f>
        <v>25.32</v>
      </c>
      <c r="W482" s="157">
        <f>'Quantitativos (A)'!U482*$D482*$E482</f>
        <v>25.32</v>
      </c>
      <c r="X482" s="157">
        <f>'Quantitativos (A)'!V482*$D482*$E482</f>
        <v>25.32</v>
      </c>
      <c r="Y482" s="157">
        <f>'Quantitativos (A)'!W482*$D482*$E482</f>
        <v>25.32</v>
      </c>
      <c r="Z482" s="157">
        <f>'Quantitativos (A)'!X482*$D482*$E482</f>
        <v>25.32</v>
      </c>
      <c r="AA482" s="157">
        <f>'Quantitativos (A)'!Y482*$D482*$E482</f>
        <v>25.32</v>
      </c>
      <c r="AB482" s="157">
        <f>'Quantitativos (A)'!Z482*$D482*$E482</f>
        <v>25.32</v>
      </c>
      <c r="AC482" s="157">
        <f>'Quantitativos (A)'!AA482*$D482*$E482</f>
        <v>25.32</v>
      </c>
      <c r="AD482" s="157">
        <f>'Quantitativos (A)'!AB482*$D482*$E482</f>
        <v>25.32</v>
      </c>
      <c r="AE482" s="157">
        <f>'Quantitativos (A)'!AC482*$D482*$E482</f>
        <v>25.32</v>
      </c>
      <c r="AF482" s="157">
        <f>'Quantitativos (A)'!AD482*$D482*$E482</f>
        <v>25.32</v>
      </c>
      <c r="AG482" s="157">
        <f>'Quantitativos (A)'!AE482*$D482*$E482</f>
        <v>25.32</v>
      </c>
      <c r="AH482" s="157">
        <f>'Quantitativos (A)'!AF482*$D482*$E482</f>
        <v>25.32</v>
      </c>
      <c r="AI482" s="158">
        <f>'Quantitativos (A)'!AG482*$D482*$E482</f>
        <v>25.32</v>
      </c>
      <c r="AJ482" s="22"/>
    </row>
    <row r="483" spans="1:36" x14ac:dyDescent="0.25">
      <c r="A483" s="112"/>
      <c r="B483" s="136" t="s">
        <v>105</v>
      </c>
      <c r="C483" s="67" t="s">
        <v>59</v>
      </c>
      <c r="D483" s="157">
        <f>'Dados (F)'!$D$272</f>
        <v>38.83</v>
      </c>
      <c r="E483" s="125">
        <f>IF('Dados (F)'!$D$35=1,1,'Dados (F)'!$C$39)</f>
        <v>1</v>
      </c>
      <c r="F483" s="157">
        <f>'Quantitativos (A)'!D483*$D483*$E483</f>
        <v>77.66</v>
      </c>
      <c r="G483" s="157">
        <f>'Quantitativos (A)'!E483*$D483*$E483</f>
        <v>77.66</v>
      </c>
      <c r="H483" s="157">
        <f>'Quantitativos (A)'!F483*$D483*$E483</f>
        <v>77.66</v>
      </c>
      <c r="I483" s="157">
        <f>'Quantitativos (A)'!G483*$D483*$E483</f>
        <v>77.66</v>
      </c>
      <c r="J483" s="157">
        <f>'Quantitativos (A)'!H483*$D483*$E483</f>
        <v>77.66</v>
      </c>
      <c r="K483" s="157">
        <f>'Quantitativos (A)'!I483*$D483*$E483</f>
        <v>77.66</v>
      </c>
      <c r="L483" s="157">
        <f>'Quantitativos (A)'!J483*$D483*$E483</f>
        <v>77.66</v>
      </c>
      <c r="M483" s="157">
        <f>'Quantitativos (A)'!K483*$D483*$E483</f>
        <v>77.66</v>
      </c>
      <c r="N483" s="157">
        <f>'Quantitativos (A)'!L483*$D483*$E483</f>
        <v>77.66</v>
      </c>
      <c r="O483" s="157">
        <f>'Quantitativos (A)'!M483*$D483*$E483</f>
        <v>77.66</v>
      </c>
      <c r="P483" s="157">
        <f>'Quantitativos (A)'!N483*$D483*$E483</f>
        <v>77.66</v>
      </c>
      <c r="Q483" s="157">
        <f>'Quantitativos (A)'!O483*$D483*$E483</f>
        <v>77.66</v>
      </c>
      <c r="R483" s="157">
        <f>'Quantitativos (A)'!P483*$D483*$E483</f>
        <v>77.66</v>
      </c>
      <c r="S483" s="157">
        <f>'Quantitativos (A)'!Q483*$D483*$E483</f>
        <v>77.66</v>
      </c>
      <c r="T483" s="157">
        <f>'Quantitativos (A)'!R483*$D483*$E483</f>
        <v>77.66</v>
      </c>
      <c r="U483" s="157">
        <f>'Quantitativos (A)'!S483*$D483*$E483</f>
        <v>77.66</v>
      </c>
      <c r="V483" s="157">
        <f>'Quantitativos (A)'!T483*$D483*$E483</f>
        <v>77.66</v>
      </c>
      <c r="W483" s="157">
        <f>'Quantitativos (A)'!U483*$D483*$E483</f>
        <v>77.66</v>
      </c>
      <c r="X483" s="157">
        <f>'Quantitativos (A)'!V483*$D483*$E483</f>
        <v>77.66</v>
      </c>
      <c r="Y483" s="157">
        <f>'Quantitativos (A)'!W483*$D483*$E483</f>
        <v>77.66</v>
      </c>
      <c r="Z483" s="157">
        <f>'Quantitativos (A)'!X483*$D483*$E483</f>
        <v>77.66</v>
      </c>
      <c r="AA483" s="157">
        <f>'Quantitativos (A)'!Y483*$D483*$E483</f>
        <v>77.66</v>
      </c>
      <c r="AB483" s="157">
        <f>'Quantitativos (A)'!Z483*$D483*$E483</f>
        <v>77.66</v>
      </c>
      <c r="AC483" s="157">
        <f>'Quantitativos (A)'!AA483*$D483*$E483</f>
        <v>77.66</v>
      </c>
      <c r="AD483" s="157">
        <f>'Quantitativos (A)'!AB483*$D483*$E483</f>
        <v>77.66</v>
      </c>
      <c r="AE483" s="157">
        <f>'Quantitativos (A)'!AC483*$D483*$E483</f>
        <v>77.66</v>
      </c>
      <c r="AF483" s="157">
        <f>'Quantitativos (A)'!AD483*$D483*$E483</f>
        <v>77.66</v>
      </c>
      <c r="AG483" s="157">
        <f>'Quantitativos (A)'!AE483*$D483*$E483</f>
        <v>77.66</v>
      </c>
      <c r="AH483" s="157">
        <f>'Quantitativos (A)'!AF483*$D483*$E483</f>
        <v>77.66</v>
      </c>
      <c r="AI483" s="158">
        <f>'Quantitativos (A)'!AG483*$D483*$E483</f>
        <v>77.66</v>
      </c>
      <c r="AJ483" s="22"/>
    </row>
    <row r="484" spans="1:36" x14ac:dyDescent="0.25">
      <c r="A484" s="112"/>
      <c r="B484" s="136" t="s">
        <v>106</v>
      </c>
      <c r="C484" s="67" t="s">
        <v>59</v>
      </c>
      <c r="D484" s="157">
        <f>'Dados (F)'!$D$273</f>
        <v>14.49</v>
      </c>
      <c r="E484" s="125">
        <f>IF('Dados (F)'!$D$35=1,1,'Dados (F)'!$C$39)</f>
        <v>1</v>
      </c>
      <c r="F484" s="157">
        <f>'Quantitativos (A)'!D484*$D484*$E484</f>
        <v>28.98</v>
      </c>
      <c r="G484" s="157">
        <f>'Quantitativos (A)'!E484*$D484*$E484</f>
        <v>28.98</v>
      </c>
      <c r="H484" s="157">
        <f>'Quantitativos (A)'!F484*$D484*$E484</f>
        <v>28.98</v>
      </c>
      <c r="I484" s="157">
        <f>'Quantitativos (A)'!G484*$D484*$E484</f>
        <v>28.98</v>
      </c>
      <c r="J484" s="157">
        <f>'Quantitativos (A)'!H484*$D484*$E484</f>
        <v>28.98</v>
      </c>
      <c r="K484" s="157">
        <f>'Quantitativos (A)'!I484*$D484*$E484</f>
        <v>28.98</v>
      </c>
      <c r="L484" s="157">
        <f>'Quantitativos (A)'!J484*$D484*$E484</f>
        <v>28.98</v>
      </c>
      <c r="M484" s="157">
        <f>'Quantitativos (A)'!K484*$D484*$E484</f>
        <v>28.98</v>
      </c>
      <c r="N484" s="157">
        <f>'Quantitativos (A)'!L484*$D484*$E484</f>
        <v>28.98</v>
      </c>
      <c r="O484" s="157">
        <f>'Quantitativos (A)'!M484*$D484*$E484</f>
        <v>28.98</v>
      </c>
      <c r="P484" s="157">
        <f>'Quantitativos (A)'!N484*$D484*$E484</f>
        <v>28.98</v>
      </c>
      <c r="Q484" s="157">
        <f>'Quantitativos (A)'!O484*$D484*$E484</f>
        <v>28.98</v>
      </c>
      <c r="R484" s="157">
        <f>'Quantitativos (A)'!P484*$D484*$E484</f>
        <v>28.98</v>
      </c>
      <c r="S484" s="157">
        <f>'Quantitativos (A)'!Q484*$D484*$E484</f>
        <v>28.98</v>
      </c>
      <c r="T484" s="157">
        <f>'Quantitativos (A)'!R484*$D484*$E484</f>
        <v>28.98</v>
      </c>
      <c r="U484" s="157">
        <f>'Quantitativos (A)'!S484*$D484*$E484</f>
        <v>28.98</v>
      </c>
      <c r="V484" s="157">
        <f>'Quantitativos (A)'!T484*$D484*$E484</f>
        <v>28.98</v>
      </c>
      <c r="W484" s="157">
        <f>'Quantitativos (A)'!U484*$D484*$E484</f>
        <v>28.98</v>
      </c>
      <c r="X484" s="157">
        <f>'Quantitativos (A)'!V484*$D484*$E484</f>
        <v>28.98</v>
      </c>
      <c r="Y484" s="157">
        <f>'Quantitativos (A)'!W484*$D484*$E484</f>
        <v>28.98</v>
      </c>
      <c r="Z484" s="157">
        <f>'Quantitativos (A)'!X484*$D484*$E484</f>
        <v>28.98</v>
      </c>
      <c r="AA484" s="157">
        <f>'Quantitativos (A)'!Y484*$D484*$E484</f>
        <v>28.98</v>
      </c>
      <c r="AB484" s="157">
        <f>'Quantitativos (A)'!Z484*$D484*$E484</f>
        <v>28.98</v>
      </c>
      <c r="AC484" s="157">
        <f>'Quantitativos (A)'!AA484*$D484*$E484</f>
        <v>28.98</v>
      </c>
      <c r="AD484" s="157">
        <f>'Quantitativos (A)'!AB484*$D484*$E484</f>
        <v>28.98</v>
      </c>
      <c r="AE484" s="157">
        <f>'Quantitativos (A)'!AC484*$D484*$E484</f>
        <v>28.98</v>
      </c>
      <c r="AF484" s="157">
        <f>'Quantitativos (A)'!AD484*$D484*$E484</f>
        <v>28.98</v>
      </c>
      <c r="AG484" s="157">
        <f>'Quantitativos (A)'!AE484*$D484*$E484</f>
        <v>28.98</v>
      </c>
      <c r="AH484" s="157">
        <f>'Quantitativos (A)'!AF484*$D484*$E484</f>
        <v>28.98</v>
      </c>
      <c r="AI484" s="158">
        <f>'Quantitativos (A)'!AG484*$D484*$E484</f>
        <v>28.98</v>
      </c>
      <c r="AJ484" s="22"/>
    </row>
    <row r="485" spans="1:36" x14ac:dyDescent="0.25">
      <c r="A485" s="112"/>
      <c r="B485" s="136" t="s">
        <v>107</v>
      </c>
      <c r="C485" s="67" t="s">
        <v>59</v>
      </c>
      <c r="D485" s="157">
        <f>'Dados (F)'!$D$274</f>
        <v>19.559999999999999</v>
      </c>
      <c r="E485" s="125">
        <f>IF('Dados (F)'!$D$35=1,1,'Dados (F)'!$C$39)</f>
        <v>1</v>
      </c>
      <c r="F485" s="157">
        <f>'Quantitativos (A)'!D485*$D485*$E485</f>
        <v>39.119999999999997</v>
      </c>
      <c r="G485" s="157">
        <f>'Quantitativos (A)'!E485*$D485*$E485</f>
        <v>39.119999999999997</v>
      </c>
      <c r="H485" s="157">
        <f>'Quantitativos (A)'!F485*$D485*$E485</f>
        <v>39.119999999999997</v>
      </c>
      <c r="I485" s="157">
        <f>'Quantitativos (A)'!G485*$D485*$E485</f>
        <v>39.119999999999997</v>
      </c>
      <c r="J485" s="157">
        <f>'Quantitativos (A)'!H485*$D485*$E485</f>
        <v>39.119999999999997</v>
      </c>
      <c r="K485" s="157">
        <f>'Quantitativos (A)'!I485*$D485*$E485</f>
        <v>39.119999999999997</v>
      </c>
      <c r="L485" s="157">
        <f>'Quantitativos (A)'!J485*$D485*$E485</f>
        <v>39.119999999999997</v>
      </c>
      <c r="M485" s="157">
        <f>'Quantitativos (A)'!K485*$D485*$E485</f>
        <v>39.119999999999997</v>
      </c>
      <c r="N485" s="157">
        <f>'Quantitativos (A)'!L485*$D485*$E485</f>
        <v>39.119999999999997</v>
      </c>
      <c r="O485" s="157">
        <f>'Quantitativos (A)'!M485*$D485*$E485</f>
        <v>39.119999999999997</v>
      </c>
      <c r="P485" s="157">
        <f>'Quantitativos (A)'!N485*$D485*$E485</f>
        <v>39.119999999999997</v>
      </c>
      <c r="Q485" s="157">
        <f>'Quantitativos (A)'!O485*$D485*$E485</f>
        <v>39.119999999999997</v>
      </c>
      <c r="R485" s="157">
        <f>'Quantitativos (A)'!P485*$D485*$E485</f>
        <v>39.119999999999997</v>
      </c>
      <c r="S485" s="157">
        <f>'Quantitativos (A)'!Q485*$D485*$E485</f>
        <v>39.119999999999997</v>
      </c>
      <c r="T485" s="157">
        <f>'Quantitativos (A)'!R485*$D485*$E485</f>
        <v>39.119999999999997</v>
      </c>
      <c r="U485" s="157">
        <f>'Quantitativos (A)'!S485*$D485*$E485</f>
        <v>39.119999999999997</v>
      </c>
      <c r="V485" s="157">
        <f>'Quantitativos (A)'!T485*$D485*$E485</f>
        <v>39.119999999999997</v>
      </c>
      <c r="W485" s="157">
        <f>'Quantitativos (A)'!U485*$D485*$E485</f>
        <v>39.119999999999997</v>
      </c>
      <c r="X485" s="157">
        <f>'Quantitativos (A)'!V485*$D485*$E485</f>
        <v>39.119999999999997</v>
      </c>
      <c r="Y485" s="157">
        <f>'Quantitativos (A)'!W485*$D485*$E485</f>
        <v>39.119999999999997</v>
      </c>
      <c r="Z485" s="157">
        <f>'Quantitativos (A)'!X485*$D485*$E485</f>
        <v>39.119999999999997</v>
      </c>
      <c r="AA485" s="157">
        <f>'Quantitativos (A)'!Y485*$D485*$E485</f>
        <v>39.119999999999997</v>
      </c>
      <c r="AB485" s="157">
        <f>'Quantitativos (A)'!Z485*$D485*$E485</f>
        <v>39.119999999999997</v>
      </c>
      <c r="AC485" s="157">
        <f>'Quantitativos (A)'!AA485*$D485*$E485</f>
        <v>39.119999999999997</v>
      </c>
      <c r="AD485" s="157">
        <f>'Quantitativos (A)'!AB485*$D485*$E485</f>
        <v>39.119999999999997</v>
      </c>
      <c r="AE485" s="157">
        <f>'Quantitativos (A)'!AC485*$D485*$E485</f>
        <v>39.119999999999997</v>
      </c>
      <c r="AF485" s="157">
        <f>'Quantitativos (A)'!AD485*$D485*$E485</f>
        <v>39.119999999999997</v>
      </c>
      <c r="AG485" s="157">
        <f>'Quantitativos (A)'!AE485*$D485*$E485</f>
        <v>39.119999999999997</v>
      </c>
      <c r="AH485" s="157">
        <f>'Quantitativos (A)'!AF485*$D485*$E485</f>
        <v>39.119999999999997</v>
      </c>
      <c r="AI485" s="158">
        <f>'Quantitativos (A)'!AG485*$D485*$E485</f>
        <v>39.119999999999997</v>
      </c>
      <c r="AJ485" s="22"/>
    </row>
    <row r="486" spans="1:36" x14ac:dyDescent="0.25">
      <c r="A486" s="112"/>
      <c r="B486" s="136" t="s">
        <v>108</v>
      </c>
      <c r="C486" s="67" t="s">
        <v>59</v>
      </c>
      <c r="D486" s="157">
        <f>'Dados (F)'!$D$275</f>
        <v>22.7</v>
      </c>
      <c r="E486" s="125">
        <f>IF('Dados (F)'!$D$35=1,1,'Dados (F)'!$C$39)</f>
        <v>1</v>
      </c>
      <c r="F486" s="157">
        <f>'Quantitativos (A)'!D486*$D486*$E486</f>
        <v>45.4</v>
      </c>
      <c r="G486" s="157">
        <f>'Quantitativos (A)'!E486*$D486*$E486</f>
        <v>45.4</v>
      </c>
      <c r="H486" s="157">
        <f>'Quantitativos (A)'!F486*$D486*$E486</f>
        <v>45.4</v>
      </c>
      <c r="I486" s="157">
        <f>'Quantitativos (A)'!G486*$D486*$E486</f>
        <v>45.4</v>
      </c>
      <c r="J486" s="157">
        <f>'Quantitativos (A)'!H486*$D486*$E486</f>
        <v>45.4</v>
      </c>
      <c r="K486" s="157">
        <f>'Quantitativos (A)'!I486*$D486*$E486</f>
        <v>45.4</v>
      </c>
      <c r="L486" s="157">
        <f>'Quantitativos (A)'!J486*$D486*$E486</f>
        <v>45.4</v>
      </c>
      <c r="M486" s="157">
        <f>'Quantitativos (A)'!K486*$D486*$E486</f>
        <v>45.4</v>
      </c>
      <c r="N486" s="157">
        <f>'Quantitativos (A)'!L486*$D486*$E486</f>
        <v>45.4</v>
      </c>
      <c r="O486" s="157">
        <f>'Quantitativos (A)'!M486*$D486*$E486</f>
        <v>45.4</v>
      </c>
      <c r="P486" s="157">
        <f>'Quantitativos (A)'!N486*$D486*$E486</f>
        <v>45.4</v>
      </c>
      <c r="Q486" s="157">
        <f>'Quantitativos (A)'!O486*$D486*$E486</f>
        <v>45.4</v>
      </c>
      <c r="R486" s="157">
        <f>'Quantitativos (A)'!P486*$D486*$E486</f>
        <v>45.4</v>
      </c>
      <c r="S486" s="157">
        <f>'Quantitativos (A)'!Q486*$D486*$E486</f>
        <v>45.4</v>
      </c>
      <c r="T486" s="157">
        <f>'Quantitativos (A)'!R486*$D486*$E486</f>
        <v>45.4</v>
      </c>
      <c r="U486" s="157">
        <f>'Quantitativos (A)'!S486*$D486*$E486</f>
        <v>45.4</v>
      </c>
      <c r="V486" s="157">
        <f>'Quantitativos (A)'!T486*$D486*$E486</f>
        <v>45.4</v>
      </c>
      <c r="W486" s="157">
        <f>'Quantitativos (A)'!U486*$D486*$E486</f>
        <v>45.4</v>
      </c>
      <c r="X486" s="157">
        <f>'Quantitativos (A)'!V486*$D486*$E486</f>
        <v>45.4</v>
      </c>
      <c r="Y486" s="157">
        <f>'Quantitativos (A)'!W486*$D486*$E486</f>
        <v>45.4</v>
      </c>
      <c r="Z486" s="157">
        <f>'Quantitativos (A)'!X486*$D486*$E486</f>
        <v>45.4</v>
      </c>
      <c r="AA486" s="157">
        <f>'Quantitativos (A)'!Y486*$D486*$E486</f>
        <v>45.4</v>
      </c>
      <c r="AB486" s="157">
        <f>'Quantitativos (A)'!Z486*$D486*$E486</f>
        <v>45.4</v>
      </c>
      <c r="AC486" s="157">
        <f>'Quantitativos (A)'!AA486*$D486*$E486</f>
        <v>45.4</v>
      </c>
      <c r="AD486" s="157">
        <f>'Quantitativos (A)'!AB486*$D486*$E486</f>
        <v>45.4</v>
      </c>
      <c r="AE486" s="157">
        <f>'Quantitativos (A)'!AC486*$D486*$E486</f>
        <v>45.4</v>
      </c>
      <c r="AF486" s="157">
        <f>'Quantitativos (A)'!AD486*$D486*$E486</f>
        <v>45.4</v>
      </c>
      <c r="AG486" s="157">
        <f>'Quantitativos (A)'!AE486*$D486*$E486</f>
        <v>45.4</v>
      </c>
      <c r="AH486" s="157">
        <f>'Quantitativos (A)'!AF486*$D486*$E486</f>
        <v>45.4</v>
      </c>
      <c r="AI486" s="158">
        <f>'Quantitativos (A)'!AG486*$D486*$E486</f>
        <v>45.4</v>
      </c>
      <c r="AJ486" s="22"/>
    </row>
    <row r="487" spans="1:36" x14ac:dyDescent="0.25">
      <c r="A487" s="112"/>
      <c r="B487" s="136" t="s">
        <v>109</v>
      </c>
      <c r="C487" s="67" t="s">
        <v>59</v>
      </c>
      <c r="D487" s="157">
        <f>'Dados (F)'!$D$276</f>
        <v>31.46</v>
      </c>
      <c r="E487" s="125">
        <f>IF('Dados (F)'!$D$35=1,1,'Dados (F)'!$C$39)</f>
        <v>1</v>
      </c>
      <c r="F487" s="157">
        <f>'Quantitativos (A)'!D487*$D487*$E487</f>
        <v>62.92</v>
      </c>
      <c r="G487" s="157">
        <f>'Quantitativos (A)'!E487*$D487*$E487</f>
        <v>62.92</v>
      </c>
      <c r="H487" s="157">
        <f>'Quantitativos (A)'!F487*$D487*$E487</f>
        <v>62.92</v>
      </c>
      <c r="I487" s="157">
        <f>'Quantitativos (A)'!G487*$D487*$E487</f>
        <v>62.92</v>
      </c>
      <c r="J487" s="157">
        <f>'Quantitativos (A)'!H487*$D487*$E487</f>
        <v>62.92</v>
      </c>
      <c r="K487" s="157">
        <f>'Quantitativos (A)'!I487*$D487*$E487</f>
        <v>62.92</v>
      </c>
      <c r="L487" s="157">
        <f>'Quantitativos (A)'!J487*$D487*$E487</f>
        <v>62.92</v>
      </c>
      <c r="M487" s="157">
        <f>'Quantitativos (A)'!K487*$D487*$E487</f>
        <v>62.92</v>
      </c>
      <c r="N487" s="157">
        <f>'Quantitativos (A)'!L487*$D487*$E487</f>
        <v>62.92</v>
      </c>
      <c r="O487" s="157">
        <f>'Quantitativos (A)'!M487*$D487*$E487</f>
        <v>62.92</v>
      </c>
      <c r="P487" s="157">
        <f>'Quantitativos (A)'!N487*$D487*$E487</f>
        <v>62.92</v>
      </c>
      <c r="Q487" s="157">
        <f>'Quantitativos (A)'!O487*$D487*$E487</f>
        <v>62.92</v>
      </c>
      <c r="R487" s="157">
        <f>'Quantitativos (A)'!P487*$D487*$E487</f>
        <v>62.92</v>
      </c>
      <c r="S487" s="157">
        <f>'Quantitativos (A)'!Q487*$D487*$E487</f>
        <v>62.92</v>
      </c>
      <c r="T487" s="157">
        <f>'Quantitativos (A)'!R487*$D487*$E487</f>
        <v>62.92</v>
      </c>
      <c r="U487" s="157">
        <f>'Quantitativos (A)'!S487*$D487*$E487</f>
        <v>62.92</v>
      </c>
      <c r="V487" s="157">
        <f>'Quantitativos (A)'!T487*$D487*$E487</f>
        <v>62.92</v>
      </c>
      <c r="W487" s="157">
        <f>'Quantitativos (A)'!U487*$D487*$E487</f>
        <v>62.92</v>
      </c>
      <c r="X487" s="157">
        <f>'Quantitativos (A)'!V487*$D487*$E487</f>
        <v>62.92</v>
      </c>
      <c r="Y487" s="157">
        <f>'Quantitativos (A)'!W487*$D487*$E487</f>
        <v>62.92</v>
      </c>
      <c r="Z487" s="157">
        <f>'Quantitativos (A)'!X487*$D487*$E487</f>
        <v>62.92</v>
      </c>
      <c r="AA487" s="157">
        <f>'Quantitativos (A)'!Y487*$D487*$E487</f>
        <v>62.92</v>
      </c>
      <c r="AB487" s="157">
        <f>'Quantitativos (A)'!Z487*$D487*$E487</f>
        <v>62.92</v>
      </c>
      <c r="AC487" s="157">
        <f>'Quantitativos (A)'!AA487*$D487*$E487</f>
        <v>62.92</v>
      </c>
      <c r="AD487" s="157">
        <f>'Quantitativos (A)'!AB487*$D487*$E487</f>
        <v>62.92</v>
      </c>
      <c r="AE487" s="157">
        <f>'Quantitativos (A)'!AC487*$D487*$E487</f>
        <v>62.92</v>
      </c>
      <c r="AF487" s="157">
        <f>'Quantitativos (A)'!AD487*$D487*$E487</f>
        <v>62.92</v>
      </c>
      <c r="AG487" s="157">
        <f>'Quantitativos (A)'!AE487*$D487*$E487</f>
        <v>62.92</v>
      </c>
      <c r="AH487" s="157">
        <f>'Quantitativos (A)'!AF487*$D487*$E487</f>
        <v>62.92</v>
      </c>
      <c r="AI487" s="158">
        <f>'Quantitativos (A)'!AG487*$D487*$E487</f>
        <v>62.92</v>
      </c>
      <c r="AJ487" s="22"/>
    </row>
    <row r="488" spans="1:36" x14ac:dyDescent="0.25">
      <c r="A488" s="112"/>
      <c r="B488" s="136" t="s">
        <v>449</v>
      </c>
      <c r="C488" s="67" t="s">
        <v>59</v>
      </c>
      <c r="D488" s="157">
        <f>'Dados (F)'!$D$277</f>
        <v>43.19</v>
      </c>
      <c r="E488" s="125">
        <f>IF('Dados (F)'!$D$35=1,1,'Dados (F)'!$C$39)</f>
        <v>1</v>
      </c>
      <c r="F488" s="157">
        <f>'Quantitativos (A)'!D488*$D488*$E488</f>
        <v>86.38</v>
      </c>
      <c r="G488" s="157">
        <f>'Quantitativos (A)'!E488*$D488*$E488</f>
        <v>86.38</v>
      </c>
      <c r="H488" s="157">
        <f>'Quantitativos (A)'!F488*$D488*$E488</f>
        <v>86.38</v>
      </c>
      <c r="I488" s="157">
        <f>'Quantitativos (A)'!G488*$D488*$E488</f>
        <v>86.38</v>
      </c>
      <c r="J488" s="157">
        <f>'Quantitativos (A)'!H488*$D488*$E488</f>
        <v>86.38</v>
      </c>
      <c r="K488" s="157">
        <f>'Quantitativos (A)'!I488*$D488*$E488</f>
        <v>86.38</v>
      </c>
      <c r="L488" s="157">
        <f>'Quantitativos (A)'!J488*$D488*$E488</f>
        <v>86.38</v>
      </c>
      <c r="M488" s="157">
        <f>'Quantitativos (A)'!K488*$D488*$E488</f>
        <v>86.38</v>
      </c>
      <c r="N488" s="157">
        <f>'Quantitativos (A)'!L488*$D488*$E488</f>
        <v>86.38</v>
      </c>
      <c r="O488" s="157">
        <f>'Quantitativos (A)'!M488*$D488*$E488</f>
        <v>86.38</v>
      </c>
      <c r="P488" s="157">
        <f>'Quantitativos (A)'!N488*$D488*$E488</f>
        <v>86.38</v>
      </c>
      <c r="Q488" s="157">
        <f>'Quantitativos (A)'!O488*$D488*$E488</f>
        <v>86.38</v>
      </c>
      <c r="R488" s="157">
        <f>'Quantitativos (A)'!P488*$D488*$E488</f>
        <v>86.38</v>
      </c>
      <c r="S488" s="157">
        <f>'Quantitativos (A)'!Q488*$D488*$E488</f>
        <v>86.38</v>
      </c>
      <c r="T488" s="157">
        <f>'Quantitativos (A)'!R488*$D488*$E488</f>
        <v>86.38</v>
      </c>
      <c r="U488" s="157">
        <f>'Quantitativos (A)'!S488*$D488*$E488</f>
        <v>86.38</v>
      </c>
      <c r="V488" s="157">
        <f>'Quantitativos (A)'!T488*$D488*$E488</f>
        <v>86.38</v>
      </c>
      <c r="W488" s="157">
        <f>'Quantitativos (A)'!U488*$D488*$E488</f>
        <v>86.38</v>
      </c>
      <c r="X488" s="157">
        <f>'Quantitativos (A)'!V488*$D488*$E488</f>
        <v>86.38</v>
      </c>
      <c r="Y488" s="157">
        <f>'Quantitativos (A)'!W488*$D488*$E488</f>
        <v>86.38</v>
      </c>
      <c r="Z488" s="157">
        <f>'Quantitativos (A)'!X488*$D488*$E488</f>
        <v>86.38</v>
      </c>
      <c r="AA488" s="157">
        <f>'Quantitativos (A)'!Y488*$D488*$E488</f>
        <v>86.38</v>
      </c>
      <c r="AB488" s="157">
        <f>'Quantitativos (A)'!Z488*$D488*$E488</f>
        <v>86.38</v>
      </c>
      <c r="AC488" s="157">
        <f>'Quantitativos (A)'!AA488*$D488*$E488</f>
        <v>86.38</v>
      </c>
      <c r="AD488" s="157">
        <f>'Quantitativos (A)'!AB488*$D488*$E488</f>
        <v>86.38</v>
      </c>
      <c r="AE488" s="157">
        <f>'Quantitativos (A)'!AC488*$D488*$E488</f>
        <v>86.38</v>
      </c>
      <c r="AF488" s="157">
        <f>'Quantitativos (A)'!AD488*$D488*$E488</f>
        <v>86.38</v>
      </c>
      <c r="AG488" s="157">
        <f>'Quantitativos (A)'!AE488*$D488*$E488</f>
        <v>86.38</v>
      </c>
      <c r="AH488" s="157">
        <f>'Quantitativos (A)'!AF488*$D488*$E488</f>
        <v>86.38</v>
      </c>
      <c r="AI488" s="158">
        <f>'Quantitativos (A)'!AG488*$D488*$E488</f>
        <v>86.38</v>
      </c>
      <c r="AJ488" s="22"/>
    </row>
    <row r="489" spans="1:36" x14ac:dyDescent="0.25">
      <c r="A489" s="112"/>
      <c r="B489" s="136" t="s">
        <v>110</v>
      </c>
      <c r="C489" s="67" t="s">
        <v>59</v>
      </c>
      <c r="D489" s="157">
        <f>'Dados (F)'!$D$278</f>
        <v>60.79</v>
      </c>
      <c r="E489" s="125">
        <f>IF('Dados (F)'!$D$35=1,1,'Dados (F)'!$C$39)</f>
        <v>1</v>
      </c>
      <c r="F489" s="157">
        <f>'Quantitativos (A)'!D489*$D489*$E489</f>
        <v>121.58</v>
      </c>
      <c r="G489" s="157">
        <f>'Quantitativos (A)'!E489*$D489*$E489</f>
        <v>121.58</v>
      </c>
      <c r="H489" s="157">
        <f>'Quantitativos (A)'!F489*$D489*$E489</f>
        <v>121.58</v>
      </c>
      <c r="I489" s="157">
        <f>'Quantitativos (A)'!G489*$D489*$E489</f>
        <v>121.58</v>
      </c>
      <c r="J489" s="157">
        <f>'Quantitativos (A)'!H489*$D489*$E489</f>
        <v>121.58</v>
      </c>
      <c r="K489" s="157">
        <f>'Quantitativos (A)'!I489*$D489*$E489</f>
        <v>121.58</v>
      </c>
      <c r="L489" s="157">
        <f>'Quantitativos (A)'!J489*$D489*$E489</f>
        <v>121.58</v>
      </c>
      <c r="M489" s="157">
        <f>'Quantitativos (A)'!K489*$D489*$E489</f>
        <v>121.58</v>
      </c>
      <c r="N489" s="157">
        <f>'Quantitativos (A)'!L489*$D489*$E489</f>
        <v>121.58</v>
      </c>
      <c r="O489" s="157">
        <f>'Quantitativos (A)'!M489*$D489*$E489</f>
        <v>121.58</v>
      </c>
      <c r="P489" s="157">
        <f>'Quantitativos (A)'!N489*$D489*$E489</f>
        <v>121.58</v>
      </c>
      <c r="Q489" s="157">
        <f>'Quantitativos (A)'!O489*$D489*$E489</f>
        <v>121.58</v>
      </c>
      <c r="R489" s="157">
        <f>'Quantitativos (A)'!P489*$D489*$E489</f>
        <v>121.58</v>
      </c>
      <c r="S489" s="157">
        <f>'Quantitativos (A)'!Q489*$D489*$E489</f>
        <v>121.58</v>
      </c>
      <c r="T489" s="157">
        <f>'Quantitativos (A)'!R489*$D489*$E489</f>
        <v>121.58</v>
      </c>
      <c r="U489" s="157">
        <f>'Quantitativos (A)'!S489*$D489*$E489</f>
        <v>121.58</v>
      </c>
      <c r="V489" s="157">
        <f>'Quantitativos (A)'!T489*$D489*$E489</f>
        <v>121.58</v>
      </c>
      <c r="W489" s="157">
        <f>'Quantitativos (A)'!U489*$D489*$E489</f>
        <v>121.58</v>
      </c>
      <c r="X489" s="157">
        <f>'Quantitativos (A)'!V489*$D489*$E489</f>
        <v>121.58</v>
      </c>
      <c r="Y489" s="157">
        <f>'Quantitativos (A)'!W489*$D489*$E489</f>
        <v>121.58</v>
      </c>
      <c r="Z489" s="157">
        <f>'Quantitativos (A)'!X489*$D489*$E489</f>
        <v>121.58</v>
      </c>
      <c r="AA489" s="157">
        <f>'Quantitativos (A)'!Y489*$D489*$E489</f>
        <v>121.58</v>
      </c>
      <c r="AB489" s="157">
        <f>'Quantitativos (A)'!Z489*$D489*$E489</f>
        <v>121.58</v>
      </c>
      <c r="AC489" s="157">
        <f>'Quantitativos (A)'!AA489*$D489*$E489</f>
        <v>121.58</v>
      </c>
      <c r="AD489" s="157">
        <f>'Quantitativos (A)'!AB489*$D489*$E489</f>
        <v>121.58</v>
      </c>
      <c r="AE489" s="157">
        <f>'Quantitativos (A)'!AC489*$D489*$E489</f>
        <v>121.58</v>
      </c>
      <c r="AF489" s="157">
        <f>'Quantitativos (A)'!AD489*$D489*$E489</f>
        <v>121.58</v>
      </c>
      <c r="AG489" s="157">
        <f>'Quantitativos (A)'!AE489*$D489*$E489</f>
        <v>121.58</v>
      </c>
      <c r="AH489" s="157">
        <f>'Quantitativos (A)'!AF489*$D489*$E489</f>
        <v>121.58</v>
      </c>
      <c r="AI489" s="158">
        <f>'Quantitativos (A)'!AG489*$D489*$E489</f>
        <v>121.58</v>
      </c>
      <c r="AJ489" s="22"/>
    </row>
    <row r="490" spans="1:36" x14ac:dyDescent="0.25">
      <c r="A490" s="112"/>
      <c r="B490" s="136" t="s">
        <v>450</v>
      </c>
      <c r="C490" s="67" t="s">
        <v>59</v>
      </c>
      <c r="D490" s="157">
        <f>'Dados (F)'!$D$279</f>
        <v>88.04</v>
      </c>
      <c r="E490" s="125">
        <f>IF('Dados (F)'!$D$35=1,1,'Dados (F)'!$C$39)</f>
        <v>1</v>
      </c>
      <c r="F490" s="157">
        <f>'Quantitativos (A)'!D490*$D490*$E490</f>
        <v>176.08</v>
      </c>
      <c r="G490" s="157">
        <f>'Quantitativos (A)'!E490*$D490*$E490</f>
        <v>176.08</v>
      </c>
      <c r="H490" s="157">
        <f>'Quantitativos (A)'!F490*$D490*$E490</f>
        <v>176.08</v>
      </c>
      <c r="I490" s="157">
        <f>'Quantitativos (A)'!G490*$D490*$E490</f>
        <v>176.08</v>
      </c>
      <c r="J490" s="157">
        <f>'Quantitativos (A)'!H490*$D490*$E490</f>
        <v>176.08</v>
      </c>
      <c r="K490" s="157">
        <f>'Quantitativos (A)'!I490*$D490*$E490</f>
        <v>176.08</v>
      </c>
      <c r="L490" s="157">
        <f>'Quantitativos (A)'!J490*$D490*$E490</f>
        <v>176.08</v>
      </c>
      <c r="M490" s="157">
        <f>'Quantitativos (A)'!K490*$D490*$E490</f>
        <v>176.08</v>
      </c>
      <c r="N490" s="157">
        <f>'Quantitativos (A)'!L490*$D490*$E490</f>
        <v>176.08</v>
      </c>
      <c r="O490" s="157">
        <f>'Quantitativos (A)'!M490*$D490*$E490</f>
        <v>176.08</v>
      </c>
      <c r="P490" s="157">
        <f>'Quantitativos (A)'!N490*$D490*$E490</f>
        <v>176.08</v>
      </c>
      <c r="Q490" s="157">
        <f>'Quantitativos (A)'!O490*$D490*$E490</f>
        <v>176.08</v>
      </c>
      <c r="R490" s="157">
        <f>'Quantitativos (A)'!P490*$D490*$E490</f>
        <v>176.08</v>
      </c>
      <c r="S490" s="157">
        <f>'Quantitativos (A)'!Q490*$D490*$E490</f>
        <v>176.08</v>
      </c>
      <c r="T490" s="157">
        <f>'Quantitativos (A)'!R490*$D490*$E490</f>
        <v>176.08</v>
      </c>
      <c r="U490" s="157">
        <f>'Quantitativos (A)'!S490*$D490*$E490</f>
        <v>176.08</v>
      </c>
      <c r="V490" s="157">
        <f>'Quantitativos (A)'!T490*$D490*$E490</f>
        <v>176.08</v>
      </c>
      <c r="W490" s="157">
        <f>'Quantitativos (A)'!U490*$D490*$E490</f>
        <v>176.08</v>
      </c>
      <c r="X490" s="157">
        <f>'Quantitativos (A)'!V490*$D490*$E490</f>
        <v>176.08</v>
      </c>
      <c r="Y490" s="157">
        <f>'Quantitativos (A)'!W490*$D490*$E490</f>
        <v>176.08</v>
      </c>
      <c r="Z490" s="157">
        <f>'Quantitativos (A)'!X490*$D490*$E490</f>
        <v>176.08</v>
      </c>
      <c r="AA490" s="157">
        <f>'Quantitativos (A)'!Y490*$D490*$E490</f>
        <v>176.08</v>
      </c>
      <c r="AB490" s="157">
        <f>'Quantitativos (A)'!Z490*$D490*$E490</f>
        <v>176.08</v>
      </c>
      <c r="AC490" s="157">
        <f>'Quantitativos (A)'!AA490*$D490*$E490</f>
        <v>176.08</v>
      </c>
      <c r="AD490" s="157">
        <f>'Quantitativos (A)'!AB490*$D490*$E490</f>
        <v>176.08</v>
      </c>
      <c r="AE490" s="157">
        <f>'Quantitativos (A)'!AC490*$D490*$E490</f>
        <v>176.08</v>
      </c>
      <c r="AF490" s="157">
        <f>'Quantitativos (A)'!AD490*$D490*$E490</f>
        <v>176.08</v>
      </c>
      <c r="AG490" s="157">
        <f>'Quantitativos (A)'!AE490*$D490*$E490</f>
        <v>176.08</v>
      </c>
      <c r="AH490" s="157">
        <f>'Quantitativos (A)'!AF490*$D490*$E490</f>
        <v>176.08</v>
      </c>
      <c r="AI490" s="158">
        <f>'Quantitativos (A)'!AG490*$D490*$E490</f>
        <v>176.08</v>
      </c>
      <c r="AJ490" s="22"/>
    </row>
    <row r="491" spans="1:36" x14ac:dyDescent="0.25">
      <c r="A491" s="112"/>
      <c r="B491" s="136" t="s">
        <v>111</v>
      </c>
      <c r="C491" s="67" t="s">
        <v>59</v>
      </c>
      <c r="D491" s="157">
        <f>'Dados (F)'!$D$280</f>
        <v>30.43</v>
      </c>
      <c r="E491" s="125">
        <f>IF('Dados (F)'!$D$35=1,1,'Dados (F)'!$C$39)</f>
        <v>1</v>
      </c>
      <c r="F491" s="157">
        <f>'Quantitativos (A)'!D491*$D491*$E491</f>
        <v>30.43</v>
      </c>
      <c r="G491" s="157">
        <f>'Quantitativos (A)'!E491*$D491*$E491</f>
        <v>30.43</v>
      </c>
      <c r="H491" s="157">
        <f>'Quantitativos (A)'!F491*$D491*$E491</f>
        <v>30.43</v>
      </c>
      <c r="I491" s="157">
        <f>'Quantitativos (A)'!G491*$D491*$E491</f>
        <v>30.43</v>
      </c>
      <c r="J491" s="157">
        <f>'Quantitativos (A)'!H491*$D491*$E491</f>
        <v>30.43</v>
      </c>
      <c r="K491" s="157">
        <f>'Quantitativos (A)'!I491*$D491*$E491</f>
        <v>30.43</v>
      </c>
      <c r="L491" s="157">
        <f>'Quantitativos (A)'!J491*$D491*$E491</f>
        <v>30.43</v>
      </c>
      <c r="M491" s="157">
        <f>'Quantitativos (A)'!K491*$D491*$E491</f>
        <v>30.43</v>
      </c>
      <c r="N491" s="157">
        <f>'Quantitativos (A)'!L491*$D491*$E491</f>
        <v>30.43</v>
      </c>
      <c r="O491" s="157">
        <f>'Quantitativos (A)'!M491*$D491*$E491</f>
        <v>30.43</v>
      </c>
      <c r="P491" s="157">
        <f>'Quantitativos (A)'!N491*$D491*$E491</f>
        <v>30.43</v>
      </c>
      <c r="Q491" s="157">
        <f>'Quantitativos (A)'!O491*$D491*$E491</f>
        <v>30.43</v>
      </c>
      <c r="R491" s="157">
        <f>'Quantitativos (A)'!P491*$D491*$E491</f>
        <v>30.43</v>
      </c>
      <c r="S491" s="157">
        <f>'Quantitativos (A)'!Q491*$D491*$E491</f>
        <v>30.43</v>
      </c>
      <c r="T491" s="157">
        <f>'Quantitativos (A)'!R491*$D491*$E491</f>
        <v>30.43</v>
      </c>
      <c r="U491" s="157">
        <f>'Quantitativos (A)'!S491*$D491*$E491</f>
        <v>30.43</v>
      </c>
      <c r="V491" s="157">
        <f>'Quantitativos (A)'!T491*$D491*$E491</f>
        <v>30.43</v>
      </c>
      <c r="W491" s="157">
        <f>'Quantitativos (A)'!U491*$D491*$E491</f>
        <v>30.43</v>
      </c>
      <c r="X491" s="157">
        <f>'Quantitativos (A)'!V491*$D491*$E491</f>
        <v>30.43</v>
      </c>
      <c r="Y491" s="157">
        <f>'Quantitativos (A)'!W491*$D491*$E491</f>
        <v>30.43</v>
      </c>
      <c r="Z491" s="157">
        <f>'Quantitativos (A)'!X491*$D491*$E491</f>
        <v>30.43</v>
      </c>
      <c r="AA491" s="157">
        <f>'Quantitativos (A)'!Y491*$D491*$E491</f>
        <v>30.43</v>
      </c>
      <c r="AB491" s="157">
        <f>'Quantitativos (A)'!Z491*$D491*$E491</f>
        <v>30.43</v>
      </c>
      <c r="AC491" s="157">
        <f>'Quantitativos (A)'!AA491*$D491*$E491</f>
        <v>30.43</v>
      </c>
      <c r="AD491" s="157">
        <f>'Quantitativos (A)'!AB491*$D491*$E491</f>
        <v>30.43</v>
      </c>
      <c r="AE491" s="157">
        <f>'Quantitativos (A)'!AC491*$D491*$E491</f>
        <v>30.43</v>
      </c>
      <c r="AF491" s="157">
        <f>'Quantitativos (A)'!AD491*$D491*$E491</f>
        <v>30.43</v>
      </c>
      <c r="AG491" s="157">
        <f>'Quantitativos (A)'!AE491*$D491*$E491</f>
        <v>30.43</v>
      </c>
      <c r="AH491" s="157">
        <f>'Quantitativos (A)'!AF491*$D491*$E491</f>
        <v>30.43</v>
      </c>
      <c r="AI491" s="158">
        <f>'Quantitativos (A)'!AG491*$D491*$E491</f>
        <v>30.43</v>
      </c>
      <c r="AJ491" s="22"/>
    </row>
    <row r="492" spans="1:36" x14ac:dyDescent="0.25">
      <c r="A492" s="112"/>
      <c r="B492" s="136" t="s">
        <v>112</v>
      </c>
      <c r="C492" s="67" t="s">
        <v>59</v>
      </c>
      <c r="D492" s="157">
        <f>'Dados (F)'!$D$281</f>
        <v>34.49</v>
      </c>
      <c r="E492" s="125">
        <f>IF('Dados (F)'!$D$35=1,1,'Dados (F)'!$C$39)</f>
        <v>1</v>
      </c>
      <c r="F492" s="157">
        <f>'Quantitativos (A)'!D492*$D492*$E492</f>
        <v>34.49</v>
      </c>
      <c r="G492" s="157">
        <f>'Quantitativos (A)'!E492*$D492*$E492</f>
        <v>34.49</v>
      </c>
      <c r="H492" s="157">
        <f>'Quantitativos (A)'!F492*$D492*$E492</f>
        <v>34.49</v>
      </c>
      <c r="I492" s="157">
        <f>'Quantitativos (A)'!G492*$D492*$E492</f>
        <v>34.49</v>
      </c>
      <c r="J492" s="157">
        <f>'Quantitativos (A)'!H492*$D492*$E492</f>
        <v>34.49</v>
      </c>
      <c r="K492" s="157">
        <f>'Quantitativos (A)'!I492*$D492*$E492</f>
        <v>34.49</v>
      </c>
      <c r="L492" s="157">
        <f>'Quantitativos (A)'!J492*$D492*$E492</f>
        <v>34.49</v>
      </c>
      <c r="M492" s="157">
        <f>'Quantitativos (A)'!K492*$D492*$E492</f>
        <v>34.49</v>
      </c>
      <c r="N492" s="157">
        <f>'Quantitativos (A)'!L492*$D492*$E492</f>
        <v>34.49</v>
      </c>
      <c r="O492" s="157">
        <f>'Quantitativos (A)'!M492*$D492*$E492</f>
        <v>34.49</v>
      </c>
      <c r="P492" s="157">
        <f>'Quantitativos (A)'!N492*$D492*$E492</f>
        <v>34.49</v>
      </c>
      <c r="Q492" s="157">
        <f>'Quantitativos (A)'!O492*$D492*$E492</f>
        <v>34.49</v>
      </c>
      <c r="R492" s="157">
        <f>'Quantitativos (A)'!P492*$D492*$E492</f>
        <v>34.49</v>
      </c>
      <c r="S492" s="157">
        <f>'Quantitativos (A)'!Q492*$D492*$E492</f>
        <v>34.49</v>
      </c>
      <c r="T492" s="157">
        <f>'Quantitativos (A)'!R492*$D492*$E492</f>
        <v>34.49</v>
      </c>
      <c r="U492" s="157">
        <f>'Quantitativos (A)'!S492*$D492*$E492</f>
        <v>34.49</v>
      </c>
      <c r="V492" s="157">
        <f>'Quantitativos (A)'!T492*$D492*$E492</f>
        <v>34.49</v>
      </c>
      <c r="W492" s="157">
        <f>'Quantitativos (A)'!U492*$D492*$E492</f>
        <v>34.49</v>
      </c>
      <c r="X492" s="157">
        <f>'Quantitativos (A)'!V492*$D492*$E492</f>
        <v>34.49</v>
      </c>
      <c r="Y492" s="157">
        <f>'Quantitativos (A)'!W492*$D492*$E492</f>
        <v>34.49</v>
      </c>
      <c r="Z492" s="157">
        <f>'Quantitativos (A)'!X492*$D492*$E492</f>
        <v>34.49</v>
      </c>
      <c r="AA492" s="157">
        <f>'Quantitativos (A)'!Y492*$D492*$E492</f>
        <v>34.49</v>
      </c>
      <c r="AB492" s="157">
        <f>'Quantitativos (A)'!Z492*$D492*$E492</f>
        <v>34.49</v>
      </c>
      <c r="AC492" s="157">
        <f>'Quantitativos (A)'!AA492*$D492*$E492</f>
        <v>34.49</v>
      </c>
      <c r="AD492" s="157">
        <f>'Quantitativos (A)'!AB492*$D492*$E492</f>
        <v>34.49</v>
      </c>
      <c r="AE492" s="157">
        <f>'Quantitativos (A)'!AC492*$D492*$E492</f>
        <v>34.49</v>
      </c>
      <c r="AF492" s="157">
        <f>'Quantitativos (A)'!AD492*$D492*$E492</f>
        <v>34.49</v>
      </c>
      <c r="AG492" s="157">
        <f>'Quantitativos (A)'!AE492*$D492*$E492</f>
        <v>34.49</v>
      </c>
      <c r="AH492" s="157">
        <f>'Quantitativos (A)'!AF492*$D492*$E492</f>
        <v>34.49</v>
      </c>
      <c r="AI492" s="158">
        <f>'Quantitativos (A)'!AG492*$D492*$E492</f>
        <v>34.49</v>
      </c>
      <c r="AJ492" s="22"/>
    </row>
    <row r="493" spans="1:36" x14ac:dyDescent="0.25">
      <c r="A493" s="112"/>
      <c r="B493" s="136" t="s">
        <v>113</v>
      </c>
      <c r="C493" s="67" t="s">
        <v>59</v>
      </c>
      <c r="D493" s="157">
        <f>'Dados (F)'!$D$282</f>
        <v>38.56</v>
      </c>
      <c r="E493" s="125">
        <f>IF('Dados (F)'!$D$35=1,1,'Dados (F)'!$C$39)</f>
        <v>1</v>
      </c>
      <c r="F493" s="157">
        <f>'Quantitativos (A)'!D493*$D493*$E493</f>
        <v>38.56</v>
      </c>
      <c r="G493" s="157">
        <f>'Quantitativos (A)'!E493*$D493*$E493</f>
        <v>38.56</v>
      </c>
      <c r="H493" s="157">
        <f>'Quantitativos (A)'!F493*$D493*$E493</f>
        <v>38.56</v>
      </c>
      <c r="I493" s="157">
        <f>'Quantitativos (A)'!G493*$D493*$E493</f>
        <v>38.56</v>
      </c>
      <c r="J493" s="157">
        <f>'Quantitativos (A)'!H493*$D493*$E493</f>
        <v>38.56</v>
      </c>
      <c r="K493" s="157">
        <f>'Quantitativos (A)'!I493*$D493*$E493</f>
        <v>38.56</v>
      </c>
      <c r="L493" s="157">
        <f>'Quantitativos (A)'!J493*$D493*$E493</f>
        <v>38.56</v>
      </c>
      <c r="M493" s="157">
        <f>'Quantitativos (A)'!K493*$D493*$E493</f>
        <v>38.56</v>
      </c>
      <c r="N493" s="157">
        <f>'Quantitativos (A)'!L493*$D493*$E493</f>
        <v>38.56</v>
      </c>
      <c r="O493" s="157">
        <f>'Quantitativos (A)'!M493*$D493*$E493</f>
        <v>38.56</v>
      </c>
      <c r="P493" s="157">
        <f>'Quantitativos (A)'!N493*$D493*$E493</f>
        <v>38.56</v>
      </c>
      <c r="Q493" s="157">
        <f>'Quantitativos (A)'!O493*$D493*$E493</f>
        <v>38.56</v>
      </c>
      <c r="R493" s="157">
        <f>'Quantitativos (A)'!P493*$D493*$E493</f>
        <v>38.56</v>
      </c>
      <c r="S493" s="157">
        <f>'Quantitativos (A)'!Q493*$D493*$E493</f>
        <v>38.56</v>
      </c>
      <c r="T493" s="157">
        <f>'Quantitativos (A)'!R493*$D493*$E493</f>
        <v>38.56</v>
      </c>
      <c r="U493" s="157">
        <f>'Quantitativos (A)'!S493*$D493*$E493</f>
        <v>38.56</v>
      </c>
      <c r="V493" s="157">
        <f>'Quantitativos (A)'!T493*$D493*$E493</f>
        <v>38.56</v>
      </c>
      <c r="W493" s="157">
        <f>'Quantitativos (A)'!U493*$D493*$E493</f>
        <v>38.56</v>
      </c>
      <c r="X493" s="157">
        <f>'Quantitativos (A)'!V493*$D493*$E493</f>
        <v>38.56</v>
      </c>
      <c r="Y493" s="157">
        <f>'Quantitativos (A)'!W493*$D493*$E493</f>
        <v>38.56</v>
      </c>
      <c r="Z493" s="157">
        <f>'Quantitativos (A)'!X493*$D493*$E493</f>
        <v>38.56</v>
      </c>
      <c r="AA493" s="157">
        <f>'Quantitativos (A)'!Y493*$D493*$E493</f>
        <v>38.56</v>
      </c>
      <c r="AB493" s="157">
        <f>'Quantitativos (A)'!Z493*$D493*$E493</f>
        <v>38.56</v>
      </c>
      <c r="AC493" s="157">
        <f>'Quantitativos (A)'!AA493*$D493*$E493</f>
        <v>38.56</v>
      </c>
      <c r="AD493" s="157">
        <f>'Quantitativos (A)'!AB493*$D493*$E493</f>
        <v>38.56</v>
      </c>
      <c r="AE493" s="157">
        <f>'Quantitativos (A)'!AC493*$D493*$E493</f>
        <v>38.56</v>
      </c>
      <c r="AF493" s="157">
        <f>'Quantitativos (A)'!AD493*$D493*$E493</f>
        <v>38.56</v>
      </c>
      <c r="AG493" s="157">
        <f>'Quantitativos (A)'!AE493*$D493*$E493</f>
        <v>38.56</v>
      </c>
      <c r="AH493" s="157">
        <f>'Quantitativos (A)'!AF493*$D493*$E493</f>
        <v>38.56</v>
      </c>
      <c r="AI493" s="158">
        <f>'Quantitativos (A)'!AG493*$D493*$E493</f>
        <v>38.56</v>
      </c>
      <c r="AJ493" s="22"/>
    </row>
    <row r="494" spans="1:36" x14ac:dyDescent="0.25">
      <c r="A494" s="112"/>
      <c r="B494" s="136" t="s">
        <v>114</v>
      </c>
      <c r="C494" s="67" t="s">
        <v>59</v>
      </c>
      <c r="D494" s="157">
        <f>'Dados (F)'!$D$283</f>
        <v>62.9</v>
      </c>
      <c r="E494" s="125">
        <f>IF('Dados (F)'!$D$35=1,1,'Dados (F)'!$C$39)</f>
        <v>1</v>
      </c>
      <c r="F494" s="157">
        <f>'Quantitativos (A)'!D494*$D494*$E494</f>
        <v>62.9</v>
      </c>
      <c r="G494" s="157">
        <f>'Quantitativos (A)'!E494*$D494*$E494</f>
        <v>62.9</v>
      </c>
      <c r="H494" s="157">
        <f>'Quantitativos (A)'!F494*$D494*$E494</f>
        <v>62.9</v>
      </c>
      <c r="I494" s="157">
        <f>'Quantitativos (A)'!G494*$D494*$E494</f>
        <v>62.9</v>
      </c>
      <c r="J494" s="157">
        <f>'Quantitativos (A)'!H494*$D494*$E494</f>
        <v>62.9</v>
      </c>
      <c r="K494" s="157">
        <f>'Quantitativos (A)'!I494*$D494*$E494</f>
        <v>62.9</v>
      </c>
      <c r="L494" s="157">
        <f>'Quantitativos (A)'!J494*$D494*$E494</f>
        <v>62.9</v>
      </c>
      <c r="M494" s="157">
        <f>'Quantitativos (A)'!K494*$D494*$E494</f>
        <v>62.9</v>
      </c>
      <c r="N494" s="157">
        <f>'Quantitativos (A)'!L494*$D494*$E494</f>
        <v>62.9</v>
      </c>
      <c r="O494" s="157">
        <f>'Quantitativos (A)'!M494*$D494*$E494</f>
        <v>62.9</v>
      </c>
      <c r="P494" s="157">
        <f>'Quantitativos (A)'!N494*$D494*$E494</f>
        <v>62.9</v>
      </c>
      <c r="Q494" s="157">
        <f>'Quantitativos (A)'!O494*$D494*$E494</f>
        <v>62.9</v>
      </c>
      <c r="R494" s="157">
        <f>'Quantitativos (A)'!P494*$D494*$E494</f>
        <v>62.9</v>
      </c>
      <c r="S494" s="157">
        <f>'Quantitativos (A)'!Q494*$D494*$E494</f>
        <v>62.9</v>
      </c>
      <c r="T494" s="157">
        <f>'Quantitativos (A)'!R494*$D494*$E494</f>
        <v>62.9</v>
      </c>
      <c r="U494" s="157">
        <f>'Quantitativos (A)'!S494*$D494*$E494</f>
        <v>62.9</v>
      </c>
      <c r="V494" s="157">
        <f>'Quantitativos (A)'!T494*$D494*$E494</f>
        <v>62.9</v>
      </c>
      <c r="W494" s="157">
        <f>'Quantitativos (A)'!U494*$D494*$E494</f>
        <v>62.9</v>
      </c>
      <c r="X494" s="157">
        <f>'Quantitativos (A)'!V494*$D494*$E494</f>
        <v>62.9</v>
      </c>
      <c r="Y494" s="157">
        <f>'Quantitativos (A)'!W494*$D494*$E494</f>
        <v>62.9</v>
      </c>
      <c r="Z494" s="157">
        <f>'Quantitativos (A)'!X494*$D494*$E494</f>
        <v>62.9</v>
      </c>
      <c r="AA494" s="157">
        <f>'Quantitativos (A)'!Y494*$D494*$E494</f>
        <v>62.9</v>
      </c>
      <c r="AB494" s="157">
        <f>'Quantitativos (A)'!Z494*$D494*$E494</f>
        <v>62.9</v>
      </c>
      <c r="AC494" s="157">
        <f>'Quantitativos (A)'!AA494*$D494*$E494</f>
        <v>62.9</v>
      </c>
      <c r="AD494" s="157">
        <f>'Quantitativos (A)'!AB494*$D494*$E494</f>
        <v>62.9</v>
      </c>
      <c r="AE494" s="157">
        <f>'Quantitativos (A)'!AC494*$D494*$E494</f>
        <v>62.9</v>
      </c>
      <c r="AF494" s="157">
        <f>'Quantitativos (A)'!AD494*$D494*$E494</f>
        <v>62.9</v>
      </c>
      <c r="AG494" s="157">
        <f>'Quantitativos (A)'!AE494*$D494*$E494</f>
        <v>62.9</v>
      </c>
      <c r="AH494" s="157">
        <f>'Quantitativos (A)'!AF494*$D494*$E494</f>
        <v>62.9</v>
      </c>
      <c r="AI494" s="158">
        <f>'Quantitativos (A)'!AG494*$D494*$E494</f>
        <v>62.9</v>
      </c>
      <c r="AJ494" s="22"/>
    </row>
    <row r="495" spans="1:36" x14ac:dyDescent="0.25">
      <c r="A495" s="112"/>
      <c r="B495" s="136" t="s">
        <v>115</v>
      </c>
      <c r="C495" s="67" t="s">
        <v>59</v>
      </c>
      <c r="D495" s="157">
        <f>'Dados (F)'!$D$284</f>
        <v>71.010000000000005</v>
      </c>
      <c r="E495" s="125">
        <f>IF('Dados (F)'!$D$35=1,1,'Dados (F)'!$C$39)</f>
        <v>1</v>
      </c>
      <c r="F495" s="157">
        <f>'Quantitativos (A)'!D495*$D495*$E495</f>
        <v>71.010000000000005</v>
      </c>
      <c r="G495" s="157">
        <f>'Quantitativos (A)'!E495*$D495*$E495</f>
        <v>71.010000000000005</v>
      </c>
      <c r="H495" s="157">
        <f>'Quantitativos (A)'!F495*$D495*$E495</f>
        <v>71.010000000000005</v>
      </c>
      <c r="I495" s="157">
        <f>'Quantitativos (A)'!G495*$D495*$E495</f>
        <v>71.010000000000005</v>
      </c>
      <c r="J495" s="157">
        <f>'Quantitativos (A)'!H495*$D495*$E495</f>
        <v>71.010000000000005</v>
      </c>
      <c r="K495" s="157">
        <f>'Quantitativos (A)'!I495*$D495*$E495</f>
        <v>71.010000000000005</v>
      </c>
      <c r="L495" s="157">
        <f>'Quantitativos (A)'!J495*$D495*$E495</f>
        <v>71.010000000000005</v>
      </c>
      <c r="M495" s="157">
        <f>'Quantitativos (A)'!K495*$D495*$E495</f>
        <v>71.010000000000005</v>
      </c>
      <c r="N495" s="157">
        <f>'Quantitativos (A)'!L495*$D495*$E495</f>
        <v>71.010000000000005</v>
      </c>
      <c r="O495" s="157">
        <f>'Quantitativos (A)'!M495*$D495*$E495</f>
        <v>71.010000000000005</v>
      </c>
      <c r="P495" s="157">
        <f>'Quantitativos (A)'!N495*$D495*$E495</f>
        <v>71.010000000000005</v>
      </c>
      <c r="Q495" s="157">
        <f>'Quantitativos (A)'!O495*$D495*$E495</f>
        <v>71.010000000000005</v>
      </c>
      <c r="R495" s="157">
        <f>'Quantitativos (A)'!P495*$D495*$E495</f>
        <v>71.010000000000005</v>
      </c>
      <c r="S495" s="157">
        <f>'Quantitativos (A)'!Q495*$D495*$E495</f>
        <v>71.010000000000005</v>
      </c>
      <c r="T495" s="157">
        <f>'Quantitativos (A)'!R495*$D495*$E495</f>
        <v>71.010000000000005</v>
      </c>
      <c r="U495" s="157">
        <f>'Quantitativos (A)'!S495*$D495*$E495</f>
        <v>71.010000000000005</v>
      </c>
      <c r="V495" s="157">
        <f>'Quantitativos (A)'!T495*$D495*$E495</f>
        <v>71.010000000000005</v>
      </c>
      <c r="W495" s="157">
        <f>'Quantitativos (A)'!U495*$D495*$E495</f>
        <v>71.010000000000005</v>
      </c>
      <c r="X495" s="157">
        <f>'Quantitativos (A)'!V495*$D495*$E495</f>
        <v>71.010000000000005</v>
      </c>
      <c r="Y495" s="157">
        <f>'Quantitativos (A)'!W495*$D495*$E495</f>
        <v>71.010000000000005</v>
      </c>
      <c r="Z495" s="157">
        <f>'Quantitativos (A)'!X495*$D495*$E495</f>
        <v>71.010000000000005</v>
      </c>
      <c r="AA495" s="157">
        <f>'Quantitativos (A)'!Y495*$D495*$E495</f>
        <v>71.010000000000005</v>
      </c>
      <c r="AB495" s="157">
        <f>'Quantitativos (A)'!Z495*$D495*$E495</f>
        <v>71.010000000000005</v>
      </c>
      <c r="AC495" s="157">
        <f>'Quantitativos (A)'!AA495*$D495*$E495</f>
        <v>71.010000000000005</v>
      </c>
      <c r="AD495" s="157">
        <f>'Quantitativos (A)'!AB495*$D495*$E495</f>
        <v>71.010000000000005</v>
      </c>
      <c r="AE495" s="157">
        <f>'Quantitativos (A)'!AC495*$D495*$E495</f>
        <v>71.010000000000005</v>
      </c>
      <c r="AF495" s="157">
        <f>'Quantitativos (A)'!AD495*$D495*$E495</f>
        <v>71.010000000000005</v>
      </c>
      <c r="AG495" s="157">
        <f>'Quantitativos (A)'!AE495*$D495*$E495</f>
        <v>71.010000000000005</v>
      </c>
      <c r="AH495" s="157">
        <f>'Quantitativos (A)'!AF495*$D495*$E495</f>
        <v>71.010000000000005</v>
      </c>
      <c r="AI495" s="158">
        <f>'Quantitativos (A)'!AG495*$D495*$E495</f>
        <v>71.010000000000005</v>
      </c>
      <c r="AJ495" s="22"/>
    </row>
    <row r="496" spans="1:36" x14ac:dyDescent="0.25">
      <c r="A496" s="112"/>
      <c r="B496" s="136" t="s">
        <v>116</v>
      </c>
      <c r="C496" s="67" t="s">
        <v>59</v>
      </c>
      <c r="D496" s="157">
        <f>'Dados (F)'!$D$285</f>
        <v>97.39</v>
      </c>
      <c r="E496" s="125">
        <f>IF('Dados (F)'!$D$35=1,1,'Dados (F)'!$C$39)</f>
        <v>1</v>
      </c>
      <c r="F496" s="157">
        <f>'Quantitativos (A)'!D496*$D496*$E496</f>
        <v>97.39</v>
      </c>
      <c r="G496" s="157">
        <f>'Quantitativos (A)'!E496*$D496*$E496</f>
        <v>97.39</v>
      </c>
      <c r="H496" s="157">
        <f>'Quantitativos (A)'!F496*$D496*$E496</f>
        <v>97.39</v>
      </c>
      <c r="I496" s="157">
        <f>'Quantitativos (A)'!G496*$D496*$E496</f>
        <v>97.39</v>
      </c>
      <c r="J496" s="157">
        <f>'Quantitativos (A)'!H496*$D496*$E496</f>
        <v>97.39</v>
      </c>
      <c r="K496" s="157">
        <f>'Quantitativos (A)'!I496*$D496*$E496</f>
        <v>97.39</v>
      </c>
      <c r="L496" s="157">
        <f>'Quantitativos (A)'!J496*$D496*$E496</f>
        <v>97.39</v>
      </c>
      <c r="M496" s="157">
        <f>'Quantitativos (A)'!K496*$D496*$E496</f>
        <v>97.39</v>
      </c>
      <c r="N496" s="157">
        <f>'Quantitativos (A)'!L496*$D496*$E496</f>
        <v>97.39</v>
      </c>
      <c r="O496" s="157">
        <f>'Quantitativos (A)'!M496*$D496*$E496</f>
        <v>97.39</v>
      </c>
      <c r="P496" s="157">
        <f>'Quantitativos (A)'!N496*$D496*$E496</f>
        <v>97.39</v>
      </c>
      <c r="Q496" s="157">
        <f>'Quantitativos (A)'!O496*$D496*$E496</f>
        <v>97.39</v>
      </c>
      <c r="R496" s="157">
        <f>'Quantitativos (A)'!P496*$D496*$E496</f>
        <v>97.39</v>
      </c>
      <c r="S496" s="157">
        <f>'Quantitativos (A)'!Q496*$D496*$E496</f>
        <v>97.39</v>
      </c>
      <c r="T496" s="157">
        <f>'Quantitativos (A)'!R496*$D496*$E496</f>
        <v>97.39</v>
      </c>
      <c r="U496" s="157">
        <f>'Quantitativos (A)'!S496*$D496*$E496</f>
        <v>97.39</v>
      </c>
      <c r="V496" s="157">
        <f>'Quantitativos (A)'!T496*$D496*$E496</f>
        <v>97.39</v>
      </c>
      <c r="W496" s="157">
        <f>'Quantitativos (A)'!U496*$D496*$E496</f>
        <v>97.39</v>
      </c>
      <c r="X496" s="157">
        <f>'Quantitativos (A)'!V496*$D496*$E496</f>
        <v>97.39</v>
      </c>
      <c r="Y496" s="157">
        <f>'Quantitativos (A)'!W496*$D496*$E496</f>
        <v>97.39</v>
      </c>
      <c r="Z496" s="157">
        <f>'Quantitativos (A)'!X496*$D496*$E496</f>
        <v>97.39</v>
      </c>
      <c r="AA496" s="157">
        <f>'Quantitativos (A)'!Y496*$D496*$E496</f>
        <v>97.39</v>
      </c>
      <c r="AB496" s="157">
        <f>'Quantitativos (A)'!Z496*$D496*$E496</f>
        <v>97.39</v>
      </c>
      <c r="AC496" s="157">
        <f>'Quantitativos (A)'!AA496*$D496*$E496</f>
        <v>97.39</v>
      </c>
      <c r="AD496" s="157">
        <f>'Quantitativos (A)'!AB496*$D496*$E496</f>
        <v>97.39</v>
      </c>
      <c r="AE496" s="157">
        <f>'Quantitativos (A)'!AC496*$D496*$E496</f>
        <v>97.39</v>
      </c>
      <c r="AF496" s="157">
        <f>'Quantitativos (A)'!AD496*$D496*$E496</f>
        <v>97.39</v>
      </c>
      <c r="AG496" s="157">
        <f>'Quantitativos (A)'!AE496*$D496*$E496</f>
        <v>97.39</v>
      </c>
      <c r="AH496" s="157">
        <f>'Quantitativos (A)'!AF496*$D496*$E496</f>
        <v>97.39</v>
      </c>
      <c r="AI496" s="158">
        <f>'Quantitativos (A)'!AG496*$D496*$E496</f>
        <v>97.39</v>
      </c>
      <c r="AJ496" s="22"/>
    </row>
    <row r="497" spans="1:36" x14ac:dyDescent="0.25">
      <c r="A497" s="112"/>
      <c r="B497" s="136" t="s">
        <v>117</v>
      </c>
      <c r="C497" s="67" t="s">
        <v>59</v>
      </c>
      <c r="D497" s="157">
        <f>'Dados (F)'!$D$286</f>
        <v>24.35</v>
      </c>
      <c r="E497" s="125">
        <f>IF('Dados (F)'!$D$35=1,1,'Dados (F)'!$C$39)</f>
        <v>1</v>
      </c>
      <c r="F497" s="157">
        <f>'Quantitativos (A)'!D497*$D497*$E497</f>
        <v>24.35</v>
      </c>
      <c r="G497" s="157">
        <f>'Quantitativos (A)'!E497*$D497*$E497</f>
        <v>24.35</v>
      </c>
      <c r="H497" s="157">
        <f>'Quantitativos (A)'!F497*$D497*$E497</f>
        <v>24.35</v>
      </c>
      <c r="I497" s="157">
        <f>'Quantitativos (A)'!G497*$D497*$E497</f>
        <v>24.35</v>
      </c>
      <c r="J497" s="157">
        <f>'Quantitativos (A)'!H497*$D497*$E497</f>
        <v>24.35</v>
      </c>
      <c r="K497" s="157">
        <f>'Quantitativos (A)'!I497*$D497*$E497</f>
        <v>24.35</v>
      </c>
      <c r="L497" s="157">
        <f>'Quantitativos (A)'!J497*$D497*$E497</f>
        <v>24.35</v>
      </c>
      <c r="M497" s="157">
        <f>'Quantitativos (A)'!K497*$D497*$E497</f>
        <v>24.35</v>
      </c>
      <c r="N497" s="157">
        <f>'Quantitativos (A)'!L497*$D497*$E497</f>
        <v>24.35</v>
      </c>
      <c r="O497" s="157">
        <f>'Quantitativos (A)'!M497*$D497*$E497</f>
        <v>24.35</v>
      </c>
      <c r="P497" s="157">
        <f>'Quantitativos (A)'!N497*$D497*$E497</f>
        <v>24.35</v>
      </c>
      <c r="Q497" s="157">
        <f>'Quantitativos (A)'!O497*$D497*$E497</f>
        <v>24.35</v>
      </c>
      <c r="R497" s="157">
        <f>'Quantitativos (A)'!P497*$D497*$E497</f>
        <v>24.35</v>
      </c>
      <c r="S497" s="157">
        <f>'Quantitativos (A)'!Q497*$D497*$E497</f>
        <v>24.35</v>
      </c>
      <c r="T497" s="157">
        <f>'Quantitativos (A)'!R497*$D497*$E497</f>
        <v>24.35</v>
      </c>
      <c r="U497" s="157">
        <f>'Quantitativos (A)'!S497*$D497*$E497</f>
        <v>24.35</v>
      </c>
      <c r="V497" s="157">
        <f>'Quantitativos (A)'!T497*$D497*$E497</f>
        <v>24.35</v>
      </c>
      <c r="W497" s="157">
        <f>'Quantitativos (A)'!U497*$D497*$E497</f>
        <v>24.35</v>
      </c>
      <c r="X497" s="157">
        <f>'Quantitativos (A)'!V497*$D497*$E497</f>
        <v>24.35</v>
      </c>
      <c r="Y497" s="157">
        <f>'Quantitativos (A)'!W497*$D497*$E497</f>
        <v>24.35</v>
      </c>
      <c r="Z497" s="157">
        <f>'Quantitativos (A)'!X497*$D497*$E497</f>
        <v>24.35</v>
      </c>
      <c r="AA497" s="157">
        <f>'Quantitativos (A)'!Y497*$D497*$E497</f>
        <v>24.35</v>
      </c>
      <c r="AB497" s="157">
        <f>'Quantitativos (A)'!Z497*$D497*$E497</f>
        <v>24.35</v>
      </c>
      <c r="AC497" s="157">
        <f>'Quantitativos (A)'!AA497*$D497*$E497</f>
        <v>24.35</v>
      </c>
      <c r="AD497" s="157">
        <f>'Quantitativos (A)'!AB497*$D497*$E497</f>
        <v>24.35</v>
      </c>
      <c r="AE497" s="157">
        <f>'Quantitativos (A)'!AC497*$D497*$E497</f>
        <v>24.35</v>
      </c>
      <c r="AF497" s="157">
        <f>'Quantitativos (A)'!AD497*$D497*$E497</f>
        <v>24.35</v>
      </c>
      <c r="AG497" s="157">
        <f>'Quantitativos (A)'!AE497*$D497*$E497</f>
        <v>24.35</v>
      </c>
      <c r="AH497" s="157">
        <f>'Quantitativos (A)'!AF497*$D497*$E497</f>
        <v>24.35</v>
      </c>
      <c r="AI497" s="158">
        <f>'Quantitativos (A)'!AG497*$D497*$E497</f>
        <v>24.35</v>
      </c>
      <c r="AJ497" s="22"/>
    </row>
    <row r="498" spans="1:36" x14ac:dyDescent="0.25">
      <c r="A498" s="112"/>
      <c r="B498" s="136" t="s">
        <v>118</v>
      </c>
      <c r="C498" s="67" t="s">
        <v>59</v>
      </c>
      <c r="D498" s="157">
        <f>'Dados (F)'!$D$287</f>
        <v>26.71</v>
      </c>
      <c r="E498" s="125">
        <f>IF('Dados (F)'!$D$35=1,1,'Dados (F)'!$C$39)</f>
        <v>1</v>
      </c>
      <c r="F498" s="157">
        <f>'Quantitativos (A)'!D498*$D498*$E498</f>
        <v>26.71</v>
      </c>
      <c r="G498" s="157">
        <f>'Quantitativos (A)'!E498*$D498*$E498</f>
        <v>26.71</v>
      </c>
      <c r="H498" s="157">
        <f>'Quantitativos (A)'!F498*$D498*$E498</f>
        <v>26.71</v>
      </c>
      <c r="I498" s="157">
        <f>'Quantitativos (A)'!G498*$D498*$E498</f>
        <v>26.71</v>
      </c>
      <c r="J498" s="157">
        <f>'Quantitativos (A)'!H498*$D498*$E498</f>
        <v>26.71</v>
      </c>
      <c r="K498" s="157">
        <f>'Quantitativos (A)'!I498*$D498*$E498</f>
        <v>26.71</v>
      </c>
      <c r="L498" s="157">
        <f>'Quantitativos (A)'!J498*$D498*$E498</f>
        <v>26.71</v>
      </c>
      <c r="M498" s="157">
        <f>'Quantitativos (A)'!K498*$D498*$E498</f>
        <v>26.71</v>
      </c>
      <c r="N498" s="157">
        <f>'Quantitativos (A)'!L498*$D498*$E498</f>
        <v>26.71</v>
      </c>
      <c r="O498" s="157">
        <f>'Quantitativos (A)'!M498*$D498*$E498</f>
        <v>26.71</v>
      </c>
      <c r="P498" s="157">
        <f>'Quantitativos (A)'!N498*$D498*$E498</f>
        <v>26.71</v>
      </c>
      <c r="Q498" s="157">
        <f>'Quantitativos (A)'!O498*$D498*$E498</f>
        <v>26.71</v>
      </c>
      <c r="R498" s="157">
        <f>'Quantitativos (A)'!P498*$D498*$E498</f>
        <v>26.71</v>
      </c>
      <c r="S498" s="157">
        <f>'Quantitativos (A)'!Q498*$D498*$E498</f>
        <v>26.71</v>
      </c>
      <c r="T498" s="157">
        <f>'Quantitativos (A)'!R498*$D498*$E498</f>
        <v>26.71</v>
      </c>
      <c r="U498" s="157">
        <f>'Quantitativos (A)'!S498*$D498*$E498</f>
        <v>26.71</v>
      </c>
      <c r="V498" s="157">
        <f>'Quantitativos (A)'!T498*$D498*$E498</f>
        <v>26.71</v>
      </c>
      <c r="W498" s="157">
        <f>'Quantitativos (A)'!U498*$D498*$E498</f>
        <v>26.71</v>
      </c>
      <c r="X498" s="157">
        <f>'Quantitativos (A)'!V498*$D498*$E498</f>
        <v>26.71</v>
      </c>
      <c r="Y498" s="157">
        <f>'Quantitativos (A)'!W498*$D498*$E498</f>
        <v>26.71</v>
      </c>
      <c r="Z498" s="157">
        <f>'Quantitativos (A)'!X498*$D498*$E498</f>
        <v>26.71</v>
      </c>
      <c r="AA498" s="157">
        <f>'Quantitativos (A)'!Y498*$D498*$E498</f>
        <v>26.71</v>
      </c>
      <c r="AB498" s="157">
        <f>'Quantitativos (A)'!Z498*$D498*$E498</f>
        <v>26.71</v>
      </c>
      <c r="AC498" s="157">
        <f>'Quantitativos (A)'!AA498*$D498*$E498</f>
        <v>26.71</v>
      </c>
      <c r="AD498" s="157">
        <f>'Quantitativos (A)'!AB498*$D498*$E498</f>
        <v>26.71</v>
      </c>
      <c r="AE498" s="157">
        <f>'Quantitativos (A)'!AC498*$D498*$E498</f>
        <v>26.71</v>
      </c>
      <c r="AF498" s="157">
        <f>'Quantitativos (A)'!AD498*$D498*$E498</f>
        <v>26.71</v>
      </c>
      <c r="AG498" s="157">
        <f>'Quantitativos (A)'!AE498*$D498*$E498</f>
        <v>26.71</v>
      </c>
      <c r="AH498" s="157">
        <f>'Quantitativos (A)'!AF498*$D498*$E498</f>
        <v>26.71</v>
      </c>
      <c r="AI498" s="158">
        <f>'Quantitativos (A)'!AG498*$D498*$E498</f>
        <v>26.71</v>
      </c>
      <c r="AJ498" s="22"/>
    </row>
    <row r="499" spans="1:36" x14ac:dyDescent="0.25">
      <c r="A499" s="112"/>
      <c r="B499" s="136" t="s">
        <v>119</v>
      </c>
      <c r="C499" s="67" t="s">
        <v>59</v>
      </c>
      <c r="D499" s="157">
        <f>'Dados (F)'!$D$288</f>
        <v>27.72</v>
      </c>
      <c r="E499" s="125">
        <f>IF('Dados (F)'!$D$35=1,1,'Dados (F)'!$C$39)</f>
        <v>1</v>
      </c>
      <c r="F499" s="157">
        <f>'Quantitativos (A)'!D499*$D499*$E499</f>
        <v>27.72</v>
      </c>
      <c r="G499" s="157">
        <f>'Quantitativos (A)'!E499*$D499*$E499</f>
        <v>27.72</v>
      </c>
      <c r="H499" s="157">
        <f>'Quantitativos (A)'!F499*$D499*$E499</f>
        <v>27.72</v>
      </c>
      <c r="I499" s="157">
        <f>'Quantitativos (A)'!G499*$D499*$E499</f>
        <v>27.72</v>
      </c>
      <c r="J499" s="157">
        <f>'Quantitativos (A)'!H499*$D499*$E499</f>
        <v>27.72</v>
      </c>
      <c r="K499" s="157">
        <f>'Quantitativos (A)'!I499*$D499*$E499</f>
        <v>27.72</v>
      </c>
      <c r="L499" s="157">
        <f>'Quantitativos (A)'!J499*$D499*$E499</f>
        <v>27.72</v>
      </c>
      <c r="M499" s="157">
        <f>'Quantitativos (A)'!K499*$D499*$E499</f>
        <v>27.72</v>
      </c>
      <c r="N499" s="157">
        <f>'Quantitativos (A)'!L499*$D499*$E499</f>
        <v>27.72</v>
      </c>
      <c r="O499" s="157">
        <f>'Quantitativos (A)'!M499*$D499*$E499</f>
        <v>27.72</v>
      </c>
      <c r="P499" s="157">
        <f>'Quantitativos (A)'!N499*$D499*$E499</f>
        <v>27.72</v>
      </c>
      <c r="Q499" s="157">
        <f>'Quantitativos (A)'!O499*$D499*$E499</f>
        <v>27.72</v>
      </c>
      <c r="R499" s="157">
        <f>'Quantitativos (A)'!P499*$D499*$E499</f>
        <v>27.72</v>
      </c>
      <c r="S499" s="157">
        <f>'Quantitativos (A)'!Q499*$D499*$E499</f>
        <v>27.72</v>
      </c>
      <c r="T499" s="157">
        <f>'Quantitativos (A)'!R499*$D499*$E499</f>
        <v>27.72</v>
      </c>
      <c r="U499" s="157">
        <f>'Quantitativos (A)'!S499*$D499*$E499</f>
        <v>27.72</v>
      </c>
      <c r="V499" s="157">
        <f>'Quantitativos (A)'!T499*$D499*$E499</f>
        <v>27.72</v>
      </c>
      <c r="W499" s="157">
        <f>'Quantitativos (A)'!U499*$D499*$E499</f>
        <v>27.72</v>
      </c>
      <c r="X499" s="157">
        <f>'Quantitativos (A)'!V499*$D499*$E499</f>
        <v>27.72</v>
      </c>
      <c r="Y499" s="157">
        <f>'Quantitativos (A)'!W499*$D499*$E499</f>
        <v>27.72</v>
      </c>
      <c r="Z499" s="157">
        <f>'Quantitativos (A)'!X499*$D499*$E499</f>
        <v>27.72</v>
      </c>
      <c r="AA499" s="157">
        <f>'Quantitativos (A)'!Y499*$D499*$E499</f>
        <v>27.72</v>
      </c>
      <c r="AB499" s="157">
        <f>'Quantitativos (A)'!Z499*$D499*$E499</f>
        <v>27.72</v>
      </c>
      <c r="AC499" s="157">
        <f>'Quantitativos (A)'!AA499*$D499*$E499</f>
        <v>27.72</v>
      </c>
      <c r="AD499" s="157">
        <f>'Quantitativos (A)'!AB499*$D499*$E499</f>
        <v>27.72</v>
      </c>
      <c r="AE499" s="157">
        <f>'Quantitativos (A)'!AC499*$D499*$E499</f>
        <v>27.72</v>
      </c>
      <c r="AF499" s="157">
        <f>'Quantitativos (A)'!AD499*$D499*$E499</f>
        <v>27.72</v>
      </c>
      <c r="AG499" s="157">
        <f>'Quantitativos (A)'!AE499*$D499*$E499</f>
        <v>27.72</v>
      </c>
      <c r="AH499" s="157">
        <f>'Quantitativos (A)'!AF499*$D499*$E499</f>
        <v>27.72</v>
      </c>
      <c r="AI499" s="158">
        <f>'Quantitativos (A)'!AG499*$D499*$E499</f>
        <v>27.72</v>
      </c>
      <c r="AJ499" s="22"/>
    </row>
    <row r="500" spans="1:36" x14ac:dyDescent="0.25">
      <c r="A500" s="112"/>
      <c r="B500" s="136" t="s">
        <v>120</v>
      </c>
      <c r="C500" s="67" t="s">
        <v>59</v>
      </c>
      <c r="D500" s="157">
        <f>'Dados (F)'!$D$289</f>
        <v>74.38</v>
      </c>
      <c r="E500" s="125">
        <f>IF('Dados (F)'!$D$35=1,1,'Dados (F)'!$C$39)</f>
        <v>1</v>
      </c>
      <c r="F500" s="157">
        <f>'Quantitativos (A)'!D500*$D500*$E500</f>
        <v>74.38</v>
      </c>
      <c r="G500" s="157">
        <f>'Quantitativos (A)'!E500*$D500*$E500</f>
        <v>74.38</v>
      </c>
      <c r="H500" s="157">
        <f>'Quantitativos (A)'!F500*$D500*$E500</f>
        <v>74.38</v>
      </c>
      <c r="I500" s="157">
        <f>'Quantitativos (A)'!G500*$D500*$E500</f>
        <v>74.38</v>
      </c>
      <c r="J500" s="157">
        <f>'Quantitativos (A)'!H500*$D500*$E500</f>
        <v>74.38</v>
      </c>
      <c r="K500" s="157">
        <f>'Quantitativos (A)'!I500*$D500*$E500</f>
        <v>74.38</v>
      </c>
      <c r="L500" s="157">
        <f>'Quantitativos (A)'!J500*$D500*$E500</f>
        <v>74.38</v>
      </c>
      <c r="M500" s="157">
        <f>'Quantitativos (A)'!K500*$D500*$E500</f>
        <v>74.38</v>
      </c>
      <c r="N500" s="157">
        <f>'Quantitativos (A)'!L500*$D500*$E500</f>
        <v>74.38</v>
      </c>
      <c r="O500" s="157">
        <f>'Quantitativos (A)'!M500*$D500*$E500</f>
        <v>74.38</v>
      </c>
      <c r="P500" s="157">
        <f>'Quantitativos (A)'!N500*$D500*$E500</f>
        <v>74.38</v>
      </c>
      <c r="Q500" s="157">
        <f>'Quantitativos (A)'!O500*$D500*$E500</f>
        <v>74.38</v>
      </c>
      <c r="R500" s="157">
        <f>'Quantitativos (A)'!P500*$D500*$E500</f>
        <v>74.38</v>
      </c>
      <c r="S500" s="157">
        <f>'Quantitativos (A)'!Q500*$D500*$E500</f>
        <v>74.38</v>
      </c>
      <c r="T500" s="157">
        <f>'Quantitativos (A)'!R500*$D500*$E500</f>
        <v>74.38</v>
      </c>
      <c r="U500" s="157">
        <f>'Quantitativos (A)'!S500*$D500*$E500</f>
        <v>74.38</v>
      </c>
      <c r="V500" s="157">
        <f>'Quantitativos (A)'!T500*$D500*$E500</f>
        <v>74.38</v>
      </c>
      <c r="W500" s="157">
        <f>'Quantitativos (A)'!U500*$D500*$E500</f>
        <v>74.38</v>
      </c>
      <c r="X500" s="157">
        <f>'Quantitativos (A)'!V500*$D500*$E500</f>
        <v>74.38</v>
      </c>
      <c r="Y500" s="157">
        <f>'Quantitativos (A)'!W500*$D500*$E500</f>
        <v>74.38</v>
      </c>
      <c r="Z500" s="157">
        <f>'Quantitativos (A)'!X500*$D500*$E500</f>
        <v>74.38</v>
      </c>
      <c r="AA500" s="157">
        <f>'Quantitativos (A)'!Y500*$D500*$E500</f>
        <v>74.38</v>
      </c>
      <c r="AB500" s="157">
        <f>'Quantitativos (A)'!Z500*$D500*$E500</f>
        <v>74.38</v>
      </c>
      <c r="AC500" s="157">
        <f>'Quantitativos (A)'!AA500*$D500*$E500</f>
        <v>74.38</v>
      </c>
      <c r="AD500" s="157">
        <f>'Quantitativos (A)'!AB500*$D500*$E500</f>
        <v>74.38</v>
      </c>
      <c r="AE500" s="157">
        <f>'Quantitativos (A)'!AC500*$D500*$E500</f>
        <v>74.38</v>
      </c>
      <c r="AF500" s="157">
        <f>'Quantitativos (A)'!AD500*$D500*$E500</f>
        <v>74.38</v>
      </c>
      <c r="AG500" s="157">
        <f>'Quantitativos (A)'!AE500*$D500*$E500</f>
        <v>74.38</v>
      </c>
      <c r="AH500" s="157">
        <f>'Quantitativos (A)'!AF500*$D500*$E500</f>
        <v>74.38</v>
      </c>
      <c r="AI500" s="158">
        <f>'Quantitativos (A)'!AG500*$D500*$E500</f>
        <v>74.38</v>
      </c>
      <c r="AJ500" s="22"/>
    </row>
    <row r="501" spans="1:36" x14ac:dyDescent="0.25">
      <c r="A501" s="112"/>
      <c r="B501" s="136" t="s">
        <v>121</v>
      </c>
      <c r="C501" s="67" t="s">
        <v>59</v>
      </c>
      <c r="D501" s="157">
        <f>'Dados (F)'!$D$290</f>
        <v>98.37</v>
      </c>
      <c r="E501" s="125">
        <f>IF('Dados (F)'!$D$35=1,1,'Dados (F)'!$C$39)</f>
        <v>1</v>
      </c>
      <c r="F501" s="157">
        <f>'Quantitativos (A)'!D501*$D501*$E501</f>
        <v>98.37</v>
      </c>
      <c r="G501" s="157">
        <f>'Quantitativos (A)'!E501*$D501*$E501</f>
        <v>98.37</v>
      </c>
      <c r="H501" s="157">
        <f>'Quantitativos (A)'!F501*$D501*$E501</f>
        <v>98.37</v>
      </c>
      <c r="I501" s="157">
        <f>'Quantitativos (A)'!G501*$D501*$E501</f>
        <v>98.37</v>
      </c>
      <c r="J501" s="157">
        <f>'Quantitativos (A)'!H501*$D501*$E501</f>
        <v>98.37</v>
      </c>
      <c r="K501" s="157">
        <f>'Quantitativos (A)'!I501*$D501*$E501</f>
        <v>98.37</v>
      </c>
      <c r="L501" s="157">
        <f>'Quantitativos (A)'!J501*$D501*$E501</f>
        <v>98.37</v>
      </c>
      <c r="M501" s="157">
        <f>'Quantitativos (A)'!K501*$D501*$E501</f>
        <v>98.37</v>
      </c>
      <c r="N501" s="157">
        <f>'Quantitativos (A)'!L501*$D501*$E501</f>
        <v>98.37</v>
      </c>
      <c r="O501" s="157">
        <f>'Quantitativos (A)'!M501*$D501*$E501</f>
        <v>98.37</v>
      </c>
      <c r="P501" s="157">
        <f>'Quantitativos (A)'!N501*$D501*$E501</f>
        <v>98.37</v>
      </c>
      <c r="Q501" s="157">
        <f>'Quantitativos (A)'!O501*$D501*$E501</f>
        <v>98.37</v>
      </c>
      <c r="R501" s="157">
        <f>'Quantitativos (A)'!P501*$D501*$E501</f>
        <v>98.37</v>
      </c>
      <c r="S501" s="157">
        <f>'Quantitativos (A)'!Q501*$D501*$E501</f>
        <v>98.37</v>
      </c>
      <c r="T501" s="157">
        <f>'Quantitativos (A)'!R501*$D501*$E501</f>
        <v>98.37</v>
      </c>
      <c r="U501" s="157">
        <f>'Quantitativos (A)'!S501*$D501*$E501</f>
        <v>98.37</v>
      </c>
      <c r="V501" s="157">
        <f>'Quantitativos (A)'!T501*$D501*$E501</f>
        <v>98.37</v>
      </c>
      <c r="W501" s="157">
        <f>'Quantitativos (A)'!U501*$D501*$E501</f>
        <v>98.37</v>
      </c>
      <c r="X501" s="157">
        <f>'Quantitativos (A)'!V501*$D501*$E501</f>
        <v>98.37</v>
      </c>
      <c r="Y501" s="157">
        <f>'Quantitativos (A)'!W501*$D501*$E501</f>
        <v>98.37</v>
      </c>
      <c r="Z501" s="157">
        <f>'Quantitativos (A)'!X501*$D501*$E501</f>
        <v>98.37</v>
      </c>
      <c r="AA501" s="157">
        <f>'Quantitativos (A)'!Y501*$D501*$E501</f>
        <v>98.37</v>
      </c>
      <c r="AB501" s="157">
        <f>'Quantitativos (A)'!Z501*$D501*$E501</f>
        <v>98.37</v>
      </c>
      <c r="AC501" s="157">
        <f>'Quantitativos (A)'!AA501*$D501*$E501</f>
        <v>98.37</v>
      </c>
      <c r="AD501" s="157">
        <f>'Quantitativos (A)'!AB501*$D501*$E501</f>
        <v>98.37</v>
      </c>
      <c r="AE501" s="157">
        <f>'Quantitativos (A)'!AC501*$D501*$E501</f>
        <v>98.37</v>
      </c>
      <c r="AF501" s="157">
        <f>'Quantitativos (A)'!AD501*$D501*$E501</f>
        <v>98.37</v>
      </c>
      <c r="AG501" s="157">
        <f>'Quantitativos (A)'!AE501*$D501*$E501</f>
        <v>98.37</v>
      </c>
      <c r="AH501" s="157">
        <f>'Quantitativos (A)'!AF501*$D501*$E501</f>
        <v>98.37</v>
      </c>
      <c r="AI501" s="158">
        <f>'Quantitativos (A)'!AG501*$D501*$E501</f>
        <v>98.37</v>
      </c>
      <c r="AJ501" s="22"/>
    </row>
    <row r="502" spans="1:36" x14ac:dyDescent="0.25">
      <c r="A502" s="112"/>
      <c r="B502" s="136" t="s">
        <v>122</v>
      </c>
      <c r="C502" s="67" t="s">
        <v>59</v>
      </c>
      <c r="D502" s="157">
        <f>'Dados (F)'!$D$291</f>
        <v>120.53</v>
      </c>
      <c r="E502" s="125">
        <f>IF('Dados (F)'!$D$35=1,1,'Dados (F)'!$C$39)</f>
        <v>1</v>
      </c>
      <c r="F502" s="157">
        <f>'Quantitativos (A)'!D502*$D502*$E502</f>
        <v>120.53</v>
      </c>
      <c r="G502" s="157">
        <f>'Quantitativos (A)'!E502*$D502*$E502</f>
        <v>120.53</v>
      </c>
      <c r="H502" s="157">
        <f>'Quantitativos (A)'!F502*$D502*$E502</f>
        <v>120.53</v>
      </c>
      <c r="I502" s="157">
        <f>'Quantitativos (A)'!G502*$D502*$E502</f>
        <v>120.53</v>
      </c>
      <c r="J502" s="157">
        <f>'Quantitativos (A)'!H502*$D502*$E502</f>
        <v>120.53</v>
      </c>
      <c r="K502" s="157">
        <f>'Quantitativos (A)'!I502*$D502*$E502</f>
        <v>120.53</v>
      </c>
      <c r="L502" s="157">
        <f>'Quantitativos (A)'!J502*$D502*$E502</f>
        <v>120.53</v>
      </c>
      <c r="M502" s="157">
        <f>'Quantitativos (A)'!K502*$D502*$E502</f>
        <v>120.53</v>
      </c>
      <c r="N502" s="157">
        <f>'Quantitativos (A)'!L502*$D502*$E502</f>
        <v>120.53</v>
      </c>
      <c r="O502" s="157">
        <f>'Quantitativos (A)'!M502*$D502*$E502</f>
        <v>120.53</v>
      </c>
      <c r="P502" s="157">
        <f>'Quantitativos (A)'!N502*$D502*$E502</f>
        <v>120.53</v>
      </c>
      <c r="Q502" s="157">
        <f>'Quantitativos (A)'!O502*$D502*$E502</f>
        <v>120.53</v>
      </c>
      <c r="R502" s="157">
        <f>'Quantitativos (A)'!P502*$D502*$E502</f>
        <v>120.53</v>
      </c>
      <c r="S502" s="157">
        <f>'Quantitativos (A)'!Q502*$D502*$E502</f>
        <v>120.53</v>
      </c>
      <c r="T502" s="157">
        <f>'Quantitativos (A)'!R502*$D502*$E502</f>
        <v>120.53</v>
      </c>
      <c r="U502" s="157">
        <f>'Quantitativos (A)'!S502*$D502*$E502</f>
        <v>120.53</v>
      </c>
      <c r="V502" s="157">
        <f>'Quantitativos (A)'!T502*$D502*$E502</f>
        <v>120.53</v>
      </c>
      <c r="W502" s="157">
        <f>'Quantitativos (A)'!U502*$D502*$E502</f>
        <v>120.53</v>
      </c>
      <c r="X502" s="157">
        <f>'Quantitativos (A)'!V502*$D502*$E502</f>
        <v>120.53</v>
      </c>
      <c r="Y502" s="157">
        <f>'Quantitativos (A)'!W502*$D502*$E502</f>
        <v>120.53</v>
      </c>
      <c r="Z502" s="157">
        <f>'Quantitativos (A)'!X502*$D502*$E502</f>
        <v>120.53</v>
      </c>
      <c r="AA502" s="157">
        <f>'Quantitativos (A)'!Y502*$D502*$E502</f>
        <v>120.53</v>
      </c>
      <c r="AB502" s="157">
        <f>'Quantitativos (A)'!Z502*$D502*$E502</f>
        <v>120.53</v>
      </c>
      <c r="AC502" s="157">
        <f>'Quantitativos (A)'!AA502*$D502*$E502</f>
        <v>120.53</v>
      </c>
      <c r="AD502" s="157">
        <f>'Quantitativos (A)'!AB502*$D502*$E502</f>
        <v>120.53</v>
      </c>
      <c r="AE502" s="157">
        <f>'Quantitativos (A)'!AC502*$D502*$E502</f>
        <v>120.53</v>
      </c>
      <c r="AF502" s="157">
        <f>'Quantitativos (A)'!AD502*$D502*$E502</f>
        <v>120.53</v>
      </c>
      <c r="AG502" s="157">
        <f>'Quantitativos (A)'!AE502*$D502*$E502</f>
        <v>120.53</v>
      </c>
      <c r="AH502" s="157">
        <f>'Quantitativos (A)'!AF502*$D502*$E502</f>
        <v>120.53</v>
      </c>
      <c r="AI502" s="158">
        <f>'Quantitativos (A)'!AG502*$D502*$E502</f>
        <v>120.53</v>
      </c>
      <c r="AJ502" s="22"/>
    </row>
    <row r="503" spans="1:36" x14ac:dyDescent="0.25">
      <c r="A503" s="112"/>
      <c r="B503" s="136" t="s">
        <v>123</v>
      </c>
      <c r="C503" s="67" t="s">
        <v>59</v>
      </c>
      <c r="D503" s="157">
        <f>'Dados (F)'!$D$292</f>
        <v>16.11</v>
      </c>
      <c r="E503" s="125">
        <f>IF('Dados (F)'!$D$35=1,1,'Dados (F)'!$C$39)</f>
        <v>1</v>
      </c>
      <c r="F503" s="157">
        <f>'Quantitativos (A)'!D503*$D503*$E503</f>
        <v>16.11</v>
      </c>
      <c r="G503" s="157">
        <f>'Quantitativos (A)'!E503*$D503*$E503</f>
        <v>16.11</v>
      </c>
      <c r="H503" s="157">
        <f>'Quantitativos (A)'!F503*$D503*$E503</f>
        <v>16.11</v>
      </c>
      <c r="I503" s="157">
        <f>'Quantitativos (A)'!G503*$D503*$E503</f>
        <v>16.11</v>
      </c>
      <c r="J503" s="157">
        <f>'Quantitativos (A)'!H503*$D503*$E503</f>
        <v>16.11</v>
      </c>
      <c r="K503" s="157">
        <f>'Quantitativos (A)'!I503*$D503*$E503</f>
        <v>16.11</v>
      </c>
      <c r="L503" s="157">
        <f>'Quantitativos (A)'!J503*$D503*$E503</f>
        <v>16.11</v>
      </c>
      <c r="M503" s="157">
        <f>'Quantitativos (A)'!K503*$D503*$E503</f>
        <v>16.11</v>
      </c>
      <c r="N503" s="157">
        <f>'Quantitativos (A)'!L503*$D503*$E503</f>
        <v>16.11</v>
      </c>
      <c r="O503" s="157">
        <f>'Quantitativos (A)'!M503*$D503*$E503</f>
        <v>16.11</v>
      </c>
      <c r="P503" s="157">
        <f>'Quantitativos (A)'!N503*$D503*$E503</f>
        <v>16.11</v>
      </c>
      <c r="Q503" s="157">
        <f>'Quantitativos (A)'!O503*$D503*$E503</f>
        <v>16.11</v>
      </c>
      <c r="R503" s="157">
        <f>'Quantitativos (A)'!P503*$D503*$E503</f>
        <v>16.11</v>
      </c>
      <c r="S503" s="157">
        <f>'Quantitativos (A)'!Q503*$D503*$E503</f>
        <v>16.11</v>
      </c>
      <c r="T503" s="157">
        <f>'Quantitativos (A)'!R503*$D503*$E503</f>
        <v>16.11</v>
      </c>
      <c r="U503" s="157">
        <f>'Quantitativos (A)'!S503*$D503*$E503</f>
        <v>16.11</v>
      </c>
      <c r="V503" s="157">
        <f>'Quantitativos (A)'!T503*$D503*$E503</f>
        <v>16.11</v>
      </c>
      <c r="W503" s="157">
        <f>'Quantitativos (A)'!U503*$D503*$E503</f>
        <v>16.11</v>
      </c>
      <c r="X503" s="157">
        <f>'Quantitativos (A)'!V503*$D503*$E503</f>
        <v>16.11</v>
      </c>
      <c r="Y503" s="157">
        <f>'Quantitativos (A)'!W503*$D503*$E503</f>
        <v>16.11</v>
      </c>
      <c r="Z503" s="157">
        <f>'Quantitativos (A)'!X503*$D503*$E503</f>
        <v>16.11</v>
      </c>
      <c r="AA503" s="157">
        <f>'Quantitativos (A)'!Y503*$D503*$E503</f>
        <v>16.11</v>
      </c>
      <c r="AB503" s="157">
        <f>'Quantitativos (A)'!Z503*$D503*$E503</f>
        <v>16.11</v>
      </c>
      <c r="AC503" s="157">
        <f>'Quantitativos (A)'!AA503*$D503*$E503</f>
        <v>16.11</v>
      </c>
      <c r="AD503" s="157">
        <f>'Quantitativos (A)'!AB503*$D503*$E503</f>
        <v>16.11</v>
      </c>
      <c r="AE503" s="157">
        <f>'Quantitativos (A)'!AC503*$D503*$E503</f>
        <v>16.11</v>
      </c>
      <c r="AF503" s="157">
        <f>'Quantitativos (A)'!AD503*$D503*$E503</f>
        <v>16.11</v>
      </c>
      <c r="AG503" s="157">
        <f>'Quantitativos (A)'!AE503*$D503*$E503</f>
        <v>16.11</v>
      </c>
      <c r="AH503" s="157">
        <f>'Quantitativos (A)'!AF503*$D503*$E503</f>
        <v>16.11</v>
      </c>
      <c r="AI503" s="158">
        <f>'Quantitativos (A)'!AG503*$D503*$E503</f>
        <v>16.11</v>
      </c>
      <c r="AJ503" s="22"/>
    </row>
    <row r="504" spans="1:36" x14ac:dyDescent="0.25">
      <c r="A504" s="112"/>
      <c r="B504" s="136" t="s">
        <v>124</v>
      </c>
      <c r="C504" s="67" t="s">
        <v>59</v>
      </c>
      <c r="D504" s="157">
        <f>'Dados (F)'!$D$293</f>
        <v>16.11</v>
      </c>
      <c r="E504" s="125">
        <f>IF('Dados (F)'!$D$35=1,1,'Dados (F)'!$C$39)</f>
        <v>1</v>
      </c>
      <c r="F504" s="157">
        <f>'Quantitativos (A)'!D504*$D504*$E504</f>
        <v>16.11</v>
      </c>
      <c r="G504" s="157">
        <f>'Quantitativos (A)'!E504*$D504*$E504</f>
        <v>16.11</v>
      </c>
      <c r="H504" s="157">
        <f>'Quantitativos (A)'!F504*$D504*$E504</f>
        <v>16.11</v>
      </c>
      <c r="I504" s="157">
        <f>'Quantitativos (A)'!G504*$D504*$E504</f>
        <v>16.11</v>
      </c>
      <c r="J504" s="157">
        <f>'Quantitativos (A)'!H504*$D504*$E504</f>
        <v>16.11</v>
      </c>
      <c r="K504" s="157">
        <f>'Quantitativos (A)'!I504*$D504*$E504</f>
        <v>16.11</v>
      </c>
      <c r="L504" s="157">
        <f>'Quantitativos (A)'!J504*$D504*$E504</f>
        <v>16.11</v>
      </c>
      <c r="M504" s="157">
        <f>'Quantitativos (A)'!K504*$D504*$E504</f>
        <v>16.11</v>
      </c>
      <c r="N504" s="157">
        <f>'Quantitativos (A)'!L504*$D504*$E504</f>
        <v>16.11</v>
      </c>
      <c r="O504" s="157">
        <f>'Quantitativos (A)'!M504*$D504*$E504</f>
        <v>16.11</v>
      </c>
      <c r="P504" s="157">
        <f>'Quantitativos (A)'!N504*$D504*$E504</f>
        <v>16.11</v>
      </c>
      <c r="Q504" s="157">
        <f>'Quantitativos (A)'!O504*$D504*$E504</f>
        <v>16.11</v>
      </c>
      <c r="R504" s="157">
        <f>'Quantitativos (A)'!P504*$D504*$E504</f>
        <v>16.11</v>
      </c>
      <c r="S504" s="157">
        <f>'Quantitativos (A)'!Q504*$D504*$E504</f>
        <v>16.11</v>
      </c>
      <c r="T504" s="157">
        <f>'Quantitativos (A)'!R504*$D504*$E504</f>
        <v>16.11</v>
      </c>
      <c r="U504" s="157">
        <f>'Quantitativos (A)'!S504*$D504*$E504</f>
        <v>16.11</v>
      </c>
      <c r="V504" s="157">
        <f>'Quantitativos (A)'!T504*$D504*$E504</f>
        <v>16.11</v>
      </c>
      <c r="W504" s="157">
        <f>'Quantitativos (A)'!U504*$D504*$E504</f>
        <v>16.11</v>
      </c>
      <c r="X504" s="157">
        <f>'Quantitativos (A)'!V504*$D504*$E504</f>
        <v>16.11</v>
      </c>
      <c r="Y504" s="157">
        <f>'Quantitativos (A)'!W504*$D504*$E504</f>
        <v>16.11</v>
      </c>
      <c r="Z504" s="157">
        <f>'Quantitativos (A)'!X504*$D504*$E504</f>
        <v>16.11</v>
      </c>
      <c r="AA504" s="157">
        <f>'Quantitativos (A)'!Y504*$D504*$E504</f>
        <v>16.11</v>
      </c>
      <c r="AB504" s="157">
        <f>'Quantitativos (A)'!Z504*$D504*$E504</f>
        <v>16.11</v>
      </c>
      <c r="AC504" s="157">
        <f>'Quantitativos (A)'!AA504*$D504*$E504</f>
        <v>16.11</v>
      </c>
      <c r="AD504" s="157">
        <f>'Quantitativos (A)'!AB504*$D504*$E504</f>
        <v>16.11</v>
      </c>
      <c r="AE504" s="157">
        <f>'Quantitativos (A)'!AC504*$D504*$E504</f>
        <v>16.11</v>
      </c>
      <c r="AF504" s="157">
        <f>'Quantitativos (A)'!AD504*$D504*$E504</f>
        <v>16.11</v>
      </c>
      <c r="AG504" s="157">
        <f>'Quantitativos (A)'!AE504*$D504*$E504</f>
        <v>16.11</v>
      </c>
      <c r="AH504" s="157">
        <f>'Quantitativos (A)'!AF504*$D504*$E504</f>
        <v>16.11</v>
      </c>
      <c r="AI504" s="158">
        <f>'Quantitativos (A)'!AG504*$D504*$E504</f>
        <v>16.11</v>
      </c>
      <c r="AJ504" s="22"/>
    </row>
    <row r="505" spans="1:36" x14ac:dyDescent="0.25">
      <c r="A505" s="112"/>
      <c r="B505" s="136" t="s">
        <v>125</v>
      </c>
      <c r="C505" s="67" t="s">
        <v>59</v>
      </c>
      <c r="D505" s="157">
        <f>'Dados (F)'!$D$294</f>
        <v>14.67</v>
      </c>
      <c r="E505" s="125">
        <f>IF('Dados (F)'!$D$35=1,1,'Dados (F)'!$C$39)</f>
        <v>1</v>
      </c>
      <c r="F505" s="157">
        <f>'Quantitativos (A)'!D505*$D505*$E505</f>
        <v>14.67</v>
      </c>
      <c r="G505" s="157">
        <f>'Quantitativos (A)'!E505*$D505*$E505</f>
        <v>14.67</v>
      </c>
      <c r="H505" s="157">
        <f>'Quantitativos (A)'!F505*$D505*$E505</f>
        <v>14.67</v>
      </c>
      <c r="I505" s="157">
        <f>'Quantitativos (A)'!G505*$D505*$E505</f>
        <v>14.67</v>
      </c>
      <c r="J505" s="157">
        <f>'Quantitativos (A)'!H505*$D505*$E505</f>
        <v>14.67</v>
      </c>
      <c r="K505" s="157">
        <f>'Quantitativos (A)'!I505*$D505*$E505</f>
        <v>14.67</v>
      </c>
      <c r="L505" s="157">
        <f>'Quantitativos (A)'!J505*$D505*$E505</f>
        <v>14.67</v>
      </c>
      <c r="M505" s="157">
        <f>'Quantitativos (A)'!K505*$D505*$E505</f>
        <v>14.67</v>
      </c>
      <c r="N505" s="157">
        <f>'Quantitativos (A)'!L505*$D505*$E505</f>
        <v>14.67</v>
      </c>
      <c r="O505" s="157">
        <f>'Quantitativos (A)'!M505*$D505*$E505</f>
        <v>14.67</v>
      </c>
      <c r="P505" s="157">
        <f>'Quantitativos (A)'!N505*$D505*$E505</f>
        <v>14.67</v>
      </c>
      <c r="Q505" s="157">
        <f>'Quantitativos (A)'!O505*$D505*$E505</f>
        <v>14.67</v>
      </c>
      <c r="R505" s="157">
        <f>'Quantitativos (A)'!P505*$D505*$E505</f>
        <v>14.67</v>
      </c>
      <c r="S505" s="157">
        <f>'Quantitativos (A)'!Q505*$D505*$E505</f>
        <v>14.67</v>
      </c>
      <c r="T505" s="157">
        <f>'Quantitativos (A)'!R505*$D505*$E505</f>
        <v>14.67</v>
      </c>
      <c r="U505" s="157">
        <f>'Quantitativos (A)'!S505*$D505*$E505</f>
        <v>14.67</v>
      </c>
      <c r="V505" s="157">
        <f>'Quantitativos (A)'!T505*$D505*$E505</f>
        <v>14.67</v>
      </c>
      <c r="W505" s="157">
        <f>'Quantitativos (A)'!U505*$D505*$E505</f>
        <v>14.67</v>
      </c>
      <c r="X505" s="157">
        <f>'Quantitativos (A)'!V505*$D505*$E505</f>
        <v>14.67</v>
      </c>
      <c r="Y505" s="157">
        <f>'Quantitativos (A)'!W505*$D505*$E505</f>
        <v>14.67</v>
      </c>
      <c r="Z505" s="157">
        <f>'Quantitativos (A)'!X505*$D505*$E505</f>
        <v>14.67</v>
      </c>
      <c r="AA505" s="157">
        <f>'Quantitativos (A)'!Y505*$D505*$E505</f>
        <v>14.67</v>
      </c>
      <c r="AB505" s="157">
        <f>'Quantitativos (A)'!Z505*$D505*$E505</f>
        <v>14.67</v>
      </c>
      <c r="AC505" s="157">
        <f>'Quantitativos (A)'!AA505*$D505*$E505</f>
        <v>14.67</v>
      </c>
      <c r="AD505" s="157">
        <f>'Quantitativos (A)'!AB505*$D505*$E505</f>
        <v>14.67</v>
      </c>
      <c r="AE505" s="157">
        <f>'Quantitativos (A)'!AC505*$D505*$E505</f>
        <v>14.67</v>
      </c>
      <c r="AF505" s="157">
        <f>'Quantitativos (A)'!AD505*$D505*$E505</f>
        <v>14.67</v>
      </c>
      <c r="AG505" s="157">
        <f>'Quantitativos (A)'!AE505*$D505*$E505</f>
        <v>14.67</v>
      </c>
      <c r="AH505" s="157">
        <f>'Quantitativos (A)'!AF505*$D505*$E505</f>
        <v>14.67</v>
      </c>
      <c r="AI505" s="158">
        <f>'Quantitativos (A)'!AG505*$D505*$E505</f>
        <v>14.67</v>
      </c>
      <c r="AJ505" s="22"/>
    </row>
    <row r="506" spans="1:36" x14ac:dyDescent="0.25">
      <c r="A506" s="112"/>
      <c r="B506" s="136" t="s">
        <v>126</v>
      </c>
      <c r="C506" s="67" t="s">
        <v>59</v>
      </c>
      <c r="D506" s="157">
        <f>'Dados (F)'!$D$295</f>
        <v>12.86</v>
      </c>
      <c r="E506" s="125">
        <f>IF('Dados (F)'!$D$35=1,1,'Dados (F)'!$C$39)</f>
        <v>1</v>
      </c>
      <c r="F506" s="157">
        <f>'Quantitativos (A)'!D506*$D506*$E506</f>
        <v>12.86</v>
      </c>
      <c r="G506" s="157">
        <f>'Quantitativos (A)'!E506*$D506*$E506</f>
        <v>12.86</v>
      </c>
      <c r="H506" s="157">
        <f>'Quantitativos (A)'!F506*$D506*$E506</f>
        <v>12.86</v>
      </c>
      <c r="I506" s="157">
        <f>'Quantitativos (A)'!G506*$D506*$E506</f>
        <v>12.86</v>
      </c>
      <c r="J506" s="157">
        <f>'Quantitativos (A)'!H506*$D506*$E506</f>
        <v>12.86</v>
      </c>
      <c r="K506" s="157">
        <f>'Quantitativos (A)'!I506*$D506*$E506</f>
        <v>12.86</v>
      </c>
      <c r="L506" s="157">
        <f>'Quantitativos (A)'!J506*$D506*$E506</f>
        <v>12.86</v>
      </c>
      <c r="M506" s="157">
        <f>'Quantitativos (A)'!K506*$D506*$E506</f>
        <v>12.86</v>
      </c>
      <c r="N506" s="157">
        <f>'Quantitativos (A)'!L506*$D506*$E506</f>
        <v>12.86</v>
      </c>
      <c r="O506" s="157">
        <f>'Quantitativos (A)'!M506*$D506*$E506</f>
        <v>12.86</v>
      </c>
      <c r="P506" s="157">
        <f>'Quantitativos (A)'!N506*$D506*$E506</f>
        <v>12.86</v>
      </c>
      <c r="Q506" s="157">
        <f>'Quantitativos (A)'!O506*$D506*$E506</f>
        <v>12.86</v>
      </c>
      <c r="R506" s="157">
        <f>'Quantitativos (A)'!P506*$D506*$E506</f>
        <v>12.86</v>
      </c>
      <c r="S506" s="157">
        <f>'Quantitativos (A)'!Q506*$D506*$E506</f>
        <v>12.86</v>
      </c>
      <c r="T506" s="157">
        <f>'Quantitativos (A)'!R506*$D506*$E506</f>
        <v>12.86</v>
      </c>
      <c r="U506" s="157">
        <f>'Quantitativos (A)'!S506*$D506*$E506</f>
        <v>12.86</v>
      </c>
      <c r="V506" s="157">
        <f>'Quantitativos (A)'!T506*$D506*$E506</f>
        <v>12.86</v>
      </c>
      <c r="W506" s="157">
        <f>'Quantitativos (A)'!U506*$D506*$E506</f>
        <v>12.86</v>
      </c>
      <c r="X506" s="157">
        <f>'Quantitativos (A)'!V506*$D506*$E506</f>
        <v>12.86</v>
      </c>
      <c r="Y506" s="157">
        <f>'Quantitativos (A)'!W506*$D506*$E506</f>
        <v>12.86</v>
      </c>
      <c r="Z506" s="157">
        <f>'Quantitativos (A)'!X506*$D506*$E506</f>
        <v>12.86</v>
      </c>
      <c r="AA506" s="157">
        <f>'Quantitativos (A)'!Y506*$D506*$E506</f>
        <v>12.86</v>
      </c>
      <c r="AB506" s="157">
        <f>'Quantitativos (A)'!Z506*$D506*$E506</f>
        <v>12.86</v>
      </c>
      <c r="AC506" s="157">
        <f>'Quantitativos (A)'!AA506*$D506*$E506</f>
        <v>12.86</v>
      </c>
      <c r="AD506" s="157">
        <f>'Quantitativos (A)'!AB506*$D506*$E506</f>
        <v>12.86</v>
      </c>
      <c r="AE506" s="157">
        <f>'Quantitativos (A)'!AC506*$D506*$E506</f>
        <v>12.86</v>
      </c>
      <c r="AF506" s="157">
        <f>'Quantitativos (A)'!AD506*$D506*$E506</f>
        <v>12.86</v>
      </c>
      <c r="AG506" s="157">
        <f>'Quantitativos (A)'!AE506*$D506*$E506</f>
        <v>12.86</v>
      </c>
      <c r="AH506" s="157">
        <f>'Quantitativos (A)'!AF506*$D506*$E506</f>
        <v>12.86</v>
      </c>
      <c r="AI506" s="158">
        <f>'Quantitativos (A)'!AG506*$D506*$E506</f>
        <v>12.86</v>
      </c>
      <c r="AJ506" s="22"/>
    </row>
    <row r="507" spans="1:36" x14ac:dyDescent="0.25">
      <c r="A507" s="112"/>
      <c r="B507" s="136" t="s">
        <v>127</v>
      </c>
      <c r="C507" s="67" t="s">
        <v>59</v>
      </c>
      <c r="D507" s="157">
        <f>'Dados (F)'!$D$296</f>
        <v>12.86</v>
      </c>
      <c r="E507" s="125">
        <f>IF('Dados (F)'!$D$35=1,1,'Dados (F)'!$C$39)</f>
        <v>1</v>
      </c>
      <c r="F507" s="157">
        <f>'Quantitativos (A)'!D507*$D507*$E507</f>
        <v>12.86</v>
      </c>
      <c r="G507" s="157">
        <f>'Quantitativos (A)'!E507*$D507*$E507</f>
        <v>12.86</v>
      </c>
      <c r="H507" s="157">
        <f>'Quantitativos (A)'!F507*$D507*$E507</f>
        <v>12.86</v>
      </c>
      <c r="I507" s="157">
        <f>'Quantitativos (A)'!G507*$D507*$E507</f>
        <v>12.86</v>
      </c>
      <c r="J507" s="157">
        <f>'Quantitativos (A)'!H507*$D507*$E507</f>
        <v>12.86</v>
      </c>
      <c r="K507" s="157">
        <f>'Quantitativos (A)'!I507*$D507*$E507</f>
        <v>12.86</v>
      </c>
      <c r="L507" s="157">
        <f>'Quantitativos (A)'!J507*$D507*$E507</f>
        <v>12.86</v>
      </c>
      <c r="M507" s="157">
        <f>'Quantitativos (A)'!K507*$D507*$E507</f>
        <v>12.86</v>
      </c>
      <c r="N507" s="157">
        <f>'Quantitativos (A)'!L507*$D507*$E507</f>
        <v>12.86</v>
      </c>
      <c r="O507" s="157">
        <f>'Quantitativos (A)'!M507*$D507*$E507</f>
        <v>12.86</v>
      </c>
      <c r="P507" s="157">
        <f>'Quantitativos (A)'!N507*$D507*$E507</f>
        <v>12.86</v>
      </c>
      <c r="Q507" s="157">
        <f>'Quantitativos (A)'!O507*$D507*$E507</f>
        <v>12.86</v>
      </c>
      <c r="R507" s="157">
        <f>'Quantitativos (A)'!P507*$D507*$E507</f>
        <v>12.86</v>
      </c>
      <c r="S507" s="157">
        <f>'Quantitativos (A)'!Q507*$D507*$E507</f>
        <v>12.86</v>
      </c>
      <c r="T507" s="157">
        <f>'Quantitativos (A)'!R507*$D507*$E507</f>
        <v>12.86</v>
      </c>
      <c r="U507" s="157">
        <f>'Quantitativos (A)'!S507*$D507*$E507</f>
        <v>12.86</v>
      </c>
      <c r="V507" s="157">
        <f>'Quantitativos (A)'!T507*$D507*$E507</f>
        <v>12.86</v>
      </c>
      <c r="W507" s="157">
        <f>'Quantitativos (A)'!U507*$D507*$E507</f>
        <v>12.86</v>
      </c>
      <c r="X507" s="157">
        <f>'Quantitativos (A)'!V507*$D507*$E507</f>
        <v>12.86</v>
      </c>
      <c r="Y507" s="157">
        <f>'Quantitativos (A)'!W507*$D507*$E507</f>
        <v>12.86</v>
      </c>
      <c r="Z507" s="157">
        <f>'Quantitativos (A)'!X507*$D507*$E507</f>
        <v>12.86</v>
      </c>
      <c r="AA507" s="157">
        <f>'Quantitativos (A)'!Y507*$D507*$E507</f>
        <v>12.86</v>
      </c>
      <c r="AB507" s="157">
        <f>'Quantitativos (A)'!Z507*$D507*$E507</f>
        <v>12.86</v>
      </c>
      <c r="AC507" s="157">
        <f>'Quantitativos (A)'!AA507*$D507*$E507</f>
        <v>12.86</v>
      </c>
      <c r="AD507" s="157">
        <f>'Quantitativos (A)'!AB507*$D507*$E507</f>
        <v>12.86</v>
      </c>
      <c r="AE507" s="157">
        <f>'Quantitativos (A)'!AC507*$D507*$E507</f>
        <v>12.86</v>
      </c>
      <c r="AF507" s="157">
        <f>'Quantitativos (A)'!AD507*$D507*$E507</f>
        <v>12.86</v>
      </c>
      <c r="AG507" s="157">
        <f>'Quantitativos (A)'!AE507*$D507*$E507</f>
        <v>12.86</v>
      </c>
      <c r="AH507" s="157">
        <f>'Quantitativos (A)'!AF507*$D507*$E507</f>
        <v>12.86</v>
      </c>
      <c r="AI507" s="158">
        <f>'Quantitativos (A)'!AG507*$D507*$E507</f>
        <v>12.86</v>
      </c>
      <c r="AJ507" s="22"/>
    </row>
    <row r="508" spans="1:36" x14ac:dyDescent="0.25">
      <c r="A508" s="112"/>
      <c r="B508" s="136" t="s">
        <v>128</v>
      </c>
      <c r="C508" s="67" t="s">
        <v>59</v>
      </c>
      <c r="D508" s="157">
        <f>'Dados (F)'!$D$297</f>
        <v>14.67</v>
      </c>
      <c r="E508" s="125">
        <f>IF('Dados (F)'!$D$35=1,1,'Dados (F)'!$C$39)</f>
        <v>1</v>
      </c>
      <c r="F508" s="157">
        <f>'Quantitativos (A)'!D508*$D508*$E508</f>
        <v>14.67</v>
      </c>
      <c r="G508" s="157">
        <f>'Quantitativos (A)'!E508*$D508*$E508</f>
        <v>14.67</v>
      </c>
      <c r="H508" s="157">
        <f>'Quantitativos (A)'!F508*$D508*$E508</f>
        <v>14.67</v>
      </c>
      <c r="I508" s="157">
        <f>'Quantitativos (A)'!G508*$D508*$E508</f>
        <v>14.67</v>
      </c>
      <c r="J508" s="157">
        <f>'Quantitativos (A)'!H508*$D508*$E508</f>
        <v>14.67</v>
      </c>
      <c r="K508" s="157">
        <f>'Quantitativos (A)'!I508*$D508*$E508</f>
        <v>14.67</v>
      </c>
      <c r="L508" s="157">
        <f>'Quantitativos (A)'!J508*$D508*$E508</f>
        <v>14.67</v>
      </c>
      <c r="M508" s="157">
        <f>'Quantitativos (A)'!K508*$D508*$E508</f>
        <v>14.67</v>
      </c>
      <c r="N508" s="157">
        <f>'Quantitativos (A)'!L508*$D508*$E508</f>
        <v>14.67</v>
      </c>
      <c r="O508" s="157">
        <f>'Quantitativos (A)'!M508*$D508*$E508</f>
        <v>14.67</v>
      </c>
      <c r="P508" s="157">
        <f>'Quantitativos (A)'!N508*$D508*$E508</f>
        <v>14.67</v>
      </c>
      <c r="Q508" s="157">
        <f>'Quantitativos (A)'!O508*$D508*$E508</f>
        <v>14.67</v>
      </c>
      <c r="R508" s="157">
        <f>'Quantitativos (A)'!P508*$D508*$E508</f>
        <v>14.67</v>
      </c>
      <c r="S508" s="157">
        <f>'Quantitativos (A)'!Q508*$D508*$E508</f>
        <v>14.67</v>
      </c>
      <c r="T508" s="157">
        <f>'Quantitativos (A)'!R508*$D508*$E508</f>
        <v>14.67</v>
      </c>
      <c r="U508" s="157">
        <f>'Quantitativos (A)'!S508*$D508*$E508</f>
        <v>14.67</v>
      </c>
      <c r="V508" s="157">
        <f>'Quantitativos (A)'!T508*$D508*$E508</f>
        <v>14.67</v>
      </c>
      <c r="W508" s="157">
        <f>'Quantitativos (A)'!U508*$D508*$E508</f>
        <v>14.67</v>
      </c>
      <c r="X508" s="157">
        <f>'Quantitativos (A)'!V508*$D508*$E508</f>
        <v>14.67</v>
      </c>
      <c r="Y508" s="157">
        <f>'Quantitativos (A)'!W508*$D508*$E508</f>
        <v>14.67</v>
      </c>
      <c r="Z508" s="157">
        <f>'Quantitativos (A)'!X508*$D508*$E508</f>
        <v>14.67</v>
      </c>
      <c r="AA508" s="157">
        <f>'Quantitativos (A)'!Y508*$D508*$E508</f>
        <v>14.67</v>
      </c>
      <c r="AB508" s="157">
        <f>'Quantitativos (A)'!Z508*$D508*$E508</f>
        <v>14.67</v>
      </c>
      <c r="AC508" s="157">
        <f>'Quantitativos (A)'!AA508*$D508*$E508</f>
        <v>14.67</v>
      </c>
      <c r="AD508" s="157">
        <f>'Quantitativos (A)'!AB508*$D508*$E508</f>
        <v>14.67</v>
      </c>
      <c r="AE508" s="157">
        <f>'Quantitativos (A)'!AC508*$D508*$E508</f>
        <v>14.67</v>
      </c>
      <c r="AF508" s="157">
        <f>'Quantitativos (A)'!AD508*$D508*$E508</f>
        <v>14.67</v>
      </c>
      <c r="AG508" s="157">
        <f>'Quantitativos (A)'!AE508*$D508*$E508</f>
        <v>14.67</v>
      </c>
      <c r="AH508" s="157">
        <f>'Quantitativos (A)'!AF508*$D508*$E508</f>
        <v>14.67</v>
      </c>
      <c r="AI508" s="158">
        <f>'Quantitativos (A)'!AG508*$D508*$E508</f>
        <v>14.67</v>
      </c>
      <c r="AJ508" s="22"/>
    </row>
    <row r="509" spans="1:36" x14ac:dyDescent="0.25">
      <c r="A509" s="112"/>
      <c r="B509" s="136" t="s">
        <v>129</v>
      </c>
      <c r="C509" s="67" t="s">
        <v>59</v>
      </c>
      <c r="D509" s="157">
        <f>'Dados (F)'!$D$298</f>
        <v>24.59</v>
      </c>
      <c r="E509" s="125">
        <f>IF('Dados (F)'!$D$35=1,1,'Dados (F)'!$C$39)</f>
        <v>1</v>
      </c>
      <c r="F509" s="157">
        <f>'Quantitativos (A)'!D509*$D509*$E509</f>
        <v>24.59</v>
      </c>
      <c r="G509" s="157">
        <f>'Quantitativos (A)'!E509*$D509*$E509</f>
        <v>24.59</v>
      </c>
      <c r="H509" s="157">
        <f>'Quantitativos (A)'!F509*$D509*$E509</f>
        <v>24.59</v>
      </c>
      <c r="I509" s="157">
        <f>'Quantitativos (A)'!G509*$D509*$E509</f>
        <v>24.59</v>
      </c>
      <c r="J509" s="157">
        <f>'Quantitativos (A)'!H509*$D509*$E509</f>
        <v>24.59</v>
      </c>
      <c r="K509" s="157">
        <f>'Quantitativos (A)'!I509*$D509*$E509</f>
        <v>24.59</v>
      </c>
      <c r="L509" s="157">
        <f>'Quantitativos (A)'!J509*$D509*$E509</f>
        <v>24.59</v>
      </c>
      <c r="M509" s="157">
        <f>'Quantitativos (A)'!K509*$D509*$E509</f>
        <v>24.59</v>
      </c>
      <c r="N509" s="157">
        <f>'Quantitativos (A)'!L509*$D509*$E509</f>
        <v>24.59</v>
      </c>
      <c r="O509" s="157">
        <f>'Quantitativos (A)'!M509*$D509*$E509</f>
        <v>24.59</v>
      </c>
      <c r="P509" s="157">
        <f>'Quantitativos (A)'!N509*$D509*$E509</f>
        <v>24.59</v>
      </c>
      <c r="Q509" s="157">
        <f>'Quantitativos (A)'!O509*$D509*$E509</f>
        <v>24.59</v>
      </c>
      <c r="R509" s="157">
        <f>'Quantitativos (A)'!P509*$D509*$E509</f>
        <v>24.59</v>
      </c>
      <c r="S509" s="157">
        <f>'Quantitativos (A)'!Q509*$D509*$E509</f>
        <v>24.59</v>
      </c>
      <c r="T509" s="157">
        <f>'Quantitativos (A)'!R509*$D509*$E509</f>
        <v>24.59</v>
      </c>
      <c r="U509" s="157">
        <f>'Quantitativos (A)'!S509*$D509*$E509</f>
        <v>24.59</v>
      </c>
      <c r="V509" s="157">
        <f>'Quantitativos (A)'!T509*$D509*$E509</f>
        <v>24.59</v>
      </c>
      <c r="W509" s="157">
        <f>'Quantitativos (A)'!U509*$D509*$E509</f>
        <v>24.59</v>
      </c>
      <c r="X509" s="157">
        <f>'Quantitativos (A)'!V509*$D509*$E509</f>
        <v>24.59</v>
      </c>
      <c r="Y509" s="157">
        <f>'Quantitativos (A)'!W509*$D509*$E509</f>
        <v>24.59</v>
      </c>
      <c r="Z509" s="157">
        <f>'Quantitativos (A)'!X509*$D509*$E509</f>
        <v>24.59</v>
      </c>
      <c r="AA509" s="157">
        <f>'Quantitativos (A)'!Y509*$D509*$E509</f>
        <v>24.59</v>
      </c>
      <c r="AB509" s="157">
        <f>'Quantitativos (A)'!Z509*$D509*$E509</f>
        <v>24.59</v>
      </c>
      <c r="AC509" s="157">
        <f>'Quantitativos (A)'!AA509*$D509*$E509</f>
        <v>24.59</v>
      </c>
      <c r="AD509" s="157">
        <f>'Quantitativos (A)'!AB509*$D509*$E509</f>
        <v>24.59</v>
      </c>
      <c r="AE509" s="157">
        <f>'Quantitativos (A)'!AC509*$D509*$E509</f>
        <v>24.59</v>
      </c>
      <c r="AF509" s="157">
        <f>'Quantitativos (A)'!AD509*$D509*$E509</f>
        <v>24.59</v>
      </c>
      <c r="AG509" s="157">
        <f>'Quantitativos (A)'!AE509*$D509*$E509</f>
        <v>24.59</v>
      </c>
      <c r="AH509" s="157">
        <f>'Quantitativos (A)'!AF509*$D509*$E509</f>
        <v>24.59</v>
      </c>
      <c r="AI509" s="158">
        <f>'Quantitativos (A)'!AG509*$D509*$E509</f>
        <v>24.59</v>
      </c>
      <c r="AJ509" s="22"/>
    </row>
    <row r="510" spans="1:36" x14ac:dyDescent="0.25">
      <c r="A510" s="112"/>
      <c r="B510" s="136" t="s">
        <v>130</v>
      </c>
      <c r="C510" s="67" t="s">
        <v>59</v>
      </c>
      <c r="D510" s="157">
        <f>'Dados (F)'!$D$299</f>
        <v>30.43</v>
      </c>
      <c r="E510" s="125">
        <f>IF('Dados (F)'!$D$35=1,1,'Dados (F)'!$C$39)</f>
        <v>1</v>
      </c>
      <c r="F510" s="157">
        <f>'Quantitativos (A)'!D510*$D510*$E510</f>
        <v>30.43</v>
      </c>
      <c r="G510" s="157">
        <f>'Quantitativos (A)'!E510*$D510*$E510</f>
        <v>30.43</v>
      </c>
      <c r="H510" s="157">
        <f>'Quantitativos (A)'!F510*$D510*$E510</f>
        <v>30.43</v>
      </c>
      <c r="I510" s="157">
        <f>'Quantitativos (A)'!G510*$D510*$E510</f>
        <v>30.43</v>
      </c>
      <c r="J510" s="157">
        <f>'Quantitativos (A)'!H510*$D510*$E510</f>
        <v>30.43</v>
      </c>
      <c r="K510" s="157">
        <f>'Quantitativos (A)'!I510*$D510*$E510</f>
        <v>30.43</v>
      </c>
      <c r="L510" s="157">
        <f>'Quantitativos (A)'!J510*$D510*$E510</f>
        <v>30.43</v>
      </c>
      <c r="M510" s="157">
        <f>'Quantitativos (A)'!K510*$D510*$E510</f>
        <v>30.43</v>
      </c>
      <c r="N510" s="157">
        <f>'Quantitativos (A)'!L510*$D510*$E510</f>
        <v>30.43</v>
      </c>
      <c r="O510" s="157">
        <f>'Quantitativos (A)'!M510*$D510*$E510</f>
        <v>30.43</v>
      </c>
      <c r="P510" s="157">
        <f>'Quantitativos (A)'!N510*$D510*$E510</f>
        <v>30.43</v>
      </c>
      <c r="Q510" s="157">
        <f>'Quantitativos (A)'!O510*$D510*$E510</f>
        <v>30.43</v>
      </c>
      <c r="R510" s="157">
        <f>'Quantitativos (A)'!P510*$D510*$E510</f>
        <v>30.43</v>
      </c>
      <c r="S510" s="157">
        <f>'Quantitativos (A)'!Q510*$D510*$E510</f>
        <v>30.43</v>
      </c>
      <c r="T510" s="157">
        <f>'Quantitativos (A)'!R510*$D510*$E510</f>
        <v>30.43</v>
      </c>
      <c r="U510" s="157">
        <f>'Quantitativos (A)'!S510*$D510*$E510</f>
        <v>30.43</v>
      </c>
      <c r="V510" s="157">
        <f>'Quantitativos (A)'!T510*$D510*$E510</f>
        <v>30.43</v>
      </c>
      <c r="W510" s="157">
        <f>'Quantitativos (A)'!U510*$D510*$E510</f>
        <v>30.43</v>
      </c>
      <c r="X510" s="157">
        <f>'Quantitativos (A)'!V510*$D510*$E510</f>
        <v>30.43</v>
      </c>
      <c r="Y510" s="157">
        <f>'Quantitativos (A)'!W510*$D510*$E510</f>
        <v>30.43</v>
      </c>
      <c r="Z510" s="157">
        <f>'Quantitativos (A)'!X510*$D510*$E510</f>
        <v>30.43</v>
      </c>
      <c r="AA510" s="157">
        <f>'Quantitativos (A)'!Y510*$D510*$E510</f>
        <v>30.43</v>
      </c>
      <c r="AB510" s="157">
        <f>'Quantitativos (A)'!Z510*$D510*$E510</f>
        <v>30.43</v>
      </c>
      <c r="AC510" s="157">
        <f>'Quantitativos (A)'!AA510*$D510*$E510</f>
        <v>30.43</v>
      </c>
      <c r="AD510" s="157">
        <f>'Quantitativos (A)'!AB510*$D510*$E510</f>
        <v>30.43</v>
      </c>
      <c r="AE510" s="157">
        <f>'Quantitativos (A)'!AC510*$D510*$E510</f>
        <v>30.43</v>
      </c>
      <c r="AF510" s="157">
        <f>'Quantitativos (A)'!AD510*$D510*$E510</f>
        <v>30.43</v>
      </c>
      <c r="AG510" s="157">
        <f>'Quantitativos (A)'!AE510*$D510*$E510</f>
        <v>30.43</v>
      </c>
      <c r="AH510" s="157">
        <f>'Quantitativos (A)'!AF510*$D510*$E510</f>
        <v>30.43</v>
      </c>
      <c r="AI510" s="158">
        <f>'Quantitativos (A)'!AG510*$D510*$E510</f>
        <v>30.43</v>
      </c>
      <c r="AJ510" s="22"/>
    </row>
    <row r="511" spans="1:36" x14ac:dyDescent="0.25">
      <c r="A511" s="112"/>
      <c r="B511" s="136" t="s">
        <v>131</v>
      </c>
      <c r="C511" s="67" t="s">
        <v>59</v>
      </c>
      <c r="D511" s="157">
        <f>'Dados (F)'!$D$300</f>
        <v>30.43</v>
      </c>
      <c r="E511" s="125">
        <f>IF('Dados (F)'!$D$35=1,1,'Dados (F)'!$C$39)</f>
        <v>1</v>
      </c>
      <c r="F511" s="157">
        <f>'Quantitativos (A)'!D511*$D511*$E511</f>
        <v>30.43</v>
      </c>
      <c r="G511" s="157">
        <f>'Quantitativos (A)'!E511*$D511*$E511</f>
        <v>30.43</v>
      </c>
      <c r="H511" s="157">
        <f>'Quantitativos (A)'!F511*$D511*$E511</f>
        <v>30.43</v>
      </c>
      <c r="I511" s="157">
        <f>'Quantitativos (A)'!G511*$D511*$E511</f>
        <v>30.43</v>
      </c>
      <c r="J511" s="157">
        <f>'Quantitativos (A)'!H511*$D511*$E511</f>
        <v>30.43</v>
      </c>
      <c r="K511" s="157">
        <f>'Quantitativos (A)'!I511*$D511*$E511</f>
        <v>30.43</v>
      </c>
      <c r="L511" s="157">
        <f>'Quantitativos (A)'!J511*$D511*$E511</f>
        <v>30.43</v>
      </c>
      <c r="M511" s="157">
        <f>'Quantitativos (A)'!K511*$D511*$E511</f>
        <v>30.43</v>
      </c>
      <c r="N511" s="157">
        <f>'Quantitativos (A)'!L511*$D511*$E511</f>
        <v>30.43</v>
      </c>
      <c r="O511" s="157">
        <f>'Quantitativos (A)'!M511*$D511*$E511</f>
        <v>30.43</v>
      </c>
      <c r="P511" s="157">
        <f>'Quantitativos (A)'!N511*$D511*$E511</f>
        <v>30.43</v>
      </c>
      <c r="Q511" s="157">
        <f>'Quantitativos (A)'!O511*$D511*$E511</f>
        <v>30.43</v>
      </c>
      <c r="R511" s="157">
        <f>'Quantitativos (A)'!P511*$D511*$E511</f>
        <v>30.43</v>
      </c>
      <c r="S511" s="157">
        <f>'Quantitativos (A)'!Q511*$D511*$E511</f>
        <v>30.43</v>
      </c>
      <c r="T511" s="157">
        <f>'Quantitativos (A)'!R511*$D511*$E511</f>
        <v>30.43</v>
      </c>
      <c r="U511" s="157">
        <f>'Quantitativos (A)'!S511*$D511*$E511</f>
        <v>30.43</v>
      </c>
      <c r="V511" s="157">
        <f>'Quantitativos (A)'!T511*$D511*$E511</f>
        <v>30.43</v>
      </c>
      <c r="W511" s="157">
        <f>'Quantitativos (A)'!U511*$D511*$E511</f>
        <v>30.43</v>
      </c>
      <c r="X511" s="157">
        <f>'Quantitativos (A)'!V511*$D511*$E511</f>
        <v>30.43</v>
      </c>
      <c r="Y511" s="157">
        <f>'Quantitativos (A)'!W511*$D511*$E511</f>
        <v>30.43</v>
      </c>
      <c r="Z511" s="157">
        <f>'Quantitativos (A)'!X511*$D511*$E511</f>
        <v>30.43</v>
      </c>
      <c r="AA511" s="157">
        <f>'Quantitativos (A)'!Y511*$D511*$E511</f>
        <v>30.43</v>
      </c>
      <c r="AB511" s="157">
        <f>'Quantitativos (A)'!Z511*$D511*$E511</f>
        <v>30.43</v>
      </c>
      <c r="AC511" s="157">
        <f>'Quantitativos (A)'!AA511*$D511*$E511</f>
        <v>30.43</v>
      </c>
      <c r="AD511" s="157">
        <f>'Quantitativos (A)'!AB511*$D511*$E511</f>
        <v>30.43</v>
      </c>
      <c r="AE511" s="157">
        <f>'Quantitativos (A)'!AC511*$D511*$E511</f>
        <v>30.43</v>
      </c>
      <c r="AF511" s="157">
        <f>'Quantitativos (A)'!AD511*$D511*$E511</f>
        <v>30.43</v>
      </c>
      <c r="AG511" s="157">
        <f>'Quantitativos (A)'!AE511*$D511*$E511</f>
        <v>30.43</v>
      </c>
      <c r="AH511" s="157">
        <f>'Quantitativos (A)'!AF511*$D511*$E511</f>
        <v>30.43</v>
      </c>
      <c r="AI511" s="158">
        <f>'Quantitativos (A)'!AG511*$D511*$E511</f>
        <v>30.43</v>
      </c>
      <c r="AJ511" s="22"/>
    </row>
    <row r="512" spans="1:36" x14ac:dyDescent="0.25">
      <c r="A512" s="112"/>
      <c r="B512" s="136" t="s">
        <v>132</v>
      </c>
      <c r="C512" s="67" t="s">
        <v>59</v>
      </c>
      <c r="D512" s="157">
        <f>'Dados (F)'!$D$301</f>
        <v>27.57</v>
      </c>
      <c r="E512" s="125">
        <f>IF('Dados (F)'!$D$35=1,1,'Dados (F)'!$C$39)</f>
        <v>1</v>
      </c>
      <c r="F512" s="157">
        <f>'Quantitativos (A)'!D512*$D512*$E512</f>
        <v>27.57</v>
      </c>
      <c r="G512" s="157">
        <f>'Quantitativos (A)'!E512*$D512*$E512</f>
        <v>27.57</v>
      </c>
      <c r="H512" s="157">
        <f>'Quantitativos (A)'!F512*$D512*$E512</f>
        <v>27.57</v>
      </c>
      <c r="I512" s="157">
        <f>'Quantitativos (A)'!G512*$D512*$E512</f>
        <v>27.57</v>
      </c>
      <c r="J512" s="157">
        <f>'Quantitativos (A)'!H512*$D512*$E512</f>
        <v>27.57</v>
      </c>
      <c r="K512" s="157">
        <f>'Quantitativos (A)'!I512*$D512*$E512</f>
        <v>27.57</v>
      </c>
      <c r="L512" s="157">
        <f>'Quantitativos (A)'!J512*$D512*$E512</f>
        <v>27.57</v>
      </c>
      <c r="M512" s="157">
        <f>'Quantitativos (A)'!K512*$D512*$E512</f>
        <v>27.57</v>
      </c>
      <c r="N512" s="157">
        <f>'Quantitativos (A)'!L512*$D512*$E512</f>
        <v>27.57</v>
      </c>
      <c r="O512" s="157">
        <f>'Quantitativos (A)'!M512*$D512*$E512</f>
        <v>27.57</v>
      </c>
      <c r="P512" s="157">
        <f>'Quantitativos (A)'!N512*$D512*$E512</f>
        <v>27.57</v>
      </c>
      <c r="Q512" s="157">
        <f>'Quantitativos (A)'!O512*$D512*$E512</f>
        <v>27.57</v>
      </c>
      <c r="R512" s="157">
        <f>'Quantitativos (A)'!P512*$D512*$E512</f>
        <v>27.57</v>
      </c>
      <c r="S512" s="157">
        <f>'Quantitativos (A)'!Q512*$D512*$E512</f>
        <v>27.57</v>
      </c>
      <c r="T512" s="157">
        <f>'Quantitativos (A)'!R512*$D512*$E512</f>
        <v>27.57</v>
      </c>
      <c r="U512" s="157">
        <f>'Quantitativos (A)'!S512*$D512*$E512</f>
        <v>27.57</v>
      </c>
      <c r="V512" s="157">
        <f>'Quantitativos (A)'!T512*$D512*$E512</f>
        <v>27.57</v>
      </c>
      <c r="W512" s="157">
        <f>'Quantitativos (A)'!U512*$D512*$E512</f>
        <v>27.57</v>
      </c>
      <c r="X512" s="157">
        <f>'Quantitativos (A)'!V512*$D512*$E512</f>
        <v>27.57</v>
      </c>
      <c r="Y512" s="157">
        <f>'Quantitativos (A)'!W512*$D512*$E512</f>
        <v>27.57</v>
      </c>
      <c r="Z512" s="157">
        <f>'Quantitativos (A)'!X512*$D512*$E512</f>
        <v>27.57</v>
      </c>
      <c r="AA512" s="157">
        <f>'Quantitativos (A)'!Y512*$D512*$E512</f>
        <v>27.57</v>
      </c>
      <c r="AB512" s="157">
        <f>'Quantitativos (A)'!Z512*$D512*$E512</f>
        <v>27.57</v>
      </c>
      <c r="AC512" s="157">
        <f>'Quantitativos (A)'!AA512*$D512*$E512</f>
        <v>27.57</v>
      </c>
      <c r="AD512" s="157">
        <f>'Quantitativos (A)'!AB512*$D512*$E512</f>
        <v>27.57</v>
      </c>
      <c r="AE512" s="157">
        <f>'Quantitativos (A)'!AC512*$D512*$E512</f>
        <v>27.57</v>
      </c>
      <c r="AF512" s="157">
        <f>'Quantitativos (A)'!AD512*$D512*$E512</f>
        <v>27.57</v>
      </c>
      <c r="AG512" s="157">
        <f>'Quantitativos (A)'!AE512*$D512*$E512</f>
        <v>27.57</v>
      </c>
      <c r="AH512" s="157">
        <f>'Quantitativos (A)'!AF512*$D512*$E512</f>
        <v>27.57</v>
      </c>
      <c r="AI512" s="158">
        <f>'Quantitativos (A)'!AG512*$D512*$E512</f>
        <v>27.57</v>
      </c>
      <c r="AJ512" s="22"/>
    </row>
    <row r="513" spans="1:36" x14ac:dyDescent="0.25">
      <c r="A513" s="112"/>
      <c r="B513" s="136" t="s">
        <v>133</v>
      </c>
      <c r="C513" s="67" t="s">
        <v>59</v>
      </c>
      <c r="D513" s="157">
        <f>'Dados (F)'!$D$302</f>
        <v>41.15</v>
      </c>
      <c r="E513" s="125">
        <f>IF('Dados (F)'!$D$35=1,1,'Dados (F)'!$C$39)</f>
        <v>1</v>
      </c>
      <c r="F513" s="157">
        <f>'Quantitativos (A)'!D513*$D513*$E513</f>
        <v>41.15</v>
      </c>
      <c r="G513" s="157">
        <f>'Quantitativos (A)'!E513*$D513*$E513</f>
        <v>41.15</v>
      </c>
      <c r="H513" s="157">
        <f>'Quantitativos (A)'!F513*$D513*$E513</f>
        <v>41.15</v>
      </c>
      <c r="I513" s="157">
        <f>'Quantitativos (A)'!G513*$D513*$E513</f>
        <v>41.15</v>
      </c>
      <c r="J513" s="157">
        <f>'Quantitativos (A)'!H513*$D513*$E513</f>
        <v>41.15</v>
      </c>
      <c r="K513" s="157">
        <f>'Quantitativos (A)'!I513*$D513*$E513</f>
        <v>41.15</v>
      </c>
      <c r="L513" s="157">
        <f>'Quantitativos (A)'!J513*$D513*$E513</f>
        <v>41.15</v>
      </c>
      <c r="M513" s="157">
        <f>'Quantitativos (A)'!K513*$D513*$E513</f>
        <v>41.15</v>
      </c>
      <c r="N513" s="157">
        <f>'Quantitativos (A)'!L513*$D513*$E513</f>
        <v>41.15</v>
      </c>
      <c r="O513" s="157">
        <f>'Quantitativos (A)'!M513*$D513*$E513</f>
        <v>41.15</v>
      </c>
      <c r="P513" s="157">
        <f>'Quantitativos (A)'!N513*$D513*$E513</f>
        <v>41.15</v>
      </c>
      <c r="Q513" s="157">
        <f>'Quantitativos (A)'!O513*$D513*$E513</f>
        <v>41.15</v>
      </c>
      <c r="R513" s="157">
        <f>'Quantitativos (A)'!P513*$D513*$E513</f>
        <v>41.15</v>
      </c>
      <c r="S513" s="157">
        <f>'Quantitativos (A)'!Q513*$D513*$E513</f>
        <v>41.15</v>
      </c>
      <c r="T513" s="157">
        <f>'Quantitativos (A)'!R513*$D513*$E513</f>
        <v>41.15</v>
      </c>
      <c r="U513" s="157">
        <f>'Quantitativos (A)'!S513*$D513*$E513</f>
        <v>41.15</v>
      </c>
      <c r="V513" s="157">
        <f>'Quantitativos (A)'!T513*$D513*$E513</f>
        <v>41.15</v>
      </c>
      <c r="W513" s="157">
        <f>'Quantitativos (A)'!U513*$D513*$E513</f>
        <v>41.15</v>
      </c>
      <c r="X513" s="157">
        <f>'Quantitativos (A)'!V513*$D513*$E513</f>
        <v>41.15</v>
      </c>
      <c r="Y513" s="157">
        <f>'Quantitativos (A)'!W513*$D513*$E513</f>
        <v>41.15</v>
      </c>
      <c r="Z513" s="157">
        <f>'Quantitativos (A)'!X513*$D513*$E513</f>
        <v>41.15</v>
      </c>
      <c r="AA513" s="157">
        <f>'Quantitativos (A)'!Y513*$D513*$E513</f>
        <v>41.15</v>
      </c>
      <c r="AB513" s="157">
        <f>'Quantitativos (A)'!Z513*$D513*$E513</f>
        <v>41.15</v>
      </c>
      <c r="AC513" s="157">
        <f>'Quantitativos (A)'!AA513*$D513*$E513</f>
        <v>41.15</v>
      </c>
      <c r="AD513" s="157">
        <f>'Quantitativos (A)'!AB513*$D513*$E513</f>
        <v>41.15</v>
      </c>
      <c r="AE513" s="157">
        <f>'Quantitativos (A)'!AC513*$D513*$E513</f>
        <v>41.15</v>
      </c>
      <c r="AF513" s="157">
        <f>'Quantitativos (A)'!AD513*$D513*$E513</f>
        <v>41.15</v>
      </c>
      <c r="AG513" s="157">
        <f>'Quantitativos (A)'!AE513*$D513*$E513</f>
        <v>41.15</v>
      </c>
      <c r="AH513" s="157">
        <f>'Quantitativos (A)'!AF513*$D513*$E513</f>
        <v>41.15</v>
      </c>
      <c r="AI513" s="158">
        <f>'Quantitativos (A)'!AG513*$D513*$E513</f>
        <v>41.15</v>
      </c>
      <c r="AJ513" s="22"/>
    </row>
    <row r="514" spans="1:36" x14ac:dyDescent="0.25">
      <c r="A514" s="112"/>
      <c r="B514" s="136" t="s">
        <v>134</v>
      </c>
      <c r="C514" s="67" t="s">
        <v>59</v>
      </c>
      <c r="D514" s="157">
        <f>'Dados (F)'!$D$303</f>
        <v>13.45</v>
      </c>
      <c r="E514" s="125">
        <f>IF('Dados (F)'!$D$35=1,1,'Dados (F)'!$C$39)</f>
        <v>1</v>
      </c>
      <c r="F514" s="157">
        <f>'Quantitativos (A)'!D514*$D514*$E514</f>
        <v>13.45</v>
      </c>
      <c r="G514" s="157">
        <f>'Quantitativos (A)'!E514*$D514*$E514</f>
        <v>13.45</v>
      </c>
      <c r="H514" s="157">
        <f>'Quantitativos (A)'!F514*$D514*$E514</f>
        <v>13.45</v>
      </c>
      <c r="I514" s="157">
        <f>'Quantitativos (A)'!G514*$D514*$E514</f>
        <v>13.45</v>
      </c>
      <c r="J514" s="157">
        <f>'Quantitativos (A)'!H514*$D514*$E514</f>
        <v>13.45</v>
      </c>
      <c r="K514" s="157">
        <f>'Quantitativos (A)'!I514*$D514*$E514</f>
        <v>13.45</v>
      </c>
      <c r="L514" s="157">
        <f>'Quantitativos (A)'!J514*$D514*$E514</f>
        <v>13.45</v>
      </c>
      <c r="M514" s="157">
        <f>'Quantitativos (A)'!K514*$D514*$E514</f>
        <v>13.45</v>
      </c>
      <c r="N514" s="157">
        <f>'Quantitativos (A)'!L514*$D514*$E514</f>
        <v>13.45</v>
      </c>
      <c r="O514" s="157">
        <f>'Quantitativos (A)'!M514*$D514*$E514</f>
        <v>13.45</v>
      </c>
      <c r="P514" s="157">
        <f>'Quantitativos (A)'!N514*$D514*$E514</f>
        <v>13.45</v>
      </c>
      <c r="Q514" s="157">
        <f>'Quantitativos (A)'!O514*$D514*$E514</f>
        <v>13.45</v>
      </c>
      <c r="R514" s="157">
        <f>'Quantitativos (A)'!P514*$D514*$E514</f>
        <v>13.45</v>
      </c>
      <c r="S514" s="157">
        <f>'Quantitativos (A)'!Q514*$D514*$E514</f>
        <v>13.45</v>
      </c>
      <c r="T514" s="157">
        <f>'Quantitativos (A)'!R514*$D514*$E514</f>
        <v>13.45</v>
      </c>
      <c r="U514" s="157">
        <f>'Quantitativos (A)'!S514*$D514*$E514</f>
        <v>13.45</v>
      </c>
      <c r="V514" s="157">
        <f>'Quantitativos (A)'!T514*$D514*$E514</f>
        <v>13.45</v>
      </c>
      <c r="W514" s="157">
        <f>'Quantitativos (A)'!U514*$D514*$E514</f>
        <v>13.45</v>
      </c>
      <c r="X514" s="157">
        <f>'Quantitativos (A)'!V514*$D514*$E514</f>
        <v>13.45</v>
      </c>
      <c r="Y514" s="157">
        <f>'Quantitativos (A)'!W514*$D514*$E514</f>
        <v>13.45</v>
      </c>
      <c r="Z514" s="157">
        <f>'Quantitativos (A)'!X514*$D514*$E514</f>
        <v>13.45</v>
      </c>
      <c r="AA514" s="157">
        <f>'Quantitativos (A)'!Y514*$D514*$E514</f>
        <v>13.45</v>
      </c>
      <c r="AB514" s="157">
        <f>'Quantitativos (A)'!Z514*$D514*$E514</f>
        <v>13.45</v>
      </c>
      <c r="AC514" s="157">
        <f>'Quantitativos (A)'!AA514*$D514*$E514</f>
        <v>13.45</v>
      </c>
      <c r="AD514" s="157">
        <f>'Quantitativos (A)'!AB514*$D514*$E514</f>
        <v>13.45</v>
      </c>
      <c r="AE514" s="157">
        <f>'Quantitativos (A)'!AC514*$D514*$E514</f>
        <v>13.45</v>
      </c>
      <c r="AF514" s="157">
        <f>'Quantitativos (A)'!AD514*$D514*$E514</f>
        <v>13.45</v>
      </c>
      <c r="AG514" s="157">
        <f>'Quantitativos (A)'!AE514*$D514*$E514</f>
        <v>13.45</v>
      </c>
      <c r="AH514" s="157">
        <f>'Quantitativos (A)'!AF514*$D514*$E514</f>
        <v>13.45</v>
      </c>
      <c r="AI514" s="158">
        <f>'Quantitativos (A)'!AG514*$D514*$E514</f>
        <v>13.45</v>
      </c>
      <c r="AJ514" s="22"/>
    </row>
    <row r="515" spans="1:36" x14ac:dyDescent="0.25">
      <c r="A515" s="112"/>
      <c r="B515" s="136" t="s">
        <v>135</v>
      </c>
      <c r="C515" s="67" t="s">
        <v>59</v>
      </c>
      <c r="D515" s="157">
        <f>'Dados (F)'!$D$304</f>
        <v>14.87</v>
      </c>
      <c r="E515" s="125">
        <f>IF('Dados (F)'!$D$35=1,1,'Dados (F)'!$C$39)</f>
        <v>1</v>
      </c>
      <c r="F515" s="157">
        <f>'Quantitativos (A)'!D515*$D515*$E515</f>
        <v>14.87</v>
      </c>
      <c r="G515" s="157">
        <f>'Quantitativos (A)'!E515*$D515*$E515</f>
        <v>14.87</v>
      </c>
      <c r="H515" s="157">
        <f>'Quantitativos (A)'!F515*$D515*$E515</f>
        <v>14.87</v>
      </c>
      <c r="I515" s="157">
        <f>'Quantitativos (A)'!G515*$D515*$E515</f>
        <v>14.87</v>
      </c>
      <c r="J515" s="157">
        <f>'Quantitativos (A)'!H515*$D515*$E515</f>
        <v>14.87</v>
      </c>
      <c r="K515" s="157">
        <f>'Quantitativos (A)'!I515*$D515*$E515</f>
        <v>14.87</v>
      </c>
      <c r="L515" s="157">
        <f>'Quantitativos (A)'!J515*$D515*$E515</f>
        <v>14.87</v>
      </c>
      <c r="M515" s="157">
        <f>'Quantitativos (A)'!K515*$D515*$E515</f>
        <v>14.87</v>
      </c>
      <c r="N515" s="157">
        <f>'Quantitativos (A)'!L515*$D515*$E515</f>
        <v>14.87</v>
      </c>
      <c r="O515" s="157">
        <f>'Quantitativos (A)'!M515*$D515*$E515</f>
        <v>14.87</v>
      </c>
      <c r="P515" s="157">
        <f>'Quantitativos (A)'!N515*$D515*$E515</f>
        <v>14.87</v>
      </c>
      <c r="Q515" s="157">
        <f>'Quantitativos (A)'!O515*$D515*$E515</f>
        <v>14.87</v>
      </c>
      <c r="R515" s="157">
        <f>'Quantitativos (A)'!P515*$D515*$E515</f>
        <v>14.87</v>
      </c>
      <c r="S515" s="157">
        <f>'Quantitativos (A)'!Q515*$D515*$E515</f>
        <v>14.87</v>
      </c>
      <c r="T515" s="157">
        <f>'Quantitativos (A)'!R515*$D515*$E515</f>
        <v>14.87</v>
      </c>
      <c r="U515" s="157">
        <f>'Quantitativos (A)'!S515*$D515*$E515</f>
        <v>14.87</v>
      </c>
      <c r="V515" s="157">
        <f>'Quantitativos (A)'!T515*$D515*$E515</f>
        <v>14.87</v>
      </c>
      <c r="W515" s="157">
        <f>'Quantitativos (A)'!U515*$D515*$E515</f>
        <v>14.87</v>
      </c>
      <c r="X515" s="157">
        <f>'Quantitativos (A)'!V515*$D515*$E515</f>
        <v>14.87</v>
      </c>
      <c r="Y515" s="157">
        <f>'Quantitativos (A)'!W515*$D515*$E515</f>
        <v>14.87</v>
      </c>
      <c r="Z515" s="157">
        <f>'Quantitativos (A)'!X515*$D515*$E515</f>
        <v>14.87</v>
      </c>
      <c r="AA515" s="157">
        <f>'Quantitativos (A)'!Y515*$D515*$E515</f>
        <v>14.87</v>
      </c>
      <c r="AB515" s="157">
        <f>'Quantitativos (A)'!Z515*$D515*$E515</f>
        <v>14.87</v>
      </c>
      <c r="AC515" s="157">
        <f>'Quantitativos (A)'!AA515*$D515*$E515</f>
        <v>14.87</v>
      </c>
      <c r="AD515" s="157">
        <f>'Quantitativos (A)'!AB515*$D515*$E515</f>
        <v>14.87</v>
      </c>
      <c r="AE515" s="157">
        <f>'Quantitativos (A)'!AC515*$D515*$E515</f>
        <v>14.87</v>
      </c>
      <c r="AF515" s="157">
        <f>'Quantitativos (A)'!AD515*$D515*$E515</f>
        <v>14.87</v>
      </c>
      <c r="AG515" s="157">
        <f>'Quantitativos (A)'!AE515*$D515*$E515</f>
        <v>14.87</v>
      </c>
      <c r="AH515" s="157">
        <f>'Quantitativos (A)'!AF515*$D515*$E515</f>
        <v>14.87</v>
      </c>
      <c r="AI515" s="158">
        <f>'Quantitativos (A)'!AG515*$D515*$E515</f>
        <v>14.87</v>
      </c>
      <c r="AJ515" s="22"/>
    </row>
    <row r="516" spans="1:36" x14ac:dyDescent="0.25">
      <c r="A516" s="112"/>
      <c r="B516" s="136" t="s">
        <v>136</v>
      </c>
      <c r="C516" s="67" t="s">
        <v>59</v>
      </c>
      <c r="D516" s="157">
        <f>'Dados (F)'!$D$305</f>
        <v>16.34</v>
      </c>
      <c r="E516" s="125">
        <f>IF('Dados (F)'!$D$35=1,1,'Dados (F)'!$C$39)</f>
        <v>1</v>
      </c>
      <c r="F516" s="157">
        <f>'Quantitativos (A)'!D516*$D516*$E516</f>
        <v>16.34</v>
      </c>
      <c r="G516" s="157">
        <f>'Quantitativos (A)'!E516*$D516*$E516</f>
        <v>16.34</v>
      </c>
      <c r="H516" s="157">
        <f>'Quantitativos (A)'!F516*$D516*$E516</f>
        <v>16.34</v>
      </c>
      <c r="I516" s="157">
        <f>'Quantitativos (A)'!G516*$D516*$E516</f>
        <v>16.34</v>
      </c>
      <c r="J516" s="157">
        <f>'Quantitativos (A)'!H516*$D516*$E516</f>
        <v>16.34</v>
      </c>
      <c r="K516" s="157">
        <f>'Quantitativos (A)'!I516*$D516*$E516</f>
        <v>16.34</v>
      </c>
      <c r="L516" s="157">
        <f>'Quantitativos (A)'!J516*$D516*$E516</f>
        <v>16.34</v>
      </c>
      <c r="M516" s="157">
        <f>'Quantitativos (A)'!K516*$D516*$E516</f>
        <v>16.34</v>
      </c>
      <c r="N516" s="157">
        <f>'Quantitativos (A)'!L516*$D516*$E516</f>
        <v>16.34</v>
      </c>
      <c r="O516" s="157">
        <f>'Quantitativos (A)'!M516*$D516*$E516</f>
        <v>16.34</v>
      </c>
      <c r="P516" s="157">
        <f>'Quantitativos (A)'!N516*$D516*$E516</f>
        <v>16.34</v>
      </c>
      <c r="Q516" s="157">
        <f>'Quantitativos (A)'!O516*$D516*$E516</f>
        <v>16.34</v>
      </c>
      <c r="R516" s="157">
        <f>'Quantitativos (A)'!P516*$D516*$E516</f>
        <v>16.34</v>
      </c>
      <c r="S516" s="157">
        <f>'Quantitativos (A)'!Q516*$D516*$E516</f>
        <v>16.34</v>
      </c>
      <c r="T516" s="157">
        <f>'Quantitativos (A)'!R516*$D516*$E516</f>
        <v>16.34</v>
      </c>
      <c r="U516" s="157">
        <f>'Quantitativos (A)'!S516*$D516*$E516</f>
        <v>16.34</v>
      </c>
      <c r="V516" s="157">
        <f>'Quantitativos (A)'!T516*$D516*$E516</f>
        <v>16.34</v>
      </c>
      <c r="W516" s="157">
        <f>'Quantitativos (A)'!U516*$D516*$E516</f>
        <v>16.34</v>
      </c>
      <c r="X516" s="157">
        <f>'Quantitativos (A)'!V516*$D516*$E516</f>
        <v>16.34</v>
      </c>
      <c r="Y516" s="157">
        <f>'Quantitativos (A)'!W516*$D516*$E516</f>
        <v>16.34</v>
      </c>
      <c r="Z516" s="157">
        <f>'Quantitativos (A)'!X516*$D516*$E516</f>
        <v>16.34</v>
      </c>
      <c r="AA516" s="157">
        <f>'Quantitativos (A)'!Y516*$D516*$E516</f>
        <v>16.34</v>
      </c>
      <c r="AB516" s="157">
        <f>'Quantitativos (A)'!Z516*$D516*$E516</f>
        <v>16.34</v>
      </c>
      <c r="AC516" s="157">
        <f>'Quantitativos (A)'!AA516*$D516*$E516</f>
        <v>16.34</v>
      </c>
      <c r="AD516" s="157">
        <f>'Quantitativos (A)'!AB516*$D516*$E516</f>
        <v>16.34</v>
      </c>
      <c r="AE516" s="157">
        <f>'Quantitativos (A)'!AC516*$D516*$E516</f>
        <v>16.34</v>
      </c>
      <c r="AF516" s="157">
        <f>'Quantitativos (A)'!AD516*$D516*$E516</f>
        <v>16.34</v>
      </c>
      <c r="AG516" s="157">
        <f>'Quantitativos (A)'!AE516*$D516*$E516</f>
        <v>16.34</v>
      </c>
      <c r="AH516" s="157">
        <f>'Quantitativos (A)'!AF516*$D516*$E516</f>
        <v>16.34</v>
      </c>
      <c r="AI516" s="158">
        <f>'Quantitativos (A)'!AG516*$D516*$E516</f>
        <v>16.34</v>
      </c>
      <c r="AJ516" s="22"/>
    </row>
    <row r="517" spans="1:36" x14ac:dyDescent="0.25">
      <c r="A517" s="112"/>
      <c r="B517" s="136" t="s">
        <v>137</v>
      </c>
      <c r="C517" s="67" t="s">
        <v>59</v>
      </c>
      <c r="D517" s="157">
        <f>'Dados (F)'!$D$306</f>
        <v>34.130000000000003</v>
      </c>
      <c r="E517" s="125">
        <f>IF('Dados (F)'!$D$35=1,1,'Dados (F)'!$C$39)</f>
        <v>1</v>
      </c>
      <c r="F517" s="157">
        <f>'Quantitativos (A)'!D517*$D517*$E517</f>
        <v>34.130000000000003</v>
      </c>
      <c r="G517" s="157">
        <f>'Quantitativos (A)'!E517*$D517*$E517</f>
        <v>34.130000000000003</v>
      </c>
      <c r="H517" s="157">
        <f>'Quantitativos (A)'!F517*$D517*$E517</f>
        <v>34.130000000000003</v>
      </c>
      <c r="I517" s="157">
        <f>'Quantitativos (A)'!G517*$D517*$E517</f>
        <v>34.130000000000003</v>
      </c>
      <c r="J517" s="157">
        <f>'Quantitativos (A)'!H517*$D517*$E517</f>
        <v>34.130000000000003</v>
      </c>
      <c r="K517" s="157">
        <f>'Quantitativos (A)'!I517*$D517*$E517</f>
        <v>34.130000000000003</v>
      </c>
      <c r="L517" s="157">
        <f>'Quantitativos (A)'!J517*$D517*$E517</f>
        <v>34.130000000000003</v>
      </c>
      <c r="M517" s="157">
        <f>'Quantitativos (A)'!K517*$D517*$E517</f>
        <v>34.130000000000003</v>
      </c>
      <c r="N517" s="157">
        <f>'Quantitativos (A)'!L517*$D517*$E517</f>
        <v>34.130000000000003</v>
      </c>
      <c r="O517" s="157">
        <f>'Quantitativos (A)'!M517*$D517*$E517</f>
        <v>34.130000000000003</v>
      </c>
      <c r="P517" s="157">
        <f>'Quantitativos (A)'!N517*$D517*$E517</f>
        <v>34.130000000000003</v>
      </c>
      <c r="Q517" s="157">
        <f>'Quantitativos (A)'!O517*$D517*$E517</f>
        <v>34.130000000000003</v>
      </c>
      <c r="R517" s="157">
        <f>'Quantitativos (A)'!P517*$D517*$E517</f>
        <v>34.130000000000003</v>
      </c>
      <c r="S517" s="157">
        <f>'Quantitativos (A)'!Q517*$D517*$E517</f>
        <v>34.130000000000003</v>
      </c>
      <c r="T517" s="157">
        <f>'Quantitativos (A)'!R517*$D517*$E517</f>
        <v>34.130000000000003</v>
      </c>
      <c r="U517" s="157">
        <f>'Quantitativos (A)'!S517*$D517*$E517</f>
        <v>34.130000000000003</v>
      </c>
      <c r="V517" s="157">
        <f>'Quantitativos (A)'!T517*$D517*$E517</f>
        <v>34.130000000000003</v>
      </c>
      <c r="W517" s="157">
        <f>'Quantitativos (A)'!U517*$D517*$E517</f>
        <v>34.130000000000003</v>
      </c>
      <c r="X517" s="157">
        <f>'Quantitativos (A)'!V517*$D517*$E517</f>
        <v>34.130000000000003</v>
      </c>
      <c r="Y517" s="157">
        <f>'Quantitativos (A)'!W517*$D517*$E517</f>
        <v>34.130000000000003</v>
      </c>
      <c r="Z517" s="157">
        <f>'Quantitativos (A)'!X517*$D517*$E517</f>
        <v>34.130000000000003</v>
      </c>
      <c r="AA517" s="157">
        <f>'Quantitativos (A)'!Y517*$D517*$E517</f>
        <v>34.130000000000003</v>
      </c>
      <c r="AB517" s="157">
        <f>'Quantitativos (A)'!Z517*$D517*$E517</f>
        <v>34.130000000000003</v>
      </c>
      <c r="AC517" s="157">
        <f>'Quantitativos (A)'!AA517*$D517*$E517</f>
        <v>34.130000000000003</v>
      </c>
      <c r="AD517" s="157">
        <f>'Quantitativos (A)'!AB517*$D517*$E517</f>
        <v>34.130000000000003</v>
      </c>
      <c r="AE517" s="157">
        <f>'Quantitativos (A)'!AC517*$D517*$E517</f>
        <v>34.130000000000003</v>
      </c>
      <c r="AF517" s="157">
        <f>'Quantitativos (A)'!AD517*$D517*$E517</f>
        <v>34.130000000000003</v>
      </c>
      <c r="AG517" s="157">
        <f>'Quantitativos (A)'!AE517*$D517*$E517</f>
        <v>34.130000000000003</v>
      </c>
      <c r="AH517" s="157">
        <f>'Quantitativos (A)'!AF517*$D517*$E517</f>
        <v>34.130000000000003</v>
      </c>
      <c r="AI517" s="158">
        <f>'Quantitativos (A)'!AG517*$D517*$E517</f>
        <v>34.130000000000003</v>
      </c>
      <c r="AJ517" s="22"/>
    </row>
    <row r="518" spans="1:36" x14ac:dyDescent="0.25">
      <c r="A518" s="112"/>
      <c r="B518" s="136" t="s">
        <v>138</v>
      </c>
      <c r="C518" s="67" t="s">
        <v>59</v>
      </c>
      <c r="D518" s="157">
        <f>'Dados (F)'!$D$307</f>
        <v>32.9</v>
      </c>
      <c r="E518" s="125">
        <f>IF('Dados (F)'!$D$35=1,1,'Dados (F)'!$C$39)</f>
        <v>1</v>
      </c>
      <c r="F518" s="157">
        <f>'Quantitativos (A)'!D518*$D518*$E518</f>
        <v>32.9</v>
      </c>
      <c r="G518" s="157">
        <f>'Quantitativos (A)'!E518*$D518*$E518</f>
        <v>32.9</v>
      </c>
      <c r="H518" s="157">
        <f>'Quantitativos (A)'!F518*$D518*$E518</f>
        <v>32.9</v>
      </c>
      <c r="I518" s="157">
        <f>'Quantitativos (A)'!G518*$D518*$E518</f>
        <v>32.9</v>
      </c>
      <c r="J518" s="157">
        <f>'Quantitativos (A)'!H518*$D518*$E518</f>
        <v>32.9</v>
      </c>
      <c r="K518" s="157">
        <f>'Quantitativos (A)'!I518*$D518*$E518</f>
        <v>32.9</v>
      </c>
      <c r="L518" s="157">
        <f>'Quantitativos (A)'!J518*$D518*$E518</f>
        <v>32.9</v>
      </c>
      <c r="M518" s="157">
        <f>'Quantitativos (A)'!K518*$D518*$E518</f>
        <v>32.9</v>
      </c>
      <c r="N518" s="157">
        <f>'Quantitativos (A)'!L518*$D518*$E518</f>
        <v>32.9</v>
      </c>
      <c r="O518" s="157">
        <f>'Quantitativos (A)'!M518*$D518*$E518</f>
        <v>32.9</v>
      </c>
      <c r="P518" s="157">
        <f>'Quantitativos (A)'!N518*$D518*$E518</f>
        <v>32.9</v>
      </c>
      <c r="Q518" s="157">
        <f>'Quantitativos (A)'!O518*$D518*$E518</f>
        <v>32.9</v>
      </c>
      <c r="R518" s="157">
        <f>'Quantitativos (A)'!P518*$D518*$E518</f>
        <v>32.9</v>
      </c>
      <c r="S518" s="157">
        <f>'Quantitativos (A)'!Q518*$D518*$E518</f>
        <v>32.9</v>
      </c>
      <c r="T518" s="157">
        <f>'Quantitativos (A)'!R518*$D518*$E518</f>
        <v>32.9</v>
      </c>
      <c r="U518" s="157">
        <f>'Quantitativos (A)'!S518*$D518*$E518</f>
        <v>32.9</v>
      </c>
      <c r="V518" s="157">
        <f>'Quantitativos (A)'!T518*$D518*$E518</f>
        <v>32.9</v>
      </c>
      <c r="W518" s="157">
        <f>'Quantitativos (A)'!U518*$D518*$E518</f>
        <v>32.9</v>
      </c>
      <c r="X518" s="157">
        <f>'Quantitativos (A)'!V518*$D518*$E518</f>
        <v>32.9</v>
      </c>
      <c r="Y518" s="157">
        <f>'Quantitativos (A)'!W518*$D518*$E518</f>
        <v>32.9</v>
      </c>
      <c r="Z518" s="157">
        <f>'Quantitativos (A)'!X518*$D518*$E518</f>
        <v>32.9</v>
      </c>
      <c r="AA518" s="157">
        <f>'Quantitativos (A)'!Y518*$D518*$E518</f>
        <v>32.9</v>
      </c>
      <c r="AB518" s="157">
        <f>'Quantitativos (A)'!Z518*$D518*$E518</f>
        <v>32.9</v>
      </c>
      <c r="AC518" s="157">
        <f>'Quantitativos (A)'!AA518*$D518*$E518</f>
        <v>32.9</v>
      </c>
      <c r="AD518" s="157">
        <f>'Quantitativos (A)'!AB518*$D518*$E518</f>
        <v>32.9</v>
      </c>
      <c r="AE518" s="157">
        <f>'Quantitativos (A)'!AC518*$D518*$E518</f>
        <v>32.9</v>
      </c>
      <c r="AF518" s="157">
        <f>'Quantitativos (A)'!AD518*$D518*$E518</f>
        <v>32.9</v>
      </c>
      <c r="AG518" s="157">
        <f>'Quantitativos (A)'!AE518*$D518*$E518</f>
        <v>32.9</v>
      </c>
      <c r="AH518" s="157">
        <f>'Quantitativos (A)'!AF518*$D518*$E518</f>
        <v>32.9</v>
      </c>
      <c r="AI518" s="158">
        <f>'Quantitativos (A)'!AG518*$D518*$E518</f>
        <v>32.9</v>
      </c>
      <c r="AJ518" s="22"/>
    </row>
    <row r="519" spans="1:36" x14ac:dyDescent="0.25">
      <c r="A519" s="112"/>
      <c r="B519" s="136" t="s">
        <v>139</v>
      </c>
      <c r="C519" s="67" t="s">
        <v>59</v>
      </c>
      <c r="D519" s="157">
        <f>'Dados (F)'!$D$308</f>
        <v>39.71</v>
      </c>
      <c r="E519" s="125">
        <f>IF('Dados (F)'!$D$35=1,1,'Dados (F)'!$C$39)</f>
        <v>1</v>
      </c>
      <c r="F519" s="157">
        <f>'Quantitativos (A)'!D519*$D519*$E519</f>
        <v>39.71</v>
      </c>
      <c r="G519" s="157">
        <f>'Quantitativos (A)'!E519*$D519*$E519</f>
        <v>39.71</v>
      </c>
      <c r="H519" s="157">
        <f>'Quantitativos (A)'!F519*$D519*$E519</f>
        <v>39.71</v>
      </c>
      <c r="I519" s="157">
        <f>'Quantitativos (A)'!G519*$D519*$E519</f>
        <v>39.71</v>
      </c>
      <c r="J519" s="157">
        <f>'Quantitativos (A)'!H519*$D519*$E519</f>
        <v>39.71</v>
      </c>
      <c r="K519" s="157">
        <f>'Quantitativos (A)'!I519*$D519*$E519</f>
        <v>39.71</v>
      </c>
      <c r="L519" s="157">
        <f>'Quantitativos (A)'!J519*$D519*$E519</f>
        <v>39.71</v>
      </c>
      <c r="M519" s="157">
        <f>'Quantitativos (A)'!K519*$D519*$E519</f>
        <v>39.71</v>
      </c>
      <c r="N519" s="157">
        <f>'Quantitativos (A)'!L519*$D519*$E519</f>
        <v>39.71</v>
      </c>
      <c r="O519" s="157">
        <f>'Quantitativos (A)'!M519*$D519*$E519</f>
        <v>39.71</v>
      </c>
      <c r="P519" s="157">
        <f>'Quantitativos (A)'!N519*$D519*$E519</f>
        <v>39.71</v>
      </c>
      <c r="Q519" s="157">
        <f>'Quantitativos (A)'!O519*$D519*$E519</f>
        <v>39.71</v>
      </c>
      <c r="R519" s="157">
        <f>'Quantitativos (A)'!P519*$D519*$E519</f>
        <v>39.71</v>
      </c>
      <c r="S519" s="157">
        <f>'Quantitativos (A)'!Q519*$D519*$E519</f>
        <v>39.71</v>
      </c>
      <c r="T519" s="157">
        <f>'Quantitativos (A)'!R519*$D519*$E519</f>
        <v>39.71</v>
      </c>
      <c r="U519" s="157">
        <f>'Quantitativos (A)'!S519*$D519*$E519</f>
        <v>39.71</v>
      </c>
      <c r="V519" s="157">
        <f>'Quantitativos (A)'!T519*$D519*$E519</f>
        <v>39.71</v>
      </c>
      <c r="W519" s="157">
        <f>'Quantitativos (A)'!U519*$D519*$E519</f>
        <v>39.71</v>
      </c>
      <c r="X519" s="157">
        <f>'Quantitativos (A)'!V519*$D519*$E519</f>
        <v>39.71</v>
      </c>
      <c r="Y519" s="157">
        <f>'Quantitativos (A)'!W519*$D519*$E519</f>
        <v>39.71</v>
      </c>
      <c r="Z519" s="157">
        <f>'Quantitativos (A)'!X519*$D519*$E519</f>
        <v>39.71</v>
      </c>
      <c r="AA519" s="157">
        <f>'Quantitativos (A)'!Y519*$D519*$E519</f>
        <v>39.71</v>
      </c>
      <c r="AB519" s="157">
        <f>'Quantitativos (A)'!Z519*$D519*$E519</f>
        <v>39.71</v>
      </c>
      <c r="AC519" s="157">
        <f>'Quantitativos (A)'!AA519*$D519*$E519</f>
        <v>39.71</v>
      </c>
      <c r="AD519" s="157">
        <f>'Quantitativos (A)'!AB519*$D519*$E519</f>
        <v>39.71</v>
      </c>
      <c r="AE519" s="157">
        <f>'Quantitativos (A)'!AC519*$D519*$E519</f>
        <v>39.71</v>
      </c>
      <c r="AF519" s="157">
        <f>'Quantitativos (A)'!AD519*$D519*$E519</f>
        <v>39.71</v>
      </c>
      <c r="AG519" s="157">
        <f>'Quantitativos (A)'!AE519*$D519*$E519</f>
        <v>39.71</v>
      </c>
      <c r="AH519" s="157">
        <f>'Quantitativos (A)'!AF519*$D519*$E519</f>
        <v>39.71</v>
      </c>
      <c r="AI519" s="158">
        <f>'Quantitativos (A)'!AG519*$D519*$E519</f>
        <v>39.71</v>
      </c>
      <c r="AJ519" s="22"/>
    </row>
    <row r="520" spans="1:36" x14ac:dyDescent="0.25">
      <c r="A520" s="112"/>
      <c r="B520" s="136" t="s">
        <v>140</v>
      </c>
      <c r="C520" s="67" t="s">
        <v>59</v>
      </c>
      <c r="D520" s="157">
        <f>'Dados (F)'!$D$309</f>
        <v>40.22</v>
      </c>
      <c r="E520" s="125">
        <f>IF('Dados (F)'!$D$35=1,1,'Dados (F)'!$C$39)</f>
        <v>1</v>
      </c>
      <c r="F520" s="157">
        <f>'Quantitativos (A)'!D520*$D520*$E520</f>
        <v>40.22</v>
      </c>
      <c r="G520" s="157">
        <f>'Quantitativos (A)'!E520*$D520*$E520</f>
        <v>40.22</v>
      </c>
      <c r="H520" s="157">
        <f>'Quantitativos (A)'!F520*$D520*$E520</f>
        <v>40.22</v>
      </c>
      <c r="I520" s="157">
        <f>'Quantitativos (A)'!G520*$D520*$E520</f>
        <v>40.22</v>
      </c>
      <c r="J520" s="157">
        <f>'Quantitativos (A)'!H520*$D520*$E520</f>
        <v>40.22</v>
      </c>
      <c r="K520" s="157">
        <f>'Quantitativos (A)'!I520*$D520*$E520</f>
        <v>40.22</v>
      </c>
      <c r="L520" s="157">
        <f>'Quantitativos (A)'!J520*$D520*$E520</f>
        <v>40.22</v>
      </c>
      <c r="M520" s="157">
        <f>'Quantitativos (A)'!K520*$D520*$E520</f>
        <v>40.22</v>
      </c>
      <c r="N520" s="157">
        <f>'Quantitativos (A)'!L520*$D520*$E520</f>
        <v>40.22</v>
      </c>
      <c r="O520" s="157">
        <f>'Quantitativos (A)'!M520*$D520*$E520</f>
        <v>40.22</v>
      </c>
      <c r="P520" s="157">
        <f>'Quantitativos (A)'!N520*$D520*$E520</f>
        <v>40.22</v>
      </c>
      <c r="Q520" s="157">
        <f>'Quantitativos (A)'!O520*$D520*$E520</f>
        <v>40.22</v>
      </c>
      <c r="R520" s="157">
        <f>'Quantitativos (A)'!P520*$D520*$E520</f>
        <v>40.22</v>
      </c>
      <c r="S520" s="157">
        <f>'Quantitativos (A)'!Q520*$D520*$E520</f>
        <v>40.22</v>
      </c>
      <c r="T520" s="157">
        <f>'Quantitativos (A)'!R520*$D520*$E520</f>
        <v>40.22</v>
      </c>
      <c r="U520" s="157">
        <f>'Quantitativos (A)'!S520*$D520*$E520</f>
        <v>40.22</v>
      </c>
      <c r="V520" s="157">
        <f>'Quantitativos (A)'!T520*$D520*$E520</f>
        <v>40.22</v>
      </c>
      <c r="W520" s="157">
        <f>'Quantitativos (A)'!U520*$D520*$E520</f>
        <v>40.22</v>
      </c>
      <c r="X520" s="157">
        <f>'Quantitativos (A)'!V520*$D520*$E520</f>
        <v>40.22</v>
      </c>
      <c r="Y520" s="157">
        <f>'Quantitativos (A)'!W520*$D520*$E520</f>
        <v>40.22</v>
      </c>
      <c r="Z520" s="157">
        <f>'Quantitativos (A)'!X520*$D520*$E520</f>
        <v>40.22</v>
      </c>
      <c r="AA520" s="157">
        <f>'Quantitativos (A)'!Y520*$D520*$E520</f>
        <v>40.22</v>
      </c>
      <c r="AB520" s="157">
        <f>'Quantitativos (A)'!Z520*$D520*$E520</f>
        <v>40.22</v>
      </c>
      <c r="AC520" s="157">
        <f>'Quantitativos (A)'!AA520*$D520*$E520</f>
        <v>40.22</v>
      </c>
      <c r="AD520" s="157">
        <f>'Quantitativos (A)'!AB520*$D520*$E520</f>
        <v>40.22</v>
      </c>
      <c r="AE520" s="157">
        <f>'Quantitativos (A)'!AC520*$D520*$E520</f>
        <v>40.22</v>
      </c>
      <c r="AF520" s="157">
        <f>'Quantitativos (A)'!AD520*$D520*$E520</f>
        <v>40.22</v>
      </c>
      <c r="AG520" s="157">
        <f>'Quantitativos (A)'!AE520*$D520*$E520</f>
        <v>40.22</v>
      </c>
      <c r="AH520" s="157">
        <f>'Quantitativos (A)'!AF520*$D520*$E520</f>
        <v>40.22</v>
      </c>
      <c r="AI520" s="158">
        <f>'Quantitativos (A)'!AG520*$D520*$E520</f>
        <v>40.22</v>
      </c>
      <c r="AJ520" s="22"/>
    </row>
    <row r="521" spans="1:36" x14ac:dyDescent="0.25">
      <c r="A521" s="112"/>
      <c r="B521" s="136" t="s">
        <v>141</v>
      </c>
      <c r="C521" s="67" t="s">
        <v>59</v>
      </c>
      <c r="D521" s="157">
        <f>'Dados (F)'!$D$310</f>
        <v>42.08</v>
      </c>
      <c r="E521" s="125">
        <f>IF('Dados (F)'!$D$35=1,1,'Dados (F)'!$C$39)</f>
        <v>1</v>
      </c>
      <c r="F521" s="157">
        <f>'Quantitativos (A)'!D521*$D521*$E521</f>
        <v>42.08</v>
      </c>
      <c r="G521" s="157">
        <f>'Quantitativos (A)'!E521*$D521*$E521</f>
        <v>42.08</v>
      </c>
      <c r="H521" s="157">
        <f>'Quantitativos (A)'!F521*$D521*$E521</f>
        <v>42.08</v>
      </c>
      <c r="I521" s="157">
        <f>'Quantitativos (A)'!G521*$D521*$E521</f>
        <v>42.08</v>
      </c>
      <c r="J521" s="157">
        <f>'Quantitativos (A)'!H521*$D521*$E521</f>
        <v>42.08</v>
      </c>
      <c r="K521" s="157">
        <f>'Quantitativos (A)'!I521*$D521*$E521</f>
        <v>42.08</v>
      </c>
      <c r="L521" s="157">
        <f>'Quantitativos (A)'!J521*$D521*$E521</f>
        <v>42.08</v>
      </c>
      <c r="M521" s="157">
        <f>'Quantitativos (A)'!K521*$D521*$E521</f>
        <v>42.08</v>
      </c>
      <c r="N521" s="157">
        <f>'Quantitativos (A)'!L521*$D521*$E521</f>
        <v>42.08</v>
      </c>
      <c r="O521" s="157">
        <f>'Quantitativos (A)'!M521*$D521*$E521</f>
        <v>42.08</v>
      </c>
      <c r="P521" s="157">
        <f>'Quantitativos (A)'!N521*$D521*$E521</f>
        <v>42.08</v>
      </c>
      <c r="Q521" s="157">
        <f>'Quantitativos (A)'!O521*$D521*$E521</f>
        <v>42.08</v>
      </c>
      <c r="R521" s="157">
        <f>'Quantitativos (A)'!P521*$D521*$E521</f>
        <v>42.08</v>
      </c>
      <c r="S521" s="157">
        <f>'Quantitativos (A)'!Q521*$D521*$E521</f>
        <v>42.08</v>
      </c>
      <c r="T521" s="157">
        <f>'Quantitativos (A)'!R521*$D521*$E521</f>
        <v>42.08</v>
      </c>
      <c r="U521" s="157">
        <f>'Quantitativos (A)'!S521*$D521*$E521</f>
        <v>42.08</v>
      </c>
      <c r="V521" s="157">
        <f>'Quantitativos (A)'!T521*$D521*$E521</f>
        <v>42.08</v>
      </c>
      <c r="W521" s="157">
        <f>'Quantitativos (A)'!U521*$D521*$E521</f>
        <v>42.08</v>
      </c>
      <c r="X521" s="157">
        <f>'Quantitativos (A)'!V521*$D521*$E521</f>
        <v>42.08</v>
      </c>
      <c r="Y521" s="157">
        <f>'Quantitativos (A)'!W521*$D521*$E521</f>
        <v>42.08</v>
      </c>
      <c r="Z521" s="157">
        <f>'Quantitativos (A)'!X521*$D521*$E521</f>
        <v>42.08</v>
      </c>
      <c r="AA521" s="157">
        <f>'Quantitativos (A)'!Y521*$D521*$E521</f>
        <v>42.08</v>
      </c>
      <c r="AB521" s="157">
        <f>'Quantitativos (A)'!Z521*$D521*$E521</f>
        <v>42.08</v>
      </c>
      <c r="AC521" s="157">
        <f>'Quantitativos (A)'!AA521*$D521*$E521</f>
        <v>42.08</v>
      </c>
      <c r="AD521" s="157">
        <f>'Quantitativos (A)'!AB521*$D521*$E521</f>
        <v>42.08</v>
      </c>
      <c r="AE521" s="157">
        <f>'Quantitativos (A)'!AC521*$D521*$E521</f>
        <v>42.08</v>
      </c>
      <c r="AF521" s="157">
        <f>'Quantitativos (A)'!AD521*$D521*$E521</f>
        <v>42.08</v>
      </c>
      <c r="AG521" s="157">
        <f>'Quantitativos (A)'!AE521*$D521*$E521</f>
        <v>42.08</v>
      </c>
      <c r="AH521" s="157">
        <f>'Quantitativos (A)'!AF521*$D521*$E521</f>
        <v>42.08</v>
      </c>
      <c r="AI521" s="158">
        <f>'Quantitativos (A)'!AG521*$D521*$E521</f>
        <v>42.08</v>
      </c>
      <c r="AJ521" s="22"/>
    </row>
    <row r="522" spans="1:36" x14ac:dyDescent="0.25">
      <c r="A522" s="112"/>
      <c r="B522" s="136" t="s">
        <v>142</v>
      </c>
      <c r="C522" s="67" t="s">
        <v>59</v>
      </c>
      <c r="D522" s="157">
        <f>'Dados (F)'!$D$311</f>
        <v>41.33</v>
      </c>
      <c r="E522" s="125">
        <f>IF('Dados (F)'!$D$35=1,1,'Dados (F)'!$C$39)</f>
        <v>1</v>
      </c>
      <c r="F522" s="157">
        <f>'Quantitativos (A)'!D522*$D522*$E522</f>
        <v>41.33</v>
      </c>
      <c r="G522" s="157">
        <f>'Quantitativos (A)'!E522*$D522*$E522</f>
        <v>41.33</v>
      </c>
      <c r="H522" s="157">
        <f>'Quantitativos (A)'!F522*$D522*$E522</f>
        <v>41.33</v>
      </c>
      <c r="I522" s="157">
        <f>'Quantitativos (A)'!G522*$D522*$E522</f>
        <v>41.33</v>
      </c>
      <c r="J522" s="157">
        <f>'Quantitativos (A)'!H522*$D522*$E522</f>
        <v>41.33</v>
      </c>
      <c r="K522" s="157">
        <f>'Quantitativos (A)'!I522*$D522*$E522</f>
        <v>41.33</v>
      </c>
      <c r="L522" s="157">
        <f>'Quantitativos (A)'!J522*$D522*$E522</f>
        <v>41.33</v>
      </c>
      <c r="M522" s="157">
        <f>'Quantitativos (A)'!K522*$D522*$E522</f>
        <v>41.33</v>
      </c>
      <c r="N522" s="157">
        <f>'Quantitativos (A)'!L522*$D522*$E522</f>
        <v>41.33</v>
      </c>
      <c r="O522" s="157">
        <f>'Quantitativos (A)'!M522*$D522*$E522</f>
        <v>41.33</v>
      </c>
      <c r="P522" s="157">
        <f>'Quantitativos (A)'!N522*$D522*$E522</f>
        <v>41.33</v>
      </c>
      <c r="Q522" s="157">
        <f>'Quantitativos (A)'!O522*$D522*$E522</f>
        <v>41.33</v>
      </c>
      <c r="R522" s="157">
        <f>'Quantitativos (A)'!P522*$D522*$E522</f>
        <v>41.33</v>
      </c>
      <c r="S522" s="157">
        <f>'Quantitativos (A)'!Q522*$D522*$E522</f>
        <v>41.33</v>
      </c>
      <c r="T522" s="157">
        <f>'Quantitativos (A)'!R522*$D522*$E522</f>
        <v>41.33</v>
      </c>
      <c r="U522" s="157">
        <f>'Quantitativos (A)'!S522*$D522*$E522</f>
        <v>41.33</v>
      </c>
      <c r="V522" s="157">
        <f>'Quantitativos (A)'!T522*$D522*$E522</f>
        <v>41.33</v>
      </c>
      <c r="W522" s="157">
        <f>'Quantitativos (A)'!U522*$D522*$E522</f>
        <v>41.33</v>
      </c>
      <c r="X522" s="157">
        <f>'Quantitativos (A)'!V522*$D522*$E522</f>
        <v>41.33</v>
      </c>
      <c r="Y522" s="157">
        <f>'Quantitativos (A)'!W522*$D522*$E522</f>
        <v>41.33</v>
      </c>
      <c r="Z522" s="157">
        <f>'Quantitativos (A)'!X522*$D522*$E522</f>
        <v>41.33</v>
      </c>
      <c r="AA522" s="157">
        <f>'Quantitativos (A)'!Y522*$D522*$E522</f>
        <v>41.33</v>
      </c>
      <c r="AB522" s="157">
        <f>'Quantitativos (A)'!Z522*$D522*$E522</f>
        <v>41.33</v>
      </c>
      <c r="AC522" s="157">
        <f>'Quantitativos (A)'!AA522*$D522*$E522</f>
        <v>41.33</v>
      </c>
      <c r="AD522" s="157">
        <f>'Quantitativos (A)'!AB522*$D522*$E522</f>
        <v>41.33</v>
      </c>
      <c r="AE522" s="157">
        <f>'Quantitativos (A)'!AC522*$D522*$E522</f>
        <v>41.33</v>
      </c>
      <c r="AF522" s="157">
        <f>'Quantitativos (A)'!AD522*$D522*$E522</f>
        <v>41.33</v>
      </c>
      <c r="AG522" s="157">
        <f>'Quantitativos (A)'!AE522*$D522*$E522</f>
        <v>41.33</v>
      </c>
      <c r="AH522" s="157">
        <f>'Quantitativos (A)'!AF522*$D522*$E522</f>
        <v>41.33</v>
      </c>
      <c r="AI522" s="158">
        <f>'Quantitativos (A)'!AG522*$D522*$E522</f>
        <v>41.33</v>
      </c>
      <c r="AJ522" s="22"/>
    </row>
    <row r="523" spans="1:36" x14ac:dyDescent="0.25">
      <c r="A523" s="112"/>
      <c r="B523" s="136" t="s">
        <v>143</v>
      </c>
      <c r="C523" s="67" t="s">
        <v>59</v>
      </c>
      <c r="D523" s="157">
        <f>'Dados (F)'!$D$312</f>
        <v>55.35</v>
      </c>
      <c r="E523" s="125">
        <f>IF('Dados (F)'!$D$35=1,1,'Dados (F)'!$C$39)</f>
        <v>1</v>
      </c>
      <c r="F523" s="157">
        <f>'Quantitativos (A)'!D523*$D523*$E523</f>
        <v>55.35</v>
      </c>
      <c r="G523" s="157">
        <f>'Quantitativos (A)'!E523*$D523*$E523</f>
        <v>55.35</v>
      </c>
      <c r="H523" s="157">
        <f>'Quantitativos (A)'!F523*$D523*$E523</f>
        <v>55.35</v>
      </c>
      <c r="I523" s="157">
        <f>'Quantitativos (A)'!G523*$D523*$E523</f>
        <v>55.35</v>
      </c>
      <c r="J523" s="157">
        <f>'Quantitativos (A)'!H523*$D523*$E523</f>
        <v>55.35</v>
      </c>
      <c r="K523" s="157">
        <f>'Quantitativos (A)'!I523*$D523*$E523</f>
        <v>55.35</v>
      </c>
      <c r="L523" s="157">
        <f>'Quantitativos (A)'!J523*$D523*$E523</f>
        <v>55.35</v>
      </c>
      <c r="M523" s="157">
        <f>'Quantitativos (A)'!K523*$D523*$E523</f>
        <v>55.35</v>
      </c>
      <c r="N523" s="157">
        <f>'Quantitativos (A)'!L523*$D523*$E523</f>
        <v>55.35</v>
      </c>
      <c r="O523" s="157">
        <f>'Quantitativos (A)'!M523*$D523*$E523</f>
        <v>55.35</v>
      </c>
      <c r="P523" s="157">
        <f>'Quantitativos (A)'!N523*$D523*$E523</f>
        <v>55.35</v>
      </c>
      <c r="Q523" s="157">
        <f>'Quantitativos (A)'!O523*$D523*$E523</f>
        <v>55.35</v>
      </c>
      <c r="R523" s="157">
        <f>'Quantitativos (A)'!P523*$D523*$E523</f>
        <v>55.35</v>
      </c>
      <c r="S523" s="157">
        <f>'Quantitativos (A)'!Q523*$D523*$E523</f>
        <v>55.35</v>
      </c>
      <c r="T523" s="157">
        <f>'Quantitativos (A)'!R523*$D523*$E523</f>
        <v>55.35</v>
      </c>
      <c r="U523" s="157">
        <f>'Quantitativos (A)'!S523*$D523*$E523</f>
        <v>55.35</v>
      </c>
      <c r="V523" s="157">
        <f>'Quantitativos (A)'!T523*$D523*$E523</f>
        <v>55.35</v>
      </c>
      <c r="W523" s="157">
        <f>'Quantitativos (A)'!U523*$D523*$E523</f>
        <v>55.35</v>
      </c>
      <c r="X523" s="157">
        <f>'Quantitativos (A)'!V523*$D523*$E523</f>
        <v>55.35</v>
      </c>
      <c r="Y523" s="157">
        <f>'Quantitativos (A)'!W523*$D523*$E523</f>
        <v>55.35</v>
      </c>
      <c r="Z523" s="157">
        <f>'Quantitativos (A)'!X523*$D523*$E523</f>
        <v>55.35</v>
      </c>
      <c r="AA523" s="157">
        <f>'Quantitativos (A)'!Y523*$D523*$E523</f>
        <v>55.35</v>
      </c>
      <c r="AB523" s="157">
        <f>'Quantitativos (A)'!Z523*$D523*$E523</f>
        <v>55.35</v>
      </c>
      <c r="AC523" s="157">
        <f>'Quantitativos (A)'!AA523*$D523*$E523</f>
        <v>55.35</v>
      </c>
      <c r="AD523" s="157">
        <f>'Quantitativos (A)'!AB523*$D523*$E523</f>
        <v>55.35</v>
      </c>
      <c r="AE523" s="157">
        <f>'Quantitativos (A)'!AC523*$D523*$E523</f>
        <v>55.35</v>
      </c>
      <c r="AF523" s="157">
        <f>'Quantitativos (A)'!AD523*$D523*$E523</f>
        <v>55.35</v>
      </c>
      <c r="AG523" s="157">
        <f>'Quantitativos (A)'!AE523*$D523*$E523</f>
        <v>55.35</v>
      </c>
      <c r="AH523" s="157">
        <f>'Quantitativos (A)'!AF523*$D523*$E523</f>
        <v>55.35</v>
      </c>
      <c r="AI523" s="158">
        <f>'Quantitativos (A)'!AG523*$D523*$E523</f>
        <v>55.35</v>
      </c>
      <c r="AJ523" s="22"/>
    </row>
    <row r="524" spans="1:36" x14ac:dyDescent="0.25">
      <c r="A524" s="112"/>
      <c r="B524" s="136" t="s">
        <v>144</v>
      </c>
      <c r="C524" s="67" t="s">
        <v>59</v>
      </c>
      <c r="D524" s="157">
        <f>'Dados (F)'!$D$313</f>
        <v>72.28</v>
      </c>
      <c r="E524" s="125">
        <f>IF('Dados (F)'!$D$35=1,1,'Dados (F)'!$C$39)</f>
        <v>1</v>
      </c>
      <c r="F524" s="157">
        <f>'Quantitativos (A)'!D524*$D524*$E524</f>
        <v>72.28</v>
      </c>
      <c r="G524" s="157">
        <f>'Quantitativos (A)'!E524*$D524*$E524</f>
        <v>72.28</v>
      </c>
      <c r="H524" s="157">
        <f>'Quantitativos (A)'!F524*$D524*$E524</f>
        <v>72.28</v>
      </c>
      <c r="I524" s="157">
        <f>'Quantitativos (A)'!G524*$D524*$E524</f>
        <v>72.28</v>
      </c>
      <c r="J524" s="157">
        <f>'Quantitativos (A)'!H524*$D524*$E524</f>
        <v>72.28</v>
      </c>
      <c r="K524" s="157">
        <f>'Quantitativos (A)'!I524*$D524*$E524</f>
        <v>72.28</v>
      </c>
      <c r="L524" s="157">
        <f>'Quantitativos (A)'!J524*$D524*$E524</f>
        <v>72.28</v>
      </c>
      <c r="M524" s="157">
        <f>'Quantitativos (A)'!K524*$D524*$E524</f>
        <v>72.28</v>
      </c>
      <c r="N524" s="157">
        <f>'Quantitativos (A)'!L524*$D524*$E524</f>
        <v>72.28</v>
      </c>
      <c r="O524" s="157">
        <f>'Quantitativos (A)'!M524*$D524*$E524</f>
        <v>72.28</v>
      </c>
      <c r="P524" s="157">
        <f>'Quantitativos (A)'!N524*$D524*$E524</f>
        <v>72.28</v>
      </c>
      <c r="Q524" s="157">
        <f>'Quantitativos (A)'!O524*$D524*$E524</f>
        <v>72.28</v>
      </c>
      <c r="R524" s="157">
        <f>'Quantitativos (A)'!P524*$D524*$E524</f>
        <v>72.28</v>
      </c>
      <c r="S524" s="157">
        <f>'Quantitativos (A)'!Q524*$D524*$E524</f>
        <v>72.28</v>
      </c>
      <c r="T524" s="157">
        <f>'Quantitativos (A)'!R524*$D524*$E524</f>
        <v>72.28</v>
      </c>
      <c r="U524" s="157">
        <f>'Quantitativos (A)'!S524*$D524*$E524</f>
        <v>72.28</v>
      </c>
      <c r="V524" s="157">
        <f>'Quantitativos (A)'!T524*$D524*$E524</f>
        <v>72.28</v>
      </c>
      <c r="W524" s="157">
        <f>'Quantitativos (A)'!U524*$D524*$E524</f>
        <v>72.28</v>
      </c>
      <c r="X524" s="157">
        <f>'Quantitativos (A)'!V524*$D524*$E524</f>
        <v>72.28</v>
      </c>
      <c r="Y524" s="157">
        <f>'Quantitativos (A)'!W524*$D524*$E524</f>
        <v>72.28</v>
      </c>
      <c r="Z524" s="157">
        <f>'Quantitativos (A)'!X524*$D524*$E524</f>
        <v>72.28</v>
      </c>
      <c r="AA524" s="157">
        <f>'Quantitativos (A)'!Y524*$D524*$E524</f>
        <v>72.28</v>
      </c>
      <c r="AB524" s="157">
        <f>'Quantitativos (A)'!Z524*$D524*$E524</f>
        <v>72.28</v>
      </c>
      <c r="AC524" s="157">
        <f>'Quantitativos (A)'!AA524*$D524*$E524</f>
        <v>72.28</v>
      </c>
      <c r="AD524" s="157">
        <f>'Quantitativos (A)'!AB524*$D524*$E524</f>
        <v>72.28</v>
      </c>
      <c r="AE524" s="157">
        <f>'Quantitativos (A)'!AC524*$D524*$E524</f>
        <v>72.28</v>
      </c>
      <c r="AF524" s="157">
        <f>'Quantitativos (A)'!AD524*$D524*$E524</f>
        <v>72.28</v>
      </c>
      <c r="AG524" s="157">
        <f>'Quantitativos (A)'!AE524*$D524*$E524</f>
        <v>72.28</v>
      </c>
      <c r="AH524" s="157">
        <f>'Quantitativos (A)'!AF524*$D524*$E524</f>
        <v>72.28</v>
      </c>
      <c r="AI524" s="158">
        <f>'Quantitativos (A)'!AG524*$D524*$E524</f>
        <v>72.28</v>
      </c>
      <c r="AJ524" s="22"/>
    </row>
    <row r="525" spans="1:36" x14ac:dyDescent="0.25">
      <c r="A525" s="112"/>
      <c r="B525" s="136" t="s">
        <v>145</v>
      </c>
      <c r="C525" s="67" t="s">
        <v>59</v>
      </c>
      <c r="D525" s="157">
        <f>'Dados (F)'!$D$314</f>
        <v>19.18</v>
      </c>
      <c r="E525" s="125">
        <f>IF('Dados (F)'!$D$35=1,1,'Dados (F)'!$C$39)</f>
        <v>1</v>
      </c>
      <c r="F525" s="157">
        <f>'Quantitativos (A)'!D525*$D525*$E525</f>
        <v>19.18</v>
      </c>
      <c r="G525" s="157">
        <f>'Quantitativos (A)'!E525*$D525*$E525</f>
        <v>19.18</v>
      </c>
      <c r="H525" s="157">
        <f>'Quantitativos (A)'!F525*$D525*$E525</f>
        <v>19.18</v>
      </c>
      <c r="I525" s="157">
        <f>'Quantitativos (A)'!G525*$D525*$E525</f>
        <v>19.18</v>
      </c>
      <c r="J525" s="157">
        <f>'Quantitativos (A)'!H525*$D525*$E525</f>
        <v>19.18</v>
      </c>
      <c r="K525" s="157">
        <f>'Quantitativos (A)'!I525*$D525*$E525</f>
        <v>19.18</v>
      </c>
      <c r="L525" s="157">
        <f>'Quantitativos (A)'!J525*$D525*$E525</f>
        <v>19.18</v>
      </c>
      <c r="M525" s="157">
        <f>'Quantitativos (A)'!K525*$D525*$E525</f>
        <v>19.18</v>
      </c>
      <c r="N525" s="157">
        <f>'Quantitativos (A)'!L525*$D525*$E525</f>
        <v>19.18</v>
      </c>
      <c r="O525" s="157">
        <f>'Quantitativos (A)'!M525*$D525*$E525</f>
        <v>19.18</v>
      </c>
      <c r="P525" s="157">
        <f>'Quantitativos (A)'!N525*$D525*$E525</f>
        <v>19.18</v>
      </c>
      <c r="Q525" s="157">
        <f>'Quantitativos (A)'!O525*$D525*$E525</f>
        <v>19.18</v>
      </c>
      <c r="R525" s="157">
        <f>'Quantitativos (A)'!P525*$D525*$E525</f>
        <v>19.18</v>
      </c>
      <c r="S525" s="157">
        <f>'Quantitativos (A)'!Q525*$D525*$E525</f>
        <v>19.18</v>
      </c>
      <c r="T525" s="157">
        <f>'Quantitativos (A)'!R525*$D525*$E525</f>
        <v>19.18</v>
      </c>
      <c r="U525" s="157">
        <f>'Quantitativos (A)'!S525*$D525*$E525</f>
        <v>19.18</v>
      </c>
      <c r="V525" s="157">
        <f>'Quantitativos (A)'!T525*$D525*$E525</f>
        <v>19.18</v>
      </c>
      <c r="W525" s="157">
        <f>'Quantitativos (A)'!U525*$D525*$E525</f>
        <v>19.18</v>
      </c>
      <c r="X525" s="157">
        <f>'Quantitativos (A)'!V525*$D525*$E525</f>
        <v>19.18</v>
      </c>
      <c r="Y525" s="157">
        <f>'Quantitativos (A)'!W525*$D525*$E525</f>
        <v>19.18</v>
      </c>
      <c r="Z525" s="157">
        <f>'Quantitativos (A)'!X525*$D525*$E525</f>
        <v>19.18</v>
      </c>
      <c r="AA525" s="157">
        <f>'Quantitativos (A)'!Y525*$D525*$E525</f>
        <v>19.18</v>
      </c>
      <c r="AB525" s="157">
        <f>'Quantitativos (A)'!Z525*$D525*$E525</f>
        <v>19.18</v>
      </c>
      <c r="AC525" s="157">
        <f>'Quantitativos (A)'!AA525*$D525*$E525</f>
        <v>19.18</v>
      </c>
      <c r="AD525" s="157">
        <f>'Quantitativos (A)'!AB525*$D525*$E525</f>
        <v>19.18</v>
      </c>
      <c r="AE525" s="157">
        <f>'Quantitativos (A)'!AC525*$D525*$E525</f>
        <v>19.18</v>
      </c>
      <c r="AF525" s="157">
        <f>'Quantitativos (A)'!AD525*$D525*$E525</f>
        <v>19.18</v>
      </c>
      <c r="AG525" s="157">
        <f>'Quantitativos (A)'!AE525*$D525*$E525</f>
        <v>19.18</v>
      </c>
      <c r="AH525" s="157">
        <f>'Quantitativos (A)'!AF525*$D525*$E525</f>
        <v>19.18</v>
      </c>
      <c r="AI525" s="158">
        <f>'Quantitativos (A)'!AG525*$D525*$E525</f>
        <v>19.18</v>
      </c>
      <c r="AJ525" s="22"/>
    </row>
    <row r="526" spans="1:36" x14ac:dyDescent="0.25">
      <c r="A526" s="112"/>
      <c r="B526" s="136" t="s">
        <v>146</v>
      </c>
      <c r="C526" s="67" t="s">
        <v>59</v>
      </c>
      <c r="D526" s="157">
        <f>'Dados (F)'!$D$315</f>
        <v>34.549999999999997</v>
      </c>
      <c r="E526" s="125">
        <f>IF('Dados (F)'!$D$35=1,1,'Dados (F)'!$C$39)</f>
        <v>1</v>
      </c>
      <c r="F526" s="157">
        <f>'Quantitativos (A)'!D526*$D526*$E526</f>
        <v>34.549999999999997</v>
      </c>
      <c r="G526" s="157">
        <f>'Quantitativos (A)'!E526*$D526*$E526</f>
        <v>34.549999999999997</v>
      </c>
      <c r="H526" s="157">
        <f>'Quantitativos (A)'!F526*$D526*$E526</f>
        <v>34.549999999999997</v>
      </c>
      <c r="I526" s="157">
        <f>'Quantitativos (A)'!G526*$D526*$E526</f>
        <v>34.549999999999997</v>
      </c>
      <c r="J526" s="157">
        <f>'Quantitativos (A)'!H526*$D526*$E526</f>
        <v>34.549999999999997</v>
      </c>
      <c r="K526" s="157">
        <f>'Quantitativos (A)'!I526*$D526*$E526</f>
        <v>34.549999999999997</v>
      </c>
      <c r="L526" s="157">
        <f>'Quantitativos (A)'!J526*$D526*$E526</f>
        <v>34.549999999999997</v>
      </c>
      <c r="M526" s="157">
        <f>'Quantitativos (A)'!K526*$D526*$E526</f>
        <v>34.549999999999997</v>
      </c>
      <c r="N526" s="157">
        <f>'Quantitativos (A)'!L526*$D526*$E526</f>
        <v>34.549999999999997</v>
      </c>
      <c r="O526" s="157">
        <f>'Quantitativos (A)'!M526*$D526*$E526</f>
        <v>34.549999999999997</v>
      </c>
      <c r="P526" s="157">
        <f>'Quantitativos (A)'!N526*$D526*$E526</f>
        <v>34.549999999999997</v>
      </c>
      <c r="Q526" s="157">
        <f>'Quantitativos (A)'!O526*$D526*$E526</f>
        <v>34.549999999999997</v>
      </c>
      <c r="R526" s="157">
        <f>'Quantitativos (A)'!P526*$D526*$E526</f>
        <v>34.549999999999997</v>
      </c>
      <c r="S526" s="157">
        <f>'Quantitativos (A)'!Q526*$D526*$E526</f>
        <v>34.549999999999997</v>
      </c>
      <c r="T526" s="157">
        <f>'Quantitativos (A)'!R526*$D526*$E526</f>
        <v>34.549999999999997</v>
      </c>
      <c r="U526" s="157">
        <f>'Quantitativos (A)'!S526*$D526*$E526</f>
        <v>34.549999999999997</v>
      </c>
      <c r="V526" s="157">
        <f>'Quantitativos (A)'!T526*$D526*$E526</f>
        <v>34.549999999999997</v>
      </c>
      <c r="W526" s="157">
        <f>'Quantitativos (A)'!U526*$D526*$E526</f>
        <v>34.549999999999997</v>
      </c>
      <c r="X526" s="157">
        <f>'Quantitativos (A)'!V526*$D526*$E526</f>
        <v>34.549999999999997</v>
      </c>
      <c r="Y526" s="157">
        <f>'Quantitativos (A)'!W526*$D526*$E526</f>
        <v>34.549999999999997</v>
      </c>
      <c r="Z526" s="157">
        <f>'Quantitativos (A)'!X526*$D526*$E526</f>
        <v>34.549999999999997</v>
      </c>
      <c r="AA526" s="157">
        <f>'Quantitativos (A)'!Y526*$D526*$E526</f>
        <v>34.549999999999997</v>
      </c>
      <c r="AB526" s="157">
        <f>'Quantitativos (A)'!Z526*$D526*$E526</f>
        <v>34.549999999999997</v>
      </c>
      <c r="AC526" s="157">
        <f>'Quantitativos (A)'!AA526*$D526*$E526</f>
        <v>34.549999999999997</v>
      </c>
      <c r="AD526" s="157">
        <f>'Quantitativos (A)'!AB526*$D526*$E526</f>
        <v>34.549999999999997</v>
      </c>
      <c r="AE526" s="157">
        <f>'Quantitativos (A)'!AC526*$D526*$E526</f>
        <v>34.549999999999997</v>
      </c>
      <c r="AF526" s="157">
        <f>'Quantitativos (A)'!AD526*$D526*$E526</f>
        <v>34.549999999999997</v>
      </c>
      <c r="AG526" s="157">
        <f>'Quantitativos (A)'!AE526*$D526*$E526</f>
        <v>34.549999999999997</v>
      </c>
      <c r="AH526" s="157">
        <f>'Quantitativos (A)'!AF526*$D526*$E526</f>
        <v>34.549999999999997</v>
      </c>
      <c r="AI526" s="158">
        <f>'Quantitativos (A)'!AG526*$D526*$E526</f>
        <v>34.549999999999997</v>
      </c>
      <c r="AJ526" s="22"/>
    </row>
    <row r="527" spans="1:36" x14ac:dyDescent="0.25">
      <c r="A527" s="112"/>
      <c r="B527" s="136" t="s">
        <v>147</v>
      </c>
      <c r="C527" s="67" t="s">
        <v>59</v>
      </c>
      <c r="D527" s="157">
        <f>'Dados (F)'!$D$316</f>
        <v>39.32</v>
      </c>
      <c r="E527" s="125">
        <f>IF('Dados (F)'!$D$35=1,1,'Dados (F)'!$C$39)</f>
        <v>1</v>
      </c>
      <c r="F527" s="157">
        <f>'Quantitativos (A)'!D527*$D527*$E527</f>
        <v>39.32</v>
      </c>
      <c r="G527" s="157">
        <f>'Quantitativos (A)'!E527*$D527*$E527</f>
        <v>39.32</v>
      </c>
      <c r="H527" s="157">
        <f>'Quantitativos (A)'!F527*$D527*$E527</f>
        <v>39.32</v>
      </c>
      <c r="I527" s="157">
        <f>'Quantitativos (A)'!G527*$D527*$E527</f>
        <v>39.32</v>
      </c>
      <c r="J527" s="157">
        <f>'Quantitativos (A)'!H527*$D527*$E527</f>
        <v>39.32</v>
      </c>
      <c r="K527" s="157">
        <f>'Quantitativos (A)'!I527*$D527*$E527</f>
        <v>39.32</v>
      </c>
      <c r="L527" s="157">
        <f>'Quantitativos (A)'!J527*$D527*$E527</f>
        <v>39.32</v>
      </c>
      <c r="M527" s="157">
        <f>'Quantitativos (A)'!K527*$D527*$E527</f>
        <v>39.32</v>
      </c>
      <c r="N527" s="157">
        <f>'Quantitativos (A)'!L527*$D527*$E527</f>
        <v>39.32</v>
      </c>
      <c r="O527" s="157">
        <f>'Quantitativos (A)'!M527*$D527*$E527</f>
        <v>39.32</v>
      </c>
      <c r="P527" s="157">
        <f>'Quantitativos (A)'!N527*$D527*$E527</f>
        <v>39.32</v>
      </c>
      <c r="Q527" s="157">
        <f>'Quantitativos (A)'!O527*$D527*$E527</f>
        <v>39.32</v>
      </c>
      <c r="R527" s="157">
        <f>'Quantitativos (A)'!P527*$D527*$E527</f>
        <v>39.32</v>
      </c>
      <c r="S527" s="157">
        <f>'Quantitativos (A)'!Q527*$D527*$E527</f>
        <v>39.32</v>
      </c>
      <c r="T527" s="157">
        <f>'Quantitativos (A)'!R527*$D527*$E527</f>
        <v>39.32</v>
      </c>
      <c r="U527" s="157">
        <f>'Quantitativos (A)'!S527*$D527*$E527</f>
        <v>39.32</v>
      </c>
      <c r="V527" s="157">
        <f>'Quantitativos (A)'!T527*$D527*$E527</f>
        <v>39.32</v>
      </c>
      <c r="W527" s="157">
        <f>'Quantitativos (A)'!U527*$D527*$E527</f>
        <v>39.32</v>
      </c>
      <c r="X527" s="157">
        <f>'Quantitativos (A)'!V527*$D527*$E527</f>
        <v>39.32</v>
      </c>
      <c r="Y527" s="157">
        <f>'Quantitativos (A)'!W527*$D527*$E527</f>
        <v>39.32</v>
      </c>
      <c r="Z527" s="157">
        <f>'Quantitativos (A)'!X527*$D527*$E527</f>
        <v>39.32</v>
      </c>
      <c r="AA527" s="157">
        <f>'Quantitativos (A)'!Y527*$D527*$E527</f>
        <v>39.32</v>
      </c>
      <c r="AB527" s="157">
        <f>'Quantitativos (A)'!Z527*$D527*$E527</f>
        <v>39.32</v>
      </c>
      <c r="AC527" s="157">
        <f>'Quantitativos (A)'!AA527*$D527*$E527</f>
        <v>39.32</v>
      </c>
      <c r="AD527" s="157">
        <f>'Quantitativos (A)'!AB527*$D527*$E527</f>
        <v>39.32</v>
      </c>
      <c r="AE527" s="157">
        <f>'Quantitativos (A)'!AC527*$D527*$E527</f>
        <v>39.32</v>
      </c>
      <c r="AF527" s="157">
        <f>'Quantitativos (A)'!AD527*$D527*$E527</f>
        <v>39.32</v>
      </c>
      <c r="AG527" s="157">
        <f>'Quantitativos (A)'!AE527*$D527*$E527</f>
        <v>39.32</v>
      </c>
      <c r="AH527" s="157">
        <f>'Quantitativos (A)'!AF527*$D527*$E527</f>
        <v>39.32</v>
      </c>
      <c r="AI527" s="158">
        <f>'Quantitativos (A)'!AG527*$D527*$E527</f>
        <v>39.32</v>
      </c>
      <c r="AJ527" s="22"/>
    </row>
    <row r="528" spans="1:36" x14ac:dyDescent="0.25">
      <c r="A528" s="112"/>
      <c r="B528" s="136" t="s">
        <v>148</v>
      </c>
      <c r="C528" s="67" t="s">
        <v>59</v>
      </c>
      <c r="D528" s="157">
        <f>'Dados (F)'!$D$317</f>
        <v>52.65</v>
      </c>
      <c r="E528" s="125">
        <f>IF('Dados (F)'!$D$35=1,1,'Dados (F)'!$C$39)</f>
        <v>1</v>
      </c>
      <c r="F528" s="157">
        <f>'Quantitativos (A)'!D528*$D528*$E528</f>
        <v>52.65</v>
      </c>
      <c r="G528" s="157">
        <f>'Quantitativos (A)'!E528*$D528*$E528</f>
        <v>52.65</v>
      </c>
      <c r="H528" s="157">
        <f>'Quantitativos (A)'!F528*$D528*$E528</f>
        <v>52.65</v>
      </c>
      <c r="I528" s="157">
        <f>'Quantitativos (A)'!G528*$D528*$E528</f>
        <v>52.65</v>
      </c>
      <c r="J528" s="157">
        <f>'Quantitativos (A)'!H528*$D528*$E528</f>
        <v>52.65</v>
      </c>
      <c r="K528" s="157">
        <f>'Quantitativos (A)'!I528*$D528*$E528</f>
        <v>52.65</v>
      </c>
      <c r="L528" s="157">
        <f>'Quantitativos (A)'!J528*$D528*$E528</f>
        <v>52.65</v>
      </c>
      <c r="M528" s="157">
        <f>'Quantitativos (A)'!K528*$D528*$E528</f>
        <v>52.65</v>
      </c>
      <c r="N528" s="157">
        <f>'Quantitativos (A)'!L528*$D528*$E528</f>
        <v>52.65</v>
      </c>
      <c r="O528" s="157">
        <f>'Quantitativos (A)'!M528*$D528*$E528</f>
        <v>52.65</v>
      </c>
      <c r="P528" s="157">
        <f>'Quantitativos (A)'!N528*$D528*$E528</f>
        <v>52.65</v>
      </c>
      <c r="Q528" s="157">
        <f>'Quantitativos (A)'!O528*$D528*$E528</f>
        <v>52.65</v>
      </c>
      <c r="R528" s="157">
        <f>'Quantitativos (A)'!P528*$D528*$E528</f>
        <v>52.65</v>
      </c>
      <c r="S528" s="157">
        <f>'Quantitativos (A)'!Q528*$D528*$E528</f>
        <v>52.65</v>
      </c>
      <c r="T528" s="157">
        <f>'Quantitativos (A)'!R528*$D528*$E528</f>
        <v>52.65</v>
      </c>
      <c r="U528" s="157">
        <f>'Quantitativos (A)'!S528*$D528*$E528</f>
        <v>52.65</v>
      </c>
      <c r="V528" s="157">
        <f>'Quantitativos (A)'!T528*$D528*$E528</f>
        <v>52.65</v>
      </c>
      <c r="W528" s="157">
        <f>'Quantitativos (A)'!U528*$D528*$E528</f>
        <v>52.65</v>
      </c>
      <c r="X528" s="157">
        <f>'Quantitativos (A)'!V528*$D528*$E528</f>
        <v>52.65</v>
      </c>
      <c r="Y528" s="157">
        <f>'Quantitativos (A)'!W528*$D528*$E528</f>
        <v>52.65</v>
      </c>
      <c r="Z528" s="157">
        <f>'Quantitativos (A)'!X528*$D528*$E528</f>
        <v>52.65</v>
      </c>
      <c r="AA528" s="157">
        <f>'Quantitativos (A)'!Y528*$D528*$E528</f>
        <v>52.65</v>
      </c>
      <c r="AB528" s="157">
        <f>'Quantitativos (A)'!Z528*$D528*$E528</f>
        <v>52.65</v>
      </c>
      <c r="AC528" s="157">
        <f>'Quantitativos (A)'!AA528*$D528*$E528</f>
        <v>52.65</v>
      </c>
      <c r="AD528" s="157">
        <f>'Quantitativos (A)'!AB528*$D528*$E528</f>
        <v>52.65</v>
      </c>
      <c r="AE528" s="157">
        <f>'Quantitativos (A)'!AC528*$D528*$E528</f>
        <v>52.65</v>
      </c>
      <c r="AF528" s="157">
        <f>'Quantitativos (A)'!AD528*$D528*$E528</f>
        <v>52.65</v>
      </c>
      <c r="AG528" s="157">
        <f>'Quantitativos (A)'!AE528*$D528*$E528</f>
        <v>52.65</v>
      </c>
      <c r="AH528" s="157">
        <f>'Quantitativos (A)'!AF528*$D528*$E528</f>
        <v>52.65</v>
      </c>
      <c r="AI528" s="158">
        <f>'Quantitativos (A)'!AG528*$D528*$E528</f>
        <v>52.65</v>
      </c>
      <c r="AJ528" s="22"/>
    </row>
    <row r="529" spans="1:36" x14ac:dyDescent="0.25">
      <c r="A529" s="112"/>
      <c r="B529" s="136" t="s">
        <v>149</v>
      </c>
      <c r="C529" s="67" t="s">
        <v>59</v>
      </c>
      <c r="D529" s="157">
        <f>'Dados (F)'!$D$318</f>
        <v>72.34</v>
      </c>
      <c r="E529" s="125">
        <f>IF('Dados (F)'!$D$35=1,1,'Dados (F)'!$C$39)</f>
        <v>1</v>
      </c>
      <c r="F529" s="157">
        <f>'Quantitativos (A)'!D529*$D529*$E529</f>
        <v>72.34</v>
      </c>
      <c r="G529" s="157">
        <f>'Quantitativos (A)'!E529*$D529*$E529</f>
        <v>72.34</v>
      </c>
      <c r="H529" s="157">
        <f>'Quantitativos (A)'!F529*$D529*$E529</f>
        <v>72.34</v>
      </c>
      <c r="I529" s="157">
        <f>'Quantitativos (A)'!G529*$D529*$E529</f>
        <v>72.34</v>
      </c>
      <c r="J529" s="157">
        <f>'Quantitativos (A)'!H529*$D529*$E529</f>
        <v>72.34</v>
      </c>
      <c r="K529" s="157">
        <f>'Quantitativos (A)'!I529*$D529*$E529</f>
        <v>72.34</v>
      </c>
      <c r="L529" s="157">
        <f>'Quantitativos (A)'!J529*$D529*$E529</f>
        <v>72.34</v>
      </c>
      <c r="M529" s="157">
        <f>'Quantitativos (A)'!K529*$D529*$E529</f>
        <v>72.34</v>
      </c>
      <c r="N529" s="157">
        <f>'Quantitativos (A)'!L529*$D529*$E529</f>
        <v>72.34</v>
      </c>
      <c r="O529" s="157">
        <f>'Quantitativos (A)'!M529*$D529*$E529</f>
        <v>72.34</v>
      </c>
      <c r="P529" s="157">
        <f>'Quantitativos (A)'!N529*$D529*$E529</f>
        <v>72.34</v>
      </c>
      <c r="Q529" s="157">
        <f>'Quantitativos (A)'!O529*$D529*$E529</f>
        <v>72.34</v>
      </c>
      <c r="R529" s="157">
        <f>'Quantitativos (A)'!P529*$D529*$E529</f>
        <v>72.34</v>
      </c>
      <c r="S529" s="157">
        <f>'Quantitativos (A)'!Q529*$D529*$E529</f>
        <v>72.34</v>
      </c>
      <c r="T529" s="157">
        <f>'Quantitativos (A)'!R529*$D529*$E529</f>
        <v>72.34</v>
      </c>
      <c r="U529" s="157">
        <f>'Quantitativos (A)'!S529*$D529*$E529</f>
        <v>72.34</v>
      </c>
      <c r="V529" s="157">
        <f>'Quantitativos (A)'!T529*$D529*$E529</f>
        <v>72.34</v>
      </c>
      <c r="W529" s="157">
        <f>'Quantitativos (A)'!U529*$D529*$E529</f>
        <v>72.34</v>
      </c>
      <c r="X529" s="157">
        <f>'Quantitativos (A)'!V529*$D529*$E529</f>
        <v>72.34</v>
      </c>
      <c r="Y529" s="157">
        <f>'Quantitativos (A)'!W529*$D529*$E529</f>
        <v>72.34</v>
      </c>
      <c r="Z529" s="157">
        <f>'Quantitativos (A)'!X529*$D529*$E529</f>
        <v>72.34</v>
      </c>
      <c r="AA529" s="157">
        <f>'Quantitativos (A)'!Y529*$D529*$E529</f>
        <v>72.34</v>
      </c>
      <c r="AB529" s="157">
        <f>'Quantitativos (A)'!Z529*$D529*$E529</f>
        <v>72.34</v>
      </c>
      <c r="AC529" s="157">
        <f>'Quantitativos (A)'!AA529*$D529*$E529</f>
        <v>72.34</v>
      </c>
      <c r="AD529" s="157">
        <f>'Quantitativos (A)'!AB529*$D529*$E529</f>
        <v>72.34</v>
      </c>
      <c r="AE529" s="157">
        <f>'Quantitativos (A)'!AC529*$D529*$E529</f>
        <v>72.34</v>
      </c>
      <c r="AF529" s="157">
        <f>'Quantitativos (A)'!AD529*$D529*$E529</f>
        <v>72.34</v>
      </c>
      <c r="AG529" s="157">
        <f>'Quantitativos (A)'!AE529*$D529*$E529</f>
        <v>72.34</v>
      </c>
      <c r="AH529" s="157">
        <f>'Quantitativos (A)'!AF529*$D529*$E529</f>
        <v>72.34</v>
      </c>
      <c r="AI529" s="158">
        <f>'Quantitativos (A)'!AG529*$D529*$E529</f>
        <v>72.34</v>
      </c>
      <c r="AJ529" s="22"/>
    </row>
    <row r="530" spans="1:36" x14ac:dyDescent="0.25">
      <c r="A530" s="112"/>
      <c r="B530" s="136" t="s">
        <v>150</v>
      </c>
      <c r="C530" s="67" t="s">
        <v>59</v>
      </c>
      <c r="D530" s="157">
        <f>'Dados (F)'!$D$319</f>
        <v>81.17</v>
      </c>
      <c r="E530" s="125">
        <f>IF('Dados (F)'!$D$35=1,1,'Dados (F)'!$C$39)</f>
        <v>1</v>
      </c>
      <c r="F530" s="157">
        <f>'Quantitativos (A)'!D530*$D530*$E530</f>
        <v>81.17</v>
      </c>
      <c r="G530" s="157">
        <f>'Quantitativos (A)'!E530*$D530*$E530</f>
        <v>81.17</v>
      </c>
      <c r="H530" s="157">
        <f>'Quantitativos (A)'!F530*$D530*$E530</f>
        <v>81.17</v>
      </c>
      <c r="I530" s="157">
        <f>'Quantitativos (A)'!G530*$D530*$E530</f>
        <v>81.17</v>
      </c>
      <c r="J530" s="157">
        <f>'Quantitativos (A)'!H530*$D530*$E530</f>
        <v>81.17</v>
      </c>
      <c r="K530" s="157">
        <f>'Quantitativos (A)'!I530*$D530*$E530</f>
        <v>81.17</v>
      </c>
      <c r="L530" s="157">
        <f>'Quantitativos (A)'!J530*$D530*$E530</f>
        <v>81.17</v>
      </c>
      <c r="M530" s="157">
        <f>'Quantitativos (A)'!K530*$D530*$E530</f>
        <v>81.17</v>
      </c>
      <c r="N530" s="157">
        <f>'Quantitativos (A)'!L530*$D530*$E530</f>
        <v>81.17</v>
      </c>
      <c r="O530" s="157">
        <f>'Quantitativos (A)'!M530*$D530*$E530</f>
        <v>81.17</v>
      </c>
      <c r="P530" s="157">
        <f>'Quantitativos (A)'!N530*$D530*$E530</f>
        <v>81.17</v>
      </c>
      <c r="Q530" s="157">
        <f>'Quantitativos (A)'!O530*$D530*$E530</f>
        <v>81.17</v>
      </c>
      <c r="R530" s="157">
        <f>'Quantitativos (A)'!P530*$D530*$E530</f>
        <v>81.17</v>
      </c>
      <c r="S530" s="157">
        <f>'Quantitativos (A)'!Q530*$D530*$E530</f>
        <v>81.17</v>
      </c>
      <c r="T530" s="157">
        <f>'Quantitativos (A)'!R530*$D530*$E530</f>
        <v>81.17</v>
      </c>
      <c r="U530" s="157">
        <f>'Quantitativos (A)'!S530*$D530*$E530</f>
        <v>81.17</v>
      </c>
      <c r="V530" s="157">
        <f>'Quantitativos (A)'!T530*$D530*$E530</f>
        <v>81.17</v>
      </c>
      <c r="W530" s="157">
        <f>'Quantitativos (A)'!U530*$D530*$E530</f>
        <v>81.17</v>
      </c>
      <c r="X530" s="157">
        <f>'Quantitativos (A)'!V530*$D530*$E530</f>
        <v>81.17</v>
      </c>
      <c r="Y530" s="157">
        <f>'Quantitativos (A)'!W530*$D530*$E530</f>
        <v>81.17</v>
      </c>
      <c r="Z530" s="157">
        <f>'Quantitativos (A)'!X530*$D530*$E530</f>
        <v>81.17</v>
      </c>
      <c r="AA530" s="157">
        <f>'Quantitativos (A)'!Y530*$D530*$E530</f>
        <v>81.17</v>
      </c>
      <c r="AB530" s="157">
        <f>'Quantitativos (A)'!Z530*$D530*$E530</f>
        <v>81.17</v>
      </c>
      <c r="AC530" s="157">
        <f>'Quantitativos (A)'!AA530*$D530*$E530</f>
        <v>81.17</v>
      </c>
      <c r="AD530" s="157">
        <f>'Quantitativos (A)'!AB530*$D530*$E530</f>
        <v>81.17</v>
      </c>
      <c r="AE530" s="157">
        <f>'Quantitativos (A)'!AC530*$D530*$E530</f>
        <v>81.17</v>
      </c>
      <c r="AF530" s="157">
        <f>'Quantitativos (A)'!AD530*$D530*$E530</f>
        <v>81.17</v>
      </c>
      <c r="AG530" s="157">
        <f>'Quantitativos (A)'!AE530*$D530*$E530</f>
        <v>81.17</v>
      </c>
      <c r="AH530" s="157">
        <f>'Quantitativos (A)'!AF530*$D530*$E530</f>
        <v>81.17</v>
      </c>
      <c r="AI530" s="158">
        <f>'Quantitativos (A)'!AG530*$D530*$E530</f>
        <v>81.17</v>
      </c>
      <c r="AJ530" s="22"/>
    </row>
    <row r="531" spans="1:36" x14ac:dyDescent="0.25">
      <c r="A531" s="112"/>
      <c r="B531" s="136" t="s">
        <v>151</v>
      </c>
      <c r="C531" s="67" t="s">
        <v>59</v>
      </c>
      <c r="D531" s="157">
        <f>'Dados (F)'!$D$320</f>
        <v>18.18</v>
      </c>
      <c r="E531" s="125">
        <f>IF('Dados (F)'!$D$35=1,1,'Dados (F)'!$C$39)</f>
        <v>1</v>
      </c>
      <c r="F531" s="157">
        <f>'Quantitativos (A)'!D531*$D531*$E531</f>
        <v>72.72</v>
      </c>
      <c r="G531" s="157">
        <f>'Quantitativos (A)'!E531*$D531*$E531</f>
        <v>72.72</v>
      </c>
      <c r="H531" s="157">
        <f>'Quantitativos (A)'!F531*$D531*$E531</f>
        <v>72.72</v>
      </c>
      <c r="I531" s="157">
        <f>'Quantitativos (A)'!G531*$D531*$E531</f>
        <v>72.72</v>
      </c>
      <c r="J531" s="157">
        <f>'Quantitativos (A)'!H531*$D531*$E531</f>
        <v>72.72</v>
      </c>
      <c r="K531" s="157">
        <f>'Quantitativos (A)'!I531*$D531*$E531</f>
        <v>72.72</v>
      </c>
      <c r="L531" s="157">
        <f>'Quantitativos (A)'!J531*$D531*$E531</f>
        <v>72.72</v>
      </c>
      <c r="M531" s="157">
        <f>'Quantitativos (A)'!K531*$D531*$E531</f>
        <v>72.72</v>
      </c>
      <c r="N531" s="157">
        <f>'Quantitativos (A)'!L531*$D531*$E531</f>
        <v>72.72</v>
      </c>
      <c r="O531" s="157">
        <f>'Quantitativos (A)'!M531*$D531*$E531</f>
        <v>72.72</v>
      </c>
      <c r="P531" s="157">
        <f>'Quantitativos (A)'!N531*$D531*$E531</f>
        <v>72.72</v>
      </c>
      <c r="Q531" s="157">
        <f>'Quantitativos (A)'!O531*$D531*$E531</f>
        <v>72.72</v>
      </c>
      <c r="R531" s="157">
        <f>'Quantitativos (A)'!P531*$D531*$E531</f>
        <v>72.72</v>
      </c>
      <c r="S531" s="157">
        <f>'Quantitativos (A)'!Q531*$D531*$E531</f>
        <v>72.72</v>
      </c>
      <c r="T531" s="157">
        <f>'Quantitativos (A)'!R531*$D531*$E531</f>
        <v>72.72</v>
      </c>
      <c r="U531" s="157">
        <f>'Quantitativos (A)'!S531*$D531*$E531</f>
        <v>72.72</v>
      </c>
      <c r="V531" s="157">
        <f>'Quantitativos (A)'!T531*$D531*$E531</f>
        <v>72.72</v>
      </c>
      <c r="W531" s="157">
        <f>'Quantitativos (A)'!U531*$D531*$E531</f>
        <v>72.72</v>
      </c>
      <c r="X531" s="157">
        <f>'Quantitativos (A)'!V531*$D531*$E531</f>
        <v>72.72</v>
      </c>
      <c r="Y531" s="157">
        <f>'Quantitativos (A)'!W531*$D531*$E531</f>
        <v>72.72</v>
      </c>
      <c r="Z531" s="157">
        <f>'Quantitativos (A)'!X531*$D531*$E531</f>
        <v>72.72</v>
      </c>
      <c r="AA531" s="157">
        <f>'Quantitativos (A)'!Y531*$D531*$E531</f>
        <v>72.72</v>
      </c>
      <c r="AB531" s="157">
        <f>'Quantitativos (A)'!Z531*$D531*$E531</f>
        <v>72.72</v>
      </c>
      <c r="AC531" s="157">
        <f>'Quantitativos (A)'!AA531*$D531*$E531</f>
        <v>72.72</v>
      </c>
      <c r="AD531" s="157">
        <f>'Quantitativos (A)'!AB531*$D531*$E531</f>
        <v>72.72</v>
      </c>
      <c r="AE531" s="157">
        <f>'Quantitativos (A)'!AC531*$D531*$E531</f>
        <v>72.72</v>
      </c>
      <c r="AF531" s="157">
        <f>'Quantitativos (A)'!AD531*$D531*$E531</f>
        <v>72.72</v>
      </c>
      <c r="AG531" s="157">
        <f>'Quantitativos (A)'!AE531*$D531*$E531</f>
        <v>72.72</v>
      </c>
      <c r="AH531" s="157">
        <f>'Quantitativos (A)'!AF531*$D531*$E531</f>
        <v>72.72</v>
      </c>
      <c r="AI531" s="158">
        <f>'Quantitativos (A)'!AG531*$D531*$E531</f>
        <v>72.72</v>
      </c>
      <c r="AJ531" s="22"/>
    </row>
    <row r="532" spans="1:36" x14ac:dyDescent="0.25">
      <c r="A532" s="112"/>
      <c r="B532" s="136" t="s">
        <v>152</v>
      </c>
      <c r="C532" s="67" t="s">
        <v>59</v>
      </c>
      <c r="D532" s="157">
        <f>'Dados (F)'!$D$321</f>
        <v>74.400000000000006</v>
      </c>
      <c r="E532" s="125">
        <f>IF('Dados (F)'!$D$35=1,1,'Dados (F)'!$C$39)</f>
        <v>1</v>
      </c>
      <c r="F532" s="157">
        <f>'Quantitativos (A)'!D532*$D532*$E532</f>
        <v>74.400000000000006</v>
      </c>
      <c r="G532" s="157">
        <f>'Quantitativos (A)'!E532*$D532*$E532</f>
        <v>74.400000000000006</v>
      </c>
      <c r="H532" s="157">
        <f>'Quantitativos (A)'!F532*$D532*$E532</f>
        <v>74.400000000000006</v>
      </c>
      <c r="I532" s="157">
        <f>'Quantitativos (A)'!G532*$D532*$E532</f>
        <v>74.400000000000006</v>
      </c>
      <c r="J532" s="157">
        <f>'Quantitativos (A)'!H532*$D532*$E532</f>
        <v>74.400000000000006</v>
      </c>
      <c r="K532" s="157">
        <f>'Quantitativos (A)'!I532*$D532*$E532</f>
        <v>74.400000000000006</v>
      </c>
      <c r="L532" s="157">
        <f>'Quantitativos (A)'!J532*$D532*$E532</f>
        <v>74.400000000000006</v>
      </c>
      <c r="M532" s="157">
        <f>'Quantitativos (A)'!K532*$D532*$E532</f>
        <v>74.400000000000006</v>
      </c>
      <c r="N532" s="157">
        <f>'Quantitativos (A)'!L532*$D532*$E532</f>
        <v>74.400000000000006</v>
      </c>
      <c r="O532" s="157">
        <f>'Quantitativos (A)'!M532*$D532*$E532</f>
        <v>74.400000000000006</v>
      </c>
      <c r="P532" s="157">
        <f>'Quantitativos (A)'!N532*$D532*$E532</f>
        <v>74.400000000000006</v>
      </c>
      <c r="Q532" s="157">
        <f>'Quantitativos (A)'!O532*$D532*$E532</f>
        <v>74.400000000000006</v>
      </c>
      <c r="R532" s="157">
        <f>'Quantitativos (A)'!P532*$D532*$E532</f>
        <v>74.400000000000006</v>
      </c>
      <c r="S532" s="157">
        <f>'Quantitativos (A)'!Q532*$D532*$E532</f>
        <v>74.400000000000006</v>
      </c>
      <c r="T532" s="157">
        <f>'Quantitativos (A)'!R532*$D532*$E532</f>
        <v>74.400000000000006</v>
      </c>
      <c r="U532" s="157">
        <f>'Quantitativos (A)'!S532*$D532*$E532</f>
        <v>74.400000000000006</v>
      </c>
      <c r="V532" s="157">
        <f>'Quantitativos (A)'!T532*$D532*$E532</f>
        <v>74.400000000000006</v>
      </c>
      <c r="W532" s="157">
        <f>'Quantitativos (A)'!U532*$D532*$E532</f>
        <v>74.400000000000006</v>
      </c>
      <c r="X532" s="157">
        <f>'Quantitativos (A)'!V532*$D532*$E532</f>
        <v>74.400000000000006</v>
      </c>
      <c r="Y532" s="157">
        <f>'Quantitativos (A)'!W532*$D532*$E532</f>
        <v>74.400000000000006</v>
      </c>
      <c r="Z532" s="157">
        <f>'Quantitativos (A)'!X532*$D532*$E532</f>
        <v>74.400000000000006</v>
      </c>
      <c r="AA532" s="157">
        <f>'Quantitativos (A)'!Y532*$D532*$E532</f>
        <v>74.400000000000006</v>
      </c>
      <c r="AB532" s="157">
        <f>'Quantitativos (A)'!Z532*$D532*$E532</f>
        <v>74.400000000000006</v>
      </c>
      <c r="AC532" s="157">
        <f>'Quantitativos (A)'!AA532*$D532*$E532</f>
        <v>74.400000000000006</v>
      </c>
      <c r="AD532" s="157">
        <f>'Quantitativos (A)'!AB532*$D532*$E532</f>
        <v>74.400000000000006</v>
      </c>
      <c r="AE532" s="157">
        <f>'Quantitativos (A)'!AC532*$D532*$E532</f>
        <v>74.400000000000006</v>
      </c>
      <c r="AF532" s="157">
        <f>'Quantitativos (A)'!AD532*$D532*$E532</f>
        <v>74.400000000000006</v>
      </c>
      <c r="AG532" s="157">
        <f>'Quantitativos (A)'!AE532*$D532*$E532</f>
        <v>74.400000000000006</v>
      </c>
      <c r="AH532" s="157">
        <f>'Quantitativos (A)'!AF532*$D532*$E532</f>
        <v>74.400000000000006</v>
      </c>
      <c r="AI532" s="158">
        <f>'Quantitativos (A)'!AG532*$D532*$E532</f>
        <v>74.400000000000006</v>
      </c>
      <c r="AJ532" s="22"/>
    </row>
    <row r="533" spans="1:36" x14ac:dyDescent="0.25">
      <c r="A533" s="112"/>
      <c r="B533" s="136" t="s">
        <v>153</v>
      </c>
      <c r="C533" s="67" t="s">
        <v>59</v>
      </c>
      <c r="D533" s="157">
        <f>'Dados (F)'!$D$322</f>
        <v>90.94</v>
      </c>
      <c r="E533" s="125">
        <f>IF('Dados (F)'!$D$35=1,1,'Dados (F)'!$C$39)</f>
        <v>1</v>
      </c>
      <c r="F533" s="157">
        <f>'Quantitativos (A)'!D533*$D533*$E533</f>
        <v>90.94</v>
      </c>
      <c r="G533" s="157">
        <f>'Quantitativos (A)'!E533*$D533*$E533</f>
        <v>90.94</v>
      </c>
      <c r="H533" s="157">
        <f>'Quantitativos (A)'!F533*$D533*$E533</f>
        <v>90.94</v>
      </c>
      <c r="I533" s="157">
        <f>'Quantitativos (A)'!G533*$D533*$E533</f>
        <v>90.94</v>
      </c>
      <c r="J533" s="157">
        <f>'Quantitativos (A)'!H533*$D533*$E533</f>
        <v>90.94</v>
      </c>
      <c r="K533" s="157">
        <f>'Quantitativos (A)'!I533*$D533*$E533</f>
        <v>90.94</v>
      </c>
      <c r="L533" s="157">
        <f>'Quantitativos (A)'!J533*$D533*$E533</f>
        <v>90.94</v>
      </c>
      <c r="M533" s="157">
        <f>'Quantitativos (A)'!K533*$D533*$E533</f>
        <v>90.94</v>
      </c>
      <c r="N533" s="157">
        <f>'Quantitativos (A)'!L533*$D533*$E533</f>
        <v>90.94</v>
      </c>
      <c r="O533" s="157">
        <f>'Quantitativos (A)'!M533*$D533*$E533</f>
        <v>90.94</v>
      </c>
      <c r="P533" s="157">
        <f>'Quantitativos (A)'!N533*$D533*$E533</f>
        <v>90.94</v>
      </c>
      <c r="Q533" s="157">
        <f>'Quantitativos (A)'!O533*$D533*$E533</f>
        <v>90.94</v>
      </c>
      <c r="R533" s="157">
        <f>'Quantitativos (A)'!P533*$D533*$E533</f>
        <v>90.94</v>
      </c>
      <c r="S533" s="157">
        <f>'Quantitativos (A)'!Q533*$D533*$E533</f>
        <v>90.94</v>
      </c>
      <c r="T533" s="157">
        <f>'Quantitativos (A)'!R533*$D533*$E533</f>
        <v>90.94</v>
      </c>
      <c r="U533" s="157">
        <f>'Quantitativos (A)'!S533*$D533*$E533</f>
        <v>90.94</v>
      </c>
      <c r="V533" s="157">
        <f>'Quantitativos (A)'!T533*$D533*$E533</f>
        <v>90.94</v>
      </c>
      <c r="W533" s="157">
        <f>'Quantitativos (A)'!U533*$D533*$E533</f>
        <v>90.94</v>
      </c>
      <c r="X533" s="157">
        <f>'Quantitativos (A)'!V533*$D533*$E533</f>
        <v>90.94</v>
      </c>
      <c r="Y533" s="157">
        <f>'Quantitativos (A)'!W533*$D533*$E533</f>
        <v>90.94</v>
      </c>
      <c r="Z533" s="157">
        <f>'Quantitativos (A)'!X533*$D533*$E533</f>
        <v>90.94</v>
      </c>
      <c r="AA533" s="157">
        <f>'Quantitativos (A)'!Y533*$D533*$E533</f>
        <v>90.94</v>
      </c>
      <c r="AB533" s="157">
        <f>'Quantitativos (A)'!Z533*$D533*$E533</f>
        <v>90.94</v>
      </c>
      <c r="AC533" s="157">
        <f>'Quantitativos (A)'!AA533*$D533*$E533</f>
        <v>90.94</v>
      </c>
      <c r="AD533" s="157">
        <f>'Quantitativos (A)'!AB533*$D533*$E533</f>
        <v>90.94</v>
      </c>
      <c r="AE533" s="157">
        <f>'Quantitativos (A)'!AC533*$D533*$E533</f>
        <v>90.94</v>
      </c>
      <c r="AF533" s="157">
        <f>'Quantitativos (A)'!AD533*$D533*$E533</f>
        <v>90.94</v>
      </c>
      <c r="AG533" s="157">
        <f>'Quantitativos (A)'!AE533*$D533*$E533</f>
        <v>90.94</v>
      </c>
      <c r="AH533" s="157">
        <f>'Quantitativos (A)'!AF533*$D533*$E533</f>
        <v>90.94</v>
      </c>
      <c r="AI533" s="158">
        <f>'Quantitativos (A)'!AG533*$D533*$E533</f>
        <v>90.94</v>
      </c>
      <c r="AJ533" s="22"/>
    </row>
    <row r="534" spans="1:36" x14ac:dyDescent="0.25">
      <c r="A534" s="112"/>
      <c r="B534" s="136" t="s">
        <v>167</v>
      </c>
      <c r="C534" s="67" t="s">
        <v>59</v>
      </c>
      <c r="D534" s="157">
        <f>'Dados (F)'!$D$339</f>
        <v>7.94</v>
      </c>
      <c r="E534" s="125">
        <f>IF('Dados (F)'!$D$35=1,1,'Dados (F)'!$C$39)</f>
        <v>1</v>
      </c>
      <c r="F534" s="157">
        <f>'Quantitativos (A)'!D534*$D534*$E534</f>
        <v>7.94</v>
      </c>
      <c r="G534" s="157">
        <f>'Quantitativos (A)'!E534*$D534*$E534</f>
        <v>7.94</v>
      </c>
      <c r="H534" s="157">
        <f>'Quantitativos (A)'!F534*$D534*$E534</f>
        <v>7.94</v>
      </c>
      <c r="I534" s="157">
        <f>'Quantitativos (A)'!G534*$D534*$E534</f>
        <v>7.94</v>
      </c>
      <c r="J534" s="157">
        <f>'Quantitativos (A)'!H534*$D534*$E534</f>
        <v>7.94</v>
      </c>
      <c r="K534" s="157">
        <f>'Quantitativos (A)'!I534*$D534*$E534</f>
        <v>7.94</v>
      </c>
      <c r="L534" s="157">
        <f>'Quantitativos (A)'!J534*$D534*$E534</f>
        <v>7.94</v>
      </c>
      <c r="M534" s="157">
        <f>'Quantitativos (A)'!K534*$D534*$E534</f>
        <v>7.94</v>
      </c>
      <c r="N534" s="157">
        <f>'Quantitativos (A)'!L534*$D534*$E534</f>
        <v>7.94</v>
      </c>
      <c r="O534" s="157">
        <f>'Quantitativos (A)'!M534*$D534*$E534</f>
        <v>7.94</v>
      </c>
      <c r="P534" s="157">
        <f>'Quantitativos (A)'!N534*$D534*$E534</f>
        <v>7.94</v>
      </c>
      <c r="Q534" s="157">
        <f>'Quantitativos (A)'!O534*$D534*$E534</f>
        <v>7.94</v>
      </c>
      <c r="R534" s="157">
        <f>'Quantitativos (A)'!P534*$D534*$E534</f>
        <v>7.94</v>
      </c>
      <c r="S534" s="157">
        <f>'Quantitativos (A)'!Q534*$D534*$E534</f>
        <v>7.94</v>
      </c>
      <c r="T534" s="157">
        <f>'Quantitativos (A)'!R534*$D534*$E534</f>
        <v>7.94</v>
      </c>
      <c r="U534" s="157">
        <f>'Quantitativos (A)'!S534*$D534*$E534</f>
        <v>7.94</v>
      </c>
      <c r="V534" s="157">
        <f>'Quantitativos (A)'!T534*$D534*$E534</f>
        <v>7.94</v>
      </c>
      <c r="W534" s="157">
        <f>'Quantitativos (A)'!U534*$D534*$E534</f>
        <v>7.94</v>
      </c>
      <c r="X534" s="157">
        <f>'Quantitativos (A)'!V534*$D534*$E534</f>
        <v>7.94</v>
      </c>
      <c r="Y534" s="157">
        <f>'Quantitativos (A)'!W534*$D534*$E534</f>
        <v>7.94</v>
      </c>
      <c r="Z534" s="157">
        <f>'Quantitativos (A)'!X534*$D534*$E534</f>
        <v>7.94</v>
      </c>
      <c r="AA534" s="157">
        <f>'Quantitativos (A)'!Y534*$D534*$E534</f>
        <v>7.94</v>
      </c>
      <c r="AB534" s="157">
        <f>'Quantitativos (A)'!Z534*$D534*$E534</f>
        <v>7.94</v>
      </c>
      <c r="AC534" s="157">
        <f>'Quantitativos (A)'!AA534*$D534*$E534</f>
        <v>7.94</v>
      </c>
      <c r="AD534" s="157">
        <f>'Quantitativos (A)'!AB534*$D534*$E534</f>
        <v>7.94</v>
      </c>
      <c r="AE534" s="157">
        <f>'Quantitativos (A)'!AC534*$D534*$E534</f>
        <v>7.94</v>
      </c>
      <c r="AF534" s="157">
        <f>'Quantitativos (A)'!AD534*$D534*$E534</f>
        <v>7.94</v>
      </c>
      <c r="AG534" s="157">
        <f>'Quantitativos (A)'!AE534*$D534*$E534</f>
        <v>7.94</v>
      </c>
      <c r="AH534" s="157">
        <f>'Quantitativos (A)'!AF534*$D534*$E534</f>
        <v>7.94</v>
      </c>
      <c r="AI534" s="158">
        <f>'Quantitativos (A)'!AG534*$D534*$E534</f>
        <v>7.94</v>
      </c>
      <c r="AJ534" s="22"/>
    </row>
    <row r="535" spans="1:36" x14ac:dyDescent="0.25">
      <c r="A535" s="112"/>
      <c r="B535" s="136" t="s">
        <v>168</v>
      </c>
      <c r="C535" s="67" t="s">
        <v>59</v>
      </c>
      <c r="D535" s="157">
        <f>'Dados (F)'!$D$340</f>
        <v>8.34</v>
      </c>
      <c r="E535" s="125">
        <f>IF('Dados (F)'!$D$35=1,1,'Dados (F)'!$C$39)</f>
        <v>1</v>
      </c>
      <c r="F535" s="157">
        <f>'Quantitativos (A)'!D535*$D535*$E535</f>
        <v>8.34</v>
      </c>
      <c r="G535" s="157">
        <f>'Quantitativos (A)'!E535*$D535*$E535</f>
        <v>8.34</v>
      </c>
      <c r="H535" s="157">
        <f>'Quantitativos (A)'!F535*$D535*$E535</f>
        <v>8.34</v>
      </c>
      <c r="I535" s="157">
        <f>'Quantitativos (A)'!G535*$D535*$E535</f>
        <v>8.34</v>
      </c>
      <c r="J535" s="157">
        <f>'Quantitativos (A)'!H535*$D535*$E535</f>
        <v>8.34</v>
      </c>
      <c r="K535" s="157">
        <f>'Quantitativos (A)'!I535*$D535*$E535</f>
        <v>8.34</v>
      </c>
      <c r="L535" s="157">
        <f>'Quantitativos (A)'!J535*$D535*$E535</f>
        <v>8.34</v>
      </c>
      <c r="M535" s="157">
        <f>'Quantitativos (A)'!K535*$D535*$E535</f>
        <v>8.34</v>
      </c>
      <c r="N535" s="157">
        <f>'Quantitativos (A)'!L535*$D535*$E535</f>
        <v>8.34</v>
      </c>
      <c r="O535" s="157">
        <f>'Quantitativos (A)'!M535*$D535*$E535</f>
        <v>8.34</v>
      </c>
      <c r="P535" s="157">
        <f>'Quantitativos (A)'!N535*$D535*$E535</f>
        <v>8.34</v>
      </c>
      <c r="Q535" s="157">
        <f>'Quantitativos (A)'!O535*$D535*$E535</f>
        <v>8.34</v>
      </c>
      <c r="R535" s="157">
        <f>'Quantitativos (A)'!P535*$D535*$E535</f>
        <v>8.34</v>
      </c>
      <c r="S535" s="157">
        <f>'Quantitativos (A)'!Q535*$D535*$E535</f>
        <v>8.34</v>
      </c>
      <c r="T535" s="157">
        <f>'Quantitativos (A)'!R535*$D535*$E535</f>
        <v>8.34</v>
      </c>
      <c r="U535" s="157">
        <f>'Quantitativos (A)'!S535*$D535*$E535</f>
        <v>8.34</v>
      </c>
      <c r="V535" s="157">
        <f>'Quantitativos (A)'!T535*$D535*$E535</f>
        <v>8.34</v>
      </c>
      <c r="W535" s="157">
        <f>'Quantitativos (A)'!U535*$D535*$E535</f>
        <v>8.34</v>
      </c>
      <c r="X535" s="157">
        <f>'Quantitativos (A)'!V535*$D535*$E535</f>
        <v>8.34</v>
      </c>
      <c r="Y535" s="157">
        <f>'Quantitativos (A)'!W535*$D535*$E535</f>
        <v>8.34</v>
      </c>
      <c r="Z535" s="157">
        <f>'Quantitativos (A)'!X535*$D535*$E535</f>
        <v>8.34</v>
      </c>
      <c r="AA535" s="157">
        <f>'Quantitativos (A)'!Y535*$D535*$E535</f>
        <v>8.34</v>
      </c>
      <c r="AB535" s="157">
        <f>'Quantitativos (A)'!Z535*$D535*$E535</f>
        <v>8.34</v>
      </c>
      <c r="AC535" s="157">
        <f>'Quantitativos (A)'!AA535*$D535*$E535</f>
        <v>8.34</v>
      </c>
      <c r="AD535" s="157">
        <f>'Quantitativos (A)'!AB535*$D535*$E535</f>
        <v>8.34</v>
      </c>
      <c r="AE535" s="157">
        <f>'Quantitativos (A)'!AC535*$D535*$E535</f>
        <v>8.34</v>
      </c>
      <c r="AF535" s="157">
        <f>'Quantitativos (A)'!AD535*$D535*$E535</f>
        <v>8.34</v>
      </c>
      <c r="AG535" s="157">
        <f>'Quantitativos (A)'!AE535*$D535*$E535</f>
        <v>8.34</v>
      </c>
      <c r="AH535" s="157">
        <f>'Quantitativos (A)'!AF535*$D535*$E535</f>
        <v>8.34</v>
      </c>
      <c r="AI535" s="158">
        <f>'Quantitativos (A)'!AG535*$D535*$E535</f>
        <v>8.34</v>
      </c>
      <c r="AJ535" s="22"/>
    </row>
    <row r="536" spans="1:36" x14ac:dyDescent="0.25">
      <c r="A536" s="112"/>
      <c r="B536" s="136" t="s">
        <v>169</v>
      </c>
      <c r="C536" s="67" t="s">
        <v>59</v>
      </c>
      <c r="D536" s="157">
        <f>'Dados (F)'!$D$341</f>
        <v>10.14</v>
      </c>
      <c r="E536" s="125">
        <f>IF('Dados (F)'!$D$35=1,1,'Dados (F)'!$C$39)</f>
        <v>1</v>
      </c>
      <c r="F536" s="157">
        <f>'Quantitativos (A)'!D536*$D536*$E536</f>
        <v>10.14</v>
      </c>
      <c r="G536" s="157">
        <f>'Quantitativos (A)'!E536*$D536*$E536</f>
        <v>10.14</v>
      </c>
      <c r="H536" s="157">
        <f>'Quantitativos (A)'!F536*$D536*$E536</f>
        <v>10.14</v>
      </c>
      <c r="I536" s="157">
        <f>'Quantitativos (A)'!G536*$D536*$E536</f>
        <v>10.14</v>
      </c>
      <c r="J536" s="157">
        <f>'Quantitativos (A)'!H536*$D536*$E536</f>
        <v>10.14</v>
      </c>
      <c r="K536" s="157">
        <f>'Quantitativos (A)'!I536*$D536*$E536</f>
        <v>10.14</v>
      </c>
      <c r="L536" s="157">
        <f>'Quantitativos (A)'!J536*$D536*$E536</f>
        <v>10.14</v>
      </c>
      <c r="M536" s="157">
        <f>'Quantitativos (A)'!K536*$D536*$E536</f>
        <v>10.14</v>
      </c>
      <c r="N536" s="157">
        <f>'Quantitativos (A)'!L536*$D536*$E536</f>
        <v>10.14</v>
      </c>
      <c r="O536" s="157">
        <f>'Quantitativos (A)'!M536*$D536*$E536</f>
        <v>10.14</v>
      </c>
      <c r="P536" s="157">
        <f>'Quantitativos (A)'!N536*$D536*$E536</f>
        <v>10.14</v>
      </c>
      <c r="Q536" s="157">
        <f>'Quantitativos (A)'!O536*$D536*$E536</f>
        <v>10.14</v>
      </c>
      <c r="R536" s="157">
        <f>'Quantitativos (A)'!P536*$D536*$E536</f>
        <v>10.14</v>
      </c>
      <c r="S536" s="157">
        <f>'Quantitativos (A)'!Q536*$D536*$E536</f>
        <v>10.14</v>
      </c>
      <c r="T536" s="157">
        <f>'Quantitativos (A)'!R536*$D536*$E536</f>
        <v>10.14</v>
      </c>
      <c r="U536" s="157">
        <f>'Quantitativos (A)'!S536*$D536*$E536</f>
        <v>10.14</v>
      </c>
      <c r="V536" s="157">
        <f>'Quantitativos (A)'!T536*$D536*$E536</f>
        <v>10.14</v>
      </c>
      <c r="W536" s="157">
        <f>'Quantitativos (A)'!U536*$D536*$E536</f>
        <v>10.14</v>
      </c>
      <c r="X536" s="157">
        <f>'Quantitativos (A)'!V536*$D536*$E536</f>
        <v>10.14</v>
      </c>
      <c r="Y536" s="157">
        <f>'Quantitativos (A)'!W536*$D536*$E536</f>
        <v>10.14</v>
      </c>
      <c r="Z536" s="157">
        <f>'Quantitativos (A)'!X536*$D536*$E536</f>
        <v>10.14</v>
      </c>
      <c r="AA536" s="157">
        <f>'Quantitativos (A)'!Y536*$D536*$E536</f>
        <v>10.14</v>
      </c>
      <c r="AB536" s="157">
        <f>'Quantitativos (A)'!Z536*$D536*$E536</f>
        <v>10.14</v>
      </c>
      <c r="AC536" s="157">
        <f>'Quantitativos (A)'!AA536*$D536*$E536</f>
        <v>10.14</v>
      </c>
      <c r="AD536" s="157">
        <f>'Quantitativos (A)'!AB536*$D536*$E536</f>
        <v>10.14</v>
      </c>
      <c r="AE536" s="157">
        <f>'Quantitativos (A)'!AC536*$D536*$E536</f>
        <v>10.14</v>
      </c>
      <c r="AF536" s="157">
        <f>'Quantitativos (A)'!AD536*$D536*$E536</f>
        <v>10.14</v>
      </c>
      <c r="AG536" s="157">
        <f>'Quantitativos (A)'!AE536*$D536*$E536</f>
        <v>10.14</v>
      </c>
      <c r="AH536" s="157">
        <f>'Quantitativos (A)'!AF536*$D536*$E536</f>
        <v>10.14</v>
      </c>
      <c r="AI536" s="158">
        <f>'Quantitativos (A)'!AG536*$D536*$E536</f>
        <v>10.14</v>
      </c>
      <c r="AJ536" s="22"/>
    </row>
    <row r="537" spans="1:36" x14ac:dyDescent="0.25">
      <c r="A537" s="112"/>
      <c r="B537" s="136" t="s">
        <v>170</v>
      </c>
      <c r="C537" s="67" t="s">
        <v>59</v>
      </c>
      <c r="D537" s="157">
        <f>'Dados (F)'!$D$342</f>
        <v>15</v>
      </c>
      <c r="E537" s="125">
        <f>IF('Dados (F)'!$D$35=1,1,'Dados (F)'!$C$39)</f>
        <v>1</v>
      </c>
      <c r="F537" s="157">
        <f>'Quantitativos (A)'!D537*$D537*$E537</f>
        <v>15</v>
      </c>
      <c r="G537" s="157">
        <f>'Quantitativos (A)'!E537*$D537*$E537</f>
        <v>15</v>
      </c>
      <c r="H537" s="157">
        <f>'Quantitativos (A)'!F537*$D537*$E537</f>
        <v>15</v>
      </c>
      <c r="I537" s="157">
        <f>'Quantitativos (A)'!G537*$D537*$E537</f>
        <v>15</v>
      </c>
      <c r="J537" s="157">
        <f>'Quantitativos (A)'!H537*$D537*$E537</f>
        <v>15</v>
      </c>
      <c r="K537" s="157">
        <f>'Quantitativos (A)'!I537*$D537*$E537</f>
        <v>15</v>
      </c>
      <c r="L537" s="157">
        <f>'Quantitativos (A)'!J537*$D537*$E537</f>
        <v>15</v>
      </c>
      <c r="M537" s="157">
        <f>'Quantitativos (A)'!K537*$D537*$E537</f>
        <v>15</v>
      </c>
      <c r="N537" s="157">
        <f>'Quantitativos (A)'!L537*$D537*$E537</f>
        <v>15</v>
      </c>
      <c r="O537" s="157">
        <f>'Quantitativos (A)'!M537*$D537*$E537</f>
        <v>15</v>
      </c>
      <c r="P537" s="157">
        <f>'Quantitativos (A)'!N537*$D537*$E537</f>
        <v>15</v>
      </c>
      <c r="Q537" s="157">
        <f>'Quantitativos (A)'!O537*$D537*$E537</f>
        <v>15</v>
      </c>
      <c r="R537" s="157">
        <f>'Quantitativos (A)'!P537*$D537*$E537</f>
        <v>15</v>
      </c>
      <c r="S537" s="157">
        <f>'Quantitativos (A)'!Q537*$D537*$E537</f>
        <v>15</v>
      </c>
      <c r="T537" s="157">
        <f>'Quantitativos (A)'!R537*$D537*$E537</f>
        <v>15</v>
      </c>
      <c r="U537" s="157">
        <f>'Quantitativos (A)'!S537*$D537*$E537</f>
        <v>15</v>
      </c>
      <c r="V537" s="157">
        <f>'Quantitativos (A)'!T537*$D537*$E537</f>
        <v>15</v>
      </c>
      <c r="W537" s="157">
        <f>'Quantitativos (A)'!U537*$D537*$E537</f>
        <v>15</v>
      </c>
      <c r="X537" s="157">
        <f>'Quantitativos (A)'!V537*$D537*$E537</f>
        <v>15</v>
      </c>
      <c r="Y537" s="157">
        <f>'Quantitativos (A)'!W537*$D537*$E537</f>
        <v>15</v>
      </c>
      <c r="Z537" s="157">
        <f>'Quantitativos (A)'!X537*$D537*$E537</f>
        <v>15</v>
      </c>
      <c r="AA537" s="157">
        <f>'Quantitativos (A)'!Y537*$D537*$E537</f>
        <v>15</v>
      </c>
      <c r="AB537" s="157">
        <f>'Quantitativos (A)'!Z537*$D537*$E537</f>
        <v>15</v>
      </c>
      <c r="AC537" s="157">
        <f>'Quantitativos (A)'!AA537*$D537*$E537</f>
        <v>15</v>
      </c>
      <c r="AD537" s="157">
        <f>'Quantitativos (A)'!AB537*$D537*$E537</f>
        <v>15</v>
      </c>
      <c r="AE537" s="157">
        <f>'Quantitativos (A)'!AC537*$D537*$E537</f>
        <v>15</v>
      </c>
      <c r="AF537" s="157">
        <f>'Quantitativos (A)'!AD537*$D537*$E537</f>
        <v>15</v>
      </c>
      <c r="AG537" s="157">
        <f>'Quantitativos (A)'!AE537*$D537*$E537</f>
        <v>15</v>
      </c>
      <c r="AH537" s="157">
        <f>'Quantitativos (A)'!AF537*$D537*$E537</f>
        <v>15</v>
      </c>
      <c r="AI537" s="158">
        <f>'Quantitativos (A)'!AG537*$D537*$E537</f>
        <v>15</v>
      </c>
      <c r="AJ537" s="22"/>
    </row>
    <row r="538" spans="1:36" x14ac:dyDescent="0.25">
      <c r="A538" s="112"/>
      <c r="B538" s="136" t="s">
        <v>171</v>
      </c>
      <c r="C538" s="67" t="s">
        <v>59</v>
      </c>
      <c r="D538" s="157">
        <f>'Dados (F)'!$D$343</f>
        <v>23.76</v>
      </c>
      <c r="E538" s="125">
        <f>IF('Dados (F)'!$D$35=1,1,'Dados (F)'!$C$39)</f>
        <v>1</v>
      </c>
      <c r="F538" s="157">
        <f>'Quantitativos (A)'!D538*$D538*$E538</f>
        <v>23.76</v>
      </c>
      <c r="G538" s="157">
        <f>'Quantitativos (A)'!E538*$D538*$E538</f>
        <v>23.76</v>
      </c>
      <c r="H538" s="157">
        <f>'Quantitativos (A)'!F538*$D538*$E538</f>
        <v>23.76</v>
      </c>
      <c r="I538" s="157">
        <f>'Quantitativos (A)'!G538*$D538*$E538</f>
        <v>23.76</v>
      </c>
      <c r="J538" s="157">
        <f>'Quantitativos (A)'!H538*$D538*$E538</f>
        <v>23.76</v>
      </c>
      <c r="K538" s="157">
        <f>'Quantitativos (A)'!I538*$D538*$E538</f>
        <v>23.76</v>
      </c>
      <c r="L538" s="157">
        <f>'Quantitativos (A)'!J538*$D538*$E538</f>
        <v>23.76</v>
      </c>
      <c r="M538" s="157">
        <f>'Quantitativos (A)'!K538*$D538*$E538</f>
        <v>23.76</v>
      </c>
      <c r="N538" s="157">
        <f>'Quantitativos (A)'!L538*$D538*$E538</f>
        <v>23.76</v>
      </c>
      <c r="O538" s="157">
        <f>'Quantitativos (A)'!M538*$D538*$E538</f>
        <v>23.76</v>
      </c>
      <c r="P538" s="157">
        <f>'Quantitativos (A)'!N538*$D538*$E538</f>
        <v>23.76</v>
      </c>
      <c r="Q538" s="157">
        <f>'Quantitativos (A)'!O538*$D538*$E538</f>
        <v>23.76</v>
      </c>
      <c r="R538" s="157">
        <f>'Quantitativos (A)'!P538*$D538*$E538</f>
        <v>23.76</v>
      </c>
      <c r="S538" s="157">
        <f>'Quantitativos (A)'!Q538*$D538*$E538</f>
        <v>23.76</v>
      </c>
      <c r="T538" s="157">
        <f>'Quantitativos (A)'!R538*$D538*$E538</f>
        <v>23.76</v>
      </c>
      <c r="U538" s="157">
        <f>'Quantitativos (A)'!S538*$D538*$E538</f>
        <v>23.76</v>
      </c>
      <c r="V538" s="157">
        <f>'Quantitativos (A)'!T538*$D538*$E538</f>
        <v>23.76</v>
      </c>
      <c r="W538" s="157">
        <f>'Quantitativos (A)'!U538*$D538*$E538</f>
        <v>23.76</v>
      </c>
      <c r="X538" s="157">
        <f>'Quantitativos (A)'!V538*$D538*$E538</f>
        <v>23.76</v>
      </c>
      <c r="Y538" s="157">
        <f>'Quantitativos (A)'!W538*$D538*$E538</f>
        <v>23.76</v>
      </c>
      <c r="Z538" s="157">
        <f>'Quantitativos (A)'!X538*$D538*$E538</f>
        <v>23.76</v>
      </c>
      <c r="AA538" s="157">
        <f>'Quantitativos (A)'!Y538*$D538*$E538</f>
        <v>23.76</v>
      </c>
      <c r="AB538" s="157">
        <f>'Quantitativos (A)'!Z538*$D538*$E538</f>
        <v>23.76</v>
      </c>
      <c r="AC538" s="157">
        <f>'Quantitativos (A)'!AA538*$D538*$E538</f>
        <v>23.76</v>
      </c>
      <c r="AD538" s="157">
        <f>'Quantitativos (A)'!AB538*$D538*$E538</f>
        <v>23.76</v>
      </c>
      <c r="AE538" s="157">
        <f>'Quantitativos (A)'!AC538*$D538*$E538</f>
        <v>23.76</v>
      </c>
      <c r="AF538" s="157">
        <f>'Quantitativos (A)'!AD538*$D538*$E538</f>
        <v>23.76</v>
      </c>
      <c r="AG538" s="157">
        <f>'Quantitativos (A)'!AE538*$D538*$E538</f>
        <v>23.76</v>
      </c>
      <c r="AH538" s="157">
        <f>'Quantitativos (A)'!AF538*$D538*$E538</f>
        <v>23.76</v>
      </c>
      <c r="AI538" s="158">
        <f>'Quantitativos (A)'!AG538*$D538*$E538</f>
        <v>23.76</v>
      </c>
      <c r="AJ538" s="22"/>
    </row>
    <row r="539" spans="1:36" x14ac:dyDescent="0.25">
      <c r="A539" s="112"/>
      <c r="B539" s="136" t="s">
        <v>172</v>
      </c>
      <c r="C539" s="67" t="s">
        <v>59</v>
      </c>
      <c r="D539" s="157">
        <f>'Dados (F)'!$D$344</f>
        <v>68.040000000000006</v>
      </c>
      <c r="E539" s="125">
        <f>IF('Dados (F)'!$D$35=1,1,'Dados (F)'!$C$39)</f>
        <v>1</v>
      </c>
      <c r="F539" s="157">
        <f>'Quantitativos (A)'!D539*$D539*$E539</f>
        <v>136.08000000000001</v>
      </c>
      <c r="G539" s="157">
        <f>'Quantitativos (A)'!E539*$D539*$E539</f>
        <v>136.08000000000001</v>
      </c>
      <c r="H539" s="157">
        <f>'Quantitativos (A)'!F539*$D539*$E539</f>
        <v>136.08000000000001</v>
      </c>
      <c r="I539" s="157">
        <f>'Quantitativos (A)'!G539*$D539*$E539</f>
        <v>136.08000000000001</v>
      </c>
      <c r="J539" s="157">
        <f>'Quantitativos (A)'!H539*$D539*$E539</f>
        <v>136.08000000000001</v>
      </c>
      <c r="K539" s="157">
        <f>'Quantitativos (A)'!I539*$D539*$E539</f>
        <v>136.08000000000001</v>
      </c>
      <c r="L539" s="157">
        <f>'Quantitativos (A)'!J539*$D539*$E539</f>
        <v>136.08000000000001</v>
      </c>
      <c r="M539" s="157">
        <f>'Quantitativos (A)'!K539*$D539*$E539</f>
        <v>136.08000000000001</v>
      </c>
      <c r="N539" s="157">
        <f>'Quantitativos (A)'!L539*$D539*$E539</f>
        <v>136.08000000000001</v>
      </c>
      <c r="O539" s="157">
        <f>'Quantitativos (A)'!M539*$D539*$E539</f>
        <v>136.08000000000001</v>
      </c>
      <c r="P539" s="157">
        <f>'Quantitativos (A)'!N539*$D539*$E539</f>
        <v>136.08000000000001</v>
      </c>
      <c r="Q539" s="157">
        <f>'Quantitativos (A)'!O539*$D539*$E539</f>
        <v>136.08000000000001</v>
      </c>
      <c r="R539" s="157">
        <f>'Quantitativos (A)'!P539*$D539*$E539</f>
        <v>136.08000000000001</v>
      </c>
      <c r="S539" s="157">
        <f>'Quantitativos (A)'!Q539*$D539*$E539</f>
        <v>136.08000000000001</v>
      </c>
      <c r="T539" s="157">
        <f>'Quantitativos (A)'!R539*$D539*$E539</f>
        <v>136.08000000000001</v>
      </c>
      <c r="U539" s="157">
        <f>'Quantitativos (A)'!S539*$D539*$E539</f>
        <v>136.08000000000001</v>
      </c>
      <c r="V539" s="157">
        <f>'Quantitativos (A)'!T539*$D539*$E539</f>
        <v>136.08000000000001</v>
      </c>
      <c r="W539" s="157">
        <f>'Quantitativos (A)'!U539*$D539*$E539</f>
        <v>136.08000000000001</v>
      </c>
      <c r="X539" s="157">
        <f>'Quantitativos (A)'!V539*$D539*$E539</f>
        <v>136.08000000000001</v>
      </c>
      <c r="Y539" s="157">
        <f>'Quantitativos (A)'!W539*$D539*$E539</f>
        <v>136.08000000000001</v>
      </c>
      <c r="Z539" s="157">
        <f>'Quantitativos (A)'!X539*$D539*$E539</f>
        <v>136.08000000000001</v>
      </c>
      <c r="AA539" s="157">
        <f>'Quantitativos (A)'!Y539*$D539*$E539</f>
        <v>136.08000000000001</v>
      </c>
      <c r="AB539" s="157">
        <f>'Quantitativos (A)'!Z539*$D539*$E539</f>
        <v>136.08000000000001</v>
      </c>
      <c r="AC539" s="157">
        <f>'Quantitativos (A)'!AA539*$D539*$E539</f>
        <v>136.08000000000001</v>
      </c>
      <c r="AD539" s="157">
        <f>'Quantitativos (A)'!AB539*$D539*$E539</f>
        <v>136.08000000000001</v>
      </c>
      <c r="AE539" s="157">
        <f>'Quantitativos (A)'!AC539*$D539*$E539</f>
        <v>136.08000000000001</v>
      </c>
      <c r="AF539" s="157">
        <f>'Quantitativos (A)'!AD539*$D539*$E539</f>
        <v>136.08000000000001</v>
      </c>
      <c r="AG539" s="157">
        <f>'Quantitativos (A)'!AE539*$D539*$E539</f>
        <v>136.08000000000001</v>
      </c>
      <c r="AH539" s="157">
        <f>'Quantitativos (A)'!AF539*$D539*$E539</f>
        <v>136.08000000000001</v>
      </c>
      <c r="AI539" s="158">
        <f>'Quantitativos (A)'!AG539*$D539*$E539</f>
        <v>136.08000000000001</v>
      </c>
      <c r="AJ539" s="22"/>
    </row>
    <row r="540" spans="1:36" x14ac:dyDescent="0.25">
      <c r="A540" s="112"/>
      <c r="B540" s="136" t="s">
        <v>174</v>
      </c>
      <c r="C540" s="67" t="s">
        <v>59</v>
      </c>
      <c r="D540" s="157">
        <f>'Dados (F)'!$D$346</f>
        <v>4.75</v>
      </c>
      <c r="E540" s="125">
        <f>IF('Dados (F)'!$D$35=1,1,'Dados (F)'!$C$39)</f>
        <v>1</v>
      </c>
      <c r="F540" s="157">
        <f>'Quantitativos (A)'!D540*$D540*$E540</f>
        <v>4.75</v>
      </c>
      <c r="G540" s="157">
        <f>'Quantitativos (A)'!E540*$D540*$E540</f>
        <v>4.75</v>
      </c>
      <c r="H540" s="157">
        <f>'Quantitativos (A)'!F540*$D540*$E540</f>
        <v>4.75</v>
      </c>
      <c r="I540" s="157">
        <f>'Quantitativos (A)'!G540*$D540*$E540</f>
        <v>4.75</v>
      </c>
      <c r="J540" s="157">
        <f>'Quantitativos (A)'!H540*$D540*$E540</f>
        <v>4.75</v>
      </c>
      <c r="K540" s="157">
        <f>'Quantitativos (A)'!I540*$D540*$E540</f>
        <v>4.75</v>
      </c>
      <c r="L540" s="157">
        <f>'Quantitativos (A)'!J540*$D540*$E540</f>
        <v>4.75</v>
      </c>
      <c r="M540" s="157">
        <f>'Quantitativos (A)'!K540*$D540*$E540</f>
        <v>4.75</v>
      </c>
      <c r="N540" s="157">
        <f>'Quantitativos (A)'!L540*$D540*$E540</f>
        <v>4.75</v>
      </c>
      <c r="O540" s="157">
        <f>'Quantitativos (A)'!M540*$D540*$E540</f>
        <v>4.75</v>
      </c>
      <c r="P540" s="157">
        <f>'Quantitativos (A)'!N540*$D540*$E540</f>
        <v>4.75</v>
      </c>
      <c r="Q540" s="157">
        <f>'Quantitativos (A)'!O540*$D540*$E540</f>
        <v>4.75</v>
      </c>
      <c r="R540" s="157">
        <f>'Quantitativos (A)'!P540*$D540*$E540</f>
        <v>4.75</v>
      </c>
      <c r="S540" s="157">
        <f>'Quantitativos (A)'!Q540*$D540*$E540</f>
        <v>4.75</v>
      </c>
      <c r="T540" s="157">
        <f>'Quantitativos (A)'!R540*$D540*$E540</f>
        <v>4.75</v>
      </c>
      <c r="U540" s="157">
        <f>'Quantitativos (A)'!S540*$D540*$E540</f>
        <v>4.75</v>
      </c>
      <c r="V540" s="157">
        <f>'Quantitativos (A)'!T540*$D540*$E540</f>
        <v>4.75</v>
      </c>
      <c r="W540" s="157">
        <f>'Quantitativos (A)'!U540*$D540*$E540</f>
        <v>4.75</v>
      </c>
      <c r="X540" s="157">
        <f>'Quantitativos (A)'!V540*$D540*$E540</f>
        <v>4.75</v>
      </c>
      <c r="Y540" s="157">
        <f>'Quantitativos (A)'!W540*$D540*$E540</f>
        <v>4.75</v>
      </c>
      <c r="Z540" s="157">
        <f>'Quantitativos (A)'!X540*$D540*$E540</f>
        <v>4.75</v>
      </c>
      <c r="AA540" s="157">
        <f>'Quantitativos (A)'!Y540*$D540*$E540</f>
        <v>4.75</v>
      </c>
      <c r="AB540" s="157">
        <f>'Quantitativos (A)'!Z540*$D540*$E540</f>
        <v>4.75</v>
      </c>
      <c r="AC540" s="157">
        <f>'Quantitativos (A)'!AA540*$D540*$E540</f>
        <v>4.75</v>
      </c>
      <c r="AD540" s="157">
        <f>'Quantitativos (A)'!AB540*$D540*$E540</f>
        <v>4.75</v>
      </c>
      <c r="AE540" s="157">
        <f>'Quantitativos (A)'!AC540*$D540*$E540</f>
        <v>4.75</v>
      </c>
      <c r="AF540" s="157">
        <f>'Quantitativos (A)'!AD540*$D540*$E540</f>
        <v>4.75</v>
      </c>
      <c r="AG540" s="157">
        <f>'Quantitativos (A)'!AE540*$D540*$E540</f>
        <v>4.75</v>
      </c>
      <c r="AH540" s="157">
        <f>'Quantitativos (A)'!AF540*$D540*$E540</f>
        <v>4.75</v>
      </c>
      <c r="AI540" s="158">
        <f>'Quantitativos (A)'!AG540*$D540*$E540</f>
        <v>4.75</v>
      </c>
      <c r="AJ540" s="22"/>
    </row>
    <row r="541" spans="1:36" x14ac:dyDescent="0.25">
      <c r="A541" s="112"/>
      <c r="B541" s="136" t="s">
        <v>175</v>
      </c>
      <c r="C541" s="67" t="s">
        <v>59</v>
      </c>
      <c r="D541" s="157">
        <f>'Dados (F)'!$D$347</f>
        <v>1.87</v>
      </c>
      <c r="E541" s="125">
        <f>IF('Dados (F)'!$D$35=1,1,'Dados (F)'!$C$39)</f>
        <v>1</v>
      </c>
      <c r="F541" s="157">
        <f>'Quantitativos (A)'!D541*$D541*$E541</f>
        <v>9.3500000000000014</v>
      </c>
      <c r="G541" s="157">
        <f>'Quantitativos (A)'!E541*$D541*$E541</f>
        <v>9.3500000000000014</v>
      </c>
      <c r="H541" s="157">
        <f>'Quantitativos (A)'!F541*$D541*$E541</f>
        <v>9.3500000000000014</v>
      </c>
      <c r="I541" s="157">
        <f>'Quantitativos (A)'!G541*$D541*$E541</f>
        <v>9.3500000000000014</v>
      </c>
      <c r="J541" s="157">
        <f>'Quantitativos (A)'!H541*$D541*$E541</f>
        <v>9.3500000000000014</v>
      </c>
      <c r="K541" s="157">
        <f>'Quantitativos (A)'!I541*$D541*$E541</f>
        <v>9.3500000000000014</v>
      </c>
      <c r="L541" s="157">
        <f>'Quantitativos (A)'!J541*$D541*$E541</f>
        <v>9.3500000000000014</v>
      </c>
      <c r="M541" s="157">
        <f>'Quantitativos (A)'!K541*$D541*$E541</f>
        <v>9.3500000000000014</v>
      </c>
      <c r="N541" s="157">
        <f>'Quantitativos (A)'!L541*$D541*$E541</f>
        <v>9.3500000000000014</v>
      </c>
      <c r="O541" s="157">
        <f>'Quantitativos (A)'!M541*$D541*$E541</f>
        <v>9.3500000000000014</v>
      </c>
      <c r="P541" s="157">
        <f>'Quantitativos (A)'!N541*$D541*$E541</f>
        <v>9.3500000000000014</v>
      </c>
      <c r="Q541" s="157">
        <f>'Quantitativos (A)'!O541*$D541*$E541</f>
        <v>9.3500000000000014</v>
      </c>
      <c r="R541" s="157">
        <f>'Quantitativos (A)'!P541*$D541*$E541</f>
        <v>9.3500000000000014</v>
      </c>
      <c r="S541" s="157">
        <f>'Quantitativos (A)'!Q541*$D541*$E541</f>
        <v>9.3500000000000014</v>
      </c>
      <c r="T541" s="157">
        <f>'Quantitativos (A)'!R541*$D541*$E541</f>
        <v>9.3500000000000014</v>
      </c>
      <c r="U541" s="157">
        <f>'Quantitativos (A)'!S541*$D541*$E541</f>
        <v>9.3500000000000014</v>
      </c>
      <c r="V541" s="157">
        <f>'Quantitativos (A)'!T541*$D541*$E541</f>
        <v>9.3500000000000014</v>
      </c>
      <c r="W541" s="157">
        <f>'Quantitativos (A)'!U541*$D541*$E541</f>
        <v>9.3500000000000014</v>
      </c>
      <c r="X541" s="157">
        <f>'Quantitativos (A)'!V541*$D541*$E541</f>
        <v>9.3500000000000014</v>
      </c>
      <c r="Y541" s="157">
        <f>'Quantitativos (A)'!W541*$D541*$E541</f>
        <v>9.3500000000000014</v>
      </c>
      <c r="Z541" s="157">
        <f>'Quantitativos (A)'!X541*$D541*$E541</f>
        <v>9.3500000000000014</v>
      </c>
      <c r="AA541" s="157">
        <f>'Quantitativos (A)'!Y541*$D541*$E541</f>
        <v>9.3500000000000014</v>
      </c>
      <c r="AB541" s="157">
        <f>'Quantitativos (A)'!Z541*$D541*$E541</f>
        <v>9.3500000000000014</v>
      </c>
      <c r="AC541" s="157">
        <f>'Quantitativos (A)'!AA541*$D541*$E541</f>
        <v>9.3500000000000014</v>
      </c>
      <c r="AD541" s="157">
        <f>'Quantitativos (A)'!AB541*$D541*$E541</f>
        <v>9.3500000000000014</v>
      </c>
      <c r="AE541" s="157">
        <f>'Quantitativos (A)'!AC541*$D541*$E541</f>
        <v>9.3500000000000014</v>
      </c>
      <c r="AF541" s="157">
        <f>'Quantitativos (A)'!AD541*$D541*$E541</f>
        <v>9.3500000000000014</v>
      </c>
      <c r="AG541" s="157">
        <f>'Quantitativos (A)'!AE541*$D541*$E541</f>
        <v>9.3500000000000014</v>
      </c>
      <c r="AH541" s="157">
        <f>'Quantitativos (A)'!AF541*$D541*$E541</f>
        <v>9.3500000000000014</v>
      </c>
      <c r="AI541" s="158">
        <f>'Quantitativos (A)'!AG541*$D541*$E541</f>
        <v>9.3500000000000014</v>
      </c>
      <c r="AJ541" s="22"/>
    </row>
    <row r="542" spans="1:36" x14ac:dyDescent="0.25">
      <c r="A542" s="112"/>
      <c r="B542" s="136" t="s">
        <v>176</v>
      </c>
      <c r="C542" s="67" t="s">
        <v>59</v>
      </c>
      <c r="D542" s="157">
        <f>'Dados (F)'!$D$348</f>
        <v>24.94</v>
      </c>
      <c r="E542" s="125">
        <f>IF('Dados (F)'!$D$35=1,1,'Dados (F)'!$C$39)</f>
        <v>1</v>
      </c>
      <c r="F542" s="157">
        <f>'Quantitativos (A)'!D542*$D542*$E542</f>
        <v>49.88</v>
      </c>
      <c r="G542" s="157">
        <f>'Quantitativos (A)'!E542*$D542*$E542</f>
        <v>49.88</v>
      </c>
      <c r="H542" s="157">
        <f>'Quantitativos (A)'!F542*$D542*$E542</f>
        <v>49.88</v>
      </c>
      <c r="I542" s="157">
        <f>'Quantitativos (A)'!G542*$D542*$E542</f>
        <v>49.88</v>
      </c>
      <c r="J542" s="157">
        <f>'Quantitativos (A)'!H542*$D542*$E542</f>
        <v>49.88</v>
      </c>
      <c r="K542" s="157">
        <f>'Quantitativos (A)'!I542*$D542*$E542</f>
        <v>49.88</v>
      </c>
      <c r="L542" s="157">
        <f>'Quantitativos (A)'!J542*$D542*$E542</f>
        <v>49.88</v>
      </c>
      <c r="M542" s="157">
        <f>'Quantitativos (A)'!K542*$D542*$E542</f>
        <v>49.88</v>
      </c>
      <c r="N542" s="157">
        <f>'Quantitativos (A)'!L542*$D542*$E542</f>
        <v>49.88</v>
      </c>
      <c r="O542" s="157">
        <f>'Quantitativos (A)'!M542*$D542*$E542</f>
        <v>49.88</v>
      </c>
      <c r="P542" s="157">
        <f>'Quantitativos (A)'!N542*$D542*$E542</f>
        <v>49.88</v>
      </c>
      <c r="Q542" s="157">
        <f>'Quantitativos (A)'!O542*$D542*$E542</f>
        <v>49.88</v>
      </c>
      <c r="R542" s="157">
        <f>'Quantitativos (A)'!P542*$D542*$E542</f>
        <v>49.88</v>
      </c>
      <c r="S542" s="157">
        <f>'Quantitativos (A)'!Q542*$D542*$E542</f>
        <v>49.88</v>
      </c>
      <c r="T542" s="157">
        <f>'Quantitativos (A)'!R542*$D542*$E542</f>
        <v>49.88</v>
      </c>
      <c r="U542" s="157">
        <f>'Quantitativos (A)'!S542*$D542*$E542</f>
        <v>49.88</v>
      </c>
      <c r="V542" s="157">
        <f>'Quantitativos (A)'!T542*$D542*$E542</f>
        <v>49.88</v>
      </c>
      <c r="W542" s="157">
        <f>'Quantitativos (A)'!U542*$D542*$E542</f>
        <v>49.88</v>
      </c>
      <c r="X542" s="157">
        <f>'Quantitativos (A)'!V542*$D542*$E542</f>
        <v>49.88</v>
      </c>
      <c r="Y542" s="157">
        <f>'Quantitativos (A)'!W542*$D542*$E542</f>
        <v>49.88</v>
      </c>
      <c r="Z542" s="157">
        <f>'Quantitativos (A)'!X542*$D542*$E542</f>
        <v>49.88</v>
      </c>
      <c r="AA542" s="157">
        <f>'Quantitativos (A)'!Y542*$D542*$E542</f>
        <v>49.88</v>
      </c>
      <c r="AB542" s="157">
        <f>'Quantitativos (A)'!Z542*$D542*$E542</f>
        <v>49.88</v>
      </c>
      <c r="AC542" s="157">
        <f>'Quantitativos (A)'!AA542*$D542*$E542</f>
        <v>49.88</v>
      </c>
      <c r="AD542" s="157">
        <f>'Quantitativos (A)'!AB542*$D542*$E542</f>
        <v>49.88</v>
      </c>
      <c r="AE542" s="157">
        <f>'Quantitativos (A)'!AC542*$D542*$E542</f>
        <v>49.88</v>
      </c>
      <c r="AF542" s="157">
        <f>'Quantitativos (A)'!AD542*$D542*$E542</f>
        <v>49.88</v>
      </c>
      <c r="AG542" s="157">
        <f>'Quantitativos (A)'!AE542*$D542*$E542</f>
        <v>49.88</v>
      </c>
      <c r="AH542" s="157">
        <f>'Quantitativos (A)'!AF542*$D542*$E542</f>
        <v>49.88</v>
      </c>
      <c r="AI542" s="158">
        <f>'Quantitativos (A)'!AG542*$D542*$E542</f>
        <v>49.88</v>
      </c>
      <c r="AJ542" s="22"/>
    </row>
    <row r="543" spans="1:36" x14ac:dyDescent="0.25">
      <c r="A543" s="112"/>
      <c r="B543" s="136" t="s">
        <v>177</v>
      </c>
      <c r="C543" s="67" t="s">
        <v>59</v>
      </c>
      <c r="D543" s="157">
        <f>'Dados (F)'!$D$349</f>
        <v>28.85</v>
      </c>
      <c r="E543" s="125">
        <f>IF('Dados (F)'!$D$35=1,1,'Dados (F)'!$C$39)</f>
        <v>1</v>
      </c>
      <c r="F543" s="157">
        <f>'Quantitativos (A)'!D543*$D543*$E543</f>
        <v>57.7</v>
      </c>
      <c r="G543" s="157">
        <f>'Quantitativos (A)'!E543*$D543*$E543</f>
        <v>57.7</v>
      </c>
      <c r="H543" s="157">
        <f>'Quantitativos (A)'!F543*$D543*$E543</f>
        <v>57.7</v>
      </c>
      <c r="I543" s="157">
        <f>'Quantitativos (A)'!G543*$D543*$E543</f>
        <v>57.7</v>
      </c>
      <c r="J543" s="157">
        <f>'Quantitativos (A)'!H543*$D543*$E543</f>
        <v>57.7</v>
      </c>
      <c r="K543" s="157">
        <f>'Quantitativos (A)'!I543*$D543*$E543</f>
        <v>57.7</v>
      </c>
      <c r="L543" s="157">
        <f>'Quantitativos (A)'!J543*$D543*$E543</f>
        <v>57.7</v>
      </c>
      <c r="M543" s="157">
        <f>'Quantitativos (A)'!K543*$D543*$E543</f>
        <v>57.7</v>
      </c>
      <c r="N543" s="157">
        <f>'Quantitativos (A)'!L543*$D543*$E543</f>
        <v>57.7</v>
      </c>
      <c r="O543" s="157">
        <f>'Quantitativos (A)'!M543*$D543*$E543</f>
        <v>57.7</v>
      </c>
      <c r="P543" s="157">
        <f>'Quantitativos (A)'!N543*$D543*$E543</f>
        <v>57.7</v>
      </c>
      <c r="Q543" s="157">
        <f>'Quantitativos (A)'!O543*$D543*$E543</f>
        <v>57.7</v>
      </c>
      <c r="R543" s="157">
        <f>'Quantitativos (A)'!P543*$D543*$E543</f>
        <v>57.7</v>
      </c>
      <c r="S543" s="157">
        <f>'Quantitativos (A)'!Q543*$D543*$E543</f>
        <v>57.7</v>
      </c>
      <c r="T543" s="157">
        <f>'Quantitativos (A)'!R543*$D543*$E543</f>
        <v>57.7</v>
      </c>
      <c r="U543" s="157">
        <f>'Quantitativos (A)'!S543*$D543*$E543</f>
        <v>57.7</v>
      </c>
      <c r="V543" s="157">
        <f>'Quantitativos (A)'!T543*$D543*$E543</f>
        <v>57.7</v>
      </c>
      <c r="W543" s="157">
        <f>'Quantitativos (A)'!U543*$D543*$E543</f>
        <v>57.7</v>
      </c>
      <c r="X543" s="157">
        <f>'Quantitativos (A)'!V543*$D543*$E543</f>
        <v>57.7</v>
      </c>
      <c r="Y543" s="157">
        <f>'Quantitativos (A)'!W543*$D543*$E543</f>
        <v>57.7</v>
      </c>
      <c r="Z543" s="157">
        <f>'Quantitativos (A)'!X543*$D543*$E543</f>
        <v>57.7</v>
      </c>
      <c r="AA543" s="157">
        <f>'Quantitativos (A)'!Y543*$D543*$E543</f>
        <v>57.7</v>
      </c>
      <c r="AB543" s="157">
        <f>'Quantitativos (A)'!Z543*$D543*$E543</f>
        <v>57.7</v>
      </c>
      <c r="AC543" s="157">
        <f>'Quantitativos (A)'!AA543*$D543*$E543</f>
        <v>57.7</v>
      </c>
      <c r="AD543" s="157">
        <f>'Quantitativos (A)'!AB543*$D543*$E543</f>
        <v>57.7</v>
      </c>
      <c r="AE543" s="157">
        <f>'Quantitativos (A)'!AC543*$D543*$E543</f>
        <v>57.7</v>
      </c>
      <c r="AF543" s="157">
        <f>'Quantitativos (A)'!AD543*$D543*$E543</f>
        <v>57.7</v>
      </c>
      <c r="AG543" s="157">
        <f>'Quantitativos (A)'!AE543*$D543*$E543</f>
        <v>57.7</v>
      </c>
      <c r="AH543" s="157">
        <f>'Quantitativos (A)'!AF543*$D543*$E543</f>
        <v>57.7</v>
      </c>
      <c r="AI543" s="158">
        <f>'Quantitativos (A)'!AG543*$D543*$E543</f>
        <v>57.7</v>
      </c>
      <c r="AJ543" s="22"/>
    </row>
    <row r="544" spans="1:36" x14ac:dyDescent="0.25">
      <c r="A544" s="112"/>
      <c r="B544" s="136" t="s">
        <v>178</v>
      </c>
      <c r="C544" s="67" t="s">
        <v>59</v>
      </c>
      <c r="D544" s="157">
        <f>'Dados (F)'!$D$350</f>
        <v>33.03</v>
      </c>
      <c r="E544" s="125">
        <f>IF('Dados (F)'!$D$35=1,1,'Dados (F)'!$C$39)</f>
        <v>1</v>
      </c>
      <c r="F544" s="157">
        <f>'Quantitativos (A)'!D544*$D544*$E544</f>
        <v>66.06</v>
      </c>
      <c r="G544" s="157">
        <f>'Quantitativos (A)'!E544*$D544*$E544</f>
        <v>66.06</v>
      </c>
      <c r="H544" s="157">
        <f>'Quantitativos (A)'!F544*$D544*$E544</f>
        <v>66.06</v>
      </c>
      <c r="I544" s="157">
        <f>'Quantitativos (A)'!G544*$D544*$E544</f>
        <v>66.06</v>
      </c>
      <c r="J544" s="157">
        <f>'Quantitativos (A)'!H544*$D544*$E544</f>
        <v>66.06</v>
      </c>
      <c r="K544" s="157">
        <f>'Quantitativos (A)'!I544*$D544*$E544</f>
        <v>66.06</v>
      </c>
      <c r="L544" s="157">
        <f>'Quantitativos (A)'!J544*$D544*$E544</f>
        <v>66.06</v>
      </c>
      <c r="M544" s="157">
        <f>'Quantitativos (A)'!K544*$D544*$E544</f>
        <v>66.06</v>
      </c>
      <c r="N544" s="157">
        <f>'Quantitativos (A)'!L544*$D544*$E544</f>
        <v>66.06</v>
      </c>
      <c r="O544" s="157">
        <f>'Quantitativos (A)'!M544*$D544*$E544</f>
        <v>66.06</v>
      </c>
      <c r="P544" s="157">
        <f>'Quantitativos (A)'!N544*$D544*$E544</f>
        <v>66.06</v>
      </c>
      <c r="Q544" s="157">
        <f>'Quantitativos (A)'!O544*$D544*$E544</f>
        <v>66.06</v>
      </c>
      <c r="R544" s="157">
        <f>'Quantitativos (A)'!P544*$D544*$E544</f>
        <v>66.06</v>
      </c>
      <c r="S544" s="157">
        <f>'Quantitativos (A)'!Q544*$D544*$E544</f>
        <v>66.06</v>
      </c>
      <c r="T544" s="157">
        <f>'Quantitativos (A)'!R544*$D544*$E544</f>
        <v>66.06</v>
      </c>
      <c r="U544" s="157">
        <f>'Quantitativos (A)'!S544*$D544*$E544</f>
        <v>66.06</v>
      </c>
      <c r="V544" s="157">
        <f>'Quantitativos (A)'!T544*$D544*$E544</f>
        <v>66.06</v>
      </c>
      <c r="W544" s="157">
        <f>'Quantitativos (A)'!U544*$D544*$E544</f>
        <v>66.06</v>
      </c>
      <c r="X544" s="157">
        <f>'Quantitativos (A)'!V544*$D544*$E544</f>
        <v>66.06</v>
      </c>
      <c r="Y544" s="157">
        <f>'Quantitativos (A)'!W544*$D544*$E544</f>
        <v>66.06</v>
      </c>
      <c r="Z544" s="157">
        <f>'Quantitativos (A)'!X544*$D544*$E544</f>
        <v>66.06</v>
      </c>
      <c r="AA544" s="157">
        <f>'Quantitativos (A)'!Y544*$D544*$E544</f>
        <v>66.06</v>
      </c>
      <c r="AB544" s="157">
        <f>'Quantitativos (A)'!Z544*$D544*$E544</f>
        <v>66.06</v>
      </c>
      <c r="AC544" s="157">
        <f>'Quantitativos (A)'!AA544*$D544*$E544</f>
        <v>66.06</v>
      </c>
      <c r="AD544" s="157">
        <f>'Quantitativos (A)'!AB544*$D544*$E544</f>
        <v>66.06</v>
      </c>
      <c r="AE544" s="157">
        <f>'Quantitativos (A)'!AC544*$D544*$E544</f>
        <v>66.06</v>
      </c>
      <c r="AF544" s="157">
        <f>'Quantitativos (A)'!AD544*$D544*$E544</f>
        <v>66.06</v>
      </c>
      <c r="AG544" s="157">
        <f>'Quantitativos (A)'!AE544*$D544*$E544</f>
        <v>66.06</v>
      </c>
      <c r="AH544" s="157">
        <f>'Quantitativos (A)'!AF544*$D544*$E544</f>
        <v>66.06</v>
      </c>
      <c r="AI544" s="158">
        <f>'Quantitativos (A)'!AG544*$D544*$E544</f>
        <v>66.06</v>
      </c>
      <c r="AJ544" s="22"/>
    </row>
    <row r="545" spans="1:36" x14ac:dyDescent="0.25">
      <c r="A545" s="112"/>
      <c r="B545" s="136" t="s">
        <v>179</v>
      </c>
      <c r="C545" s="67" t="s">
        <v>59</v>
      </c>
      <c r="D545" s="157">
        <f>'Dados (F)'!$D$351</f>
        <v>44.58</v>
      </c>
      <c r="E545" s="125">
        <f>IF('Dados (F)'!$D$35=1,1,'Dados (F)'!$C$39)</f>
        <v>1</v>
      </c>
      <c r="F545" s="157">
        <f>'Quantitativos (A)'!D545*$D545*$E545</f>
        <v>89.16</v>
      </c>
      <c r="G545" s="157">
        <f>'Quantitativos (A)'!E545*$D545*$E545</f>
        <v>89.16</v>
      </c>
      <c r="H545" s="157">
        <f>'Quantitativos (A)'!F545*$D545*$E545</f>
        <v>89.16</v>
      </c>
      <c r="I545" s="157">
        <f>'Quantitativos (A)'!G545*$D545*$E545</f>
        <v>89.16</v>
      </c>
      <c r="J545" s="157">
        <f>'Quantitativos (A)'!H545*$D545*$E545</f>
        <v>89.16</v>
      </c>
      <c r="K545" s="157">
        <f>'Quantitativos (A)'!I545*$D545*$E545</f>
        <v>89.16</v>
      </c>
      <c r="L545" s="157">
        <f>'Quantitativos (A)'!J545*$D545*$E545</f>
        <v>89.16</v>
      </c>
      <c r="M545" s="157">
        <f>'Quantitativos (A)'!K545*$D545*$E545</f>
        <v>89.16</v>
      </c>
      <c r="N545" s="157">
        <f>'Quantitativos (A)'!L545*$D545*$E545</f>
        <v>89.16</v>
      </c>
      <c r="O545" s="157">
        <f>'Quantitativos (A)'!M545*$D545*$E545</f>
        <v>89.16</v>
      </c>
      <c r="P545" s="157">
        <f>'Quantitativos (A)'!N545*$D545*$E545</f>
        <v>89.16</v>
      </c>
      <c r="Q545" s="157">
        <f>'Quantitativos (A)'!O545*$D545*$E545</f>
        <v>89.16</v>
      </c>
      <c r="R545" s="157">
        <f>'Quantitativos (A)'!P545*$D545*$E545</f>
        <v>89.16</v>
      </c>
      <c r="S545" s="157">
        <f>'Quantitativos (A)'!Q545*$D545*$E545</f>
        <v>89.16</v>
      </c>
      <c r="T545" s="157">
        <f>'Quantitativos (A)'!R545*$D545*$E545</f>
        <v>89.16</v>
      </c>
      <c r="U545" s="157">
        <f>'Quantitativos (A)'!S545*$D545*$E545</f>
        <v>89.16</v>
      </c>
      <c r="V545" s="157">
        <f>'Quantitativos (A)'!T545*$D545*$E545</f>
        <v>89.16</v>
      </c>
      <c r="W545" s="157">
        <f>'Quantitativos (A)'!U545*$D545*$E545</f>
        <v>89.16</v>
      </c>
      <c r="X545" s="157">
        <f>'Quantitativos (A)'!V545*$D545*$E545</f>
        <v>89.16</v>
      </c>
      <c r="Y545" s="157">
        <f>'Quantitativos (A)'!W545*$D545*$E545</f>
        <v>89.16</v>
      </c>
      <c r="Z545" s="157">
        <f>'Quantitativos (A)'!X545*$D545*$E545</f>
        <v>89.16</v>
      </c>
      <c r="AA545" s="157">
        <f>'Quantitativos (A)'!Y545*$D545*$E545</f>
        <v>89.16</v>
      </c>
      <c r="AB545" s="157">
        <f>'Quantitativos (A)'!Z545*$D545*$E545</f>
        <v>89.16</v>
      </c>
      <c r="AC545" s="157">
        <f>'Quantitativos (A)'!AA545*$D545*$E545</f>
        <v>89.16</v>
      </c>
      <c r="AD545" s="157">
        <f>'Quantitativos (A)'!AB545*$D545*$E545</f>
        <v>89.16</v>
      </c>
      <c r="AE545" s="157">
        <f>'Quantitativos (A)'!AC545*$D545*$E545</f>
        <v>89.16</v>
      </c>
      <c r="AF545" s="157">
        <f>'Quantitativos (A)'!AD545*$D545*$E545</f>
        <v>89.16</v>
      </c>
      <c r="AG545" s="157">
        <f>'Quantitativos (A)'!AE545*$D545*$E545</f>
        <v>89.16</v>
      </c>
      <c r="AH545" s="157">
        <f>'Quantitativos (A)'!AF545*$D545*$E545</f>
        <v>89.16</v>
      </c>
      <c r="AI545" s="158">
        <f>'Quantitativos (A)'!AG545*$D545*$E545</f>
        <v>89.16</v>
      </c>
      <c r="AJ545" s="22"/>
    </row>
    <row r="546" spans="1:36" x14ac:dyDescent="0.25">
      <c r="A546" s="112"/>
      <c r="B546" s="120" t="s">
        <v>578</v>
      </c>
      <c r="C546" s="121"/>
      <c r="D546" s="155"/>
      <c r="E546" s="156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60"/>
      <c r="AJ546" s="22"/>
    </row>
    <row r="547" spans="1:36" x14ac:dyDescent="0.25">
      <c r="A547" s="112"/>
      <c r="B547" s="120" t="s">
        <v>579</v>
      </c>
      <c r="C547" s="121"/>
      <c r="D547" s="155"/>
      <c r="E547" s="156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60"/>
      <c r="AJ547" s="22"/>
    </row>
    <row r="548" spans="1:36" x14ac:dyDescent="0.25">
      <c r="A548" s="112"/>
      <c r="B548" s="136" t="s">
        <v>180</v>
      </c>
      <c r="C548" s="67" t="s">
        <v>59</v>
      </c>
      <c r="D548" s="157">
        <f>'Dados (F)'!$D$352</f>
        <v>9364.18</v>
      </c>
      <c r="E548" s="125">
        <f>IF('Dados (F)'!$D$35=1,1,'Dados (F)'!$C$39)</f>
        <v>1</v>
      </c>
      <c r="F548" s="157">
        <f>'Quantitativos (A)'!D548*$D548*$E548</f>
        <v>18728.36</v>
      </c>
      <c r="G548" s="157">
        <f>'Quantitativos (A)'!E548*$D548*$E548</f>
        <v>18728.36</v>
      </c>
      <c r="H548" s="157">
        <f>'Quantitativos (A)'!F548*$D548*$E548</f>
        <v>18728.36</v>
      </c>
      <c r="I548" s="157">
        <f>'Quantitativos (A)'!G548*$D548*$E548</f>
        <v>18728.36</v>
      </c>
      <c r="J548" s="157">
        <f>'Quantitativos (A)'!H548*$D548*$E548</f>
        <v>18728.36</v>
      </c>
      <c r="K548" s="157">
        <f>'Quantitativos (A)'!I548*$D548*$E548</f>
        <v>18728.36</v>
      </c>
      <c r="L548" s="157">
        <f>'Quantitativos (A)'!J548*$D548*$E548</f>
        <v>18728.36</v>
      </c>
      <c r="M548" s="157">
        <f>'Quantitativos (A)'!K548*$D548*$E548</f>
        <v>18728.36</v>
      </c>
      <c r="N548" s="157">
        <f>'Quantitativos (A)'!L548*$D548*$E548</f>
        <v>18728.36</v>
      </c>
      <c r="O548" s="157">
        <f>'Quantitativos (A)'!M548*$D548*$E548</f>
        <v>18728.36</v>
      </c>
      <c r="P548" s="157">
        <f>'Quantitativos (A)'!N548*$D548*$E548</f>
        <v>28092.54</v>
      </c>
      <c r="Q548" s="157">
        <f>'Quantitativos (A)'!O548*$D548*$E548</f>
        <v>28092.54</v>
      </c>
      <c r="R548" s="157">
        <f>'Quantitativos (A)'!P548*$D548*$E548</f>
        <v>28092.54</v>
      </c>
      <c r="S548" s="157">
        <f>'Quantitativos (A)'!Q548*$D548*$E548</f>
        <v>28092.54</v>
      </c>
      <c r="T548" s="157">
        <f>'Quantitativos (A)'!R548*$D548*$E548</f>
        <v>28092.54</v>
      </c>
      <c r="U548" s="157">
        <f>'Quantitativos (A)'!S548*$D548*$E548</f>
        <v>28092.54</v>
      </c>
      <c r="V548" s="157">
        <f>'Quantitativos (A)'!T548*$D548*$E548</f>
        <v>28092.54</v>
      </c>
      <c r="W548" s="157">
        <f>'Quantitativos (A)'!U548*$D548*$E548</f>
        <v>28092.54</v>
      </c>
      <c r="X548" s="157">
        <f>'Quantitativos (A)'!V548*$D548*$E548</f>
        <v>28092.54</v>
      </c>
      <c r="Y548" s="157">
        <f>'Quantitativos (A)'!W548*$D548*$E548</f>
        <v>28092.54</v>
      </c>
      <c r="Z548" s="157">
        <f>'Quantitativos (A)'!X548*$D548*$E548</f>
        <v>18728.36</v>
      </c>
      <c r="AA548" s="157">
        <f>'Quantitativos (A)'!Y548*$D548*$E548</f>
        <v>18728.36</v>
      </c>
      <c r="AB548" s="157">
        <f>'Quantitativos (A)'!Z548*$D548*$E548</f>
        <v>18728.36</v>
      </c>
      <c r="AC548" s="157">
        <f>'Quantitativos (A)'!AA548*$D548*$E548</f>
        <v>18728.36</v>
      </c>
      <c r="AD548" s="157">
        <f>'Quantitativos (A)'!AB548*$D548*$E548</f>
        <v>18728.36</v>
      </c>
      <c r="AE548" s="157">
        <f>'Quantitativos (A)'!AC548*$D548*$E548</f>
        <v>18728.36</v>
      </c>
      <c r="AF548" s="157">
        <f>'Quantitativos (A)'!AD548*$D548*$E548</f>
        <v>18728.36</v>
      </c>
      <c r="AG548" s="157">
        <f>'Quantitativos (A)'!AE548*$D548*$E548</f>
        <v>18728.36</v>
      </c>
      <c r="AH548" s="157">
        <f>'Quantitativos (A)'!AF548*$D548*$E548</f>
        <v>18728.36</v>
      </c>
      <c r="AI548" s="158">
        <f>'Quantitativos (A)'!AG548*$D548*$E548</f>
        <v>18728.36</v>
      </c>
      <c r="AJ548" s="22"/>
    </row>
    <row r="549" spans="1:36" x14ac:dyDescent="0.25">
      <c r="A549" s="112"/>
      <c r="B549" s="136" t="s">
        <v>572</v>
      </c>
      <c r="C549" s="67" t="s">
        <v>59</v>
      </c>
      <c r="D549" s="157">
        <f>'Dados (F)'!$D$353</f>
        <v>1359.48</v>
      </c>
      <c r="E549" s="125">
        <f>IF('Dados (F)'!$D$35=1,1,'Dados (F)'!$C$39)</f>
        <v>1</v>
      </c>
      <c r="F549" s="157">
        <f>'Quantitativos (A)'!D549*$D549*$E549</f>
        <v>2718.96</v>
      </c>
      <c r="G549" s="157">
        <f>'Quantitativos (A)'!E549*$D549*$E549</f>
        <v>2718.96</v>
      </c>
      <c r="H549" s="157">
        <f>'Quantitativos (A)'!F549*$D549*$E549</f>
        <v>2718.96</v>
      </c>
      <c r="I549" s="157">
        <f>'Quantitativos (A)'!G549*$D549*$E549</f>
        <v>2718.96</v>
      </c>
      <c r="J549" s="157">
        <f>'Quantitativos (A)'!H549*$D549*$E549</f>
        <v>2718.96</v>
      </c>
      <c r="K549" s="157">
        <f>'Quantitativos (A)'!I549*$D549*$E549</f>
        <v>2718.96</v>
      </c>
      <c r="L549" s="157">
        <f>'Quantitativos (A)'!J549*$D549*$E549</f>
        <v>2718.96</v>
      </c>
      <c r="M549" s="157">
        <f>'Quantitativos (A)'!K549*$D549*$E549</f>
        <v>2718.96</v>
      </c>
      <c r="N549" s="157">
        <f>'Quantitativos (A)'!L549*$D549*$E549</f>
        <v>2718.96</v>
      </c>
      <c r="O549" s="157">
        <f>'Quantitativos (A)'!M549*$D549*$E549</f>
        <v>2718.96</v>
      </c>
      <c r="P549" s="157">
        <f>'Quantitativos (A)'!N549*$D549*$E549</f>
        <v>2718.96</v>
      </c>
      <c r="Q549" s="157">
        <f>'Quantitativos (A)'!O549*$D549*$E549</f>
        <v>2718.96</v>
      </c>
      <c r="R549" s="157">
        <f>'Quantitativos (A)'!P549*$D549*$E549</f>
        <v>2718.96</v>
      </c>
      <c r="S549" s="157">
        <f>'Quantitativos (A)'!Q549*$D549*$E549</f>
        <v>2718.96</v>
      </c>
      <c r="T549" s="157">
        <f>'Quantitativos (A)'!R549*$D549*$E549</f>
        <v>2718.96</v>
      </c>
      <c r="U549" s="157">
        <f>'Quantitativos (A)'!S549*$D549*$E549</f>
        <v>2718.96</v>
      </c>
      <c r="V549" s="157">
        <f>'Quantitativos (A)'!T549*$D549*$E549</f>
        <v>2718.96</v>
      </c>
      <c r="W549" s="157">
        <f>'Quantitativos (A)'!U549*$D549*$E549</f>
        <v>2718.96</v>
      </c>
      <c r="X549" s="157">
        <f>'Quantitativos (A)'!V549*$D549*$E549</f>
        <v>2718.96</v>
      </c>
      <c r="Y549" s="157">
        <f>'Quantitativos (A)'!W549*$D549*$E549</f>
        <v>2718.96</v>
      </c>
      <c r="Z549" s="157">
        <f>'Quantitativos (A)'!X549*$D549*$E549</f>
        <v>2718.96</v>
      </c>
      <c r="AA549" s="157">
        <f>'Quantitativos (A)'!Y549*$D549*$E549</f>
        <v>2718.96</v>
      </c>
      <c r="AB549" s="157">
        <f>'Quantitativos (A)'!Z549*$D549*$E549</f>
        <v>2718.96</v>
      </c>
      <c r="AC549" s="157">
        <f>'Quantitativos (A)'!AA549*$D549*$E549</f>
        <v>2718.96</v>
      </c>
      <c r="AD549" s="157">
        <f>'Quantitativos (A)'!AB549*$D549*$E549</f>
        <v>2718.96</v>
      </c>
      <c r="AE549" s="157">
        <f>'Quantitativos (A)'!AC549*$D549*$E549</f>
        <v>2718.96</v>
      </c>
      <c r="AF549" s="157">
        <f>'Quantitativos (A)'!AD549*$D549*$E549</f>
        <v>2718.96</v>
      </c>
      <c r="AG549" s="157">
        <f>'Quantitativos (A)'!AE549*$D549*$E549</f>
        <v>2718.96</v>
      </c>
      <c r="AH549" s="157">
        <f>'Quantitativos (A)'!AF549*$D549*$E549</f>
        <v>2718.96</v>
      </c>
      <c r="AI549" s="158">
        <f>'Quantitativos (A)'!AG549*$D549*$E549</f>
        <v>2718.96</v>
      </c>
      <c r="AJ549" s="22"/>
    </row>
    <row r="550" spans="1:36" x14ac:dyDescent="0.25">
      <c r="A550" s="112"/>
      <c r="B550" s="136" t="s">
        <v>181</v>
      </c>
      <c r="C550" s="67" t="s">
        <v>59</v>
      </c>
      <c r="D550" s="157">
        <f>'Dados (F)'!$D$354</f>
        <v>1268.17</v>
      </c>
      <c r="E550" s="125">
        <f>IF('Dados (F)'!$D$35=1,1,'Dados (F)'!$C$39)</f>
        <v>1</v>
      </c>
      <c r="F550" s="157">
        <f>'Quantitativos (A)'!D550*$D550*$E550</f>
        <v>2536.34</v>
      </c>
      <c r="G550" s="157">
        <f>'Quantitativos (A)'!E550*$D550*$E550</f>
        <v>2536.34</v>
      </c>
      <c r="H550" s="157">
        <f>'Quantitativos (A)'!F550*$D550*$E550</f>
        <v>2536.34</v>
      </c>
      <c r="I550" s="157">
        <f>'Quantitativos (A)'!G550*$D550*$E550</f>
        <v>2536.34</v>
      </c>
      <c r="J550" s="157">
        <f>'Quantitativos (A)'!H550*$D550*$E550</f>
        <v>2536.34</v>
      </c>
      <c r="K550" s="157">
        <f>'Quantitativos (A)'!I550*$D550*$E550</f>
        <v>2536.34</v>
      </c>
      <c r="L550" s="157">
        <f>'Quantitativos (A)'!J550*$D550*$E550</f>
        <v>2536.34</v>
      </c>
      <c r="M550" s="157">
        <f>'Quantitativos (A)'!K550*$D550*$E550</f>
        <v>2536.34</v>
      </c>
      <c r="N550" s="157">
        <f>'Quantitativos (A)'!L550*$D550*$E550</f>
        <v>2536.34</v>
      </c>
      <c r="O550" s="157">
        <f>'Quantitativos (A)'!M550*$D550*$E550</f>
        <v>2536.34</v>
      </c>
      <c r="P550" s="157">
        <f>'Quantitativos (A)'!N550*$D550*$E550</f>
        <v>2536.34</v>
      </c>
      <c r="Q550" s="157">
        <f>'Quantitativos (A)'!O550*$D550*$E550</f>
        <v>2536.34</v>
      </c>
      <c r="R550" s="157">
        <f>'Quantitativos (A)'!P550*$D550*$E550</f>
        <v>2536.34</v>
      </c>
      <c r="S550" s="157">
        <f>'Quantitativos (A)'!Q550*$D550*$E550</f>
        <v>2536.34</v>
      </c>
      <c r="T550" s="157">
        <f>'Quantitativos (A)'!R550*$D550*$E550</f>
        <v>2536.34</v>
      </c>
      <c r="U550" s="157">
        <f>'Quantitativos (A)'!S550*$D550*$E550</f>
        <v>2536.34</v>
      </c>
      <c r="V550" s="157">
        <f>'Quantitativos (A)'!T550*$D550*$E550</f>
        <v>2536.34</v>
      </c>
      <c r="W550" s="157">
        <f>'Quantitativos (A)'!U550*$D550*$E550</f>
        <v>2536.34</v>
      </c>
      <c r="X550" s="157">
        <f>'Quantitativos (A)'!V550*$D550*$E550</f>
        <v>2536.34</v>
      </c>
      <c r="Y550" s="157">
        <f>'Quantitativos (A)'!W550*$D550*$E550</f>
        <v>2536.34</v>
      </c>
      <c r="Z550" s="157">
        <f>'Quantitativos (A)'!X550*$D550*$E550</f>
        <v>2536.34</v>
      </c>
      <c r="AA550" s="157">
        <f>'Quantitativos (A)'!Y550*$D550*$E550</f>
        <v>2536.34</v>
      </c>
      <c r="AB550" s="157">
        <f>'Quantitativos (A)'!Z550*$D550*$E550</f>
        <v>2536.34</v>
      </c>
      <c r="AC550" s="157">
        <f>'Quantitativos (A)'!AA550*$D550*$E550</f>
        <v>2536.34</v>
      </c>
      <c r="AD550" s="157">
        <f>'Quantitativos (A)'!AB550*$D550*$E550</f>
        <v>2536.34</v>
      </c>
      <c r="AE550" s="157">
        <f>'Quantitativos (A)'!AC550*$D550*$E550</f>
        <v>2536.34</v>
      </c>
      <c r="AF550" s="157">
        <f>'Quantitativos (A)'!AD550*$D550*$E550</f>
        <v>2536.34</v>
      </c>
      <c r="AG550" s="157">
        <f>'Quantitativos (A)'!AE550*$D550*$E550</f>
        <v>2536.34</v>
      </c>
      <c r="AH550" s="157">
        <f>'Quantitativos (A)'!AF550*$D550*$E550</f>
        <v>2536.34</v>
      </c>
      <c r="AI550" s="158">
        <f>'Quantitativos (A)'!AG550*$D550*$E550</f>
        <v>2536.34</v>
      </c>
      <c r="AJ550" s="22"/>
    </row>
    <row r="551" spans="1:36" x14ac:dyDescent="0.25">
      <c r="A551" s="112"/>
      <c r="B551" s="136" t="s">
        <v>182</v>
      </c>
      <c r="C551" s="67" t="s">
        <v>59</v>
      </c>
      <c r="D551" s="157">
        <f>'Dados (F)'!$D$355</f>
        <v>1988.49</v>
      </c>
      <c r="E551" s="125">
        <f>IF('Dados (F)'!$D$35=1,1,'Dados (F)'!$C$39)</f>
        <v>1</v>
      </c>
      <c r="F551" s="157">
        <f>'Quantitativos (A)'!D551*$D551*$E551</f>
        <v>3976.98</v>
      </c>
      <c r="G551" s="157">
        <f>'Quantitativos (A)'!E551*$D551*$E551</f>
        <v>3976.98</v>
      </c>
      <c r="H551" s="157">
        <f>'Quantitativos (A)'!F551*$D551*$E551</f>
        <v>3976.98</v>
      </c>
      <c r="I551" s="157">
        <f>'Quantitativos (A)'!G551*$D551*$E551</f>
        <v>3976.98</v>
      </c>
      <c r="J551" s="157">
        <f>'Quantitativos (A)'!H551*$D551*$E551</f>
        <v>3976.98</v>
      </c>
      <c r="K551" s="157">
        <f>'Quantitativos (A)'!I551*$D551*$E551</f>
        <v>3976.98</v>
      </c>
      <c r="L551" s="157">
        <f>'Quantitativos (A)'!J551*$D551*$E551</f>
        <v>3976.98</v>
      </c>
      <c r="M551" s="157">
        <f>'Quantitativos (A)'!K551*$D551*$E551</f>
        <v>3976.98</v>
      </c>
      <c r="N551" s="157">
        <f>'Quantitativos (A)'!L551*$D551*$E551</f>
        <v>3976.98</v>
      </c>
      <c r="O551" s="157">
        <f>'Quantitativos (A)'!M551*$D551*$E551</f>
        <v>3976.98</v>
      </c>
      <c r="P551" s="157">
        <f>'Quantitativos (A)'!N551*$D551*$E551</f>
        <v>3976.98</v>
      </c>
      <c r="Q551" s="157">
        <f>'Quantitativos (A)'!O551*$D551*$E551</f>
        <v>3976.98</v>
      </c>
      <c r="R551" s="157">
        <f>'Quantitativos (A)'!P551*$D551*$E551</f>
        <v>3976.98</v>
      </c>
      <c r="S551" s="157">
        <f>'Quantitativos (A)'!Q551*$D551*$E551</f>
        <v>3976.98</v>
      </c>
      <c r="T551" s="157">
        <f>'Quantitativos (A)'!R551*$D551*$E551</f>
        <v>3976.98</v>
      </c>
      <c r="U551" s="157">
        <f>'Quantitativos (A)'!S551*$D551*$E551</f>
        <v>3976.98</v>
      </c>
      <c r="V551" s="157">
        <f>'Quantitativos (A)'!T551*$D551*$E551</f>
        <v>3976.98</v>
      </c>
      <c r="W551" s="157">
        <f>'Quantitativos (A)'!U551*$D551*$E551</f>
        <v>3976.98</v>
      </c>
      <c r="X551" s="157">
        <f>'Quantitativos (A)'!V551*$D551*$E551</f>
        <v>3976.98</v>
      </c>
      <c r="Y551" s="157">
        <f>'Quantitativos (A)'!W551*$D551*$E551</f>
        <v>3976.98</v>
      </c>
      <c r="Z551" s="157">
        <f>'Quantitativos (A)'!X551*$D551*$E551</f>
        <v>3976.98</v>
      </c>
      <c r="AA551" s="157">
        <f>'Quantitativos (A)'!Y551*$D551*$E551</f>
        <v>3976.98</v>
      </c>
      <c r="AB551" s="157">
        <f>'Quantitativos (A)'!Z551*$D551*$E551</f>
        <v>3976.98</v>
      </c>
      <c r="AC551" s="157">
        <f>'Quantitativos (A)'!AA551*$D551*$E551</f>
        <v>3976.98</v>
      </c>
      <c r="AD551" s="157">
        <f>'Quantitativos (A)'!AB551*$D551*$E551</f>
        <v>3976.98</v>
      </c>
      <c r="AE551" s="157">
        <f>'Quantitativos (A)'!AC551*$D551*$E551</f>
        <v>3976.98</v>
      </c>
      <c r="AF551" s="157">
        <f>'Quantitativos (A)'!AD551*$D551*$E551</f>
        <v>3976.98</v>
      </c>
      <c r="AG551" s="157">
        <f>'Quantitativos (A)'!AE551*$D551*$E551</f>
        <v>3976.98</v>
      </c>
      <c r="AH551" s="157">
        <f>'Quantitativos (A)'!AF551*$D551*$E551</f>
        <v>3976.98</v>
      </c>
      <c r="AI551" s="158">
        <f>'Quantitativos (A)'!AG551*$D551*$E551</f>
        <v>3976.98</v>
      </c>
      <c r="AJ551" s="22"/>
    </row>
    <row r="552" spans="1:36" ht="25.5" x14ac:dyDescent="0.25">
      <c r="A552" s="112"/>
      <c r="B552" s="136" t="s">
        <v>189</v>
      </c>
      <c r="C552" s="67" t="s">
        <v>59</v>
      </c>
      <c r="D552" s="157">
        <f>'Dados (F)'!$D$356</f>
        <v>1704.42</v>
      </c>
      <c r="E552" s="125">
        <f>IF('Dados (F)'!$D$35=1,1,'Dados (F)'!$C$39)</f>
        <v>1</v>
      </c>
      <c r="F552" s="157">
        <f>'Quantitativos (A)'!D552*$D552*$E552</f>
        <v>1704.42</v>
      </c>
      <c r="G552" s="157">
        <f>'Quantitativos (A)'!E552*$D552*$E552</f>
        <v>1704.42</v>
      </c>
      <c r="H552" s="157">
        <f>'Quantitativos (A)'!F552*$D552*$E552</f>
        <v>1704.42</v>
      </c>
      <c r="I552" s="157">
        <f>'Quantitativos (A)'!G552*$D552*$E552</f>
        <v>1704.42</v>
      </c>
      <c r="J552" s="157">
        <f>'Quantitativos (A)'!H552*$D552*$E552</f>
        <v>1704.42</v>
      </c>
      <c r="K552" s="157">
        <f>'Quantitativos (A)'!I552*$D552*$E552</f>
        <v>1704.42</v>
      </c>
      <c r="L552" s="157">
        <f>'Quantitativos (A)'!J552*$D552*$E552</f>
        <v>1704.42</v>
      </c>
      <c r="M552" s="157">
        <f>'Quantitativos (A)'!K552*$D552*$E552</f>
        <v>1704.42</v>
      </c>
      <c r="N552" s="157">
        <f>'Quantitativos (A)'!L552*$D552*$E552</f>
        <v>1704.42</v>
      </c>
      <c r="O552" s="157">
        <f>'Quantitativos (A)'!M552*$D552*$E552</f>
        <v>1704.42</v>
      </c>
      <c r="P552" s="157">
        <f>'Quantitativos (A)'!N552*$D552*$E552</f>
        <v>1704.42</v>
      </c>
      <c r="Q552" s="157">
        <f>'Quantitativos (A)'!O552*$D552*$E552</f>
        <v>1704.42</v>
      </c>
      <c r="R552" s="157">
        <f>'Quantitativos (A)'!P552*$D552*$E552</f>
        <v>1704.42</v>
      </c>
      <c r="S552" s="157">
        <f>'Quantitativos (A)'!Q552*$D552*$E552</f>
        <v>1704.42</v>
      </c>
      <c r="T552" s="157">
        <f>'Quantitativos (A)'!R552*$D552*$E552</f>
        <v>1704.42</v>
      </c>
      <c r="U552" s="157">
        <f>'Quantitativos (A)'!S552*$D552*$E552</f>
        <v>1704.42</v>
      </c>
      <c r="V552" s="157">
        <f>'Quantitativos (A)'!T552*$D552*$E552</f>
        <v>1704.42</v>
      </c>
      <c r="W552" s="157">
        <f>'Quantitativos (A)'!U552*$D552*$E552</f>
        <v>1704.42</v>
      </c>
      <c r="X552" s="157">
        <f>'Quantitativos (A)'!V552*$D552*$E552</f>
        <v>1704.42</v>
      </c>
      <c r="Y552" s="157">
        <f>'Quantitativos (A)'!W552*$D552*$E552</f>
        <v>1704.42</v>
      </c>
      <c r="Z552" s="157">
        <f>'Quantitativos (A)'!X552*$D552*$E552</f>
        <v>1704.42</v>
      </c>
      <c r="AA552" s="157">
        <f>'Quantitativos (A)'!Y552*$D552*$E552</f>
        <v>1704.42</v>
      </c>
      <c r="AB552" s="157">
        <f>'Quantitativos (A)'!Z552*$D552*$E552</f>
        <v>1704.42</v>
      </c>
      <c r="AC552" s="157">
        <f>'Quantitativos (A)'!AA552*$D552*$E552</f>
        <v>1704.42</v>
      </c>
      <c r="AD552" s="157">
        <f>'Quantitativos (A)'!AB552*$D552*$E552</f>
        <v>1704.42</v>
      </c>
      <c r="AE552" s="157">
        <f>'Quantitativos (A)'!AC552*$D552*$E552</f>
        <v>1704.42</v>
      </c>
      <c r="AF552" s="157">
        <f>'Quantitativos (A)'!AD552*$D552*$E552</f>
        <v>1704.42</v>
      </c>
      <c r="AG552" s="157">
        <f>'Quantitativos (A)'!AE552*$D552*$E552</f>
        <v>1704.42</v>
      </c>
      <c r="AH552" s="157">
        <f>'Quantitativos (A)'!AF552*$D552*$E552</f>
        <v>1704.42</v>
      </c>
      <c r="AI552" s="158">
        <f>'Quantitativos (A)'!AG552*$D552*$E552</f>
        <v>1704.42</v>
      </c>
      <c r="AJ552" s="22"/>
    </row>
    <row r="553" spans="1:36" x14ac:dyDescent="0.25">
      <c r="A553" s="112"/>
      <c r="B553" s="136" t="s">
        <v>183</v>
      </c>
      <c r="C553" s="67" t="s">
        <v>59</v>
      </c>
      <c r="D553" s="157">
        <f>'Dados (F)'!$D$357</f>
        <v>1935.74</v>
      </c>
      <c r="E553" s="125">
        <f>IF('Dados (F)'!$D$35=1,1,'Dados (F)'!$C$39)</f>
        <v>1</v>
      </c>
      <c r="F553" s="157">
        <f>'Quantitativos (A)'!D553*$D553*$E553</f>
        <v>3871.48</v>
      </c>
      <c r="G553" s="157">
        <f>'Quantitativos (A)'!E553*$D553*$E553</f>
        <v>3871.48</v>
      </c>
      <c r="H553" s="157">
        <f>'Quantitativos (A)'!F553*$D553*$E553</f>
        <v>3871.48</v>
      </c>
      <c r="I553" s="157">
        <f>'Quantitativos (A)'!G553*$D553*$E553</f>
        <v>3871.48</v>
      </c>
      <c r="J553" s="157">
        <f>'Quantitativos (A)'!H553*$D553*$E553</f>
        <v>3871.48</v>
      </c>
      <c r="K553" s="157">
        <f>'Quantitativos (A)'!I553*$D553*$E553</f>
        <v>3871.48</v>
      </c>
      <c r="L553" s="157">
        <f>'Quantitativos (A)'!J553*$D553*$E553</f>
        <v>3871.48</v>
      </c>
      <c r="M553" s="157">
        <f>'Quantitativos (A)'!K553*$D553*$E553</f>
        <v>3871.48</v>
      </c>
      <c r="N553" s="157">
        <f>'Quantitativos (A)'!L553*$D553*$E553</f>
        <v>3871.48</v>
      </c>
      <c r="O553" s="157">
        <f>'Quantitativos (A)'!M553*$D553*$E553</f>
        <v>3871.48</v>
      </c>
      <c r="P553" s="157">
        <f>'Quantitativos (A)'!N553*$D553*$E553</f>
        <v>3871.48</v>
      </c>
      <c r="Q553" s="157">
        <f>'Quantitativos (A)'!O553*$D553*$E553</f>
        <v>3871.48</v>
      </c>
      <c r="R553" s="157">
        <f>'Quantitativos (A)'!P553*$D553*$E553</f>
        <v>3871.48</v>
      </c>
      <c r="S553" s="157">
        <f>'Quantitativos (A)'!Q553*$D553*$E553</f>
        <v>3871.48</v>
      </c>
      <c r="T553" s="157">
        <f>'Quantitativos (A)'!R553*$D553*$E553</f>
        <v>3871.48</v>
      </c>
      <c r="U553" s="157">
        <f>'Quantitativos (A)'!S553*$D553*$E553</f>
        <v>3871.48</v>
      </c>
      <c r="V553" s="157">
        <f>'Quantitativos (A)'!T553*$D553*$E553</f>
        <v>3871.48</v>
      </c>
      <c r="W553" s="157">
        <f>'Quantitativos (A)'!U553*$D553*$E553</f>
        <v>3871.48</v>
      </c>
      <c r="X553" s="157">
        <f>'Quantitativos (A)'!V553*$D553*$E553</f>
        <v>3871.48</v>
      </c>
      <c r="Y553" s="157">
        <f>'Quantitativos (A)'!W553*$D553*$E553</f>
        <v>3871.48</v>
      </c>
      <c r="Z553" s="157">
        <f>'Quantitativos (A)'!X553*$D553*$E553</f>
        <v>3871.48</v>
      </c>
      <c r="AA553" s="157">
        <f>'Quantitativos (A)'!Y553*$D553*$E553</f>
        <v>3871.48</v>
      </c>
      <c r="AB553" s="157">
        <f>'Quantitativos (A)'!Z553*$D553*$E553</f>
        <v>3871.48</v>
      </c>
      <c r="AC553" s="157">
        <f>'Quantitativos (A)'!AA553*$D553*$E553</f>
        <v>3871.48</v>
      </c>
      <c r="AD553" s="157">
        <f>'Quantitativos (A)'!AB553*$D553*$E553</f>
        <v>3871.48</v>
      </c>
      <c r="AE553" s="157">
        <f>'Quantitativos (A)'!AC553*$D553*$E553</f>
        <v>3871.48</v>
      </c>
      <c r="AF553" s="157">
        <f>'Quantitativos (A)'!AD553*$D553*$E553</f>
        <v>3871.48</v>
      </c>
      <c r="AG553" s="157">
        <f>'Quantitativos (A)'!AE553*$D553*$E553</f>
        <v>3871.48</v>
      </c>
      <c r="AH553" s="157">
        <f>'Quantitativos (A)'!AF553*$D553*$E553</f>
        <v>3871.48</v>
      </c>
      <c r="AI553" s="158">
        <f>'Quantitativos (A)'!AG553*$D553*$E553</f>
        <v>3871.48</v>
      </c>
      <c r="AJ553" s="22"/>
    </row>
    <row r="554" spans="1:36" ht="25.5" x14ac:dyDescent="0.25">
      <c r="A554" s="112"/>
      <c r="B554" s="136" t="s">
        <v>573</v>
      </c>
      <c r="C554" s="67" t="s">
        <v>59</v>
      </c>
      <c r="D554" s="157">
        <f>'Dados (F)'!$D$358</f>
        <v>6166.46</v>
      </c>
      <c r="E554" s="125">
        <f>IF('Dados (F)'!$D$35=1,1,'Dados (F)'!$C$39)</f>
        <v>1</v>
      </c>
      <c r="F554" s="157">
        <f>'Quantitativos (A)'!D554*$D554*$E554</f>
        <v>6166.46</v>
      </c>
      <c r="G554" s="157">
        <f>'Quantitativos (A)'!E554*$D554*$E554</f>
        <v>6166.46</v>
      </c>
      <c r="H554" s="157">
        <f>'Quantitativos (A)'!F554*$D554*$E554</f>
        <v>6166.46</v>
      </c>
      <c r="I554" s="157">
        <f>'Quantitativos (A)'!G554*$D554*$E554</f>
        <v>6166.46</v>
      </c>
      <c r="J554" s="157">
        <f>'Quantitativos (A)'!H554*$D554*$E554</f>
        <v>6166.46</v>
      </c>
      <c r="K554" s="157">
        <f>'Quantitativos (A)'!I554*$D554*$E554</f>
        <v>6166.46</v>
      </c>
      <c r="L554" s="157">
        <f>'Quantitativos (A)'!J554*$D554*$E554</f>
        <v>6166.46</v>
      </c>
      <c r="M554" s="157">
        <f>'Quantitativos (A)'!K554*$D554*$E554</f>
        <v>6166.46</v>
      </c>
      <c r="N554" s="157">
        <f>'Quantitativos (A)'!L554*$D554*$E554</f>
        <v>6166.46</v>
      </c>
      <c r="O554" s="157">
        <f>'Quantitativos (A)'!M554*$D554*$E554</f>
        <v>6166.46</v>
      </c>
      <c r="P554" s="157">
        <f>'Quantitativos (A)'!N554*$D554*$E554</f>
        <v>6166.46</v>
      </c>
      <c r="Q554" s="157">
        <f>'Quantitativos (A)'!O554*$D554*$E554</f>
        <v>6166.46</v>
      </c>
      <c r="R554" s="157">
        <f>'Quantitativos (A)'!P554*$D554*$E554</f>
        <v>6166.46</v>
      </c>
      <c r="S554" s="157">
        <f>'Quantitativos (A)'!Q554*$D554*$E554</f>
        <v>6166.46</v>
      </c>
      <c r="T554" s="157">
        <f>'Quantitativos (A)'!R554*$D554*$E554</f>
        <v>6166.46</v>
      </c>
      <c r="U554" s="157">
        <f>'Quantitativos (A)'!S554*$D554*$E554</f>
        <v>6166.46</v>
      </c>
      <c r="V554" s="157">
        <f>'Quantitativos (A)'!T554*$D554*$E554</f>
        <v>6166.46</v>
      </c>
      <c r="W554" s="157">
        <f>'Quantitativos (A)'!U554*$D554*$E554</f>
        <v>6166.46</v>
      </c>
      <c r="X554" s="157">
        <f>'Quantitativos (A)'!V554*$D554*$E554</f>
        <v>6166.46</v>
      </c>
      <c r="Y554" s="157">
        <f>'Quantitativos (A)'!W554*$D554*$E554</f>
        <v>6166.46</v>
      </c>
      <c r="Z554" s="157">
        <f>'Quantitativos (A)'!X554*$D554*$E554</f>
        <v>6166.46</v>
      </c>
      <c r="AA554" s="157">
        <f>'Quantitativos (A)'!Y554*$D554*$E554</f>
        <v>6166.46</v>
      </c>
      <c r="AB554" s="157">
        <f>'Quantitativos (A)'!Z554*$D554*$E554</f>
        <v>6166.46</v>
      </c>
      <c r="AC554" s="157">
        <f>'Quantitativos (A)'!AA554*$D554*$E554</f>
        <v>6166.46</v>
      </c>
      <c r="AD554" s="157">
        <f>'Quantitativos (A)'!AB554*$D554*$E554</f>
        <v>6166.46</v>
      </c>
      <c r="AE554" s="157">
        <f>'Quantitativos (A)'!AC554*$D554*$E554</f>
        <v>6166.46</v>
      </c>
      <c r="AF554" s="157">
        <f>'Quantitativos (A)'!AD554*$D554*$E554</f>
        <v>6166.46</v>
      </c>
      <c r="AG554" s="157">
        <f>'Quantitativos (A)'!AE554*$D554*$E554</f>
        <v>6166.46</v>
      </c>
      <c r="AH554" s="157">
        <f>'Quantitativos (A)'!AF554*$D554*$E554</f>
        <v>6166.46</v>
      </c>
      <c r="AI554" s="158">
        <f>'Quantitativos (A)'!AG554*$D554*$E554</f>
        <v>6166.46</v>
      </c>
      <c r="AJ554" s="22"/>
    </row>
    <row r="555" spans="1:36" x14ac:dyDescent="0.25">
      <c r="A555" s="112"/>
      <c r="B555" s="136" t="s">
        <v>454</v>
      </c>
      <c r="C555" s="67" t="s">
        <v>59</v>
      </c>
      <c r="D555" s="157">
        <f>'Dados (F)'!$D$359</f>
        <v>1153.7</v>
      </c>
      <c r="E555" s="125">
        <f>IF('Dados (F)'!$D$35=1,1,'Dados (F)'!$C$39)</f>
        <v>1</v>
      </c>
      <c r="F555" s="157">
        <f>'Quantitativos (A)'!D555*$D555*$E555</f>
        <v>6922.2000000000007</v>
      </c>
      <c r="G555" s="157">
        <f>'Quantitativos (A)'!E555*$D555*$E555</f>
        <v>6922.2000000000007</v>
      </c>
      <c r="H555" s="157">
        <f>'Quantitativos (A)'!F555*$D555*$E555</f>
        <v>6922.2000000000007</v>
      </c>
      <c r="I555" s="157">
        <f>'Quantitativos (A)'!G555*$D555*$E555</f>
        <v>6922.2000000000007</v>
      </c>
      <c r="J555" s="157">
        <f>'Quantitativos (A)'!H555*$D555*$E555</f>
        <v>6922.2000000000007</v>
      </c>
      <c r="K555" s="157">
        <f>'Quantitativos (A)'!I555*$D555*$E555</f>
        <v>6922.2000000000007</v>
      </c>
      <c r="L555" s="157">
        <f>'Quantitativos (A)'!J555*$D555*$E555</f>
        <v>6922.2000000000007</v>
      </c>
      <c r="M555" s="157">
        <f>'Quantitativos (A)'!K555*$D555*$E555</f>
        <v>6922.2000000000007</v>
      </c>
      <c r="N555" s="157">
        <f>'Quantitativos (A)'!L555*$D555*$E555</f>
        <v>6922.2000000000007</v>
      </c>
      <c r="O555" s="157">
        <f>'Quantitativos (A)'!M555*$D555*$E555</f>
        <v>6922.2000000000007</v>
      </c>
      <c r="P555" s="157">
        <f>'Quantitativos (A)'!N555*$D555*$E555</f>
        <v>6922.2000000000007</v>
      </c>
      <c r="Q555" s="157">
        <f>'Quantitativos (A)'!O555*$D555*$E555</f>
        <v>6922.2000000000007</v>
      </c>
      <c r="R555" s="157">
        <f>'Quantitativos (A)'!P555*$D555*$E555</f>
        <v>6922.2000000000007</v>
      </c>
      <c r="S555" s="157">
        <f>'Quantitativos (A)'!Q555*$D555*$E555</f>
        <v>6922.2000000000007</v>
      </c>
      <c r="T555" s="157">
        <f>'Quantitativos (A)'!R555*$D555*$E555</f>
        <v>6922.2000000000007</v>
      </c>
      <c r="U555" s="157">
        <f>'Quantitativos (A)'!S555*$D555*$E555</f>
        <v>6922.2000000000007</v>
      </c>
      <c r="V555" s="157">
        <f>'Quantitativos (A)'!T555*$D555*$E555</f>
        <v>6922.2000000000007</v>
      </c>
      <c r="W555" s="157">
        <f>'Quantitativos (A)'!U555*$D555*$E555</f>
        <v>6922.2000000000007</v>
      </c>
      <c r="X555" s="157">
        <f>'Quantitativos (A)'!V555*$D555*$E555</f>
        <v>6922.2000000000007</v>
      </c>
      <c r="Y555" s="157">
        <f>'Quantitativos (A)'!W555*$D555*$E555</f>
        <v>6922.2000000000007</v>
      </c>
      <c r="Z555" s="157">
        <f>'Quantitativos (A)'!X555*$D555*$E555</f>
        <v>6922.2000000000007</v>
      </c>
      <c r="AA555" s="157">
        <f>'Quantitativos (A)'!Y555*$D555*$E555</f>
        <v>6922.2000000000007</v>
      </c>
      <c r="AB555" s="157">
        <f>'Quantitativos (A)'!Z555*$D555*$E555</f>
        <v>6922.2000000000007</v>
      </c>
      <c r="AC555" s="157">
        <f>'Quantitativos (A)'!AA555*$D555*$E555</f>
        <v>6922.2000000000007</v>
      </c>
      <c r="AD555" s="157">
        <f>'Quantitativos (A)'!AB555*$D555*$E555</f>
        <v>6922.2000000000007</v>
      </c>
      <c r="AE555" s="157">
        <f>'Quantitativos (A)'!AC555*$D555*$E555</f>
        <v>6922.2000000000007</v>
      </c>
      <c r="AF555" s="157">
        <f>'Quantitativos (A)'!AD555*$D555*$E555</f>
        <v>6922.2000000000007</v>
      </c>
      <c r="AG555" s="157">
        <f>'Quantitativos (A)'!AE555*$D555*$E555</f>
        <v>6922.2000000000007</v>
      </c>
      <c r="AH555" s="157">
        <f>'Quantitativos (A)'!AF555*$D555*$E555</f>
        <v>6922.2000000000007</v>
      </c>
      <c r="AI555" s="158">
        <f>'Quantitativos (A)'!AG555*$D555*$E555</f>
        <v>6922.2000000000007</v>
      </c>
      <c r="AJ555" s="22"/>
    </row>
    <row r="556" spans="1:36" x14ac:dyDescent="0.25">
      <c r="A556" s="112"/>
      <c r="B556" s="120" t="s">
        <v>580</v>
      </c>
      <c r="C556" s="121"/>
      <c r="D556" s="155"/>
      <c r="E556" s="156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60"/>
      <c r="AJ556" s="22"/>
    </row>
    <row r="557" spans="1:36" x14ac:dyDescent="0.25">
      <c r="A557" s="112"/>
      <c r="B557" s="136" t="s">
        <v>574</v>
      </c>
      <c r="C557" s="67" t="s">
        <v>59</v>
      </c>
      <c r="D557" s="157">
        <f>'Dados (F)'!$D$360</f>
        <v>202.9</v>
      </c>
      <c r="E557" s="125">
        <f>IF('Dados (F)'!$D$35=1,1,'Dados (F)'!$C$39)</f>
        <v>1</v>
      </c>
      <c r="F557" s="157">
        <f>'Quantitativos (A)'!D557*$D557*$E557</f>
        <v>1623.2</v>
      </c>
      <c r="G557" s="157">
        <f>'Quantitativos (A)'!E557*$D557*$E557</f>
        <v>1623.2</v>
      </c>
      <c r="H557" s="157">
        <f>'Quantitativos (A)'!F557*$D557*$E557</f>
        <v>1623.2</v>
      </c>
      <c r="I557" s="157">
        <f>'Quantitativos (A)'!G557*$D557*$E557</f>
        <v>1623.2</v>
      </c>
      <c r="J557" s="157">
        <f>'Quantitativos (A)'!H557*$D557*$E557</f>
        <v>1623.2</v>
      </c>
      <c r="K557" s="157">
        <f>'Quantitativos (A)'!I557*$D557*$E557</f>
        <v>1623.2</v>
      </c>
      <c r="L557" s="157">
        <f>'Quantitativos (A)'!J557*$D557*$E557</f>
        <v>1623.2</v>
      </c>
      <c r="M557" s="157">
        <f>'Quantitativos (A)'!K557*$D557*$E557</f>
        <v>1623.2</v>
      </c>
      <c r="N557" s="157">
        <f>'Quantitativos (A)'!L557*$D557*$E557</f>
        <v>1623.2</v>
      </c>
      <c r="O557" s="157">
        <f>'Quantitativos (A)'!M557*$D557*$E557</f>
        <v>1623.2</v>
      </c>
      <c r="P557" s="157">
        <f>'Quantitativos (A)'!N557*$D557*$E557</f>
        <v>1623.2</v>
      </c>
      <c r="Q557" s="157">
        <f>'Quantitativos (A)'!O557*$D557*$E557</f>
        <v>1623.2</v>
      </c>
      <c r="R557" s="157">
        <f>'Quantitativos (A)'!P557*$D557*$E557</f>
        <v>1623.2</v>
      </c>
      <c r="S557" s="157">
        <f>'Quantitativos (A)'!Q557*$D557*$E557</f>
        <v>1623.2</v>
      </c>
      <c r="T557" s="157">
        <f>'Quantitativos (A)'!R557*$D557*$E557</f>
        <v>1623.2</v>
      </c>
      <c r="U557" s="157">
        <f>'Quantitativos (A)'!S557*$D557*$E557</f>
        <v>1623.2</v>
      </c>
      <c r="V557" s="157">
        <f>'Quantitativos (A)'!T557*$D557*$E557</f>
        <v>1623.2</v>
      </c>
      <c r="W557" s="157">
        <f>'Quantitativos (A)'!U557*$D557*$E557</f>
        <v>1623.2</v>
      </c>
      <c r="X557" s="157">
        <f>'Quantitativos (A)'!V557*$D557*$E557</f>
        <v>1623.2</v>
      </c>
      <c r="Y557" s="157">
        <f>'Quantitativos (A)'!W557*$D557*$E557</f>
        <v>1623.2</v>
      </c>
      <c r="Z557" s="157">
        <f>'Quantitativos (A)'!X557*$D557*$E557</f>
        <v>1623.2</v>
      </c>
      <c r="AA557" s="157">
        <f>'Quantitativos (A)'!Y557*$D557*$E557</f>
        <v>1623.2</v>
      </c>
      <c r="AB557" s="157">
        <f>'Quantitativos (A)'!Z557*$D557*$E557</f>
        <v>1623.2</v>
      </c>
      <c r="AC557" s="157">
        <f>'Quantitativos (A)'!AA557*$D557*$E557</f>
        <v>1623.2</v>
      </c>
      <c r="AD557" s="157">
        <f>'Quantitativos (A)'!AB557*$D557*$E557</f>
        <v>1623.2</v>
      </c>
      <c r="AE557" s="157">
        <f>'Quantitativos (A)'!AC557*$D557*$E557</f>
        <v>1623.2</v>
      </c>
      <c r="AF557" s="157">
        <f>'Quantitativos (A)'!AD557*$D557*$E557</f>
        <v>1623.2</v>
      </c>
      <c r="AG557" s="157">
        <f>'Quantitativos (A)'!AE557*$D557*$E557</f>
        <v>1623.2</v>
      </c>
      <c r="AH557" s="157">
        <f>'Quantitativos (A)'!AF557*$D557*$E557</f>
        <v>1623.2</v>
      </c>
      <c r="AI557" s="158">
        <f>'Quantitativos (A)'!AG557*$D557*$E557</f>
        <v>1623.2</v>
      </c>
      <c r="AJ557" s="22"/>
    </row>
    <row r="558" spans="1:36" x14ac:dyDescent="0.25">
      <c r="A558" s="112"/>
      <c r="B558" s="136" t="s">
        <v>184</v>
      </c>
      <c r="C558" s="67" t="s">
        <v>59</v>
      </c>
      <c r="D558" s="157">
        <f>'Dados (F)'!$D$361</f>
        <v>20.29</v>
      </c>
      <c r="E558" s="125">
        <f>IF('Dados (F)'!$D$35=1,1,'Dados (F)'!$C$39)</f>
        <v>1</v>
      </c>
      <c r="F558" s="157">
        <f>'Quantitativos (A)'!D558*$D558*$E558</f>
        <v>162.32</v>
      </c>
      <c r="G558" s="157">
        <f>'Quantitativos (A)'!E558*$D558*$E558</f>
        <v>162.32</v>
      </c>
      <c r="H558" s="157">
        <f>'Quantitativos (A)'!F558*$D558*$E558</f>
        <v>162.32</v>
      </c>
      <c r="I558" s="157">
        <f>'Quantitativos (A)'!G558*$D558*$E558</f>
        <v>162.32</v>
      </c>
      <c r="J558" s="157">
        <f>'Quantitativos (A)'!H558*$D558*$E558</f>
        <v>162.32</v>
      </c>
      <c r="K558" s="157">
        <f>'Quantitativos (A)'!I558*$D558*$E558</f>
        <v>162.32</v>
      </c>
      <c r="L558" s="157">
        <f>'Quantitativos (A)'!J558*$D558*$E558</f>
        <v>162.32</v>
      </c>
      <c r="M558" s="157">
        <f>'Quantitativos (A)'!K558*$D558*$E558</f>
        <v>162.32</v>
      </c>
      <c r="N558" s="157">
        <f>'Quantitativos (A)'!L558*$D558*$E558</f>
        <v>162.32</v>
      </c>
      <c r="O558" s="157">
        <f>'Quantitativos (A)'!M558*$D558*$E558</f>
        <v>162.32</v>
      </c>
      <c r="P558" s="157">
        <f>'Quantitativos (A)'!N558*$D558*$E558</f>
        <v>162.32</v>
      </c>
      <c r="Q558" s="157">
        <f>'Quantitativos (A)'!O558*$D558*$E558</f>
        <v>162.32</v>
      </c>
      <c r="R558" s="157">
        <f>'Quantitativos (A)'!P558*$D558*$E558</f>
        <v>162.32</v>
      </c>
      <c r="S558" s="157">
        <f>'Quantitativos (A)'!Q558*$D558*$E558</f>
        <v>162.32</v>
      </c>
      <c r="T558" s="157">
        <f>'Quantitativos (A)'!R558*$D558*$E558</f>
        <v>162.32</v>
      </c>
      <c r="U558" s="157">
        <f>'Quantitativos (A)'!S558*$D558*$E558</f>
        <v>162.32</v>
      </c>
      <c r="V558" s="157">
        <f>'Quantitativos (A)'!T558*$D558*$E558</f>
        <v>162.32</v>
      </c>
      <c r="W558" s="157">
        <f>'Quantitativos (A)'!U558*$D558*$E558</f>
        <v>162.32</v>
      </c>
      <c r="X558" s="157">
        <f>'Quantitativos (A)'!V558*$D558*$E558</f>
        <v>162.32</v>
      </c>
      <c r="Y558" s="157">
        <f>'Quantitativos (A)'!W558*$D558*$E558</f>
        <v>162.32</v>
      </c>
      <c r="Z558" s="157">
        <f>'Quantitativos (A)'!X558*$D558*$E558</f>
        <v>162.32</v>
      </c>
      <c r="AA558" s="157">
        <f>'Quantitativos (A)'!Y558*$D558*$E558</f>
        <v>162.32</v>
      </c>
      <c r="AB558" s="157">
        <f>'Quantitativos (A)'!Z558*$D558*$E558</f>
        <v>162.32</v>
      </c>
      <c r="AC558" s="157">
        <f>'Quantitativos (A)'!AA558*$D558*$E558</f>
        <v>162.32</v>
      </c>
      <c r="AD558" s="157">
        <f>'Quantitativos (A)'!AB558*$D558*$E558</f>
        <v>162.32</v>
      </c>
      <c r="AE558" s="157">
        <f>'Quantitativos (A)'!AC558*$D558*$E558</f>
        <v>162.32</v>
      </c>
      <c r="AF558" s="157">
        <f>'Quantitativos (A)'!AD558*$D558*$E558</f>
        <v>162.32</v>
      </c>
      <c r="AG558" s="157">
        <f>'Quantitativos (A)'!AE558*$D558*$E558</f>
        <v>162.32</v>
      </c>
      <c r="AH558" s="157">
        <f>'Quantitativos (A)'!AF558*$D558*$E558</f>
        <v>162.32</v>
      </c>
      <c r="AI558" s="158">
        <f>'Quantitativos (A)'!AG558*$D558*$E558</f>
        <v>162.32</v>
      </c>
      <c r="AJ558" s="22"/>
    </row>
    <row r="559" spans="1:36" x14ac:dyDescent="0.25">
      <c r="A559" s="112"/>
      <c r="B559" s="136" t="s">
        <v>185</v>
      </c>
      <c r="C559" s="67" t="s">
        <v>59</v>
      </c>
      <c r="D559" s="157">
        <f>'Dados (F)'!$D$362</f>
        <v>121.75</v>
      </c>
      <c r="E559" s="125">
        <f>IF('Dados (F)'!$D$35=1,1,'Dados (F)'!$C$39)</f>
        <v>1</v>
      </c>
      <c r="F559" s="157">
        <f>'Quantitativos (A)'!D559*$D559*$E559</f>
        <v>974</v>
      </c>
      <c r="G559" s="157">
        <f>'Quantitativos (A)'!E559*$D559*$E559</f>
        <v>974</v>
      </c>
      <c r="H559" s="157">
        <f>'Quantitativos (A)'!F559*$D559*$E559</f>
        <v>974</v>
      </c>
      <c r="I559" s="157">
        <f>'Quantitativos (A)'!G559*$D559*$E559</f>
        <v>974</v>
      </c>
      <c r="J559" s="157">
        <f>'Quantitativos (A)'!H559*$D559*$E559</f>
        <v>974</v>
      </c>
      <c r="K559" s="157">
        <f>'Quantitativos (A)'!I559*$D559*$E559</f>
        <v>974</v>
      </c>
      <c r="L559" s="157">
        <f>'Quantitativos (A)'!J559*$D559*$E559</f>
        <v>974</v>
      </c>
      <c r="M559" s="157">
        <f>'Quantitativos (A)'!K559*$D559*$E559</f>
        <v>974</v>
      </c>
      <c r="N559" s="157">
        <f>'Quantitativos (A)'!L559*$D559*$E559</f>
        <v>974</v>
      </c>
      <c r="O559" s="157">
        <f>'Quantitativos (A)'!M559*$D559*$E559</f>
        <v>974</v>
      </c>
      <c r="P559" s="157">
        <f>'Quantitativos (A)'!N559*$D559*$E559</f>
        <v>974</v>
      </c>
      <c r="Q559" s="157">
        <f>'Quantitativos (A)'!O559*$D559*$E559</f>
        <v>974</v>
      </c>
      <c r="R559" s="157">
        <f>'Quantitativos (A)'!P559*$D559*$E559</f>
        <v>974</v>
      </c>
      <c r="S559" s="157">
        <f>'Quantitativos (A)'!Q559*$D559*$E559</f>
        <v>974</v>
      </c>
      <c r="T559" s="157">
        <f>'Quantitativos (A)'!R559*$D559*$E559</f>
        <v>974</v>
      </c>
      <c r="U559" s="157">
        <f>'Quantitativos (A)'!S559*$D559*$E559</f>
        <v>974</v>
      </c>
      <c r="V559" s="157">
        <f>'Quantitativos (A)'!T559*$D559*$E559</f>
        <v>974</v>
      </c>
      <c r="W559" s="157">
        <f>'Quantitativos (A)'!U559*$D559*$E559</f>
        <v>974</v>
      </c>
      <c r="X559" s="157">
        <f>'Quantitativos (A)'!V559*$D559*$E559</f>
        <v>974</v>
      </c>
      <c r="Y559" s="157">
        <f>'Quantitativos (A)'!W559*$D559*$E559</f>
        <v>974</v>
      </c>
      <c r="Z559" s="157">
        <f>'Quantitativos (A)'!X559*$D559*$E559</f>
        <v>974</v>
      </c>
      <c r="AA559" s="157">
        <f>'Quantitativos (A)'!Y559*$D559*$E559</f>
        <v>974</v>
      </c>
      <c r="AB559" s="157">
        <f>'Quantitativos (A)'!Z559*$D559*$E559</f>
        <v>974</v>
      </c>
      <c r="AC559" s="157">
        <f>'Quantitativos (A)'!AA559*$D559*$E559</f>
        <v>974</v>
      </c>
      <c r="AD559" s="157">
        <f>'Quantitativos (A)'!AB559*$D559*$E559</f>
        <v>974</v>
      </c>
      <c r="AE559" s="157">
        <f>'Quantitativos (A)'!AC559*$D559*$E559</f>
        <v>974</v>
      </c>
      <c r="AF559" s="157">
        <f>'Quantitativos (A)'!AD559*$D559*$E559</f>
        <v>974</v>
      </c>
      <c r="AG559" s="157">
        <f>'Quantitativos (A)'!AE559*$D559*$E559</f>
        <v>974</v>
      </c>
      <c r="AH559" s="157">
        <f>'Quantitativos (A)'!AF559*$D559*$E559</f>
        <v>974</v>
      </c>
      <c r="AI559" s="158">
        <f>'Quantitativos (A)'!AG559*$D559*$E559</f>
        <v>974</v>
      </c>
      <c r="AJ559" s="22"/>
    </row>
    <row r="560" spans="1:36" x14ac:dyDescent="0.25">
      <c r="A560" s="112"/>
      <c r="B560" s="136" t="s">
        <v>186</v>
      </c>
      <c r="C560" s="67" t="s">
        <v>59</v>
      </c>
      <c r="D560" s="157">
        <f>'Dados (F)'!$D$363</f>
        <v>141.83000000000001</v>
      </c>
      <c r="E560" s="125">
        <f>IF('Dados (F)'!$D$35=1,1,'Dados (F)'!$C$39)</f>
        <v>1</v>
      </c>
      <c r="F560" s="157">
        <f>'Quantitativos (A)'!D560*$D560*$E560</f>
        <v>283.66000000000003</v>
      </c>
      <c r="G560" s="157">
        <f>'Quantitativos (A)'!E560*$D560*$E560</f>
        <v>283.66000000000003</v>
      </c>
      <c r="H560" s="157">
        <f>'Quantitativos (A)'!F560*$D560*$E560</f>
        <v>283.66000000000003</v>
      </c>
      <c r="I560" s="157">
        <f>'Quantitativos (A)'!G560*$D560*$E560</f>
        <v>283.66000000000003</v>
      </c>
      <c r="J560" s="157">
        <f>'Quantitativos (A)'!H560*$D560*$E560</f>
        <v>283.66000000000003</v>
      </c>
      <c r="K560" s="157">
        <f>'Quantitativos (A)'!I560*$D560*$E560</f>
        <v>283.66000000000003</v>
      </c>
      <c r="L560" s="157">
        <f>'Quantitativos (A)'!J560*$D560*$E560</f>
        <v>283.66000000000003</v>
      </c>
      <c r="M560" s="157">
        <f>'Quantitativos (A)'!K560*$D560*$E560</f>
        <v>283.66000000000003</v>
      </c>
      <c r="N560" s="157">
        <f>'Quantitativos (A)'!L560*$D560*$E560</f>
        <v>283.66000000000003</v>
      </c>
      <c r="O560" s="157">
        <f>'Quantitativos (A)'!M560*$D560*$E560</f>
        <v>283.66000000000003</v>
      </c>
      <c r="P560" s="157">
        <f>'Quantitativos (A)'!N560*$D560*$E560</f>
        <v>283.66000000000003</v>
      </c>
      <c r="Q560" s="157">
        <f>'Quantitativos (A)'!O560*$D560*$E560</f>
        <v>283.66000000000003</v>
      </c>
      <c r="R560" s="157">
        <f>'Quantitativos (A)'!P560*$D560*$E560</f>
        <v>283.66000000000003</v>
      </c>
      <c r="S560" s="157">
        <f>'Quantitativos (A)'!Q560*$D560*$E560</f>
        <v>283.66000000000003</v>
      </c>
      <c r="T560" s="157">
        <f>'Quantitativos (A)'!R560*$D560*$E560</f>
        <v>283.66000000000003</v>
      </c>
      <c r="U560" s="157">
        <f>'Quantitativos (A)'!S560*$D560*$E560</f>
        <v>283.66000000000003</v>
      </c>
      <c r="V560" s="157">
        <f>'Quantitativos (A)'!T560*$D560*$E560</f>
        <v>283.66000000000003</v>
      </c>
      <c r="W560" s="157">
        <f>'Quantitativos (A)'!U560*$D560*$E560</f>
        <v>283.66000000000003</v>
      </c>
      <c r="X560" s="157">
        <f>'Quantitativos (A)'!V560*$D560*$E560</f>
        <v>283.66000000000003</v>
      </c>
      <c r="Y560" s="157">
        <f>'Quantitativos (A)'!W560*$D560*$E560</f>
        <v>283.66000000000003</v>
      </c>
      <c r="Z560" s="157">
        <f>'Quantitativos (A)'!X560*$D560*$E560</f>
        <v>283.66000000000003</v>
      </c>
      <c r="AA560" s="157">
        <f>'Quantitativos (A)'!Y560*$D560*$E560</f>
        <v>283.66000000000003</v>
      </c>
      <c r="AB560" s="157">
        <f>'Quantitativos (A)'!Z560*$D560*$E560</f>
        <v>283.66000000000003</v>
      </c>
      <c r="AC560" s="157">
        <f>'Quantitativos (A)'!AA560*$D560*$E560</f>
        <v>283.66000000000003</v>
      </c>
      <c r="AD560" s="157">
        <f>'Quantitativos (A)'!AB560*$D560*$E560</f>
        <v>283.66000000000003</v>
      </c>
      <c r="AE560" s="157">
        <f>'Quantitativos (A)'!AC560*$D560*$E560</f>
        <v>283.66000000000003</v>
      </c>
      <c r="AF560" s="157">
        <f>'Quantitativos (A)'!AD560*$D560*$E560</f>
        <v>283.66000000000003</v>
      </c>
      <c r="AG560" s="157">
        <f>'Quantitativos (A)'!AE560*$D560*$E560</f>
        <v>283.66000000000003</v>
      </c>
      <c r="AH560" s="157">
        <f>'Quantitativos (A)'!AF560*$D560*$E560</f>
        <v>283.66000000000003</v>
      </c>
      <c r="AI560" s="158">
        <f>'Quantitativos (A)'!AG560*$D560*$E560</f>
        <v>283.66000000000003</v>
      </c>
      <c r="AJ560" s="22"/>
    </row>
    <row r="561" spans="1:36" x14ac:dyDescent="0.25">
      <c r="A561" s="112"/>
      <c r="B561" s="136" t="s">
        <v>187</v>
      </c>
      <c r="C561" s="67" t="s">
        <v>59</v>
      </c>
      <c r="D561" s="157">
        <f>'Dados (F)'!$D$364</f>
        <v>1040.92</v>
      </c>
      <c r="E561" s="125">
        <f>IF('Dados (F)'!$D$35=1,1,'Dados (F)'!$C$39)</f>
        <v>1</v>
      </c>
      <c r="F561" s="157">
        <f>'Quantitativos (A)'!D561*$D561*$E561</f>
        <v>2081.84</v>
      </c>
      <c r="G561" s="157">
        <f>'Quantitativos (A)'!E561*$D561*$E561</f>
        <v>2081.84</v>
      </c>
      <c r="H561" s="157">
        <f>'Quantitativos (A)'!F561*$D561*$E561</f>
        <v>2081.84</v>
      </c>
      <c r="I561" s="157">
        <f>'Quantitativos (A)'!G561*$D561*$E561</f>
        <v>2081.84</v>
      </c>
      <c r="J561" s="157">
        <f>'Quantitativos (A)'!H561*$D561*$E561</f>
        <v>2081.84</v>
      </c>
      <c r="K561" s="157">
        <f>'Quantitativos (A)'!I561*$D561*$E561</f>
        <v>2081.84</v>
      </c>
      <c r="L561" s="157">
        <f>'Quantitativos (A)'!J561*$D561*$E561</f>
        <v>2081.84</v>
      </c>
      <c r="M561" s="157">
        <f>'Quantitativos (A)'!K561*$D561*$E561</f>
        <v>2081.84</v>
      </c>
      <c r="N561" s="157">
        <f>'Quantitativos (A)'!L561*$D561*$E561</f>
        <v>2081.84</v>
      </c>
      <c r="O561" s="157">
        <f>'Quantitativos (A)'!M561*$D561*$E561</f>
        <v>2081.84</v>
      </c>
      <c r="P561" s="157">
        <f>'Quantitativos (A)'!N561*$D561*$E561</f>
        <v>2081.84</v>
      </c>
      <c r="Q561" s="157">
        <f>'Quantitativos (A)'!O561*$D561*$E561</f>
        <v>2081.84</v>
      </c>
      <c r="R561" s="157">
        <f>'Quantitativos (A)'!P561*$D561*$E561</f>
        <v>2081.84</v>
      </c>
      <c r="S561" s="157">
        <f>'Quantitativos (A)'!Q561*$D561*$E561</f>
        <v>2081.84</v>
      </c>
      <c r="T561" s="157">
        <f>'Quantitativos (A)'!R561*$D561*$E561</f>
        <v>2081.84</v>
      </c>
      <c r="U561" s="157">
        <f>'Quantitativos (A)'!S561*$D561*$E561</f>
        <v>2081.84</v>
      </c>
      <c r="V561" s="157">
        <f>'Quantitativos (A)'!T561*$D561*$E561</f>
        <v>2081.84</v>
      </c>
      <c r="W561" s="157">
        <f>'Quantitativos (A)'!U561*$D561*$E561</f>
        <v>2081.84</v>
      </c>
      <c r="X561" s="157">
        <f>'Quantitativos (A)'!V561*$D561*$E561</f>
        <v>2081.84</v>
      </c>
      <c r="Y561" s="157">
        <f>'Quantitativos (A)'!W561*$D561*$E561</f>
        <v>2081.84</v>
      </c>
      <c r="Z561" s="157">
        <f>'Quantitativos (A)'!X561*$D561*$E561</f>
        <v>2081.84</v>
      </c>
      <c r="AA561" s="157">
        <f>'Quantitativos (A)'!Y561*$D561*$E561</f>
        <v>2081.84</v>
      </c>
      <c r="AB561" s="157">
        <f>'Quantitativos (A)'!Z561*$D561*$E561</f>
        <v>2081.84</v>
      </c>
      <c r="AC561" s="157">
        <f>'Quantitativos (A)'!AA561*$D561*$E561</f>
        <v>2081.84</v>
      </c>
      <c r="AD561" s="157">
        <f>'Quantitativos (A)'!AB561*$D561*$E561</f>
        <v>2081.84</v>
      </c>
      <c r="AE561" s="157">
        <f>'Quantitativos (A)'!AC561*$D561*$E561</f>
        <v>2081.84</v>
      </c>
      <c r="AF561" s="157">
        <f>'Quantitativos (A)'!AD561*$D561*$E561</f>
        <v>2081.84</v>
      </c>
      <c r="AG561" s="157">
        <f>'Quantitativos (A)'!AE561*$D561*$E561</f>
        <v>2081.84</v>
      </c>
      <c r="AH561" s="157">
        <f>'Quantitativos (A)'!AF561*$D561*$E561</f>
        <v>2081.84</v>
      </c>
      <c r="AI561" s="158">
        <f>'Quantitativos (A)'!AG561*$D561*$E561</f>
        <v>2081.84</v>
      </c>
      <c r="AJ561" s="22"/>
    </row>
    <row r="562" spans="1:36" x14ac:dyDescent="0.25">
      <c r="A562" s="112"/>
      <c r="B562" s="136" t="s">
        <v>455</v>
      </c>
      <c r="C562" s="67" t="s">
        <v>59</v>
      </c>
      <c r="D562" s="157">
        <f>'Dados (F)'!$D$365</f>
        <v>365.23</v>
      </c>
      <c r="E562" s="125">
        <f>IF('Dados (F)'!$D$35=1,1,'Dados (F)'!$C$39)</f>
        <v>1</v>
      </c>
      <c r="F562" s="157">
        <f>'Quantitativos (A)'!D562*$D562*$E562</f>
        <v>365.23</v>
      </c>
      <c r="G562" s="157">
        <f>'Quantitativos (A)'!E562*$D562*$E562</f>
        <v>365.23</v>
      </c>
      <c r="H562" s="157">
        <f>'Quantitativos (A)'!F562*$D562*$E562</f>
        <v>365.23</v>
      </c>
      <c r="I562" s="157">
        <f>'Quantitativos (A)'!G562*$D562*$E562</f>
        <v>365.23</v>
      </c>
      <c r="J562" s="157">
        <f>'Quantitativos (A)'!H562*$D562*$E562</f>
        <v>365.23</v>
      </c>
      <c r="K562" s="157">
        <f>'Quantitativos (A)'!I562*$D562*$E562</f>
        <v>365.23</v>
      </c>
      <c r="L562" s="157">
        <f>'Quantitativos (A)'!J562*$D562*$E562</f>
        <v>365.23</v>
      </c>
      <c r="M562" s="157">
        <f>'Quantitativos (A)'!K562*$D562*$E562</f>
        <v>365.23</v>
      </c>
      <c r="N562" s="157">
        <f>'Quantitativos (A)'!L562*$D562*$E562</f>
        <v>365.23</v>
      </c>
      <c r="O562" s="157">
        <f>'Quantitativos (A)'!M562*$D562*$E562</f>
        <v>365.23</v>
      </c>
      <c r="P562" s="157">
        <f>'Quantitativos (A)'!N562*$D562*$E562</f>
        <v>365.23</v>
      </c>
      <c r="Q562" s="157">
        <f>'Quantitativos (A)'!O562*$D562*$E562</f>
        <v>365.23</v>
      </c>
      <c r="R562" s="157">
        <f>'Quantitativos (A)'!P562*$D562*$E562</f>
        <v>365.23</v>
      </c>
      <c r="S562" s="157">
        <f>'Quantitativos (A)'!Q562*$D562*$E562</f>
        <v>365.23</v>
      </c>
      <c r="T562" s="157">
        <f>'Quantitativos (A)'!R562*$D562*$E562</f>
        <v>365.23</v>
      </c>
      <c r="U562" s="157">
        <f>'Quantitativos (A)'!S562*$D562*$E562</f>
        <v>365.23</v>
      </c>
      <c r="V562" s="157">
        <f>'Quantitativos (A)'!T562*$D562*$E562</f>
        <v>365.23</v>
      </c>
      <c r="W562" s="157">
        <f>'Quantitativos (A)'!U562*$D562*$E562</f>
        <v>365.23</v>
      </c>
      <c r="X562" s="157">
        <f>'Quantitativos (A)'!V562*$D562*$E562</f>
        <v>365.23</v>
      </c>
      <c r="Y562" s="157">
        <f>'Quantitativos (A)'!W562*$D562*$E562</f>
        <v>365.23</v>
      </c>
      <c r="Z562" s="157">
        <f>'Quantitativos (A)'!X562*$D562*$E562</f>
        <v>365.23</v>
      </c>
      <c r="AA562" s="157">
        <f>'Quantitativos (A)'!Y562*$D562*$E562</f>
        <v>365.23</v>
      </c>
      <c r="AB562" s="157">
        <f>'Quantitativos (A)'!Z562*$D562*$E562</f>
        <v>365.23</v>
      </c>
      <c r="AC562" s="157">
        <f>'Quantitativos (A)'!AA562*$D562*$E562</f>
        <v>365.23</v>
      </c>
      <c r="AD562" s="157">
        <f>'Quantitativos (A)'!AB562*$D562*$E562</f>
        <v>365.23</v>
      </c>
      <c r="AE562" s="157">
        <f>'Quantitativos (A)'!AC562*$D562*$E562</f>
        <v>365.23</v>
      </c>
      <c r="AF562" s="157">
        <f>'Quantitativos (A)'!AD562*$D562*$E562</f>
        <v>365.23</v>
      </c>
      <c r="AG562" s="157">
        <f>'Quantitativos (A)'!AE562*$D562*$E562</f>
        <v>365.23</v>
      </c>
      <c r="AH562" s="157">
        <f>'Quantitativos (A)'!AF562*$D562*$E562</f>
        <v>365.23</v>
      </c>
      <c r="AI562" s="158">
        <f>'Quantitativos (A)'!AG562*$D562*$E562</f>
        <v>365.23</v>
      </c>
      <c r="AJ562" s="22"/>
    </row>
    <row r="563" spans="1:36" x14ac:dyDescent="0.25">
      <c r="A563" s="112"/>
      <c r="B563" s="120" t="s">
        <v>581</v>
      </c>
      <c r="C563" s="121"/>
      <c r="D563" s="155"/>
      <c r="E563" s="156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60"/>
      <c r="AJ563" s="22"/>
    </row>
    <row r="564" spans="1:36" x14ac:dyDescent="0.25">
      <c r="A564" s="112"/>
      <c r="B564" s="136" t="s">
        <v>188</v>
      </c>
      <c r="C564" s="67" t="s">
        <v>59</v>
      </c>
      <c r="D564" s="157">
        <f>'Dados (F)'!$D$366</f>
        <v>7842.38</v>
      </c>
      <c r="E564" s="125">
        <f>IF('Dados (F)'!$D$35=1,1,'Dados (F)'!$C$39)</f>
        <v>1</v>
      </c>
      <c r="F564" s="157">
        <f>'Quantitativos (A)'!D564*$D564*$E564</f>
        <v>15684.76</v>
      </c>
      <c r="G564" s="157">
        <f>'Quantitativos (A)'!E564*$D564*$E564</f>
        <v>0</v>
      </c>
      <c r="H564" s="157">
        <f>'Quantitativos (A)'!F564*$D564*$E564</f>
        <v>0</v>
      </c>
      <c r="I564" s="157">
        <f>'Quantitativos (A)'!G564*$D564*$E564</f>
        <v>15684.76</v>
      </c>
      <c r="J564" s="157">
        <f>'Quantitativos (A)'!H564*$D564*$E564</f>
        <v>0</v>
      </c>
      <c r="K564" s="157">
        <f>'Quantitativos (A)'!I564*$D564*$E564</f>
        <v>0</v>
      </c>
      <c r="L564" s="157">
        <f>'Quantitativos (A)'!J564*$D564*$E564</f>
        <v>15684.76</v>
      </c>
      <c r="M564" s="157">
        <f>'Quantitativos (A)'!K564*$D564*$E564</f>
        <v>0</v>
      </c>
      <c r="N564" s="157">
        <f>'Quantitativos (A)'!L564*$D564*$E564</f>
        <v>15684.76</v>
      </c>
      <c r="O564" s="157">
        <f>'Quantitativos (A)'!M564*$D564*$E564</f>
        <v>0</v>
      </c>
      <c r="P564" s="157">
        <f>'Quantitativos (A)'!N564*$D564*$E564</f>
        <v>15684.76</v>
      </c>
      <c r="Q564" s="157">
        <f>'Quantitativos (A)'!O564*$D564*$E564</f>
        <v>0</v>
      </c>
      <c r="R564" s="157">
        <f>'Quantitativos (A)'!P564*$D564*$E564</f>
        <v>0</v>
      </c>
      <c r="S564" s="157">
        <f>'Quantitativos (A)'!Q564*$D564*$E564</f>
        <v>15684.76</v>
      </c>
      <c r="T564" s="157">
        <f>'Quantitativos (A)'!R564*$D564*$E564</f>
        <v>0</v>
      </c>
      <c r="U564" s="157">
        <f>'Quantitativos (A)'!S564*$D564*$E564</f>
        <v>0</v>
      </c>
      <c r="V564" s="157">
        <f>'Quantitativos (A)'!T564*$D564*$E564</f>
        <v>15684.76</v>
      </c>
      <c r="W564" s="157">
        <f>'Quantitativos (A)'!U564*$D564*$E564</f>
        <v>0</v>
      </c>
      <c r="X564" s="157">
        <f>'Quantitativos (A)'!V564*$D564*$E564</f>
        <v>15684.76</v>
      </c>
      <c r="Y564" s="157">
        <f>'Quantitativos (A)'!W564*$D564*$E564</f>
        <v>0</v>
      </c>
      <c r="Z564" s="157">
        <f>'Quantitativos (A)'!X564*$D564*$E564</f>
        <v>15684.76</v>
      </c>
      <c r="AA564" s="157">
        <f>'Quantitativos (A)'!Y564*$D564*$E564</f>
        <v>0</v>
      </c>
      <c r="AB564" s="157">
        <f>'Quantitativos (A)'!Z564*$D564*$E564</f>
        <v>0</v>
      </c>
      <c r="AC564" s="157">
        <f>'Quantitativos (A)'!AA564*$D564*$E564</f>
        <v>15684.76</v>
      </c>
      <c r="AD564" s="157">
        <f>'Quantitativos (A)'!AB564*$D564*$E564</f>
        <v>0</v>
      </c>
      <c r="AE564" s="157">
        <f>'Quantitativos (A)'!AC564*$D564*$E564</f>
        <v>0</v>
      </c>
      <c r="AF564" s="157">
        <f>'Quantitativos (A)'!AD564*$D564*$E564</f>
        <v>15684.76</v>
      </c>
      <c r="AG564" s="157">
        <f>'Quantitativos (A)'!AE564*$D564*$E564</f>
        <v>0</v>
      </c>
      <c r="AH564" s="157">
        <f>'Quantitativos (A)'!AF564*$D564*$E564</f>
        <v>15684.76</v>
      </c>
      <c r="AI564" s="158">
        <f>'Quantitativos (A)'!AG564*$D564*$E564</f>
        <v>0</v>
      </c>
      <c r="AJ564" s="22"/>
    </row>
    <row r="565" spans="1:36" ht="25.5" x14ac:dyDescent="0.25">
      <c r="A565" s="112"/>
      <c r="B565" s="136" t="s">
        <v>189</v>
      </c>
      <c r="C565" s="67" t="s">
        <v>59</v>
      </c>
      <c r="D565" s="157">
        <f>'Dados (F)'!$D$356</f>
        <v>1704.42</v>
      </c>
      <c r="E565" s="125">
        <f>IF('Dados (F)'!$D$35=1,1,'Dados (F)'!$C$39)</f>
        <v>1</v>
      </c>
      <c r="F565" s="157">
        <f>'Quantitativos (A)'!D565*$D565*$E565</f>
        <v>1704.42</v>
      </c>
      <c r="G565" s="157">
        <f>'Quantitativos (A)'!E565*$D565*$E565</f>
        <v>0</v>
      </c>
      <c r="H565" s="157">
        <f>'Quantitativos (A)'!F565*$D565*$E565</f>
        <v>0</v>
      </c>
      <c r="I565" s="157">
        <f>'Quantitativos (A)'!G565*$D565*$E565</f>
        <v>1704.42</v>
      </c>
      <c r="J565" s="157">
        <f>'Quantitativos (A)'!H565*$D565*$E565</f>
        <v>0</v>
      </c>
      <c r="K565" s="157">
        <f>'Quantitativos (A)'!I565*$D565*$E565</f>
        <v>0</v>
      </c>
      <c r="L565" s="157">
        <f>'Quantitativos (A)'!J565*$D565*$E565</f>
        <v>1704.42</v>
      </c>
      <c r="M565" s="157">
        <f>'Quantitativos (A)'!K565*$D565*$E565</f>
        <v>0</v>
      </c>
      <c r="N565" s="157">
        <f>'Quantitativos (A)'!L565*$D565*$E565</f>
        <v>1704.42</v>
      </c>
      <c r="O565" s="157">
        <f>'Quantitativos (A)'!M565*$D565*$E565</f>
        <v>0</v>
      </c>
      <c r="P565" s="157">
        <f>'Quantitativos (A)'!N565*$D565*$E565</f>
        <v>1704.42</v>
      </c>
      <c r="Q565" s="157">
        <f>'Quantitativos (A)'!O565*$D565*$E565</f>
        <v>0</v>
      </c>
      <c r="R565" s="157">
        <f>'Quantitativos (A)'!P565*$D565*$E565</f>
        <v>0</v>
      </c>
      <c r="S565" s="157">
        <f>'Quantitativos (A)'!Q565*$D565*$E565</f>
        <v>1704.42</v>
      </c>
      <c r="T565" s="157">
        <f>'Quantitativos (A)'!R565*$D565*$E565</f>
        <v>0</v>
      </c>
      <c r="U565" s="157">
        <f>'Quantitativos (A)'!S565*$D565*$E565</f>
        <v>0</v>
      </c>
      <c r="V565" s="157">
        <f>'Quantitativos (A)'!T565*$D565*$E565</f>
        <v>1704.42</v>
      </c>
      <c r="W565" s="157">
        <f>'Quantitativos (A)'!U565*$D565*$E565</f>
        <v>0</v>
      </c>
      <c r="X565" s="157">
        <f>'Quantitativos (A)'!V565*$D565*$E565</f>
        <v>1704.42</v>
      </c>
      <c r="Y565" s="157">
        <f>'Quantitativos (A)'!W565*$D565*$E565</f>
        <v>0</v>
      </c>
      <c r="Z565" s="157">
        <f>'Quantitativos (A)'!X565*$D565*$E565</f>
        <v>1704.42</v>
      </c>
      <c r="AA565" s="157">
        <f>'Quantitativos (A)'!Y565*$D565*$E565</f>
        <v>0</v>
      </c>
      <c r="AB565" s="157">
        <f>'Quantitativos (A)'!Z565*$D565*$E565</f>
        <v>0</v>
      </c>
      <c r="AC565" s="157">
        <f>'Quantitativos (A)'!AA565*$D565*$E565</f>
        <v>1704.42</v>
      </c>
      <c r="AD565" s="157">
        <f>'Quantitativos (A)'!AB565*$D565*$E565</f>
        <v>0</v>
      </c>
      <c r="AE565" s="157">
        <f>'Quantitativos (A)'!AC565*$D565*$E565</f>
        <v>0</v>
      </c>
      <c r="AF565" s="157">
        <f>'Quantitativos (A)'!AD565*$D565*$E565</f>
        <v>1704.42</v>
      </c>
      <c r="AG565" s="157">
        <f>'Quantitativos (A)'!AE565*$D565*$E565</f>
        <v>0</v>
      </c>
      <c r="AH565" s="157">
        <f>'Quantitativos (A)'!AF565*$D565*$E565</f>
        <v>1704.42</v>
      </c>
      <c r="AI565" s="158">
        <f>'Quantitativos (A)'!AG565*$D565*$E565</f>
        <v>0</v>
      </c>
      <c r="AJ565" s="22"/>
    </row>
    <row r="566" spans="1:36" x14ac:dyDescent="0.25">
      <c r="A566" s="112"/>
      <c r="B566" s="136" t="s">
        <v>190</v>
      </c>
      <c r="C566" s="67" t="s">
        <v>59</v>
      </c>
      <c r="D566" s="157">
        <f>'Dados (F)'!$D$367</f>
        <v>4250.91</v>
      </c>
      <c r="E566" s="125">
        <f>IF('Dados (F)'!$D$35=1,1,'Dados (F)'!$C$39)</f>
        <v>1</v>
      </c>
      <c r="F566" s="157">
        <f>'Quantitativos (A)'!D566*$D566*$E566</f>
        <v>8501.82</v>
      </c>
      <c r="G566" s="157">
        <f>'Quantitativos (A)'!E566*$D566*$E566</f>
        <v>0</v>
      </c>
      <c r="H566" s="157">
        <f>'Quantitativos (A)'!F566*$D566*$E566</f>
        <v>0</v>
      </c>
      <c r="I566" s="157">
        <f>'Quantitativos (A)'!G566*$D566*$E566</f>
        <v>8501.82</v>
      </c>
      <c r="J566" s="157">
        <f>'Quantitativos (A)'!H566*$D566*$E566</f>
        <v>0</v>
      </c>
      <c r="K566" s="157">
        <f>'Quantitativos (A)'!I566*$D566*$E566</f>
        <v>0</v>
      </c>
      <c r="L566" s="157">
        <f>'Quantitativos (A)'!J566*$D566*$E566</f>
        <v>8501.82</v>
      </c>
      <c r="M566" s="157">
        <f>'Quantitativos (A)'!K566*$D566*$E566</f>
        <v>0</v>
      </c>
      <c r="N566" s="157">
        <f>'Quantitativos (A)'!L566*$D566*$E566</f>
        <v>8501.82</v>
      </c>
      <c r="O566" s="157">
        <f>'Quantitativos (A)'!M566*$D566*$E566</f>
        <v>0</v>
      </c>
      <c r="P566" s="157">
        <f>'Quantitativos (A)'!N566*$D566*$E566</f>
        <v>8501.82</v>
      </c>
      <c r="Q566" s="157">
        <f>'Quantitativos (A)'!O566*$D566*$E566</f>
        <v>0</v>
      </c>
      <c r="R566" s="157">
        <f>'Quantitativos (A)'!P566*$D566*$E566</f>
        <v>0</v>
      </c>
      <c r="S566" s="157">
        <f>'Quantitativos (A)'!Q566*$D566*$E566</f>
        <v>8501.82</v>
      </c>
      <c r="T566" s="157">
        <f>'Quantitativos (A)'!R566*$D566*$E566</f>
        <v>0</v>
      </c>
      <c r="U566" s="157">
        <f>'Quantitativos (A)'!S566*$D566*$E566</f>
        <v>0</v>
      </c>
      <c r="V566" s="157">
        <f>'Quantitativos (A)'!T566*$D566*$E566</f>
        <v>8501.82</v>
      </c>
      <c r="W566" s="157">
        <f>'Quantitativos (A)'!U566*$D566*$E566</f>
        <v>0</v>
      </c>
      <c r="X566" s="157">
        <f>'Quantitativos (A)'!V566*$D566*$E566</f>
        <v>8501.82</v>
      </c>
      <c r="Y566" s="157">
        <f>'Quantitativos (A)'!W566*$D566*$E566</f>
        <v>0</v>
      </c>
      <c r="Z566" s="157">
        <f>'Quantitativos (A)'!X566*$D566*$E566</f>
        <v>8501.82</v>
      </c>
      <c r="AA566" s="157">
        <f>'Quantitativos (A)'!Y566*$D566*$E566</f>
        <v>0</v>
      </c>
      <c r="AB566" s="157">
        <f>'Quantitativos (A)'!Z566*$D566*$E566</f>
        <v>0</v>
      </c>
      <c r="AC566" s="157">
        <f>'Quantitativos (A)'!AA566*$D566*$E566</f>
        <v>8501.82</v>
      </c>
      <c r="AD566" s="157">
        <f>'Quantitativos (A)'!AB566*$D566*$E566</f>
        <v>0</v>
      </c>
      <c r="AE566" s="157">
        <f>'Quantitativos (A)'!AC566*$D566*$E566</f>
        <v>0</v>
      </c>
      <c r="AF566" s="157">
        <f>'Quantitativos (A)'!AD566*$D566*$E566</f>
        <v>8501.82</v>
      </c>
      <c r="AG566" s="157">
        <f>'Quantitativos (A)'!AE566*$D566*$E566</f>
        <v>0</v>
      </c>
      <c r="AH566" s="157">
        <f>'Quantitativos (A)'!AF566*$D566*$E566</f>
        <v>8501.82</v>
      </c>
      <c r="AI566" s="158">
        <f>'Quantitativos (A)'!AG566*$D566*$E566</f>
        <v>0</v>
      </c>
      <c r="AJ566" s="22"/>
    </row>
    <row r="567" spans="1:36" x14ac:dyDescent="0.25">
      <c r="A567" s="112"/>
      <c r="B567" s="136" t="s">
        <v>455</v>
      </c>
      <c r="C567" s="67" t="s">
        <v>59</v>
      </c>
      <c r="D567" s="157">
        <f>'Dados (F)'!$D$365</f>
        <v>365.23</v>
      </c>
      <c r="E567" s="125">
        <f>IF('Dados (F)'!$D$35=1,1,'Dados (F)'!$C$39)</f>
        <v>1</v>
      </c>
      <c r="F567" s="157">
        <f>'Quantitativos (A)'!D567*$D567*$E567</f>
        <v>365.23</v>
      </c>
      <c r="G567" s="157">
        <f>'Quantitativos (A)'!E567*$D567*$E567</f>
        <v>0</v>
      </c>
      <c r="H567" s="157">
        <f>'Quantitativos (A)'!F567*$D567*$E567</f>
        <v>0</v>
      </c>
      <c r="I567" s="157">
        <f>'Quantitativos (A)'!G567*$D567*$E567</f>
        <v>365.23</v>
      </c>
      <c r="J567" s="157">
        <f>'Quantitativos (A)'!H567*$D567*$E567</f>
        <v>0</v>
      </c>
      <c r="K567" s="157">
        <f>'Quantitativos (A)'!I567*$D567*$E567</f>
        <v>0</v>
      </c>
      <c r="L567" s="157">
        <f>'Quantitativos (A)'!J567*$D567*$E567</f>
        <v>365.23</v>
      </c>
      <c r="M567" s="157">
        <f>'Quantitativos (A)'!K567*$D567*$E567</f>
        <v>0</v>
      </c>
      <c r="N567" s="157">
        <f>'Quantitativos (A)'!L567*$D567*$E567</f>
        <v>365.23</v>
      </c>
      <c r="O567" s="157">
        <f>'Quantitativos (A)'!M567*$D567*$E567</f>
        <v>0</v>
      </c>
      <c r="P567" s="157">
        <f>'Quantitativos (A)'!N567*$D567*$E567</f>
        <v>365.23</v>
      </c>
      <c r="Q567" s="157">
        <f>'Quantitativos (A)'!O567*$D567*$E567</f>
        <v>0</v>
      </c>
      <c r="R567" s="157">
        <f>'Quantitativos (A)'!P567*$D567*$E567</f>
        <v>0</v>
      </c>
      <c r="S567" s="157">
        <f>'Quantitativos (A)'!Q567*$D567*$E567</f>
        <v>365.23</v>
      </c>
      <c r="T567" s="157">
        <f>'Quantitativos (A)'!R567*$D567*$E567</f>
        <v>0</v>
      </c>
      <c r="U567" s="157">
        <f>'Quantitativos (A)'!S567*$D567*$E567</f>
        <v>0</v>
      </c>
      <c r="V567" s="157">
        <f>'Quantitativos (A)'!T567*$D567*$E567</f>
        <v>365.23</v>
      </c>
      <c r="W567" s="157">
        <f>'Quantitativos (A)'!U567*$D567*$E567</f>
        <v>0</v>
      </c>
      <c r="X567" s="157">
        <f>'Quantitativos (A)'!V567*$D567*$E567</f>
        <v>365.23</v>
      </c>
      <c r="Y567" s="157">
        <f>'Quantitativos (A)'!W567*$D567*$E567</f>
        <v>0</v>
      </c>
      <c r="Z567" s="157">
        <f>'Quantitativos (A)'!X567*$D567*$E567</f>
        <v>365.23</v>
      </c>
      <c r="AA567" s="157">
        <f>'Quantitativos (A)'!Y567*$D567*$E567</f>
        <v>0</v>
      </c>
      <c r="AB567" s="157">
        <f>'Quantitativos (A)'!Z567*$D567*$E567</f>
        <v>0</v>
      </c>
      <c r="AC567" s="157">
        <f>'Quantitativos (A)'!AA567*$D567*$E567</f>
        <v>365.23</v>
      </c>
      <c r="AD567" s="157">
        <f>'Quantitativos (A)'!AB567*$D567*$E567</f>
        <v>0</v>
      </c>
      <c r="AE567" s="157">
        <f>'Quantitativos (A)'!AC567*$D567*$E567</f>
        <v>0</v>
      </c>
      <c r="AF567" s="157">
        <f>'Quantitativos (A)'!AD567*$D567*$E567</f>
        <v>365.23</v>
      </c>
      <c r="AG567" s="157">
        <f>'Quantitativos (A)'!AE567*$D567*$E567</f>
        <v>0</v>
      </c>
      <c r="AH567" s="157">
        <f>'Quantitativos (A)'!AF567*$D567*$E567</f>
        <v>365.23</v>
      </c>
      <c r="AI567" s="158">
        <f>'Quantitativos (A)'!AG567*$D567*$E567</f>
        <v>0</v>
      </c>
      <c r="AJ567" s="22"/>
    </row>
    <row r="568" spans="1:36" x14ac:dyDescent="0.25">
      <c r="A568" s="112"/>
      <c r="B568" s="136" t="s">
        <v>191</v>
      </c>
      <c r="C568" s="67" t="s">
        <v>59</v>
      </c>
      <c r="D568" s="157">
        <f>'Dados (F)'!$D$368</f>
        <v>6184.63</v>
      </c>
      <c r="E568" s="125">
        <f>IF('Dados (F)'!$D$35=1,1,'Dados (F)'!$C$39)</f>
        <v>1</v>
      </c>
      <c r="F568" s="157">
        <f>'Quantitativos (A)'!D568*$D568*$E568</f>
        <v>0</v>
      </c>
      <c r="G568" s="157">
        <f>'Quantitativos (A)'!E568*$D568*$E568</f>
        <v>0</v>
      </c>
      <c r="H568" s="157">
        <f>'Quantitativos (A)'!F568*$D568*$E568</f>
        <v>6184.63</v>
      </c>
      <c r="I568" s="157">
        <f>'Quantitativos (A)'!G568*$D568*$E568</f>
        <v>0</v>
      </c>
      <c r="J568" s="157">
        <f>'Quantitativos (A)'!H568*$D568*$E568</f>
        <v>0</v>
      </c>
      <c r="K568" s="157">
        <f>'Quantitativos (A)'!I568*$D568*$E568</f>
        <v>6184.63</v>
      </c>
      <c r="L568" s="157">
        <f>'Quantitativos (A)'!J568*$D568*$E568</f>
        <v>0</v>
      </c>
      <c r="M568" s="157">
        <f>'Quantitativos (A)'!K568*$D568*$E568</f>
        <v>6184.63</v>
      </c>
      <c r="N568" s="157">
        <f>'Quantitativos (A)'!L568*$D568*$E568</f>
        <v>0</v>
      </c>
      <c r="O568" s="157">
        <f>'Quantitativos (A)'!M568*$D568*$E568</f>
        <v>6184.63</v>
      </c>
      <c r="P568" s="157">
        <f>'Quantitativos (A)'!N568*$D568*$E568</f>
        <v>0</v>
      </c>
      <c r="Q568" s="157">
        <f>'Quantitativos (A)'!O568*$D568*$E568</f>
        <v>0</v>
      </c>
      <c r="R568" s="157">
        <f>'Quantitativos (A)'!P568*$D568*$E568</f>
        <v>6184.63</v>
      </c>
      <c r="S568" s="157">
        <f>'Quantitativos (A)'!Q568*$D568*$E568</f>
        <v>0</v>
      </c>
      <c r="T568" s="157">
        <f>'Quantitativos (A)'!R568*$D568*$E568</f>
        <v>0</v>
      </c>
      <c r="U568" s="157">
        <f>'Quantitativos (A)'!S568*$D568*$E568</f>
        <v>6184.63</v>
      </c>
      <c r="V568" s="157">
        <f>'Quantitativos (A)'!T568*$D568*$E568</f>
        <v>0</v>
      </c>
      <c r="W568" s="157">
        <f>'Quantitativos (A)'!U568*$D568*$E568</f>
        <v>6184.63</v>
      </c>
      <c r="X568" s="157">
        <f>'Quantitativos (A)'!V568*$D568*$E568</f>
        <v>0</v>
      </c>
      <c r="Y568" s="157">
        <f>'Quantitativos (A)'!W568*$D568*$E568</f>
        <v>6184.63</v>
      </c>
      <c r="Z568" s="157">
        <f>'Quantitativos (A)'!X568*$D568*$E568</f>
        <v>0</v>
      </c>
      <c r="AA568" s="157">
        <f>'Quantitativos (A)'!Y568*$D568*$E568</f>
        <v>0</v>
      </c>
      <c r="AB568" s="157">
        <f>'Quantitativos (A)'!Z568*$D568*$E568</f>
        <v>6184.63</v>
      </c>
      <c r="AC568" s="157">
        <f>'Quantitativos (A)'!AA568*$D568*$E568</f>
        <v>0</v>
      </c>
      <c r="AD568" s="157">
        <f>'Quantitativos (A)'!AB568*$D568*$E568</f>
        <v>0</v>
      </c>
      <c r="AE568" s="157">
        <f>'Quantitativos (A)'!AC568*$D568*$E568</f>
        <v>6184.63</v>
      </c>
      <c r="AF568" s="157">
        <f>'Quantitativos (A)'!AD568*$D568*$E568</f>
        <v>0</v>
      </c>
      <c r="AG568" s="157">
        <f>'Quantitativos (A)'!AE568*$D568*$E568</f>
        <v>6184.63</v>
      </c>
      <c r="AH568" s="157">
        <f>'Quantitativos (A)'!AF568*$D568*$E568</f>
        <v>0</v>
      </c>
      <c r="AI568" s="158">
        <f>'Quantitativos (A)'!AG568*$D568*$E568</f>
        <v>6184.63</v>
      </c>
      <c r="AJ568" s="22"/>
    </row>
    <row r="569" spans="1:36" ht="25.5" x14ac:dyDescent="0.25">
      <c r="A569" s="112"/>
      <c r="B569" s="136" t="s">
        <v>192</v>
      </c>
      <c r="C569" s="67" t="s">
        <v>59</v>
      </c>
      <c r="D569" s="157">
        <f>'Dados (F)'!$D$369</f>
        <v>18793.3</v>
      </c>
      <c r="E569" s="125">
        <f>IF('Dados (F)'!$D$35=1,1,'Dados (F)'!$C$39)</f>
        <v>1</v>
      </c>
      <c r="F569" s="157">
        <f>'Quantitativos (A)'!D569*$D569*$E569</f>
        <v>0</v>
      </c>
      <c r="G569" s="157">
        <f>'Quantitativos (A)'!E569*$D569*$E569</f>
        <v>0</v>
      </c>
      <c r="H569" s="157">
        <f>'Quantitativos (A)'!F569*$D569*$E569</f>
        <v>18793.3</v>
      </c>
      <c r="I569" s="157">
        <f>'Quantitativos (A)'!G569*$D569*$E569</f>
        <v>0</v>
      </c>
      <c r="J569" s="157">
        <f>'Quantitativos (A)'!H569*$D569*$E569</f>
        <v>0</v>
      </c>
      <c r="K569" s="157">
        <f>'Quantitativos (A)'!I569*$D569*$E569</f>
        <v>18793.3</v>
      </c>
      <c r="L569" s="157">
        <f>'Quantitativos (A)'!J569*$D569*$E569</f>
        <v>0</v>
      </c>
      <c r="M569" s="157">
        <f>'Quantitativos (A)'!K569*$D569*$E569</f>
        <v>18793.3</v>
      </c>
      <c r="N569" s="157">
        <f>'Quantitativos (A)'!L569*$D569*$E569</f>
        <v>0</v>
      </c>
      <c r="O569" s="157">
        <f>'Quantitativos (A)'!M569*$D569*$E569</f>
        <v>18793.3</v>
      </c>
      <c r="P569" s="157">
        <f>'Quantitativos (A)'!N569*$D569*$E569</f>
        <v>0</v>
      </c>
      <c r="Q569" s="157">
        <f>'Quantitativos (A)'!O569*$D569*$E569</f>
        <v>0</v>
      </c>
      <c r="R569" s="157">
        <f>'Quantitativos (A)'!P569*$D569*$E569</f>
        <v>18793.3</v>
      </c>
      <c r="S569" s="157">
        <f>'Quantitativos (A)'!Q569*$D569*$E569</f>
        <v>0</v>
      </c>
      <c r="T569" s="157">
        <f>'Quantitativos (A)'!R569*$D569*$E569</f>
        <v>0</v>
      </c>
      <c r="U569" s="157">
        <f>'Quantitativos (A)'!S569*$D569*$E569</f>
        <v>18793.3</v>
      </c>
      <c r="V569" s="157">
        <f>'Quantitativos (A)'!T569*$D569*$E569</f>
        <v>0</v>
      </c>
      <c r="W569" s="157">
        <f>'Quantitativos (A)'!U569*$D569*$E569</f>
        <v>18793.3</v>
      </c>
      <c r="X569" s="157">
        <f>'Quantitativos (A)'!V569*$D569*$E569</f>
        <v>0</v>
      </c>
      <c r="Y569" s="157">
        <f>'Quantitativos (A)'!W569*$D569*$E569</f>
        <v>18793.3</v>
      </c>
      <c r="Z569" s="157">
        <f>'Quantitativos (A)'!X569*$D569*$E569</f>
        <v>0</v>
      </c>
      <c r="AA569" s="157">
        <f>'Quantitativos (A)'!Y569*$D569*$E569</f>
        <v>0</v>
      </c>
      <c r="AB569" s="157">
        <f>'Quantitativos (A)'!Z569*$D569*$E569</f>
        <v>18793.3</v>
      </c>
      <c r="AC569" s="157">
        <f>'Quantitativos (A)'!AA569*$D569*$E569</f>
        <v>0</v>
      </c>
      <c r="AD569" s="157">
        <f>'Quantitativos (A)'!AB569*$D569*$E569</f>
        <v>0</v>
      </c>
      <c r="AE569" s="157">
        <f>'Quantitativos (A)'!AC569*$D569*$E569</f>
        <v>18793.3</v>
      </c>
      <c r="AF569" s="157">
        <f>'Quantitativos (A)'!AD569*$D569*$E569</f>
        <v>0</v>
      </c>
      <c r="AG569" s="157">
        <f>'Quantitativos (A)'!AE569*$D569*$E569</f>
        <v>18793.3</v>
      </c>
      <c r="AH569" s="157">
        <f>'Quantitativos (A)'!AF569*$D569*$E569</f>
        <v>0</v>
      </c>
      <c r="AI569" s="158">
        <f>'Quantitativos (A)'!AG569*$D569*$E569</f>
        <v>18793.3</v>
      </c>
      <c r="AJ569" s="22"/>
    </row>
    <row r="570" spans="1:36" x14ac:dyDescent="0.25">
      <c r="A570" s="112"/>
      <c r="B570" s="137" t="s">
        <v>582</v>
      </c>
      <c r="C570" s="138"/>
      <c r="D570" s="162"/>
      <c r="E570" s="163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5"/>
      <c r="AJ570" s="22"/>
    </row>
    <row r="571" spans="1:36" x14ac:dyDescent="0.25">
      <c r="A571" s="21"/>
      <c r="B571" s="120" t="s">
        <v>583</v>
      </c>
      <c r="C571" s="121"/>
      <c r="D571" s="155"/>
      <c r="E571" s="156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60"/>
      <c r="AJ571" s="22"/>
    </row>
    <row r="572" spans="1:36" x14ac:dyDescent="0.25">
      <c r="A572" s="21"/>
      <c r="B572" s="141" t="s">
        <v>584</v>
      </c>
      <c r="C572" s="125" t="s">
        <v>65</v>
      </c>
      <c r="D572" s="157">
        <f>'Dados (F)'!$D$370</f>
        <v>0.14000000000000001</v>
      </c>
      <c r="E572" s="125">
        <f>IF('Dados (F)'!$D$35=1,1,'Dados (F)'!$C$39)</f>
        <v>1</v>
      </c>
      <c r="F572" s="157">
        <f>'Quantitativos (A)'!D572*$D572*$E572</f>
        <v>3628.8</v>
      </c>
      <c r="G572" s="157">
        <f>'Quantitativos (A)'!E572*$D572*$E572</f>
        <v>3628.8</v>
      </c>
      <c r="H572" s="157">
        <f>'Quantitativos (A)'!F572*$D572*$E572</f>
        <v>3628.8</v>
      </c>
      <c r="I572" s="157">
        <f>'Quantitativos (A)'!G572*$D572*$E572</f>
        <v>3628.8</v>
      </c>
      <c r="J572" s="157">
        <f>'Quantitativos (A)'!H572*$D572*$E572</f>
        <v>3628.8</v>
      </c>
      <c r="K572" s="157">
        <f>'Quantitativos (A)'!I572*$D572*$E572</f>
        <v>3628.8</v>
      </c>
      <c r="L572" s="157">
        <f>'Quantitativos (A)'!J572*$D572*$E572</f>
        <v>3628.8</v>
      </c>
      <c r="M572" s="157">
        <f>'Quantitativos (A)'!K572*$D572*$E572</f>
        <v>3628.8</v>
      </c>
      <c r="N572" s="157">
        <f>'Quantitativos (A)'!L572*$D572*$E572</f>
        <v>3628.8</v>
      </c>
      <c r="O572" s="157">
        <f>'Quantitativos (A)'!M572*$D572*$E572</f>
        <v>3628.8</v>
      </c>
      <c r="P572" s="157">
        <f>'Quantitativos (A)'!N572*$D572*$E572</f>
        <v>3628.8</v>
      </c>
      <c r="Q572" s="157">
        <f>'Quantitativos (A)'!O572*$D572*$E572</f>
        <v>3628.8</v>
      </c>
      <c r="R572" s="157">
        <f>'Quantitativos (A)'!P572*$D572*$E572</f>
        <v>3628.8</v>
      </c>
      <c r="S572" s="157">
        <f>'Quantitativos (A)'!Q572*$D572*$E572</f>
        <v>3628.8</v>
      </c>
      <c r="T572" s="157">
        <f>'Quantitativos (A)'!R572*$D572*$E572</f>
        <v>3628.8</v>
      </c>
      <c r="U572" s="157">
        <f>'Quantitativos (A)'!S572*$D572*$E572</f>
        <v>3628.8</v>
      </c>
      <c r="V572" s="157">
        <f>'Quantitativos (A)'!T572*$D572*$E572</f>
        <v>3628.8</v>
      </c>
      <c r="W572" s="157">
        <f>'Quantitativos (A)'!U572*$D572*$E572</f>
        <v>3628.8</v>
      </c>
      <c r="X572" s="157">
        <f>'Quantitativos (A)'!V572*$D572*$E572</f>
        <v>3628.8</v>
      </c>
      <c r="Y572" s="157">
        <f>'Quantitativos (A)'!W572*$D572*$E572</f>
        <v>3628.8</v>
      </c>
      <c r="Z572" s="157">
        <f>'Quantitativos (A)'!X572*$D572*$E572</f>
        <v>3628.8</v>
      </c>
      <c r="AA572" s="157">
        <f>'Quantitativos (A)'!Y572*$D572*$E572</f>
        <v>3628.8</v>
      </c>
      <c r="AB572" s="157">
        <f>'Quantitativos (A)'!Z572*$D572*$E572</f>
        <v>3628.8</v>
      </c>
      <c r="AC572" s="157">
        <f>'Quantitativos (A)'!AA572*$D572*$E572</f>
        <v>3628.8</v>
      </c>
      <c r="AD572" s="157">
        <f>'Quantitativos (A)'!AB572*$D572*$E572</f>
        <v>3628.8</v>
      </c>
      <c r="AE572" s="157">
        <f>'Quantitativos (A)'!AC572*$D572*$E572</f>
        <v>3628.8</v>
      </c>
      <c r="AF572" s="157">
        <f>'Quantitativos (A)'!AD572*$D572*$E572</f>
        <v>3628.8</v>
      </c>
      <c r="AG572" s="157">
        <f>'Quantitativos (A)'!AE572*$D572*$E572</f>
        <v>3628.8</v>
      </c>
      <c r="AH572" s="157">
        <f>'Quantitativos (A)'!AF572*$D572*$E572</f>
        <v>3628.8</v>
      </c>
      <c r="AI572" s="158">
        <f>'Quantitativos (A)'!AG572*$D572*$E572</f>
        <v>3628.8</v>
      </c>
      <c r="AJ572" s="22"/>
    </row>
    <row r="573" spans="1:36" x14ac:dyDescent="0.25">
      <c r="A573" s="21"/>
      <c r="B573" s="120" t="s">
        <v>585</v>
      </c>
      <c r="C573" s="121"/>
      <c r="D573" s="155"/>
      <c r="E573" s="156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60"/>
      <c r="AJ573" s="22"/>
    </row>
    <row r="574" spans="1:36" x14ac:dyDescent="0.25">
      <c r="A574" s="166"/>
      <c r="B574" s="141" t="s">
        <v>586</v>
      </c>
      <c r="C574" s="125" t="s">
        <v>65</v>
      </c>
      <c r="D574" s="157">
        <f>'Dados (F)'!$D$371</f>
        <v>0.31</v>
      </c>
      <c r="E574" s="125">
        <f>IF('Dados (F)'!$D$35=1,1,'Dados (F)'!$C$39)</f>
        <v>1</v>
      </c>
      <c r="F574" s="157">
        <f>'Quantitativos (A)'!D574*$D574*$E574</f>
        <v>520.95407</v>
      </c>
      <c r="G574" s="157">
        <f>'Quantitativos (A)'!E574*$D574*$E574</f>
        <v>520.95407</v>
      </c>
      <c r="H574" s="157">
        <f>'Quantitativos (A)'!F574*$D574*$E574</f>
        <v>520.95407</v>
      </c>
      <c r="I574" s="157">
        <f>'Quantitativos (A)'!G574*$D574*$E574</f>
        <v>520.95407</v>
      </c>
      <c r="J574" s="157">
        <f>'Quantitativos (A)'!H574*$D574*$E574</f>
        <v>520.95407</v>
      </c>
      <c r="K574" s="157">
        <f>'Quantitativos (A)'!I574*$D574*$E574</f>
        <v>520.95407</v>
      </c>
      <c r="L574" s="157">
        <f>'Quantitativos (A)'!J574*$D574*$E574</f>
        <v>520.95407</v>
      </c>
      <c r="M574" s="157">
        <f>'Quantitativos (A)'!K574*$D574*$E574</f>
        <v>520.95407</v>
      </c>
      <c r="N574" s="157">
        <f>'Quantitativos (A)'!L574*$D574*$E574</f>
        <v>520.95407</v>
      </c>
      <c r="O574" s="157">
        <f>'Quantitativos (A)'!M574*$D574*$E574</f>
        <v>520.95407</v>
      </c>
      <c r="P574" s="157">
        <f>'Quantitativos (A)'!N574*$D574*$E574</f>
        <v>465.01549999999997</v>
      </c>
      <c r="Q574" s="157">
        <f>'Quantitativos (A)'!O574*$D574*$E574</f>
        <v>606.36</v>
      </c>
      <c r="R574" s="157">
        <f>'Quantitativos (A)'!P574*$D574*$E574</f>
        <v>606.36</v>
      </c>
      <c r="S574" s="157">
        <f>'Quantitativos (A)'!Q574*$D574*$E574</f>
        <v>465.01549999999997</v>
      </c>
      <c r="T574" s="157">
        <f>'Quantitativos (A)'!R574*$D574*$E574</f>
        <v>606.36</v>
      </c>
      <c r="U574" s="157">
        <f>'Quantitativos (A)'!S574*$D574*$E574</f>
        <v>606.36</v>
      </c>
      <c r="V574" s="157">
        <f>'Quantitativos (A)'!T574*$D574*$E574</f>
        <v>465.01549999999997</v>
      </c>
      <c r="W574" s="157">
        <f>'Quantitativos (A)'!U574*$D574*$E574</f>
        <v>606.36</v>
      </c>
      <c r="X574" s="157">
        <f>'Quantitativos (A)'!V574*$D574*$E574</f>
        <v>465.01549999999997</v>
      </c>
      <c r="Y574" s="157">
        <f>'Quantitativos (A)'!W574*$D574*$E574</f>
        <v>606.36</v>
      </c>
      <c r="Z574" s="157">
        <f>'Quantitativos (A)'!X574*$D574*$E574</f>
        <v>462.21</v>
      </c>
      <c r="AA574" s="157">
        <f>'Quantitativos (A)'!Y574*$D574*$E574</f>
        <v>462.21</v>
      </c>
      <c r="AB574" s="157">
        <f>'Quantitativos (A)'!Z574*$D574*$E574</f>
        <v>462.21</v>
      </c>
      <c r="AC574" s="157">
        <f>'Quantitativos (A)'!AA574*$D574*$E574</f>
        <v>462.21</v>
      </c>
      <c r="AD574" s="157">
        <f>'Quantitativos (A)'!AB574*$D574*$E574</f>
        <v>462.21</v>
      </c>
      <c r="AE574" s="157">
        <f>'Quantitativos (A)'!AC574*$D574*$E574</f>
        <v>462.21</v>
      </c>
      <c r="AF574" s="157">
        <f>'Quantitativos (A)'!AD574*$D574*$E574</f>
        <v>462.21</v>
      </c>
      <c r="AG574" s="157">
        <f>'Quantitativos (A)'!AE574*$D574*$E574</f>
        <v>462.21</v>
      </c>
      <c r="AH574" s="157">
        <f>'Quantitativos (A)'!AF574*$D574*$E574</f>
        <v>462.21</v>
      </c>
      <c r="AI574" s="158">
        <f>'Quantitativos (A)'!AG574*$D574*$E574</f>
        <v>462.21</v>
      </c>
      <c r="AJ574" s="22"/>
    </row>
    <row r="575" spans="1:36" x14ac:dyDescent="0.25">
      <c r="A575" s="21"/>
      <c r="B575" s="141" t="s">
        <v>587</v>
      </c>
      <c r="C575" s="125" t="s">
        <v>65</v>
      </c>
      <c r="D575" s="157">
        <f>'Dados (F)'!$D$372</f>
        <v>60.87</v>
      </c>
      <c r="E575" s="125">
        <f>IF('Dados (F)'!$D$35=1,1,'Dados (F)'!$C$39)</f>
        <v>1</v>
      </c>
      <c r="F575" s="157">
        <f>'Quantitativos (A)'!D575*$D575*$E575</f>
        <v>6336.5669999999991</v>
      </c>
      <c r="G575" s="157">
        <f>'Quantitativos (A)'!E575*$D575*$E575</f>
        <v>6336.5669999999991</v>
      </c>
      <c r="H575" s="157">
        <f>'Quantitativos (A)'!F575*$D575*$E575</f>
        <v>0</v>
      </c>
      <c r="I575" s="157">
        <f>'Quantitativos (A)'!G575*$D575*$E575</f>
        <v>6336.5669999999991</v>
      </c>
      <c r="J575" s="157">
        <f>'Quantitativos (A)'!H575*$D575*$E575</f>
        <v>6336.5669999999991</v>
      </c>
      <c r="K575" s="157">
        <f>'Quantitativos (A)'!I575*$D575*$E575</f>
        <v>0</v>
      </c>
      <c r="L575" s="157">
        <f>'Quantitativos (A)'!J575*$D575*$E575</f>
        <v>6336.5669999999991</v>
      </c>
      <c r="M575" s="157">
        <f>'Quantitativos (A)'!K575*$D575*$E575</f>
        <v>0</v>
      </c>
      <c r="N575" s="157">
        <f>'Quantitativos (A)'!L575*$D575*$E575</f>
        <v>6336.5669999999991</v>
      </c>
      <c r="O575" s="157">
        <f>'Quantitativos (A)'!M575*$D575*$E575</f>
        <v>0</v>
      </c>
      <c r="P575" s="157">
        <f>'Quantitativos (A)'!N575*$D575*$E575</f>
        <v>2069.7808709999999</v>
      </c>
      <c r="Q575" s="157">
        <f>'Quantitativos (A)'!O575*$D575*$E575</f>
        <v>2069.7808709999999</v>
      </c>
      <c r="R575" s="157">
        <f>'Quantitativos (A)'!P575*$D575*$E575</f>
        <v>0</v>
      </c>
      <c r="S575" s="157">
        <f>'Quantitativos (A)'!Q575*$D575*$E575</f>
        <v>2069.7808709999999</v>
      </c>
      <c r="T575" s="157">
        <f>'Quantitativos (A)'!R575*$D575*$E575</f>
        <v>2069.7808709999999</v>
      </c>
      <c r="U575" s="157">
        <f>'Quantitativos (A)'!S575*$D575*$E575</f>
        <v>0</v>
      </c>
      <c r="V575" s="157">
        <f>'Quantitativos (A)'!T575*$D575*$E575</f>
        <v>2069.7808709999999</v>
      </c>
      <c r="W575" s="157">
        <f>'Quantitativos (A)'!U575*$D575*$E575</f>
        <v>0</v>
      </c>
      <c r="X575" s="157">
        <f>'Quantitativos (A)'!V575*$D575*$E575</f>
        <v>2069.7808709999999</v>
      </c>
      <c r="Y575" s="157">
        <f>'Quantitativos (A)'!W575*$D575*$E575</f>
        <v>0</v>
      </c>
      <c r="Z575" s="157">
        <f>'Quantitativos (A)'!X575*$D575*$E575</f>
        <v>2069.3791289999999</v>
      </c>
      <c r="AA575" s="157">
        <f>'Quantitativos (A)'!Y575*$D575*$E575</f>
        <v>2069.3791289999999</v>
      </c>
      <c r="AB575" s="157">
        <f>'Quantitativos (A)'!Z575*$D575*$E575</f>
        <v>0</v>
      </c>
      <c r="AC575" s="157">
        <f>'Quantitativos (A)'!AA575*$D575*$E575</f>
        <v>2069.3791289999999</v>
      </c>
      <c r="AD575" s="157">
        <f>'Quantitativos (A)'!AB575*$D575*$E575</f>
        <v>2069.3791289999999</v>
      </c>
      <c r="AE575" s="157">
        <f>'Quantitativos (A)'!AC575*$D575*$E575</f>
        <v>0</v>
      </c>
      <c r="AF575" s="157">
        <f>'Quantitativos (A)'!AD575*$D575*$E575</f>
        <v>2069.3791289999999</v>
      </c>
      <c r="AG575" s="157">
        <f>'Quantitativos (A)'!AE575*$D575*$E575</f>
        <v>0</v>
      </c>
      <c r="AH575" s="157">
        <f>'Quantitativos (A)'!AF575*$D575*$E575</f>
        <v>2069.3791289999999</v>
      </c>
      <c r="AI575" s="158">
        <f>'Quantitativos (A)'!AG575*$D575*$E575</f>
        <v>0</v>
      </c>
      <c r="AJ575" s="22"/>
    </row>
    <row r="576" spans="1:36" x14ac:dyDescent="0.25">
      <c r="A576" s="21"/>
      <c r="B576" s="141" t="s">
        <v>588</v>
      </c>
      <c r="C576" s="125" t="s">
        <v>65</v>
      </c>
      <c r="D576" s="157">
        <f>'Dados (F)'!$D$373</f>
        <v>0.16</v>
      </c>
      <c r="E576" s="125">
        <f>IF('Dados (F)'!$D$35=1,1,'Dados (F)'!$C$39)</f>
        <v>1</v>
      </c>
      <c r="F576" s="157">
        <f>'Quantitativos (A)'!D576*$D576*$E576</f>
        <v>0</v>
      </c>
      <c r="G576" s="157">
        <f>'Quantitativos (A)'!E576*$D576*$E576</f>
        <v>0</v>
      </c>
      <c r="H576" s="157">
        <f>'Quantitativos (A)'!F576*$D576*$E576</f>
        <v>268.87951999999996</v>
      </c>
      <c r="I576" s="157">
        <f>'Quantitativos (A)'!G576*$D576*$E576</f>
        <v>0</v>
      </c>
      <c r="J576" s="157">
        <f>'Quantitativos (A)'!H576*$D576*$E576</f>
        <v>0</v>
      </c>
      <c r="K576" s="157">
        <f>'Quantitativos (A)'!I576*$D576*$E576</f>
        <v>268.87951999999996</v>
      </c>
      <c r="L576" s="157">
        <f>'Quantitativos (A)'!J576*$D576*$E576</f>
        <v>0</v>
      </c>
      <c r="M576" s="157">
        <f>'Quantitativos (A)'!K576*$D576*$E576</f>
        <v>268.87951999999996</v>
      </c>
      <c r="N576" s="157">
        <f>'Quantitativos (A)'!L576*$D576*$E576</f>
        <v>0</v>
      </c>
      <c r="O576" s="157">
        <f>'Quantitativos (A)'!M576*$D576*$E576</f>
        <v>268.87951999999996</v>
      </c>
      <c r="P576" s="157">
        <f>'Quantitativos (A)'!N576*$D576*$E576</f>
        <v>0</v>
      </c>
      <c r="Q576" s="157">
        <f>'Quantitativos (A)'!O576*$D576*$E576</f>
        <v>0</v>
      </c>
      <c r="R576" s="157">
        <f>'Quantitativos (A)'!P576*$D576*$E576</f>
        <v>312.95999999999998</v>
      </c>
      <c r="S576" s="157">
        <f>'Quantitativos (A)'!Q576*$D576*$E576</f>
        <v>0</v>
      </c>
      <c r="T576" s="157">
        <f>'Quantitativos (A)'!R576*$D576*$E576</f>
        <v>0</v>
      </c>
      <c r="U576" s="157">
        <f>'Quantitativos (A)'!S576*$D576*$E576</f>
        <v>312.95999999999998</v>
      </c>
      <c r="V576" s="157">
        <f>'Quantitativos (A)'!T576*$D576*$E576</f>
        <v>0</v>
      </c>
      <c r="W576" s="157">
        <f>'Quantitativos (A)'!U576*$D576*$E576</f>
        <v>312.95999999999998</v>
      </c>
      <c r="X576" s="157">
        <f>'Quantitativos (A)'!V576*$D576*$E576</f>
        <v>0</v>
      </c>
      <c r="Y576" s="157">
        <f>'Quantitativos (A)'!W576*$D576*$E576</f>
        <v>312.95999999999998</v>
      </c>
      <c r="Z576" s="157">
        <f>'Quantitativos (A)'!X576*$D576*$E576</f>
        <v>0</v>
      </c>
      <c r="AA576" s="157">
        <f>'Quantitativos (A)'!Y576*$D576*$E576</f>
        <v>0</v>
      </c>
      <c r="AB576" s="157">
        <f>'Quantitativos (A)'!Z576*$D576*$E576</f>
        <v>238.56</v>
      </c>
      <c r="AC576" s="157">
        <f>'Quantitativos (A)'!AA576*$D576*$E576</f>
        <v>0</v>
      </c>
      <c r="AD576" s="157">
        <f>'Quantitativos (A)'!AB576*$D576*$E576</f>
        <v>0</v>
      </c>
      <c r="AE576" s="157">
        <f>'Quantitativos (A)'!AC576*$D576*$E576</f>
        <v>238.56</v>
      </c>
      <c r="AF576" s="157">
        <f>'Quantitativos (A)'!AD576*$D576*$E576</f>
        <v>0</v>
      </c>
      <c r="AG576" s="157">
        <f>'Quantitativos (A)'!AE576*$D576*$E576</f>
        <v>238.56</v>
      </c>
      <c r="AH576" s="157">
        <f>'Quantitativos (A)'!AF576*$D576*$E576</f>
        <v>0</v>
      </c>
      <c r="AI576" s="158">
        <f>'Quantitativos (A)'!AG576*$D576*$E576</f>
        <v>238.56</v>
      </c>
      <c r="AJ576" s="22"/>
    </row>
    <row r="577" spans="1:36" x14ac:dyDescent="0.25">
      <c r="A577" s="21"/>
      <c r="B577" s="120" t="s">
        <v>589</v>
      </c>
      <c r="C577" s="121"/>
      <c r="D577" s="155"/>
      <c r="E577" s="156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60"/>
      <c r="AJ577" s="22"/>
    </row>
    <row r="578" spans="1:36" x14ac:dyDescent="0.25">
      <c r="A578" s="21"/>
      <c r="B578" s="27" t="s">
        <v>590</v>
      </c>
      <c r="C578" s="125" t="s">
        <v>63</v>
      </c>
      <c r="D578" s="157">
        <f>'Dados (F)'!$D$374</f>
        <v>2.23</v>
      </c>
      <c r="E578" s="125">
        <f>IF('Dados (F)'!$D$35=1,1,'Dados (F)'!$C$39)</f>
        <v>1</v>
      </c>
      <c r="F578" s="157">
        <f>'Quantitativos (A)'!D578*$D578*$E578</f>
        <v>1471.7999999999843</v>
      </c>
      <c r="G578" s="157">
        <f>'Quantitativos (A)'!E578*$D578*$E578</f>
        <v>1471.8</v>
      </c>
      <c r="H578" s="157">
        <f>'Quantitativos (A)'!F578*$D578*$E578</f>
        <v>936.6</v>
      </c>
      <c r="I578" s="157">
        <f>'Quantitativos (A)'!G578*$D578*$E578</f>
        <v>1471.7999999999843</v>
      </c>
      <c r="J578" s="157">
        <f>'Quantitativos (A)'!H578*$D578*$E578</f>
        <v>1471.8</v>
      </c>
      <c r="K578" s="157">
        <f>'Quantitativos (A)'!I578*$D578*$E578</f>
        <v>936.6</v>
      </c>
      <c r="L578" s="157">
        <f>'Quantitativos (A)'!J578*$D578*$E578</f>
        <v>1471.7999999999843</v>
      </c>
      <c r="M578" s="157">
        <f>'Quantitativos (A)'!K578*$D578*$E578</f>
        <v>936.6</v>
      </c>
      <c r="N578" s="157">
        <f>'Quantitativos (A)'!L578*$D578*$E578</f>
        <v>1471.7999999999843</v>
      </c>
      <c r="O578" s="157">
        <f>'Quantitativos (A)'!M578*$D578*$E578</f>
        <v>936.6</v>
      </c>
      <c r="P578" s="157">
        <f>'Quantitativos (A)'!N578*$D578*$E578</f>
        <v>936.6</v>
      </c>
      <c r="Q578" s="157">
        <f>'Quantitativos (A)'!O578*$D578*$E578</f>
        <v>936.6</v>
      </c>
      <c r="R578" s="157">
        <f>'Quantitativos (A)'!P578*$D578*$E578</f>
        <v>936.6</v>
      </c>
      <c r="S578" s="157">
        <f>'Quantitativos (A)'!Q578*$D578*$E578</f>
        <v>936.6</v>
      </c>
      <c r="T578" s="157">
        <f>'Quantitativos (A)'!R578*$D578*$E578</f>
        <v>936.6</v>
      </c>
      <c r="U578" s="157">
        <f>'Quantitativos (A)'!S578*$D578*$E578</f>
        <v>936.6</v>
      </c>
      <c r="V578" s="157">
        <f>'Quantitativos (A)'!T578*$D578*$E578</f>
        <v>936.6</v>
      </c>
      <c r="W578" s="157">
        <f>'Quantitativos (A)'!U578*$D578*$E578</f>
        <v>936.6</v>
      </c>
      <c r="X578" s="157">
        <f>'Quantitativos (A)'!V578*$D578*$E578</f>
        <v>936.6</v>
      </c>
      <c r="Y578" s="157">
        <f>'Quantitativos (A)'!W578*$D578*$E578</f>
        <v>936.6</v>
      </c>
      <c r="Z578" s="157">
        <f>'Quantitativos (A)'!X578*$D578*$E578</f>
        <v>936.6</v>
      </c>
      <c r="AA578" s="157">
        <f>'Quantitativos (A)'!Y578*$D578*$E578</f>
        <v>936.6</v>
      </c>
      <c r="AB578" s="157">
        <f>'Quantitativos (A)'!Z578*$D578*$E578</f>
        <v>936.6</v>
      </c>
      <c r="AC578" s="157">
        <f>'Quantitativos (A)'!AA578*$D578*$E578</f>
        <v>936.6</v>
      </c>
      <c r="AD578" s="157">
        <f>'Quantitativos (A)'!AB578*$D578*$E578</f>
        <v>936.6</v>
      </c>
      <c r="AE578" s="157">
        <f>'Quantitativos (A)'!AC578*$D578*$E578</f>
        <v>936.6</v>
      </c>
      <c r="AF578" s="157">
        <f>'Quantitativos (A)'!AD578*$D578*$E578</f>
        <v>936.6</v>
      </c>
      <c r="AG578" s="157">
        <f>'Quantitativos (A)'!AE578*$D578*$E578</f>
        <v>936.6</v>
      </c>
      <c r="AH578" s="157">
        <f>'Quantitativos (A)'!AF578*$D578*$E578</f>
        <v>936.6</v>
      </c>
      <c r="AI578" s="158">
        <f>'Quantitativos (A)'!AG578*$D578*$E578</f>
        <v>936.6</v>
      </c>
      <c r="AJ578" s="22"/>
    </row>
    <row r="579" spans="1:36" x14ac:dyDescent="0.25">
      <c r="A579" s="21"/>
      <c r="B579" s="27" t="s">
        <v>904</v>
      </c>
      <c r="C579" s="125" t="s">
        <v>317</v>
      </c>
      <c r="D579" s="157">
        <f>'Dados (F)'!$D$375</f>
        <v>2.62</v>
      </c>
      <c r="E579" s="125">
        <f>IF('Dados (F)'!$D$35=1,1,'Dados (F)'!$C$39)</f>
        <v>1</v>
      </c>
      <c r="F579" s="157">
        <f>'Quantitativos (A)'!D579*$D579*$E579</f>
        <v>1571.9999999999816</v>
      </c>
      <c r="G579" s="157">
        <f>'Quantitativos (A)'!E579*$D579*$E579</f>
        <v>1572</v>
      </c>
      <c r="H579" s="157">
        <f>'Quantitativos (A)'!F579*$D579*$E579</f>
        <v>1414.8</v>
      </c>
      <c r="I579" s="157">
        <f>'Quantitativos (A)'!G579*$D579*$E579</f>
        <v>1571.9999999999816</v>
      </c>
      <c r="J579" s="157">
        <f>'Quantitativos (A)'!H579*$D579*$E579</f>
        <v>1572</v>
      </c>
      <c r="K579" s="157">
        <f>'Quantitativos (A)'!I579*$D579*$E579</f>
        <v>1414.8</v>
      </c>
      <c r="L579" s="157">
        <f>'Quantitativos (A)'!J579*$D579*$E579</f>
        <v>1571.9999999999816</v>
      </c>
      <c r="M579" s="157">
        <f>'Quantitativos (A)'!K579*$D579*$E579</f>
        <v>1414.8</v>
      </c>
      <c r="N579" s="157">
        <f>'Quantitativos (A)'!L579*$D579*$E579</f>
        <v>1571.9999999999816</v>
      </c>
      <c r="O579" s="157">
        <f>'Quantitativos (A)'!M579*$D579*$E579</f>
        <v>1414.8</v>
      </c>
      <c r="P579" s="157">
        <f>'Quantitativos (A)'!N579*$D579*$E579</f>
        <v>1414.8</v>
      </c>
      <c r="Q579" s="157">
        <f>'Quantitativos (A)'!O579*$D579*$E579</f>
        <v>1414.8</v>
      </c>
      <c r="R579" s="157">
        <f>'Quantitativos (A)'!P579*$D579*$E579</f>
        <v>1414.8</v>
      </c>
      <c r="S579" s="157">
        <f>'Quantitativos (A)'!Q579*$D579*$E579</f>
        <v>1414.8</v>
      </c>
      <c r="T579" s="157">
        <f>'Quantitativos (A)'!R579*$D579*$E579</f>
        <v>1414.8</v>
      </c>
      <c r="U579" s="157">
        <f>'Quantitativos (A)'!S579*$D579*$E579</f>
        <v>1414.8</v>
      </c>
      <c r="V579" s="157">
        <f>'Quantitativos (A)'!T579*$D579*$E579</f>
        <v>1414.8</v>
      </c>
      <c r="W579" s="157">
        <f>'Quantitativos (A)'!U579*$D579*$E579</f>
        <v>1414.8</v>
      </c>
      <c r="X579" s="157">
        <f>'Quantitativos (A)'!V579*$D579*$E579</f>
        <v>1414.8</v>
      </c>
      <c r="Y579" s="157">
        <f>'Quantitativos (A)'!W579*$D579*$E579</f>
        <v>1414.8</v>
      </c>
      <c r="Z579" s="157">
        <f>'Quantitativos (A)'!X579*$D579*$E579</f>
        <v>1414.8</v>
      </c>
      <c r="AA579" s="157">
        <f>'Quantitativos (A)'!Y579*$D579*$E579</f>
        <v>1414.8</v>
      </c>
      <c r="AB579" s="157">
        <f>'Quantitativos (A)'!Z579*$D579*$E579</f>
        <v>1414.8</v>
      </c>
      <c r="AC579" s="157">
        <f>'Quantitativos (A)'!AA579*$D579*$E579</f>
        <v>1414.8</v>
      </c>
      <c r="AD579" s="157">
        <f>'Quantitativos (A)'!AB579*$D579*$E579</f>
        <v>1414.8</v>
      </c>
      <c r="AE579" s="157">
        <f>'Quantitativos (A)'!AC579*$D579*$E579</f>
        <v>1414.8</v>
      </c>
      <c r="AF579" s="157">
        <f>'Quantitativos (A)'!AD579*$D579*$E579</f>
        <v>1414.8</v>
      </c>
      <c r="AG579" s="157">
        <f>'Quantitativos (A)'!AE579*$D579*$E579</f>
        <v>1414.8</v>
      </c>
      <c r="AH579" s="157">
        <f>'Quantitativos (A)'!AF579*$D579*$E579</f>
        <v>1414.8</v>
      </c>
      <c r="AI579" s="158">
        <f>'Quantitativos (A)'!AG579*$D579*$E579</f>
        <v>1414.8</v>
      </c>
      <c r="AJ579" s="22"/>
    </row>
    <row r="580" spans="1:36" x14ac:dyDescent="0.25">
      <c r="A580" s="21"/>
      <c r="B580" s="27" t="s">
        <v>621</v>
      </c>
      <c r="C580" s="125" t="s">
        <v>317</v>
      </c>
      <c r="D580" s="157">
        <f>'Dados (F)'!$D$376</f>
        <v>2.23</v>
      </c>
      <c r="E580" s="125">
        <f>IF('Dados (F)'!$D$35=1,1,'Dados (F)'!$C$39)</f>
        <v>1</v>
      </c>
      <c r="F580" s="157">
        <f>'Quantitativos (A)'!D580*$D580*$E580</f>
        <v>0</v>
      </c>
      <c r="G580" s="157">
        <f>'Quantitativos (A)'!E580*$D580*$E580</f>
        <v>0</v>
      </c>
      <c r="H580" s="157">
        <f>'Quantitativos (A)'!F580*$D580*$E580</f>
        <v>0</v>
      </c>
      <c r="I580" s="157">
        <f>'Quantitativos (A)'!G580*$D580*$E580</f>
        <v>0</v>
      </c>
      <c r="J580" s="157">
        <f>'Quantitativos (A)'!H580*$D580*$E580</f>
        <v>0</v>
      </c>
      <c r="K580" s="157">
        <f>'Quantitativos (A)'!I580*$D580*$E580</f>
        <v>0</v>
      </c>
      <c r="L580" s="157">
        <f>'Quantitativos (A)'!J580*$D580*$E580</f>
        <v>0</v>
      </c>
      <c r="M580" s="157">
        <f>'Quantitativos (A)'!K580*$D580*$E580</f>
        <v>0</v>
      </c>
      <c r="N580" s="157">
        <f>'Quantitativos (A)'!L580*$D580*$E580</f>
        <v>0</v>
      </c>
      <c r="O580" s="157">
        <f>'Quantitativos (A)'!M580*$D580*$E580</f>
        <v>0</v>
      </c>
      <c r="P580" s="157">
        <f>'Quantitativos (A)'!N580*$D580*$E580</f>
        <v>0</v>
      </c>
      <c r="Q580" s="157">
        <f>'Quantitativos (A)'!O580*$D580*$E580</f>
        <v>0</v>
      </c>
      <c r="R580" s="157">
        <f>'Quantitativos (A)'!P580*$D580*$E580</f>
        <v>0</v>
      </c>
      <c r="S580" s="157">
        <f>'Quantitativos (A)'!Q580*$D580*$E580</f>
        <v>0</v>
      </c>
      <c r="T580" s="157">
        <f>'Quantitativos (A)'!R580*$D580*$E580</f>
        <v>0</v>
      </c>
      <c r="U580" s="157">
        <f>'Quantitativos (A)'!S580*$D580*$E580</f>
        <v>0</v>
      </c>
      <c r="V580" s="157">
        <f>'Quantitativos (A)'!T580*$D580*$E580</f>
        <v>0</v>
      </c>
      <c r="W580" s="157">
        <f>'Quantitativos (A)'!U580*$D580*$E580</f>
        <v>0</v>
      </c>
      <c r="X580" s="157">
        <f>'Quantitativos (A)'!V580*$D580*$E580</f>
        <v>0</v>
      </c>
      <c r="Y580" s="157">
        <f>'Quantitativos (A)'!W580*$D580*$E580</f>
        <v>0</v>
      </c>
      <c r="Z580" s="157">
        <f>'Quantitativos (A)'!X580*$D580*$E580</f>
        <v>0</v>
      </c>
      <c r="AA580" s="157">
        <f>'Quantitativos (A)'!Y580*$D580*$E580</f>
        <v>0</v>
      </c>
      <c r="AB580" s="157">
        <f>'Quantitativos (A)'!Z580*$D580*$E580</f>
        <v>0</v>
      </c>
      <c r="AC580" s="157">
        <f>'Quantitativos (A)'!AA580*$D580*$E580</f>
        <v>0</v>
      </c>
      <c r="AD580" s="157">
        <f>'Quantitativos (A)'!AB580*$D580*$E580</f>
        <v>0</v>
      </c>
      <c r="AE580" s="157">
        <f>'Quantitativos (A)'!AC580*$D580*$E580</f>
        <v>0</v>
      </c>
      <c r="AF580" s="157">
        <f>'Quantitativos (A)'!AD580*$D580*$E580</f>
        <v>0</v>
      </c>
      <c r="AG580" s="157">
        <f>'Quantitativos (A)'!AE580*$D580*$E580</f>
        <v>0</v>
      </c>
      <c r="AH580" s="157">
        <f>'Quantitativos (A)'!AF580*$D580*$E580</f>
        <v>0</v>
      </c>
      <c r="AI580" s="158">
        <f>'Quantitativos (A)'!AG580*$D580*$E580</f>
        <v>0</v>
      </c>
      <c r="AJ580" s="22"/>
    </row>
    <row r="581" spans="1:36" x14ac:dyDescent="0.25">
      <c r="A581" s="21"/>
      <c r="B581" s="27" t="s">
        <v>622</v>
      </c>
      <c r="C581" s="125" t="s">
        <v>63</v>
      </c>
      <c r="D581" s="157">
        <f>'Dados (F)'!$D$377</f>
        <v>6.09</v>
      </c>
      <c r="E581" s="125">
        <f>IF('Dados (F)'!$D$35=1,1,'Dados (F)'!$C$39)</f>
        <v>1</v>
      </c>
      <c r="F581" s="157">
        <f>'Quantitativos (A)'!D581*$D581*$E581</f>
        <v>1096.2</v>
      </c>
      <c r="G581" s="157">
        <f>'Quantitativos (A)'!E581*$D581*$E581</f>
        <v>1096.2</v>
      </c>
      <c r="H581" s="157">
        <f>'Quantitativos (A)'!F581*$D581*$E581</f>
        <v>1096.2</v>
      </c>
      <c r="I581" s="157">
        <f>'Quantitativos (A)'!G581*$D581*$E581</f>
        <v>1096.2</v>
      </c>
      <c r="J581" s="157">
        <f>'Quantitativos (A)'!H581*$D581*$E581</f>
        <v>1096.2</v>
      </c>
      <c r="K581" s="157">
        <f>'Quantitativos (A)'!I581*$D581*$E581</f>
        <v>1096.2</v>
      </c>
      <c r="L581" s="157">
        <f>'Quantitativos (A)'!J581*$D581*$E581</f>
        <v>1096.2</v>
      </c>
      <c r="M581" s="157">
        <f>'Quantitativos (A)'!K581*$D581*$E581</f>
        <v>1096.2</v>
      </c>
      <c r="N581" s="157">
        <f>'Quantitativos (A)'!L581*$D581*$E581</f>
        <v>1096.2</v>
      </c>
      <c r="O581" s="157">
        <f>'Quantitativos (A)'!M581*$D581*$E581</f>
        <v>1096.2</v>
      </c>
      <c r="P581" s="157">
        <f>'Quantitativos (A)'!N581*$D581*$E581</f>
        <v>1096.2</v>
      </c>
      <c r="Q581" s="157">
        <f>'Quantitativos (A)'!O581*$D581*$E581</f>
        <v>1096.2</v>
      </c>
      <c r="R581" s="157">
        <f>'Quantitativos (A)'!P581*$D581*$E581</f>
        <v>1096.2</v>
      </c>
      <c r="S581" s="157">
        <f>'Quantitativos (A)'!Q581*$D581*$E581</f>
        <v>1096.2</v>
      </c>
      <c r="T581" s="157">
        <f>'Quantitativos (A)'!R581*$D581*$E581</f>
        <v>1096.2</v>
      </c>
      <c r="U581" s="157">
        <f>'Quantitativos (A)'!S581*$D581*$E581</f>
        <v>1096.2</v>
      </c>
      <c r="V581" s="157">
        <f>'Quantitativos (A)'!T581*$D581*$E581</f>
        <v>1096.2</v>
      </c>
      <c r="W581" s="157">
        <f>'Quantitativos (A)'!U581*$D581*$E581</f>
        <v>1096.2</v>
      </c>
      <c r="X581" s="157">
        <f>'Quantitativos (A)'!V581*$D581*$E581</f>
        <v>1096.2</v>
      </c>
      <c r="Y581" s="157">
        <f>'Quantitativos (A)'!W581*$D581*$E581</f>
        <v>1096.2</v>
      </c>
      <c r="Z581" s="157">
        <f>'Quantitativos (A)'!X581*$D581*$E581</f>
        <v>1096.2</v>
      </c>
      <c r="AA581" s="157">
        <f>'Quantitativos (A)'!Y581*$D581*$E581</f>
        <v>1096.2</v>
      </c>
      <c r="AB581" s="157">
        <f>'Quantitativos (A)'!Z581*$D581*$E581</f>
        <v>1096.2</v>
      </c>
      <c r="AC581" s="157">
        <f>'Quantitativos (A)'!AA581*$D581*$E581</f>
        <v>1096.2</v>
      </c>
      <c r="AD581" s="157">
        <f>'Quantitativos (A)'!AB581*$D581*$E581</f>
        <v>1096.2</v>
      </c>
      <c r="AE581" s="157">
        <f>'Quantitativos (A)'!AC581*$D581*$E581</f>
        <v>1096.2</v>
      </c>
      <c r="AF581" s="157">
        <f>'Quantitativos (A)'!AD581*$D581*$E581</f>
        <v>1096.2</v>
      </c>
      <c r="AG581" s="157">
        <f>'Quantitativos (A)'!AE581*$D581*$E581</f>
        <v>1096.2</v>
      </c>
      <c r="AH581" s="157">
        <f>'Quantitativos (A)'!AF581*$D581*$E581</f>
        <v>1096.2</v>
      </c>
      <c r="AI581" s="158">
        <f>'Quantitativos (A)'!AG581*$D581*$E581</f>
        <v>1096.2</v>
      </c>
      <c r="AJ581" s="22"/>
    </row>
    <row r="582" spans="1:36" x14ac:dyDescent="0.25">
      <c r="A582" s="21"/>
      <c r="B582" s="120" t="s">
        <v>591</v>
      </c>
      <c r="C582" s="121"/>
      <c r="D582" s="155"/>
      <c r="E582" s="156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60"/>
      <c r="AJ582" s="22"/>
    </row>
    <row r="583" spans="1:36" x14ac:dyDescent="0.25">
      <c r="A583" s="21"/>
      <c r="B583" s="120" t="s">
        <v>592</v>
      </c>
      <c r="C583" s="121"/>
      <c r="D583" s="155"/>
      <c r="E583" s="156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60"/>
      <c r="AJ583" s="22"/>
    </row>
    <row r="584" spans="1:36" x14ac:dyDescent="0.25">
      <c r="A584" s="21"/>
      <c r="B584" s="27" t="s">
        <v>593</v>
      </c>
      <c r="C584" s="67" t="s">
        <v>318</v>
      </c>
      <c r="D584" s="157">
        <f>'Dados (F)'!$D$121</f>
        <v>0.56000000000000005</v>
      </c>
      <c r="E584" s="125">
        <f>IF('Dados (F)'!$D$35=1,1,IF('Dados (F)'!$D$35=2,'Dados (F)'!$C$39,1))</f>
        <v>1</v>
      </c>
      <c r="F584" s="157">
        <f>'Quantitativos (A)'!D584*$D584*$E584</f>
        <v>51.283120000000004</v>
      </c>
      <c r="G584" s="157">
        <f>'Quantitativos (A)'!E584*$D584*$E584</f>
        <v>51.282000000000004</v>
      </c>
      <c r="H584" s="157">
        <f>'Quantitativos (A)'!F584*$D584*$E584</f>
        <v>51.282000000000004</v>
      </c>
      <c r="I584" s="157">
        <f>'Quantitativos (A)'!G584*$D584*$E584</f>
        <v>51.283120000000004</v>
      </c>
      <c r="J584" s="157">
        <f>'Quantitativos (A)'!H584*$D584*$E584</f>
        <v>51.282000000000004</v>
      </c>
      <c r="K584" s="157">
        <f>'Quantitativos (A)'!I584*$D584*$E584</f>
        <v>51.282000000000004</v>
      </c>
      <c r="L584" s="157">
        <f>'Quantitativos (A)'!J584*$D584*$E584</f>
        <v>51.283120000000004</v>
      </c>
      <c r="M584" s="157">
        <f>'Quantitativos (A)'!K584*$D584*$E584</f>
        <v>51.282000000000004</v>
      </c>
      <c r="N584" s="157">
        <f>'Quantitativos (A)'!L584*$D584*$E584</f>
        <v>51.283120000000004</v>
      </c>
      <c r="O584" s="157">
        <f>'Quantitativos (A)'!M584*$D584*$E584</f>
        <v>51.282000000000004</v>
      </c>
      <c r="P584" s="157">
        <f>'Quantitativos (A)'!N584*$D584*$E584</f>
        <v>102.56400000000001</v>
      </c>
      <c r="Q584" s="157">
        <f>'Quantitativos (A)'!O584*$D584*$E584</f>
        <v>102.56400000000001</v>
      </c>
      <c r="R584" s="157">
        <f>'Quantitativos (A)'!P584*$D584*$E584</f>
        <v>102.56400000000001</v>
      </c>
      <c r="S584" s="157">
        <f>'Quantitativos (A)'!Q584*$D584*$E584</f>
        <v>102.56400000000001</v>
      </c>
      <c r="T584" s="157">
        <f>'Quantitativos (A)'!R584*$D584*$E584</f>
        <v>102.56400000000001</v>
      </c>
      <c r="U584" s="157">
        <f>'Quantitativos (A)'!S584*$D584*$E584</f>
        <v>102.56400000000001</v>
      </c>
      <c r="V584" s="157">
        <f>'Quantitativos (A)'!T584*$D584*$E584</f>
        <v>102.56400000000001</v>
      </c>
      <c r="W584" s="157">
        <f>'Quantitativos (A)'!U584*$D584*$E584</f>
        <v>102.56400000000001</v>
      </c>
      <c r="X584" s="157">
        <f>'Quantitativos (A)'!V584*$D584*$E584</f>
        <v>102.56400000000001</v>
      </c>
      <c r="Y584" s="157">
        <f>'Quantitativos (A)'!W584*$D584*$E584</f>
        <v>102.56400000000001</v>
      </c>
      <c r="Z584" s="157">
        <f>'Quantitativos (A)'!X584*$D584*$E584</f>
        <v>102.5612</v>
      </c>
      <c r="AA584" s="157">
        <f>'Quantitativos (A)'!Y584*$D584*$E584</f>
        <v>102.5612</v>
      </c>
      <c r="AB584" s="157">
        <f>'Quantitativos (A)'!Z584*$D584*$E584</f>
        <v>102.5612</v>
      </c>
      <c r="AC584" s="157">
        <f>'Quantitativos (A)'!AA584*$D584*$E584</f>
        <v>102.5612</v>
      </c>
      <c r="AD584" s="157">
        <f>'Quantitativos (A)'!AB584*$D584*$E584</f>
        <v>102.5612</v>
      </c>
      <c r="AE584" s="157">
        <f>'Quantitativos (A)'!AC584*$D584*$E584</f>
        <v>102.5612</v>
      </c>
      <c r="AF584" s="157">
        <f>'Quantitativos (A)'!AD584*$D584*$E584</f>
        <v>102.5612</v>
      </c>
      <c r="AG584" s="157">
        <f>'Quantitativos (A)'!AE584*$D584*$E584</f>
        <v>102.5612</v>
      </c>
      <c r="AH584" s="157">
        <f>'Quantitativos (A)'!AF584*$D584*$E584</f>
        <v>102.5612</v>
      </c>
      <c r="AI584" s="158">
        <f>'Quantitativos (A)'!AG584*$D584*$E584</f>
        <v>102.5612</v>
      </c>
      <c r="AJ584" s="22"/>
    </row>
    <row r="585" spans="1:36" x14ac:dyDescent="0.25">
      <c r="A585" s="21"/>
      <c r="B585" s="27" t="s">
        <v>594</v>
      </c>
      <c r="C585" s="67" t="s">
        <v>318</v>
      </c>
      <c r="D585" s="157">
        <f>'Dados (F)'!$D$121</f>
        <v>0.56000000000000005</v>
      </c>
      <c r="E585" s="125">
        <f>IF('Dados (F)'!$D$35=1,1,IF('Dados (F)'!$D$35=2,'Dados (F)'!$C$39,1))</f>
        <v>1</v>
      </c>
      <c r="F585" s="157">
        <f>'Quantitativos (A)'!D585*$D585*$E585</f>
        <v>0.49840000000000007</v>
      </c>
      <c r="G585" s="157">
        <f>'Quantitativos (A)'!E585*$D585*$E585</f>
        <v>0.49840000000000007</v>
      </c>
      <c r="H585" s="157">
        <f>'Quantitativos (A)'!F585*$D585*$E585</f>
        <v>0.49840000000000007</v>
      </c>
      <c r="I585" s="157">
        <f>'Quantitativos (A)'!G585*$D585*$E585</f>
        <v>0.49840000000000007</v>
      </c>
      <c r="J585" s="157">
        <f>'Quantitativos (A)'!H585*$D585*$E585</f>
        <v>0.49840000000000007</v>
      </c>
      <c r="K585" s="157">
        <f>'Quantitativos (A)'!I585*$D585*$E585</f>
        <v>0.49840000000000007</v>
      </c>
      <c r="L585" s="157">
        <f>'Quantitativos (A)'!J585*$D585*$E585</f>
        <v>0.49840000000000007</v>
      </c>
      <c r="M585" s="157">
        <f>'Quantitativos (A)'!K585*$D585*$E585</f>
        <v>0.49840000000000007</v>
      </c>
      <c r="N585" s="157">
        <f>'Quantitativos (A)'!L585*$D585*$E585</f>
        <v>0.49840000000000007</v>
      </c>
      <c r="O585" s="157">
        <f>'Quantitativos (A)'!M585*$D585*$E585</f>
        <v>0.49840000000000007</v>
      </c>
      <c r="P585" s="157">
        <f>'Quantitativos (A)'!N585*$D585*$E585</f>
        <v>0.49840000000000007</v>
      </c>
      <c r="Q585" s="157">
        <f>'Quantitativos (A)'!O585*$D585*$E585</f>
        <v>0.49840000000000007</v>
      </c>
      <c r="R585" s="157">
        <f>'Quantitativos (A)'!P585*$D585*$E585</f>
        <v>0.49840000000000007</v>
      </c>
      <c r="S585" s="157">
        <f>'Quantitativos (A)'!Q585*$D585*$E585</f>
        <v>0.49840000000000007</v>
      </c>
      <c r="T585" s="157">
        <f>'Quantitativos (A)'!R585*$D585*$E585</f>
        <v>0.49840000000000007</v>
      </c>
      <c r="U585" s="157">
        <f>'Quantitativos (A)'!S585*$D585*$E585</f>
        <v>0.49840000000000007</v>
      </c>
      <c r="V585" s="157">
        <f>'Quantitativos (A)'!T585*$D585*$E585</f>
        <v>0.49840000000000007</v>
      </c>
      <c r="W585" s="157">
        <f>'Quantitativos (A)'!U585*$D585*$E585</f>
        <v>0.49840000000000007</v>
      </c>
      <c r="X585" s="157">
        <f>'Quantitativos (A)'!V585*$D585*$E585</f>
        <v>0.49840000000000007</v>
      </c>
      <c r="Y585" s="157">
        <f>'Quantitativos (A)'!W585*$D585*$E585</f>
        <v>0.49840000000000007</v>
      </c>
      <c r="Z585" s="157">
        <f>'Quantitativos (A)'!X585*$D585*$E585</f>
        <v>0.49840000000000007</v>
      </c>
      <c r="AA585" s="157">
        <f>'Quantitativos (A)'!Y585*$D585*$E585</f>
        <v>0.49840000000000007</v>
      </c>
      <c r="AB585" s="157">
        <f>'Quantitativos (A)'!Z585*$D585*$E585</f>
        <v>0.49840000000000007</v>
      </c>
      <c r="AC585" s="157">
        <f>'Quantitativos (A)'!AA585*$D585*$E585</f>
        <v>0.49840000000000007</v>
      </c>
      <c r="AD585" s="157">
        <f>'Quantitativos (A)'!AB585*$D585*$E585</f>
        <v>0.49840000000000007</v>
      </c>
      <c r="AE585" s="157">
        <f>'Quantitativos (A)'!AC585*$D585*$E585</f>
        <v>0.49840000000000007</v>
      </c>
      <c r="AF585" s="157">
        <f>'Quantitativos (A)'!AD585*$D585*$E585</f>
        <v>0.49840000000000007</v>
      </c>
      <c r="AG585" s="157">
        <f>'Quantitativos (A)'!AE585*$D585*$E585</f>
        <v>0.49840000000000007</v>
      </c>
      <c r="AH585" s="157">
        <f>'Quantitativos (A)'!AF585*$D585*$E585</f>
        <v>0.49840000000000007</v>
      </c>
      <c r="AI585" s="158">
        <f>'Quantitativos (A)'!AG585*$D585*$E585</f>
        <v>0.49840000000000007</v>
      </c>
      <c r="AJ585" s="22"/>
    </row>
    <row r="586" spans="1:36" x14ac:dyDescent="0.25">
      <c r="A586" s="21"/>
      <c r="B586" s="27" t="s">
        <v>595</v>
      </c>
      <c r="C586" s="67" t="s">
        <v>318</v>
      </c>
      <c r="D586" s="157">
        <f>'Dados (F)'!$D$121</f>
        <v>0.56000000000000005</v>
      </c>
      <c r="E586" s="125">
        <f>IF('Dados (F)'!$D$35=1,1,IF('Dados (F)'!$D$35=2,'Dados (F)'!$C$39,1))</f>
        <v>1</v>
      </c>
      <c r="F586" s="157">
        <f>'Quantitativos (A)'!D586*$D586*$E586</f>
        <v>14.515200000000002</v>
      </c>
      <c r="G586" s="157">
        <f>'Quantitativos (A)'!E586*$D586*$E586</f>
        <v>14.515200000000002</v>
      </c>
      <c r="H586" s="157">
        <f>'Quantitativos (A)'!F586*$D586*$E586</f>
        <v>14.515200000000002</v>
      </c>
      <c r="I586" s="157">
        <f>'Quantitativos (A)'!G586*$D586*$E586</f>
        <v>14.515200000000002</v>
      </c>
      <c r="J586" s="157">
        <f>'Quantitativos (A)'!H586*$D586*$E586</f>
        <v>14.515200000000002</v>
      </c>
      <c r="K586" s="157">
        <f>'Quantitativos (A)'!I586*$D586*$E586</f>
        <v>14.515200000000002</v>
      </c>
      <c r="L586" s="157">
        <f>'Quantitativos (A)'!J586*$D586*$E586</f>
        <v>14.515200000000002</v>
      </c>
      <c r="M586" s="157">
        <f>'Quantitativos (A)'!K586*$D586*$E586</f>
        <v>14.515200000000002</v>
      </c>
      <c r="N586" s="157">
        <f>'Quantitativos (A)'!L586*$D586*$E586</f>
        <v>14.515200000000002</v>
      </c>
      <c r="O586" s="157">
        <f>'Quantitativos (A)'!M586*$D586*$E586</f>
        <v>14.515200000000002</v>
      </c>
      <c r="P586" s="157">
        <f>'Quantitativos (A)'!N586*$D586*$E586</f>
        <v>14.515200000000002</v>
      </c>
      <c r="Q586" s="157">
        <f>'Quantitativos (A)'!O586*$D586*$E586</f>
        <v>14.515200000000002</v>
      </c>
      <c r="R586" s="157">
        <f>'Quantitativos (A)'!P586*$D586*$E586</f>
        <v>14.515200000000002</v>
      </c>
      <c r="S586" s="157">
        <f>'Quantitativos (A)'!Q586*$D586*$E586</f>
        <v>14.515200000000002</v>
      </c>
      <c r="T586" s="157">
        <f>'Quantitativos (A)'!R586*$D586*$E586</f>
        <v>14.515200000000002</v>
      </c>
      <c r="U586" s="157">
        <f>'Quantitativos (A)'!S586*$D586*$E586</f>
        <v>14.515200000000002</v>
      </c>
      <c r="V586" s="157">
        <f>'Quantitativos (A)'!T586*$D586*$E586</f>
        <v>14.515200000000002</v>
      </c>
      <c r="W586" s="157">
        <f>'Quantitativos (A)'!U586*$D586*$E586</f>
        <v>14.515200000000002</v>
      </c>
      <c r="X586" s="157">
        <f>'Quantitativos (A)'!V586*$D586*$E586</f>
        <v>14.515200000000002</v>
      </c>
      <c r="Y586" s="157">
        <f>'Quantitativos (A)'!W586*$D586*$E586</f>
        <v>14.515200000000002</v>
      </c>
      <c r="Z586" s="157">
        <f>'Quantitativos (A)'!X586*$D586*$E586</f>
        <v>14.515200000000002</v>
      </c>
      <c r="AA586" s="157">
        <f>'Quantitativos (A)'!Y586*$D586*$E586</f>
        <v>14.515200000000002</v>
      </c>
      <c r="AB586" s="157">
        <f>'Quantitativos (A)'!Z586*$D586*$E586</f>
        <v>14.515200000000002</v>
      </c>
      <c r="AC586" s="157">
        <f>'Quantitativos (A)'!AA586*$D586*$E586</f>
        <v>14.515200000000002</v>
      </c>
      <c r="AD586" s="157">
        <f>'Quantitativos (A)'!AB586*$D586*$E586</f>
        <v>14.515200000000002</v>
      </c>
      <c r="AE586" s="157">
        <f>'Quantitativos (A)'!AC586*$D586*$E586</f>
        <v>14.515200000000002</v>
      </c>
      <c r="AF586" s="157">
        <f>'Quantitativos (A)'!AD586*$D586*$E586</f>
        <v>14.515200000000002</v>
      </c>
      <c r="AG586" s="157">
        <f>'Quantitativos (A)'!AE586*$D586*$E586</f>
        <v>14.515200000000002</v>
      </c>
      <c r="AH586" s="157">
        <f>'Quantitativos (A)'!AF586*$D586*$E586</f>
        <v>14.515200000000002</v>
      </c>
      <c r="AI586" s="158">
        <f>'Quantitativos (A)'!AG586*$D586*$E586</f>
        <v>14.515200000000002</v>
      </c>
      <c r="AJ586" s="22"/>
    </row>
    <row r="587" spans="1:36" x14ac:dyDescent="0.25">
      <c r="A587" s="21"/>
      <c r="B587" s="27" t="s">
        <v>596</v>
      </c>
      <c r="C587" s="67" t="s">
        <v>318</v>
      </c>
      <c r="D587" s="157">
        <f>'Dados (F)'!$D$121</f>
        <v>0.56000000000000005</v>
      </c>
      <c r="E587" s="125">
        <f>IF('Dados (F)'!$D$35=1,1,IF('Dados (F)'!$D$35=2,'Dados (F)'!$C$39,1))</f>
        <v>1</v>
      </c>
      <c r="F587" s="157">
        <f>'Quantitativos (A)'!D587*$D587*$E587</f>
        <v>4.0320000000000009</v>
      </c>
      <c r="G587" s="157">
        <f>'Quantitativos (A)'!E587*$D587*$E587</f>
        <v>100.80000000000001</v>
      </c>
      <c r="H587" s="157">
        <f>'Quantitativos (A)'!F587*$D587*$E587</f>
        <v>4.0320000000000009</v>
      </c>
      <c r="I587" s="157">
        <f>'Quantitativos (A)'!G587*$D587*$E587</f>
        <v>4.0320000000000009</v>
      </c>
      <c r="J587" s="157">
        <f>'Quantitativos (A)'!H587*$D587*$E587</f>
        <v>100.80000000000001</v>
      </c>
      <c r="K587" s="157">
        <f>'Quantitativos (A)'!I587*$D587*$E587</f>
        <v>4.0320000000000009</v>
      </c>
      <c r="L587" s="157">
        <f>'Quantitativos (A)'!J587*$D587*$E587</f>
        <v>4.0320000000000009</v>
      </c>
      <c r="M587" s="157">
        <f>'Quantitativos (A)'!K587*$D587*$E587</f>
        <v>4.0320000000000009</v>
      </c>
      <c r="N587" s="157">
        <f>'Quantitativos (A)'!L587*$D587*$E587</f>
        <v>4.0320000000000009</v>
      </c>
      <c r="O587" s="157">
        <f>'Quantitativos (A)'!M587*$D587*$E587</f>
        <v>4.0320000000000009</v>
      </c>
      <c r="P587" s="157">
        <f>'Quantitativos (A)'!N587*$D587*$E587</f>
        <v>4.0320000000000009</v>
      </c>
      <c r="Q587" s="157">
        <f>'Quantitativos (A)'!O587*$D587*$E587</f>
        <v>100.80000000000001</v>
      </c>
      <c r="R587" s="157">
        <f>'Quantitativos (A)'!P587*$D587*$E587</f>
        <v>4.0320000000000009</v>
      </c>
      <c r="S587" s="157">
        <f>'Quantitativos (A)'!Q587*$D587*$E587</f>
        <v>4.0320000000000009</v>
      </c>
      <c r="T587" s="157">
        <f>'Quantitativos (A)'!R587*$D587*$E587</f>
        <v>100.80000000000001</v>
      </c>
      <c r="U587" s="157">
        <f>'Quantitativos (A)'!S587*$D587*$E587</f>
        <v>4.0320000000000009</v>
      </c>
      <c r="V587" s="157">
        <f>'Quantitativos (A)'!T587*$D587*$E587</f>
        <v>4.0320000000000009</v>
      </c>
      <c r="W587" s="157">
        <f>'Quantitativos (A)'!U587*$D587*$E587</f>
        <v>4.0320000000000009</v>
      </c>
      <c r="X587" s="157">
        <f>'Quantitativos (A)'!V587*$D587*$E587</f>
        <v>4.0320000000000009</v>
      </c>
      <c r="Y587" s="157">
        <f>'Quantitativos (A)'!W587*$D587*$E587</f>
        <v>4.0320000000000009</v>
      </c>
      <c r="Z587" s="157">
        <f>'Quantitativos (A)'!X587*$D587*$E587</f>
        <v>4.0320000000000009</v>
      </c>
      <c r="AA587" s="157">
        <f>'Quantitativos (A)'!Y587*$D587*$E587</f>
        <v>100.80000000000001</v>
      </c>
      <c r="AB587" s="157">
        <f>'Quantitativos (A)'!Z587*$D587*$E587</f>
        <v>4.0320000000000009</v>
      </c>
      <c r="AC587" s="157">
        <f>'Quantitativos (A)'!AA587*$D587*$E587</f>
        <v>4.0320000000000009</v>
      </c>
      <c r="AD587" s="157">
        <f>'Quantitativos (A)'!AB587*$D587*$E587</f>
        <v>100.80000000000001</v>
      </c>
      <c r="AE587" s="157">
        <f>'Quantitativos (A)'!AC587*$D587*$E587</f>
        <v>4.0320000000000009</v>
      </c>
      <c r="AF587" s="157">
        <f>'Quantitativos (A)'!AD587*$D587*$E587</f>
        <v>4.0320000000000009</v>
      </c>
      <c r="AG587" s="157">
        <f>'Quantitativos (A)'!AE587*$D587*$E587</f>
        <v>4.0320000000000009</v>
      </c>
      <c r="AH587" s="157">
        <f>'Quantitativos (A)'!AF587*$D587*$E587</f>
        <v>4.0320000000000009</v>
      </c>
      <c r="AI587" s="158">
        <f>'Quantitativos (A)'!AG587*$D587*$E587</f>
        <v>4.0320000000000009</v>
      </c>
      <c r="AJ587" s="22"/>
    </row>
    <row r="588" spans="1:36" x14ac:dyDescent="0.25">
      <c r="A588" s="21"/>
      <c r="B588" s="27" t="s">
        <v>597</v>
      </c>
      <c r="C588" s="67" t="s">
        <v>318</v>
      </c>
      <c r="D588" s="157">
        <f>'Dados (F)'!$D$121</f>
        <v>0.56000000000000005</v>
      </c>
      <c r="E588" s="125">
        <f>IF('Dados (F)'!$D$35=1,1,IF('Dados (F)'!$D$35=2,'Dados (F)'!$C$39,1))</f>
        <v>1</v>
      </c>
      <c r="F588" s="157">
        <f>'Quantitativos (A)'!D588*$D588*$E588</f>
        <v>172.03200000000001</v>
      </c>
      <c r="G588" s="157">
        <f>'Quantitativos (A)'!E588*$D588*$E588</f>
        <v>172.03200000000001</v>
      </c>
      <c r="H588" s="157">
        <f>'Quantitativos (A)'!F588*$D588*$E588</f>
        <v>172.03200000000001</v>
      </c>
      <c r="I588" s="157">
        <f>'Quantitativos (A)'!G588*$D588*$E588</f>
        <v>172.03200000000001</v>
      </c>
      <c r="J588" s="157">
        <f>'Quantitativos (A)'!H588*$D588*$E588</f>
        <v>172.03200000000001</v>
      </c>
      <c r="K588" s="157">
        <f>'Quantitativos (A)'!I588*$D588*$E588</f>
        <v>172.03200000000001</v>
      </c>
      <c r="L588" s="157">
        <f>'Quantitativos (A)'!J588*$D588*$E588</f>
        <v>172.03200000000001</v>
      </c>
      <c r="M588" s="157">
        <f>'Quantitativos (A)'!K588*$D588*$E588</f>
        <v>172.03200000000001</v>
      </c>
      <c r="N588" s="157">
        <f>'Quantitativos (A)'!L588*$D588*$E588</f>
        <v>172.03200000000001</v>
      </c>
      <c r="O588" s="157">
        <f>'Quantitativos (A)'!M588*$D588*$E588</f>
        <v>172.03200000000001</v>
      </c>
      <c r="P588" s="157">
        <f>'Quantitativos (A)'!N588*$D588*$E588</f>
        <v>172.03200000000001</v>
      </c>
      <c r="Q588" s="157">
        <f>'Quantitativos (A)'!O588*$D588*$E588</f>
        <v>172.03200000000001</v>
      </c>
      <c r="R588" s="157">
        <f>'Quantitativos (A)'!P588*$D588*$E588</f>
        <v>172.03200000000001</v>
      </c>
      <c r="S588" s="157">
        <f>'Quantitativos (A)'!Q588*$D588*$E588</f>
        <v>172.03200000000001</v>
      </c>
      <c r="T588" s="157">
        <f>'Quantitativos (A)'!R588*$D588*$E588</f>
        <v>172.03200000000001</v>
      </c>
      <c r="U588" s="157">
        <f>'Quantitativos (A)'!S588*$D588*$E588</f>
        <v>172.03200000000001</v>
      </c>
      <c r="V588" s="157">
        <f>'Quantitativos (A)'!T588*$D588*$E588</f>
        <v>172.03200000000001</v>
      </c>
      <c r="W588" s="157">
        <f>'Quantitativos (A)'!U588*$D588*$E588</f>
        <v>172.03200000000001</v>
      </c>
      <c r="X588" s="157">
        <f>'Quantitativos (A)'!V588*$D588*$E588</f>
        <v>172.03200000000001</v>
      </c>
      <c r="Y588" s="157">
        <f>'Quantitativos (A)'!W588*$D588*$E588</f>
        <v>172.03200000000001</v>
      </c>
      <c r="Z588" s="157">
        <f>'Quantitativos (A)'!X588*$D588*$E588</f>
        <v>172.03200000000001</v>
      </c>
      <c r="AA588" s="157">
        <f>'Quantitativos (A)'!Y588*$D588*$E588</f>
        <v>172.03200000000001</v>
      </c>
      <c r="AB588" s="157">
        <f>'Quantitativos (A)'!Z588*$D588*$E588</f>
        <v>172.03200000000001</v>
      </c>
      <c r="AC588" s="157">
        <f>'Quantitativos (A)'!AA588*$D588*$E588</f>
        <v>172.03200000000001</v>
      </c>
      <c r="AD588" s="157">
        <f>'Quantitativos (A)'!AB588*$D588*$E588</f>
        <v>172.03200000000001</v>
      </c>
      <c r="AE588" s="157">
        <f>'Quantitativos (A)'!AC588*$D588*$E588</f>
        <v>172.03200000000001</v>
      </c>
      <c r="AF588" s="157">
        <f>'Quantitativos (A)'!AD588*$D588*$E588</f>
        <v>172.03200000000001</v>
      </c>
      <c r="AG588" s="157">
        <f>'Quantitativos (A)'!AE588*$D588*$E588</f>
        <v>172.03200000000001</v>
      </c>
      <c r="AH588" s="157">
        <f>'Quantitativos (A)'!AF588*$D588*$E588</f>
        <v>172.03200000000001</v>
      </c>
      <c r="AI588" s="158">
        <f>'Quantitativos (A)'!AG588*$D588*$E588</f>
        <v>172.03200000000001</v>
      </c>
      <c r="AJ588" s="22"/>
    </row>
    <row r="589" spans="1:36" x14ac:dyDescent="0.25">
      <c r="A589" s="21"/>
      <c r="B589" s="27" t="s">
        <v>598</v>
      </c>
      <c r="C589" s="67" t="s">
        <v>318</v>
      </c>
      <c r="D589" s="157">
        <f>'Dados (F)'!$D$121</f>
        <v>0.56000000000000005</v>
      </c>
      <c r="E589" s="125">
        <f>IF('Dados (F)'!$D$35=1,1,IF('Dados (F)'!$D$35=2,'Dados (F)'!$C$39,1))</f>
        <v>1</v>
      </c>
      <c r="F589" s="157">
        <f>'Quantitativos (A)'!D589*$D589*$E589</f>
        <v>120.96000000000001</v>
      </c>
      <c r="G589" s="157">
        <f>'Quantitativos (A)'!E589*$D589*$E589</f>
        <v>120.96000000000001</v>
      </c>
      <c r="H589" s="157">
        <f>'Quantitativos (A)'!F589*$D589*$E589</f>
        <v>120.96000000000001</v>
      </c>
      <c r="I589" s="157">
        <f>'Quantitativos (A)'!G589*$D589*$E589</f>
        <v>120.96000000000001</v>
      </c>
      <c r="J589" s="157">
        <f>'Quantitativos (A)'!H589*$D589*$E589</f>
        <v>120.96000000000001</v>
      </c>
      <c r="K589" s="157">
        <f>'Quantitativos (A)'!I589*$D589*$E589</f>
        <v>120.96000000000001</v>
      </c>
      <c r="L589" s="157">
        <f>'Quantitativos (A)'!J589*$D589*$E589</f>
        <v>120.96000000000001</v>
      </c>
      <c r="M589" s="157">
        <f>'Quantitativos (A)'!K589*$D589*$E589</f>
        <v>120.96000000000001</v>
      </c>
      <c r="N589" s="157">
        <f>'Quantitativos (A)'!L589*$D589*$E589</f>
        <v>120.96000000000001</v>
      </c>
      <c r="O589" s="157">
        <f>'Quantitativos (A)'!M589*$D589*$E589</f>
        <v>120.96000000000001</v>
      </c>
      <c r="P589" s="157">
        <f>'Quantitativos (A)'!N589*$D589*$E589</f>
        <v>120.96000000000001</v>
      </c>
      <c r="Q589" s="157">
        <f>'Quantitativos (A)'!O589*$D589*$E589</f>
        <v>120.96000000000001</v>
      </c>
      <c r="R589" s="157">
        <f>'Quantitativos (A)'!P589*$D589*$E589</f>
        <v>120.96000000000001</v>
      </c>
      <c r="S589" s="157">
        <f>'Quantitativos (A)'!Q589*$D589*$E589</f>
        <v>120.96000000000001</v>
      </c>
      <c r="T589" s="157">
        <f>'Quantitativos (A)'!R589*$D589*$E589</f>
        <v>120.96000000000001</v>
      </c>
      <c r="U589" s="157">
        <f>'Quantitativos (A)'!S589*$D589*$E589</f>
        <v>120.96000000000001</v>
      </c>
      <c r="V589" s="157">
        <f>'Quantitativos (A)'!T589*$D589*$E589</f>
        <v>120.96000000000001</v>
      </c>
      <c r="W589" s="157">
        <f>'Quantitativos (A)'!U589*$D589*$E589</f>
        <v>120.96000000000001</v>
      </c>
      <c r="X589" s="157">
        <f>'Quantitativos (A)'!V589*$D589*$E589</f>
        <v>120.96000000000001</v>
      </c>
      <c r="Y589" s="157">
        <f>'Quantitativos (A)'!W589*$D589*$E589</f>
        <v>120.96000000000001</v>
      </c>
      <c r="Z589" s="157">
        <f>'Quantitativos (A)'!X589*$D589*$E589</f>
        <v>120.96000000000001</v>
      </c>
      <c r="AA589" s="157">
        <f>'Quantitativos (A)'!Y589*$D589*$E589</f>
        <v>120.96000000000001</v>
      </c>
      <c r="AB589" s="157">
        <f>'Quantitativos (A)'!Z589*$D589*$E589</f>
        <v>120.96000000000001</v>
      </c>
      <c r="AC589" s="157">
        <f>'Quantitativos (A)'!AA589*$D589*$E589</f>
        <v>120.96000000000001</v>
      </c>
      <c r="AD589" s="157">
        <f>'Quantitativos (A)'!AB589*$D589*$E589</f>
        <v>120.96000000000001</v>
      </c>
      <c r="AE589" s="157">
        <f>'Quantitativos (A)'!AC589*$D589*$E589</f>
        <v>120.96000000000001</v>
      </c>
      <c r="AF589" s="157">
        <f>'Quantitativos (A)'!AD589*$D589*$E589</f>
        <v>120.96000000000001</v>
      </c>
      <c r="AG589" s="157">
        <f>'Quantitativos (A)'!AE589*$D589*$E589</f>
        <v>120.96000000000001</v>
      </c>
      <c r="AH589" s="157">
        <f>'Quantitativos (A)'!AF589*$D589*$E589</f>
        <v>120.96000000000001</v>
      </c>
      <c r="AI589" s="158">
        <f>'Quantitativos (A)'!AG589*$D589*$E589</f>
        <v>120.96000000000001</v>
      </c>
      <c r="AJ589" s="22"/>
    </row>
    <row r="590" spans="1:36" x14ac:dyDescent="0.25">
      <c r="A590" s="21"/>
      <c r="B590" s="120" t="s">
        <v>599</v>
      </c>
      <c r="C590" s="121"/>
      <c r="D590" s="155"/>
      <c r="E590" s="156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60"/>
      <c r="AJ590" s="22"/>
    </row>
    <row r="591" spans="1:36" x14ac:dyDescent="0.25">
      <c r="A591" s="21"/>
      <c r="B591" s="27" t="s">
        <v>600</v>
      </c>
      <c r="C591" s="67" t="s">
        <v>318</v>
      </c>
      <c r="D591" s="157">
        <f>'Dados (F)'!$D$121</f>
        <v>0.56000000000000005</v>
      </c>
      <c r="E591" s="125">
        <f>IF('Dados (F)'!$D$35=1,1,IF('Dados (F)'!$D$35=2,'Dados (F)'!$C$39,1))</f>
        <v>1</v>
      </c>
      <c r="F591" s="157">
        <f>'Quantitativos (A)'!D591*$D591*$E591</f>
        <v>149.184</v>
      </c>
      <c r="G591" s="157">
        <f>'Quantitativos (A)'!E591*$D591*$E591</f>
        <v>0</v>
      </c>
      <c r="H591" s="157">
        <f>'Quantitativos (A)'!F591*$D591*$E591</f>
        <v>0</v>
      </c>
      <c r="I591" s="157">
        <f>'Quantitativos (A)'!G591*$D591*$E591</f>
        <v>149.184</v>
      </c>
      <c r="J591" s="157">
        <f>'Quantitativos (A)'!H591*$D591*$E591</f>
        <v>0</v>
      </c>
      <c r="K591" s="157">
        <f>'Quantitativos (A)'!I591*$D591*$E591</f>
        <v>0</v>
      </c>
      <c r="L591" s="157">
        <f>'Quantitativos (A)'!J591*$D591*$E591</f>
        <v>149.184</v>
      </c>
      <c r="M591" s="157">
        <f>'Quantitativos (A)'!K591*$D591*$E591</f>
        <v>0</v>
      </c>
      <c r="N591" s="157">
        <f>'Quantitativos (A)'!L591*$D591*$E591</f>
        <v>149.184</v>
      </c>
      <c r="O591" s="157">
        <f>'Quantitativos (A)'!M591*$D591*$E591</f>
        <v>0</v>
      </c>
      <c r="P591" s="157">
        <f>'Quantitativos (A)'!N591*$D591*$E591</f>
        <v>149.184</v>
      </c>
      <c r="Q591" s="157">
        <f>'Quantitativos (A)'!O591*$D591*$E591</f>
        <v>0</v>
      </c>
      <c r="R591" s="157">
        <f>'Quantitativos (A)'!P591*$D591*$E591</f>
        <v>0</v>
      </c>
      <c r="S591" s="157">
        <f>'Quantitativos (A)'!Q591*$D591*$E591</f>
        <v>149.184</v>
      </c>
      <c r="T591" s="157">
        <f>'Quantitativos (A)'!R591*$D591*$E591</f>
        <v>0</v>
      </c>
      <c r="U591" s="157">
        <f>'Quantitativos (A)'!S591*$D591*$E591</f>
        <v>0</v>
      </c>
      <c r="V591" s="157">
        <f>'Quantitativos (A)'!T591*$D591*$E591</f>
        <v>149.184</v>
      </c>
      <c r="W591" s="157">
        <f>'Quantitativos (A)'!U591*$D591*$E591</f>
        <v>0</v>
      </c>
      <c r="X591" s="157">
        <f>'Quantitativos (A)'!V591*$D591*$E591</f>
        <v>149.184</v>
      </c>
      <c r="Y591" s="157">
        <f>'Quantitativos (A)'!W591*$D591*$E591</f>
        <v>0</v>
      </c>
      <c r="Z591" s="157">
        <f>'Quantitativos (A)'!X591*$D591*$E591</f>
        <v>149.184</v>
      </c>
      <c r="AA591" s="157">
        <f>'Quantitativos (A)'!Y591*$D591*$E591</f>
        <v>0</v>
      </c>
      <c r="AB591" s="157">
        <f>'Quantitativos (A)'!Z591*$D591*$E591</f>
        <v>0</v>
      </c>
      <c r="AC591" s="157">
        <f>'Quantitativos (A)'!AA591*$D591*$E591</f>
        <v>149.184</v>
      </c>
      <c r="AD591" s="157">
        <f>'Quantitativos (A)'!AB591*$D591*$E591</f>
        <v>0</v>
      </c>
      <c r="AE591" s="157">
        <f>'Quantitativos (A)'!AC591*$D591*$E591</f>
        <v>0</v>
      </c>
      <c r="AF591" s="157">
        <f>'Quantitativos (A)'!AD591*$D591*$E591</f>
        <v>149.184</v>
      </c>
      <c r="AG591" s="157">
        <f>'Quantitativos (A)'!AE591*$D591*$E591</f>
        <v>0</v>
      </c>
      <c r="AH591" s="157">
        <f>'Quantitativos (A)'!AF591*$D591*$E591</f>
        <v>149.184</v>
      </c>
      <c r="AI591" s="158">
        <f>'Quantitativos (A)'!AG591*$D591*$E591</f>
        <v>0</v>
      </c>
      <c r="AJ591" s="22"/>
    </row>
    <row r="592" spans="1:36" x14ac:dyDescent="0.25">
      <c r="A592" s="21"/>
      <c r="B592" s="27" t="s">
        <v>594</v>
      </c>
      <c r="C592" s="67" t="s">
        <v>318</v>
      </c>
      <c r="D592" s="157">
        <f>'Dados (F)'!$D$121</f>
        <v>0.56000000000000005</v>
      </c>
      <c r="E592" s="125">
        <f>IF('Dados (F)'!$D$35=1,1,IF('Dados (F)'!$D$35=2,'Dados (F)'!$C$39,1))</f>
        <v>1</v>
      </c>
      <c r="F592" s="157">
        <f>'Quantitativos (A)'!D592*$D592*$E592</f>
        <v>0.49840000000000007</v>
      </c>
      <c r="G592" s="157">
        <f>'Quantitativos (A)'!E592*$D592*$E592</f>
        <v>0</v>
      </c>
      <c r="H592" s="157">
        <f>'Quantitativos (A)'!F592*$D592*$E592</f>
        <v>0</v>
      </c>
      <c r="I592" s="157">
        <f>'Quantitativos (A)'!G592*$D592*$E592</f>
        <v>0.49840000000000007</v>
      </c>
      <c r="J592" s="157">
        <f>'Quantitativos (A)'!H592*$D592*$E592</f>
        <v>0</v>
      </c>
      <c r="K592" s="157">
        <f>'Quantitativos (A)'!I592*$D592*$E592</f>
        <v>0</v>
      </c>
      <c r="L592" s="157">
        <f>'Quantitativos (A)'!J592*$D592*$E592</f>
        <v>0.49840000000000007</v>
      </c>
      <c r="M592" s="157">
        <f>'Quantitativos (A)'!K592*$D592*$E592</f>
        <v>0</v>
      </c>
      <c r="N592" s="157">
        <f>'Quantitativos (A)'!L592*$D592*$E592</f>
        <v>0.49840000000000007</v>
      </c>
      <c r="O592" s="157">
        <f>'Quantitativos (A)'!M592*$D592*$E592</f>
        <v>0</v>
      </c>
      <c r="P592" s="157">
        <f>'Quantitativos (A)'!N592*$D592*$E592</f>
        <v>0.49840000000000007</v>
      </c>
      <c r="Q592" s="157">
        <f>'Quantitativos (A)'!O592*$D592*$E592</f>
        <v>0</v>
      </c>
      <c r="R592" s="157">
        <f>'Quantitativos (A)'!P592*$D592*$E592</f>
        <v>0</v>
      </c>
      <c r="S592" s="157">
        <f>'Quantitativos (A)'!Q592*$D592*$E592</f>
        <v>0.49840000000000007</v>
      </c>
      <c r="T592" s="157">
        <f>'Quantitativos (A)'!R592*$D592*$E592</f>
        <v>0</v>
      </c>
      <c r="U592" s="157">
        <f>'Quantitativos (A)'!S592*$D592*$E592</f>
        <v>0</v>
      </c>
      <c r="V592" s="157">
        <f>'Quantitativos (A)'!T592*$D592*$E592</f>
        <v>0.49840000000000007</v>
      </c>
      <c r="W592" s="157">
        <f>'Quantitativos (A)'!U592*$D592*$E592</f>
        <v>0</v>
      </c>
      <c r="X592" s="157">
        <f>'Quantitativos (A)'!V592*$D592*$E592</f>
        <v>0.49840000000000007</v>
      </c>
      <c r="Y592" s="157">
        <f>'Quantitativos (A)'!W592*$D592*$E592</f>
        <v>0</v>
      </c>
      <c r="Z592" s="157">
        <f>'Quantitativos (A)'!X592*$D592*$E592</f>
        <v>0.49840000000000007</v>
      </c>
      <c r="AA592" s="157">
        <f>'Quantitativos (A)'!Y592*$D592*$E592</f>
        <v>0</v>
      </c>
      <c r="AB592" s="157">
        <f>'Quantitativos (A)'!Z592*$D592*$E592</f>
        <v>0</v>
      </c>
      <c r="AC592" s="157">
        <f>'Quantitativos (A)'!AA592*$D592*$E592</f>
        <v>0.49840000000000007</v>
      </c>
      <c r="AD592" s="157">
        <f>'Quantitativos (A)'!AB592*$D592*$E592</f>
        <v>0</v>
      </c>
      <c r="AE592" s="157">
        <f>'Quantitativos (A)'!AC592*$D592*$E592</f>
        <v>0</v>
      </c>
      <c r="AF592" s="157">
        <f>'Quantitativos (A)'!AD592*$D592*$E592</f>
        <v>0.49840000000000007</v>
      </c>
      <c r="AG592" s="157">
        <f>'Quantitativos (A)'!AE592*$D592*$E592</f>
        <v>0</v>
      </c>
      <c r="AH592" s="157">
        <f>'Quantitativos (A)'!AF592*$D592*$E592</f>
        <v>0.49840000000000007</v>
      </c>
      <c r="AI592" s="158">
        <f>'Quantitativos (A)'!AG592*$D592*$E592</f>
        <v>0</v>
      </c>
      <c r="AJ592" s="22"/>
    </row>
    <row r="593" spans="1:36" x14ac:dyDescent="0.25">
      <c r="A593" s="21"/>
      <c r="B593" s="27" t="s">
        <v>601</v>
      </c>
      <c r="C593" s="67" t="s">
        <v>318</v>
      </c>
      <c r="D593" s="157">
        <f>'Dados (F)'!$D$121</f>
        <v>0.56000000000000005</v>
      </c>
      <c r="E593" s="125">
        <f>IF('Dados (F)'!$D$35=1,1,IF('Dados (F)'!$D$35=2,'Dados (F)'!$C$39,1))</f>
        <v>1</v>
      </c>
      <c r="F593" s="157">
        <f>'Quantitativos (A)'!D593*$D593*$E593</f>
        <v>5.3760000000000003</v>
      </c>
      <c r="G593" s="157">
        <f>'Quantitativos (A)'!E593*$D593*$E593</f>
        <v>0</v>
      </c>
      <c r="H593" s="157">
        <f>'Quantitativos (A)'!F593*$D593*$E593</f>
        <v>0</v>
      </c>
      <c r="I593" s="157">
        <f>'Quantitativos (A)'!G593*$D593*$E593</f>
        <v>5.3760000000000003</v>
      </c>
      <c r="J593" s="157">
        <f>'Quantitativos (A)'!H593*$D593*$E593</f>
        <v>0</v>
      </c>
      <c r="K593" s="157">
        <f>'Quantitativos (A)'!I593*$D593*$E593</f>
        <v>0</v>
      </c>
      <c r="L593" s="157">
        <f>'Quantitativos (A)'!J593*$D593*$E593</f>
        <v>5.3760000000000003</v>
      </c>
      <c r="M593" s="157">
        <f>'Quantitativos (A)'!K593*$D593*$E593</f>
        <v>0</v>
      </c>
      <c r="N593" s="157">
        <f>'Quantitativos (A)'!L593*$D593*$E593</f>
        <v>5.3760000000000003</v>
      </c>
      <c r="O593" s="157">
        <f>'Quantitativos (A)'!M593*$D593*$E593</f>
        <v>0</v>
      </c>
      <c r="P593" s="157">
        <f>'Quantitativos (A)'!N593*$D593*$E593</f>
        <v>5.3760000000000003</v>
      </c>
      <c r="Q593" s="157">
        <f>'Quantitativos (A)'!O593*$D593*$E593</f>
        <v>0</v>
      </c>
      <c r="R593" s="157">
        <f>'Quantitativos (A)'!P593*$D593*$E593</f>
        <v>0</v>
      </c>
      <c r="S593" s="157">
        <f>'Quantitativos (A)'!Q593*$D593*$E593</f>
        <v>5.3760000000000003</v>
      </c>
      <c r="T593" s="157">
        <f>'Quantitativos (A)'!R593*$D593*$E593</f>
        <v>0</v>
      </c>
      <c r="U593" s="157">
        <f>'Quantitativos (A)'!S593*$D593*$E593</f>
        <v>0</v>
      </c>
      <c r="V593" s="157">
        <f>'Quantitativos (A)'!T593*$D593*$E593</f>
        <v>5.3760000000000003</v>
      </c>
      <c r="W593" s="157">
        <f>'Quantitativos (A)'!U593*$D593*$E593</f>
        <v>0</v>
      </c>
      <c r="X593" s="157">
        <f>'Quantitativos (A)'!V593*$D593*$E593</f>
        <v>5.3760000000000003</v>
      </c>
      <c r="Y593" s="157">
        <f>'Quantitativos (A)'!W593*$D593*$E593</f>
        <v>0</v>
      </c>
      <c r="Z593" s="157">
        <f>'Quantitativos (A)'!X593*$D593*$E593</f>
        <v>5.3760000000000003</v>
      </c>
      <c r="AA593" s="157">
        <f>'Quantitativos (A)'!Y593*$D593*$E593</f>
        <v>0</v>
      </c>
      <c r="AB593" s="157">
        <f>'Quantitativos (A)'!Z593*$D593*$E593</f>
        <v>0</v>
      </c>
      <c r="AC593" s="157">
        <f>'Quantitativos (A)'!AA593*$D593*$E593</f>
        <v>5.3760000000000003</v>
      </c>
      <c r="AD593" s="157">
        <f>'Quantitativos (A)'!AB593*$D593*$E593</f>
        <v>0</v>
      </c>
      <c r="AE593" s="157">
        <f>'Quantitativos (A)'!AC593*$D593*$E593</f>
        <v>0</v>
      </c>
      <c r="AF593" s="157">
        <f>'Quantitativos (A)'!AD593*$D593*$E593</f>
        <v>5.3760000000000003</v>
      </c>
      <c r="AG593" s="157">
        <f>'Quantitativos (A)'!AE593*$D593*$E593</f>
        <v>0</v>
      </c>
      <c r="AH593" s="157">
        <f>'Quantitativos (A)'!AF593*$D593*$E593</f>
        <v>5.3760000000000003</v>
      </c>
      <c r="AI593" s="158">
        <f>'Quantitativos (A)'!AG593*$D593*$E593</f>
        <v>0</v>
      </c>
      <c r="AJ593" s="22"/>
    </row>
    <row r="594" spans="1:36" x14ac:dyDescent="0.25">
      <c r="A594" s="166"/>
      <c r="B594" s="27" t="s">
        <v>602</v>
      </c>
      <c r="C594" s="67" t="s">
        <v>318</v>
      </c>
      <c r="D594" s="157">
        <f>'Dados (F)'!$D$121</f>
        <v>0.56000000000000005</v>
      </c>
      <c r="E594" s="125">
        <f>IF('Dados (F)'!$D$35=1,1,IF('Dados (F)'!$D$35=2,'Dados (F)'!$C$39,1))</f>
        <v>1</v>
      </c>
      <c r="F594" s="157">
        <f>'Quantitativos (A)'!D594*$D594*$E594</f>
        <v>0</v>
      </c>
      <c r="G594" s="157">
        <f>'Quantitativos (A)'!E594*$D594*$E594</f>
        <v>0</v>
      </c>
      <c r="H594" s="157">
        <f>'Quantitativos (A)'!F594*$D594*$E594</f>
        <v>268.8</v>
      </c>
      <c r="I594" s="157">
        <f>'Quantitativos (A)'!G594*$D594*$E594</f>
        <v>0</v>
      </c>
      <c r="J594" s="157">
        <f>'Quantitativos (A)'!H594*$D594*$E594</f>
        <v>0</v>
      </c>
      <c r="K594" s="157">
        <f>'Quantitativos (A)'!I594*$D594*$E594</f>
        <v>268.8</v>
      </c>
      <c r="L594" s="157">
        <f>'Quantitativos (A)'!J594*$D594*$E594</f>
        <v>0</v>
      </c>
      <c r="M594" s="157">
        <f>'Quantitativos (A)'!K594*$D594*$E594</f>
        <v>268.8</v>
      </c>
      <c r="N594" s="157">
        <f>'Quantitativos (A)'!L594*$D594*$E594</f>
        <v>0</v>
      </c>
      <c r="O594" s="157">
        <f>'Quantitativos (A)'!M594*$D594*$E594</f>
        <v>268.8</v>
      </c>
      <c r="P594" s="157">
        <f>'Quantitativos (A)'!N594*$D594*$E594</f>
        <v>0</v>
      </c>
      <c r="Q594" s="157">
        <f>'Quantitativos (A)'!O594*$D594*$E594</f>
        <v>0</v>
      </c>
      <c r="R594" s="157">
        <f>'Quantitativos (A)'!P594*$D594*$E594</f>
        <v>268.8</v>
      </c>
      <c r="S594" s="157">
        <f>'Quantitativos (A)'!Q594*$D594*$E594</f>
        <v>0</v>
      </c>
      <c r="T594" s="157">
        <f>'Quantitativos (A)'!R594*$D594*$E594</f>
        <v>0</v>
      </c>
      <c r="U594" s="157">
        <f>'Quantitativos (A)'!S594*$D594*$E594</f>
        <v>268.8</v>
      </c>
      <c r="V594" s="157">
        <f>'Quantitativos (A)'!T594*$D594*$E594</f>
        <v>0</v>
      </c>
      <c r="W594" s="157">
        <f>'Quantitativos (A)'!U594*$D594*$E594</f>
        <v>268.8</v>
      </c>
      <c r="X594" s="157">
        <f>'Quantitativos (A)'!V594*$D594*$E594</f>
        <v>0</v>
      </c>
      <c r="Y594" s="157">
        <f>'Quantitativos (A)'!W594*$D594*$E594</f>
        <v>268.8</v>
      </c>
      <c r="Z594" s="157">
        <f>'Quantitativos (A)'!X594*$D594*$E594</f>
        <v>0</v>
      </c>
      <c r="AA594" s="157">
        <f>'Quantitativos (A)'!Y594*$D594*$E594</f>
        <v>0</v>
      </c>
      <c r="AB594" s="157">
        <f>'Quantitativos (A)'!Z594*$D594*$E594</f>
        <v>268.8</v>
      </c>
      <c r="AC594" s="157">
        <f>'Quantitativos (A)'!AA594*$D594*$E594</f>
        <v>0</v>
      </c>
      <c r="AD594" s="157">
        <f>'Quantitativos (A)'!AB594*$D594*$E594</f>
        <v>0</v>
      </c>
      <c r="AE594" s="157">
        <f>'Quantitativos (A)'!AC594*$D594*$E594</f>
        <v>268.8</v>
      </c>
      <c r="AF594" s="157">
        <f>'Quantitativos (A)'!AD594*$D594*$E594</f>
        <v>0</v>
      </c>
      <c r="AG594" s="157">
        <f>'Quantitativos (A)'!AE594*$D594*$E594</f>
        <v>268.8</v>
      </c>
      <c r="AH594" s="157">
        <f>'Quantitativos (A)'!AF594*$D594*$E594</f>
        <v>0</v>
      </c>
      <c r="AI594" s="158">
        <f>'Quantitativos (A)'!AG594*$D594*$E594</f>
        <v>268.8</v>
      </c>
      <c r="AJ594" s="22"/>
    </row>
    <row r="595" spans="1:36" x14ac:dyDescent="0.25">
      <c r="A595" s="21"/>
      <c r="B595" s="27" t="s">
        <v>603</v>
      </c>
      <c r="C595" s="67" t="s">
        <v>318</v>
      </c>
      <c r="D595" s="157">
        <f>'Dados (F)'!$D$121</f>
        <v>0.56000000000000005</v>
      </c>
      <c r="E595" s="125">
        <f>IF('Dados (F)'!$D$35=1,1,IF('Dados (F)'!$D$35=2,'Dados (F)'!$C$39,1))</f>
        <v>1</v>
      </c>
      <c r="F595" s="157">
        <f>'Quantitativos (A)'!D595*$D595*$E595</f>
        <v>0</v>
      </c>
      <c r="G595" s="157">
        <f>'Quantitativos (A)'!E595*$D595*$E595</f>
        <v>0</v>
      </c>
      <c r="H595" s="157">
        <f>'Quantitativos (A)'!F595*$D595*$E595</f>
        <v>228.48000000000002</v>
      </c>
      <c r="I595" s="157">
        <f>'Quantitativos (A)'!G595*$D595*$E595</f>
        <v>0</v>
      </c>
      <c r="J595" s="157">
        <f>'Quantitativos (A)'!H595*$D595*$E595</f>
        <v>0</v>
      </c>
      <c r="K595" s="157">
        <f>'Quantitativos (A)'!I595*$D595*$E595</f>
        <v>228.48000000000002</v>
      </c>
      <c r="L595" s="157">
        <f>'Quantitativos (A)'!J595*$D595*$E595</f>
        <v>0</v>
      </c>
      <c r="M595" s="157">
        <f>'Quantitativos (A)'!K595*$D595*$E595</f>
        <v>228.48000000000002</v>
      </c>
      <c r="N595" s="157">
        <f>'Quantitativos (A)'!L595*$D595*$E595</f>
        <v>0</v>
      </c>
      <c r="O595" s="157">
        <f>'Quantitativos (A)'!M595*$D595*$E595</f>
        <v>228.48000000000002</v>
      </c>
      <c r="P595" s="157">
        <f>'Quantitativos (A)'!N595*$D595*$E595</f>
        <v>0</v>
      </c>
      <c r="Q595" s="157">
        <f>'Quantitativos (A)'!O595*$D595*$E595</f>
        <v>0</v>
      </c>
      <c r="R595" s="157">
        <f>'Quantitativos (A)'!P595*$D595*$E595</f>
        <v>228.48000000000002</v>
      </c>
      <c r="S595" s="157">
        <f>'Quantitativos (A)'!Q595*$D595*$E595</f>
        <v>0</v>
      </c>
      <c r="T595" s="157">
        <f>'Quantitativos (A)'!R595*$D595*$E595</f>
        <v>0</v>
      </c>
      <c r="U595" s="157">
        <f>'Quantitativos (A)'!S595*$D595*$E595</f>
        <v>228.48000000000002</v>
      </c>
      <c r="V595" s="157">
        <f>'Quantitativos (A)'!T595*$D595*$E595</f>
        <v>0</v>
      </c>
      <c r="W595" s="157">
        <f>'Quantitativos (A)'!U595*$D595*$E595</f>
        <v>228.48000000000002</v>
      </c>
      <c r="X595" s="157">
        <f>'Quantitativos (A)'!V595*$D595*$E595</f>
        <v>0</v>
      </c>
      <c r="Y595" s="157">
        <f>'Quantitativos (A)'!W595*$D595*$E595</f>
        <v>228.48000000000002</v>
      </c>
      <c r="Z595" s="157">
        <f>'Quantitativos (A)'!X595*$D595*$E595</f>
        <v>0</v>
      </c>
      <c r="AA595" s="157">
        <f>'Quantitativos (A)'!Y595*$D595*$E595</f>
        <v>0</v>
      </c>
      <c r="AB595" s="157">
        <f>'Quantitativos (A)'!Z595*$D595*$E595</f>
        <v>120.96000000000001</v>
      </c>
      <c r="AC595" s="157">
        <f>'Quantitativos (A)'!AA595*$D595*$E595</f>
        <v>0</v>
      </c>
      <c r="AD595" s="157">
        <f>'Quantitativos (A)'!AB595*$D595*$E595</f>
        <v>0</v>
      </c>
      <c r="AE595" s="157">
        <f>'Quantitativos (A)'!AC595*$D595*$E595</f>
        <v>120.96000000000001</v>
      </c>
      <c r="AF595" s="157">
        <f>'Quantitativos (A)'!AD595*$D595*$E595</f>
        <v>0</v>
      </c>
      <c r="AG595" s="157">
        <f>'Quantitativos (A)'!AE595*$D595*$E595</f>
        <v>120.96000000000001</v>
      </c>
      <c r="AH595" s="157">
        <f>'Quantitativos (A)'!AF595*$D595*$E595</f>
        <v>0</v>
      </c>
      <c r="AI595" s="158">
        <f>'Quantitativos (A)'!AG595*$D595*$E595</f>
        <v>120.96000000000001</v>
      </c>
      <c r="AJ595" s="22"/>
    </row>
    <row r="596" spans="1:36" x14ac:dyDescent="0.25">
      <c r="A596" s="21"/>
      <c r="B596" s="120" t="s">
        <v>604</v>
      </c>
      <c r="C596" s="121"/>
      <c r="D596" s="155"/>
      <c r="E596" s="156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60"/>
      <c r="AJ596" s="22"/>
    </row>
    <row r="597" spans="1:36" x14ac:dyDescent="0.25">
      <c r="A597" s="21"/>
      <c r="B597" s="141" t="s">
        <v>605</v>
      </c>
      <c r="C597" s="125" t="s">
        <v>319</v>
      </c>
      <c r="D597" s="157">
        <f>'Dados (F)'!$D$378</f>
        <v>8.11</v>
      </c>
      <c r="E597" s="125">
        <f>IF('Dados (F)'!$D$35=1,1,'Dados (F)'!$C$39)</f>
        <v>1</v>
      </c>
      <c r="F597" s="157">
        <f>'Quantitativos (A)'!D597*$D597*$E597</f>
        <v>9732</v>
      </c>
      <c r="G597" s="157">
        <f>'Quantitativos (A)'!E597*$D597*$E597</f>
        <v>9732</v>
      </c>
      <c r="H597" s="157">
        <f>'Quantitativos (A)'!F597*$D597*$E597</f>
        <v>9732</v>
      </c>
      <c r="I597" s="157">
        <f>'Quantitativos (A)'!G597*$D597*$E597</f>
        <v>9732</v>
      </c>
      <c r="J597" s="157">
        <f>'Quantitativos (A)'!H597*$D597*$E597</f>
        <v>9732</v>
      </c>
      <c r="K597" s="157">
        <f>'Quantitativos (A)'!I597*$D597*$E597</f>
        <v>9732</v>
      </c>
      <c r="L597" s="157">
        <f>'Quantitativos (A)'!J597*$D597*$E597</f>
        <v>9732</v>
      </c>
      <c r="M597" s="157">
        <f>'Quantitativos (A)'!K597*$D597*$E597</f>
        <v>9732</v>
      </c>
      <c r="N597" s="157">
        <f>'Quantitativos (A)'!L597*$D597*$E597</f>
        <v>9732</v>
      </c>
      <c r="O597" s="157">
        <f>'Quantitativos (A)'!M597*$D597*$E597</f>
        <v>9732</v>
      </c>
      <c r="P597" s="157">
        <f>'Quantitativos (A)'!N597*$D597*$E597</f>
        <v>9732</v>
      </c>
      <c r="Q597" s="157">
        <f>'Quantitativos (A)'!O597*$D597*$E597</f>
        <v>9732</v>
      </c>
      <c r="R597" s="157">
        <f>'Quantitativos (A)'!P597*$D597*$E597</f>
        <v>9732</v>
      </c>
      <c r="S597" s="157">
        <f>'Quantitativos (A)'!Q597*$D597*$E597</f>
        <v>9732</v>
      </c>
      <c r="T597" s="157">
        <f>'Quantitativos (A)'!R597*$D597*$E597</f>
        <v>9732</v>
      </c>
      <c r="U597" s="157">
        <f>'Quantitativos (A)'!S597*$D597*$E597</f>
        <v>9732</v>
      </c>
      <c r="V597" s="157">
        <f>'Quantitativos (A)'!T597*$D597*$E597</f>
        <v>9732</v>
      </c>
      <c r="W597" s="157">
        <f>'Quantitativos (A)'!U597*$D597*$E597</f>
        <v>9732</v>
      </c>
      <c r="X597" s="157">
        <f>'Quantitativos (A)'!V597*$D597*$E597</f>
        <v>9732</v>
      </c>
      <c r="Y597" s="157">
        <f>'Quantitativos (A)'!W597*$D597*$E597</f>
        <v>9732</v>
      </c>
      <c r="Z597" s="157">
        <f>'Quantitativos (A)'!X597*$D597*$E597</f>
        <v>9732</v>
      </c>
      <c r="AA597" s="157">
        <f>'Quantitativos (A)'!Y597*$D597*$E597</f>
        <v>9732</v>
      </c>
      <c r="AB597" s="157">
        <f>'Quantitativos (A)'!Z597*$D597*$E597</f>
        <v>9732</v>
      </c>
      <c r="AC597" s="157">
        <f>'Quantitativos (A)'!AA597*$D597*$E597</f>
        <v>9732</v>
      </c>
      <c r="AD597" s="157">
        <f>'Quantitativos (A)'!AB597*$D597*$E597</f>
        <v>9732</v>
      </c>
      <c r="AE597" s="157">
        <f>'Quantitativos (A)'!AC597*$D597*$E597</f>
        <v>9732</v>
      </c>
      <c r="AF597" s="157">
        <f>'Quantitativos (A)'!AD597*$D597*$E597</f>
        <v>9732</v>
      </c>
      <c r="AG597" s="157">
        <f>'Quantitativos (A)'!AE597*$D597*$E597</f>
        <v>9732</v>
      </c>
      <c r="AH597" s="157">
        <f>'Quantitativos (A)'!AF597*$D597*$E597</f>
        <v>9732</v>
      </c>
      <c r="AI597" s="158">
        <f>'Quantitativos (A)'!AG597*$D597*$E597</f>
        <v>9732</v>
      </c>
      <c r="AJ597" s="22"/>
    </row>
    <row r="598" spans="1:36" x14ac:dyDescent="0.25">
      <c r="A598" s="21"/>
      <c r="B598" s="141" t="s">
        <v>606</v>
      </c>
      <c r="C598" s="125" t="s">
        <v>319</v>
      </c>
      <c r="D598" s="157">
        <f>'Dados (F)'!$D$379</f>
        <v>10.14</v>
      </c>
      <c r="E598" s="125">
        <f>IF('Dados (F)'!$D$35=1,1,'Dados (F)'!$C$39)</f>
        <v>1</v>
      </c>
      <c r="F598" s="157">
        <f>'Quantitativos (A)'!D598*$D598*$E598</f>
        <v>2433.6000000000004</v>
      </c>
      <c r="G598" s="157">
        <f>'Quantitativos (A)'!E598*$D598*$E598</f>
        <v>2433.6000000000004</v>
      </c>
      <c r="H598" s="157">
        <f>'Quantitativos (A)'!F598*$D598*$E598</f>
        <v>2433.6000000000004</v>
      </c>
      <c r="I598" s="157">
        <f>'Quantitativos (A)'!G598*$D598*$E598</f>
        <v>2433.6000000000004</v>
      </c>
      <c r="J598" s="157">
        <f>'Quantitativos (A)'!H598*$D598*$E598</f>
        <v>2433.6000000000004</v>
      </c>
      <c r="K598" s="157">
        <f>'Quantitativos (A)'!I598*$D598*$E598</f>
        <v>2433.6000000000004</v>
      </c>
      <c r="L598" s="157">
        <f>'Quantitativos (A)'!J598*$D598*$E598</f>
        <v>2433.6000000000004</v>
      </c>
      <c r="M598" s="157">
        <f>'Quantitativos (A)'!K598*$D598*$E598</f>
        <v>2433.6000000000004</v>
      </c>
      <c r="N598" s="157">
        <f>'Quantitativos (A)'!L598*$D598*$E598</f>
        <v>2433.6000000000004</v>
      </c>
      <c r="O598" s="157">
        <f>'Quantitativos (A)'!M598*$D598*$E598</f>
        <v>2433.6000000000004</v>
      </c>
      <c r="P598" s="157">
        <f>'Quantitativos (A)'!N598*$D598*$E598</f>
        <v>2433.6000000000004</v>
      </c>
      <c r="Q598" s="157">
        <f>'Quantitativos (A)'!O598*$D598*$E598</f>
        <v>2433.6000000000004</v>
      </c>
      <c r="R598" s="157">
        <f>'Quantitativos (A)'!P598*$D598*$E598</f>
        <v>2433.6000000000004</v>
      </c>
      <c r="S598" s="157">
        <f>'Quantitativos (A)'!Q598*$D598*$E598</f>
        <v>2433.6000000000004</v>
      </c>
      <c r="T598" s="157">
        <f>'Quantitativos (A)'!R598*$D598*$E598</f>
        <v>2433.6000000000004</v>
      </c>
      <c r="U598" s="157">
        <f>'Quantitativos (A)'!S598*$D598*$E598</f>
        <v>2433.6000000000004</v>
      </c>
      <c r="V598" s="157">
        <f>'Quantitativos (A)'!T598*$D598*$E598</f>
        <v>2433.6000000000004</v>
      </c>
      <c r="W598" s="157">
        <f>'Quantitativos (A)'!U598*$D598*$E598</f>
        <v>2433.6000000000004</v>
      </c>
      <c r="X598" s="157">
        <f>'Quantitativos (A)'!V598*$D598*$E598</f>
        <v>2433.6000000000004</v>
      </c>
      <c r="Y598" s="157">
        <f>'Quantitativos (A)'!W598*$D598*$E598</f>
        <v>2433.6000000000004</v>
      </c>
      <c r="Z598" s="157">
        <f>'Quantitativos (A)'!X598*$D598*$E598</f>
        <v>2433.6000000000004</v>
      </c>
      <c r="AA598" s="157">
        <f>'Quantitativos (A)'!Y598*$D598*$E598</f>
        <v>2433.6000000000004</v>
      </c>
      <c r="AB598" s="157">
        <f>'Quantitativos (A)'!Z598*$D598*$E598</f>
        <v>2433.6000000000004</v>
      </c>
      <c r="AC598" s="157">
        <f>'Quantitativos (A)'!AA598*$D598*$E598</f>
        <v>2433.6000000000004</v>
      </c>
      <c r="AD598" s="157">
        <f>'Quantitativos (A)'!AB598*$D598*$E598</f>
        <v>2433.6000000000004</v>
      </c>
      <c r="AE598" s="157">
        <f>'Quantitativos (A)'!AC598*$D598*$E598</f>
        <v>2433.6000000000004</v>
      </c>
      <c r="AF598" s="157">
        <f>'Quantitativos (A)'!AD598*$D598*$E598</f>
        <v>2433.6000000000004</v>
      </c>
      <c r="AG598" s="157">
        <f>'Quantitativos (A)'!AE598*$D598*$E598</f>
        <v>2433.6000000000004</v>
      </c>
      <c r="AH598" s="157">
        <f>'Quantitativos (A)'!AF598*$D598*$E598</f>
        <v>2433.6000000000004</v>
      </c>
      <c r="AI598" s="158">
        <f>'Quantitativos (A)'!AG598*$D598*$E598</f>
        <v>2433.6000000000004</v>
      </c>
      <c r="AJ598" s="22"/>
    </row>
    <row r="599" spans="1:36" x14ac:dyDescent="0.25">
      <c r="A599" s="21"/>
      <c r="B599" s="141" t="s">
        <v>607</v>
      </c>
      <c r="C599" s="125" t="s">
        <v>319</v>
      </c>
      <c r="D599" s="157">
        <f>'Dados (F)'!$D$380</f>
        <v>12.68</v>
      </c>
      <c r="E599" s="125">
        <f>IF('Dados (F)'!$D$35=1,1,'Dados (F)'!$C$39)</f>
        <v>1</v>
      </c>
      <c r="F599" s="157">
        <f>'Quantitativos (A)'!D599*$D599*$E599</f>
        <v>1521.6</v>
      </c>
      <c r="G599" s="157">
        <f>'Quantitativos (A)'!E599*$D599*$E599</f>
        <v>1521.6</v>
      </c>
      <c r="H599" s="157">
        <f>'Quantitativos (A)'!F599*$D599*$E599</f>
        <v>1521.6</v>
      </c>
      <c r="I599" s="157">
        <f>'Quantitativos (A)'!G599*$D599*$E599</f>
        <v>1521.6</v>
      </c>
      <c r="J599" s="157">
        <f>'Quantitativos (A)'!H599*$D599*$E599</f>
        <v>1521.6</v>
      </c>
      <c r="K599" s="157">
        <f>'Quantitativos (A)'!I599*$D599*$E599</f>
        <v>1521.6</v>
      </c>
      <c r="L599" s="157">
        <f>'Quantitativos (A)'!J599*$D599*$E599</f>
        <v>1521.6</v>
      </c>
      <c r="M599" s="157">
        <f>'Quantitativos (A)'!K599*$D599*$E599</f>
        <v>1521.6</v>
      </c>
      <c r="N599" s="157">
        <f>'Quantitativos (A)'!L599*$D599*$E599</f>
        <v>1521.6</v>
      </c>
      <c r="O599" s="157">
        <f>'Quantitativos (A)'!M599*$D599*$E599</f>
        <v>1521.6</v>
      </c>
      <c r="P599" s="157">
        <f>'Quantitativos (A)'!N599*$D599*$E599</f>
        <v>1521.6</v>
      </c>
      <c r="Q599" s="157">
        <f>'Quantitativos (A)'!O599*$D599*$E599</f>
        <v>1521.6</v>
      </c>
      <c r="R599" s="157">
        <f>'Quantitativos (A)'!P599*$D599*$E599</f>
        <v>1521.6</v>
      </c>
      <c r="S599" s="157">
        <f>'Quantitativos (A)'!Q599*$D599*$E599</f>
        <v>1521.6</v>
      </c>
      <c r="T599" s="157">
        <f>'Quantitativos (A)'!R599*$D599*$E599</f>
        <v>1521.6</v>
      </c>
      <c r="U599" s="157">
        <f>'Quantitativos (A)'!S599*$D599*$E599</f>
        <v>1521.6</v>
      </c>
      <c r="V599" s="157">
        <f>'Quantitativos (A)'!T599*$D599*$E599</f>
        <v>1521.6</v>
      </c>
      <c r="W599" s="157">
        <f>'Quantitativos (A)'!U599*$D599*$E599</f>
        <v>1521.6</v>
      </c>
      <c r="X599" s="157">
        <f>'Quantitativos (A)'!V599*$D599*$E599</f>
        <v>1521.6</v>
      </c>
      <c r="Y599" s="157">
        <f>'Quantitativos (A)'!W599*$D599*$E599</f>
        <v>1521.6</v>
      </c>
      <c r="Z599" s="157">
        <f>'Quantitativos (A)'!X599*$D599*$E599</f>
        <v>1521.6</v>
      </c>
      <c r="AA599" s="157">
        <f>'Quantitativos (A)'!Y599*$D599*$E599</f>
        <v>1521.6</v>
      </c>
      <c r="AB599" s="157">
        <f>'Quantitativos (A)'!Z599*$D599*$E599</f>
        <v>1521.6</v>
      </c>
      <c r="AC599" s="157">
        <f>'Quantitativos (A)'!AA599*$D599*$E599</f>
        <v>1521.6</v>
      </c>
      <c r="AD599" s="157">
        <f>'Quantitativos (A)'!AB599*$D599*$E599</f>
        <v>1521.6</v>
      </c>
      <c r="AE599" s="157">
        <f>'Quantitativos (A)'!AC599*$D599*$E599</f>
        <v>1521.6</v>
      </c>
      <c r="AF599" s="157">
        <f>'Quantitativos (A)'!AD599*$D599*$E599</f>
        <v>1521.6</v>
      </c>
      <c r="AG599" s="157">
        <f>'Quantitativos (A)'!AE599*$D599*$E599</f>
        <v>1521.6</v>
      </c>
      <c r="AH599" s="157">
        <f>'Quantitativos (A)'!AF599*$D599*$E599</f>
        <v>1521.6</v>
      </c>
      <c r="AI599" s="158">
        <f>'Quantitativos (A)'!AG599*$D599*$E599</f>
        <v>1521.6</v>
      </c>
      <c r="AJ599" s="22"/>
    </row>
    <row r="600" spans="1:36" x14ac:dyDescent="0.25">
      <c r="A600" s="21"/>
      <c r="B600" s="141" t="s">
        <v>608</v>
      </c>
      <c r="C600" s="125" t="s">
        <v>319</v>
      </c>
      <c r="D600" s="157">
        <f>'Dados (F)'!$D$381</f>
        <v>7.61</v>
      </c>
      <c r="E600" s="125">
        <f>IF('Dados (F)'!$D$35=1,1,'Dados (F)'!$C$39)</f>
        <v>1</v>
      </c>
      <c r="F600" s="157">
        <f>'Quantitativos (A)'!D600*$D600*$E600</f>
        <v>1826.4</v>
      </c>
      <c r="G600" s="157">
        <f>'Quantitativos (A)'!E600*$D600*$E600</f>
        <v>1826.4</v>
      </c>
      <c r="H600" s="157">
        <f>'Quantitativos (A)'!F600*$D600*$E600</f>
        <v>1826.4</v>
      </c>
      <c r="I600" s="157">
        <f>'Quantitativos (A)'!G600*$D600*$E600</f>
        <v>1826.4</v>
      </c>
      <c r="J600" s="157">
        <f>'Quantitativos (A)'!H600*$D600*$E600</f>
        <v>1826.4</v>
      </c>
      <c r="K600" s="157">
        <f>'Quantitativos (A)'!I600*$D600*$E600</f>
        <v>1826.4</v>
      </c>
      <c r="L600" s="157">
        <f>'Quantitativos (A)'!J600*$D600*$E600</f>
        <v>1826.4</v>
      </c>
      <c r="M600" s="157">
        <f>'Quantitativos (A)'!K600*$D600*$E600</f>
        <v>1826.4</v>
      </c>
      <c r="N600" s="157">
        <f>'Quantitativos (A)'!L600*$D600*$E600</f>
        <v>1826.4</v>
      </c>
      <c r="O600" s="157">
        <f>'Quantitativos (A)'!M600*$D600*$E600</f>
        <v>1826.4</v>
      </c>
      <c r="P600" s="157">
        <f>'Quantitativos (A)'!N600*$D600*$E600</f>
        <v>1826.4</v>
      </c>
      <c r="Q600" s="157">
        <f>'Quantitativos (A)'!O600*$D600*$E600</f>
        <v>1826.4</v>
      </c>
      <c r="R600" s="157">
        <f>'Quantitativos (A)'!P600*$D600*$E600</f>
        <v>1826.4</v>
      </c>
      <c r="S600" s="157">
        <f>'Quantitativos (A)'!Q600*$D600*$E600</f>
        <v>1826.4</v>
      </c>
      <c r="T600" s="157">
        <f>'Quantitativos (A)'!R600*$D600*$E600</f>
        <v>1826.4</v>
      </c>
      <c r="U600" s="157">
        <f>'Quantitativos (A)'!S600*$D600*$E600</f>
        <v>1826.4</v>
      </c>
      <c r="V600" s="157">
        <f>'Quantitativos (A)'!T600*$D600*$E600</f>
        <v>1826.4</v>
      </c>
      <c r="W600" s="157">
        <f>'Quantitativos (A)'!U600*$D600*$E600</f>
        <v>1826.4</v>
      </c>
      <c r="X600" s="157">
        <f>'Quantitativos (A)'!V600*$D600*$E600</f>
        <v>1826.4</v>
      </c>
      <c r="Y600" s="157">
        <f>'Quantitativos (A)'!W600*$D600*$E600</f>
        <v>1826.4</v>
      </c>
      <c r="Z600" s="157">
        <f>'Quantitativos (A)'!X600*$D600*$E600</f>
        <v>1826.4</v>
      </c>
      <c r="AA600" s="157">
        <f>'Quantitativos (A)'!Y600*$D600*$E600</f>
        <v>1826.4</v>
      </c>
      <c r="AB600" s="157">
        <f>'Quantitativos (A)'!Z600*$D600*$E600</f>
        <v>1826.4</v>
      </c>
      <c r="AC600" s="157">
        <f>'Quantitativos (A)'!AA600*$D600*$E600</f>
        <v>1826.4</v>
      </c>
      <c r="AD600" s="157">
        <f>'Quantitativos (A)'!AB600*$D600*$E600</f>
        <v>1826.4</v>
      </c>
      <c r="AE600" s="157">
        <f>'Quantitativos (A)'!AC600*$D600*$E600</f>
        <v>1826.4</v>
      </c>
      <c r="AF600" s="157">
        <f>'Quantitativos (A)'!AD600*$D600*$E600</f>
        <v>1826.4</v>
      </c>
      <c r="AG600" s="157">
        <f>'Quantitativos (A)'!AE600*$D600*$E600</f>
        <v>1826.4</v>
      </c>
      <c r="AH600" s="157">
        <f>'Quantitativos (A)'!AF600*$D600*$E600</f>
        <v>1826.4</v>
      </c>
      <c r="AI600" s="158">
        <f>'Quantitativos (A)'!AG600*$D600*$E600</f>
        <v>1826.4</v>
      </c>
      <c r="AJ600" s="22"/>
    </row>
    <row r="601" spans="1:36" x14ac:dyDescent="0.25">
      <c r="A601" s="21"/>
      <c r="B601" s="141" t="s">
        <v>609</v>
      </c>
      <c r="C601" s="125" t="s">
        <v>319</v>
      </c>
      <c r="D601" s="157">
        <f>'Dados (F)'!$D$382</f>
        <v>8.11</v>
      </c>
      <c r="E601" s="125">
        <f>IF('Dados (F)'!$D$35=1,1,'Dados (F)'!$C$39)</f>
        <v>1</v>
      </c>
      <c r="F601" s="157">
        <f>'Quantitativos (A)'!D601*$D601*$E601</f>
        <v>1946.3999999999999</v>
      </c>
      <c r="G601" s="157">
        <f>'Quantitativos (A)'!E601*$D601*$E601</f>
        <v>1946.3999999999999</v>
      </c>
      <c r="H601" s="157">
        <f>'Quantitativos (A)'!F601*$D601*$E601</f>
        <v>1946.3999999999999</v>
      </c>
      <c r="I601" s="157">
        <f>'Quantitativos (A)'!G601*$D601*$E601</f>
        <v>1946.3999999999999</v>
      </c>
      <c r="J601" s="157">
        <f>'Quantitativos (A)'!H601*$D601*$E601</f>
        <v>1946.3999999999999</v>
      </c>
      <c r="K601" s="157">
        <f>'Quantitativos (A)'!I601*$D601*$E601</f>
        <v>1946.3999999999999</v>
      </c>
      <c r="L601" s="157">
        <f>'Quantitativos (A)'!J601*$D601*$E601</f>
        <v>1946.3999999999999</v>
      </c>
      <c r="M601" s="157">
        <f>'Quantitativos (A)'!K601*$D601*$E601</f>
        <v>1946.3999999999999</v>
      </c>
      <c r="N601" s="157">
        <f>'Quantitativos (A)'!L601*$D601*$E601</f>
        <v>1946.3999999999999</v>
      </c>
      <c r="O601" s="157">
        <f>'Quantitativos (A)'!M601*$D601*$E601</f>
        <v>1946.3999999999999</v>
      </c>
      <c r="P601" s="157">
        <f>'Quantitativos (A)'!N601*$D601*$E601</f>
        <v>1946.3999999999999</v>
      </c>
      <c r="Q601" s="157">
        <f>'Quantitativos (A)'!O601*$D601*$E601</f>
        <v>1946.3999999999999</v>
      </c>
      <c r="R601" s="157">
        <f>'Quantitativos (A)'!P601*$D601*$E601</f>
        <v>1946.3999999999999</v>
      </c>
      <c r="S601" s="157">
        <f>'Quantitativos (A)'!Q601*$D601*$E601</f>
        <v>1946.3999999999999</v>
      </c>
      <c r="T601" s="157">
        <f>'Quantitativos (A)'!R601*$D601*$E601</f>
        <v>1946.3999999999999</v>
      </c>
      <c r="U601" s="157">
        <f>'Quantitativos (A)'!S601*$D601*$E601</f>
        <v>1946.3999999999999</v>
      </c>
      <c r="V601" s="157">
        <f>'Quantitativos (A)'!T601*$D601*$E601</f>
        <v>1946.3999999999999</v>
      </c>
      <c r="W601" s="157">
        <f>'Quantitativos (A)'!U601*$D601*$E601</f>
        <v>1946.3999999999999</v>
      </c>
      <c r="X601" s="157">
        <f>'Quantitativos (A)'!V601*$D601*$E601</f>
        <v>1946.3999999999999</v>
      </c>
      <c r="Y601" s="157">
        <f>'Quantitativos (A)'!W601*$D601*$E601</f>
        <v>1946.3999999999999</v>
      </c>
      <c r="Z601" s="157">
        <f>'Quantitativos (A)'!X601*$D601*$E601</f>
        <v>1946.3999999999999</v>
      </c>
      <c r="AA601" s="157">
        <f>'Quantitativos (A)'!Y601*$D601*$E601</f>
        <v>1946.3999999999999</v>
      </c>
      <c r="AB601" s="157">
        <f>'Quantitativos (A)'!Z601*$D601*$E601</f>
        <v>1946.3999999999999</v>
      </c>
      <c r="AC601" s="157">
        <f>'Quantitativos (A)'!AA601*$D601*$E601</f>
        <v>1946.3999999999999</v>
      </c>
      <c r="AD601" s="157">
        <f>'Quantitativos (A)'!AB601*$D601*$E601</f>
        <v>1946.3999999999999</v>
      </c>
      <c r="AE601" s="157">
        <f>'Quantitativos (A)'!AC601*$D601*$E601</f>
        <v>1946.3999999999999</v>
      </c>
      <c r="AF601" s="157">
        <f>'Quantitativos (A)'!AD601*$D601*$E601</f>
        <v>1946.3999999999999</v>
      </c>
      <c r="AG601" s="157">
        <f>'Quantitativos (A)'!AE601*$D601*$E601</f>
        <v>1946.3999999999999</v>
      </c>
      <c r="AH601" s="157">
        <f>'Quantitativos (A)'!AF601*$D601*$E601</f>
        <v>1946.3999999999999</v>
      </c>
      <c r="AI601" s="158">
        <f>'Quantitativos (A)'!AG601*$D601*$E601</f>
        <v>1946.3999999999999</v>
      </c>
      <c r="AJ601" s="22"/>
    </row>
    <row r="602" spans="1:36" x14ac:dyDescent="0.25">
      <c r="A602" s="21"/>
      <c r="B602" s="141" t="s">
        <v>610</v>
      </c>
      <c r="C602" s="125" t="s">
        <v>319</v>
      </c>
      <c r="D602" s="157">
        <f>'Dados (F)'!$D$383</f>
        <v>4.0599999999999996</v>
      </c>
      <c r="E602" s="125">
        <f>IF('Dados (F)'!$D$35=1,1,'Dados (F)'!$C$39)</f>
        <v>1</v>
      </c>
      <c r="F602" s="157">
        <f>'Quantitativos (A)'!D602*$D602*$E602</f>
        <v>974.39999999999986</v>
      </c>
      <c r="G602" s="157">
        <f>'Quantitativos (A)'!E602*$D602*$E602</f>
        <v>974.39999999999986</v>
      </c>
      <c r="H602" s="157">
        <f>'Quantitativos (A)'!F602*$D602*$E602</f>
        <v>974.39999999999986</v>
      </c>
      <c r="I602" s="157">
        <f>'Quantitativos (A)'!G602*$D602*$E602</f>
        <v>974.39999999999986</v>
      </c>
      <c r="J602" s="157">
        <f>'Quantitativos (A)'!H602*$D602*$E602</f>
        <v>974.39999999999986</v>
      </c>
      <c r="K602" s="157">
        <f>'Quantitativos (A)'!I602*$D602*$E602</f>
        <v>974.39999999999986</v>
      </c>
      <c r="L602" s="157">
        <f>'Quantitativos (A)'!J602*$D602*$E602</f>
        <v>974.39999999999986</v>
      </c>
      <c r="M602" s="157">
        <f>'Quantitativos (A)'!K602*$D602*$E602</f>
        <v>974.39999999999986</v>
      </c>
      <c r="N602" s="157">
        <f>'Quantitativos (A)'!L602*$D602*$E602</f>
        <v>974.39999999999986</v>
      </c>
      <c r="O602" s="157">
        <f>'Quantitativos (A)'!M602*$D602*$E602</f>
        <v>974.39999999999986</v>
      </c>
      <c r="P602" s="157">
        <f>'Quantitativos (A)'!N602*$D602*$E602</f>
        <v>974.39999999999986</v>
      </c>
      <c r="Q602" s="157">
        <f>'Quantitativos (A)'!O602*$D602*$E602</f>
        <v>974.39999999999986</v>
      </c>
      <c r="R602" s="157">
        <f>'Quantitativos (A)'!P602*$D602*$E602</f>
        <v>974.39999999999986</v>
      </c>
      <c r="S602" s="157">
        <f>'Quantitativos (A)'!Q602*$D602*$E602</f>
        <v>974.39999999999986</v>
      </c>
      <c r="T602" s="157">
        <f>'Quantitativos (A)'!R602*$D602*$E602</f>
        <v>974.39999999999986</v>
      </c>
      <c r="U602" s="157">
        <f>'Quantitativos (A)'!S602*$D602*$E602</f>
        <v>974.39999999999986</v>
      </c>
      <c r="V602" s="157">
        <f>'Quantitativos (A)'!T602*$D602*$E602</f>
        <v>974.39999999999986</v>
      </c>
      <c r="W602" s="157">
        <f>'Quantitativos (A)'!U602*$D602*$E602</f>
        <v>974.39999999999986</v>
      </c>
      <c r="X602" s="157">
        <f>'Quantitativos (A)'!V602*$D602*$E602</f>
        <v>974.39999999999986</v>
      </c>
      <c r="Y602" s="157">
        <f>'Quantitativos (A)'!W602*$D602*$E602</f>
        <v>974.39999999999986</v>
      </c>
      <c r="Z602" s="157">
        <f>'Quantitativos (A)'!X602*$D602*$E602</f>
        <v>974.39999999999986</v>
      </c>
      <c r="AA602" s="157">
        <f>'Quantitativos (A)'!Y602*$D602*$E602</f>
        <v>974.39999999999986</v>
      </c>
      <c r="AB602" s="157">
        <f>'Quantitativos (A)'!Z602*$D602*$E602</f>
        <v>974.39999999999986</v>
      </c>
      <c r="AC602" s="157">
        <f>'Quantitativos (A)'!AA602*$D602*$E602</f>
        <v>974.39999999999986</v>
      </c>
      <c r="AD602" s="157">
        <f>'Quantitativos (A)'!AB602*$D602*$E602</f>
        <v>974.39999999999986</v>
      </c>
      <c r="AE602" s="157">
        <f>'Quantitativos (A)'!AC602*$D602*$E602</f>
        <v>974.39999999999986</v>
      </c>
      <c r="AF602" s="157">
        <f>'Quantitativos (A)'!AD602*$D602*$E602</f>
        <v>974.39999999999986</v>
      </c>
      <c r="AG602" s="157">
        <f>'Quantitativos (A)'!AE602*$D602*$E602</f>
        <v>974.39999999999986</v>
      </c>
      <c r="AH602" s="157">
        <f>'Quantitativos (A)'!AF602*$D602*$E602</f>
        <v>974.39999999999986</v>
      </c>
      <c r="AI602" s="158">
        <f>'Quantitativos (A)'!AG602*$D602*$E602</f>
        <v>974.39999999999986</v>
      </c>
      <c r="AJ602" s="22"/>
    </row>
    <row r="603" spans="1:36" x14ac:dyDescent="0.25">
      <c r="A603" s="21"/>
      <c r="B603" s="120" t="s">
        <v>611</v>
      </c>
      <c r="C603" s="121"/>
      <c r="D603" s="155"/>
      <c r="E603" s="156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60"/>
      <c r="AJ603" s="22"/>
    </row>
    <row r="604" spans="1:36" x14ac:dyDescent="0.25">
      <c r="A604" s="21"/>
      <c r="B604" s="141" t="s">
        <v>623</v>
      </c>
      <c r="C604" s="125" t="s">
        <v>60</v>
      </c>
      <c r="D604" s="157">
        <f>'Dados (F)'!$D$384</f>
        <v>25.37</v>
      </c>
      <c r="E604" s="125">
        <f>IF('Dados (F)'!$D$35=1,1,'Dados (F)'!$C$39)</f>
        <v>1</v>
      </c>
      <c r="F604" s="157">
        <f>'Quantitativos (A)'!D604*$D604*$E604</f>
        <v>50.74</v>
      </c>
      <c r="G604" s="157">
        <f>'Quantitativos (A)'!E604*$D604*$E604</f>
        <v>50.74</v>
      </c>
      <c r="H604" s="157">
        <f>'Quantitativos (A)'!F604*$D604*$E604</f>
        <v>50.74</v>
      </c>
      <c r="I604" s="157">
        <f>'Quantitativos (A)'!G604*$D604*$E604</f>
        <v>50.74</v>
      </c>
      <c r="J604" s="157">
        <f>'Quantitativos (A)'!H604*$D604*$E604</f>
        <v>50.74</v>
      </c>
      <c r="K604" s="157">
        <f>'Quantitativos (A)'!I604*$D604*$E604</f>
        <v>50.74</v>
      </c>
      <c r="L604" s="157">
        <f>'Quantitativos (A)'!J604*$D604*$E604</f>
        <v>50.74</v>
      </c>
      <c r="M604" s="157">
        <f>'Quantitativos (A)'!K604*$D604*$E604</f>
        <v>50.74</v>
      </c>
      <c r="N604" s="157">
        <f>'Quantitativos (A)'!L604*$D604*$E604</f>
        <v>50.74</v>
      </c>
      <c r="O604" s="157">
        <f>'Quantitativos (A)'!M604*$D604*$E604</f>
        <v>50.74</v>
      </c>
      <c r="P604" s="157">
        <f>'Quantitativos (A)'!N604*$D604*$E604</f>
        <v>50.74</v>
      </c>
      <c r="Q604" s="157">
        <f>'Quantitativos (A)'!O604*$D604*$E604</f>
        <v>50.74</v>
      </c>
      <c r="R604" s="157">
        <f>'Quantitativos (A)'!P604*$D604*$E604</f>
        <v>50.74</v>
      </c>
      <c r="S604" s="157">
        <f>'Quantitativos (A)'!Q604*$D604*$E604</f>
        <v>50.74</v>
      </c>
      <c r="T604" s="157">
        <f>'Quantitativos (A)'!R604*$D604*$E604</f>
        <v>50.74</v>
      </c>
      <c r="U604" s="157">
        <f>'Quantitativos (A)'!S604*$D604*$E604</f>
        <v>50.74</v>
      </c>
      <c r="V604" s="157">
        <f>'Quantitativos (A)'!T604*$D604*$E604</f>
        <v>50.74</v>
      </c>
      <c r="W604" s="157">
        <f>'Quantitativos (A)'!U604*$D604*$E604</f>
        <v>50.74</v>
      </c>
      <c r="X604" s="157">
        <f>'Quantitativos (A)'!V604*$D604*$E604</f>
        <v>50.74</v>
      </c>
      <c r="Y604" s="157">
        <f>'Quantitativos (A)'!W604*$D604*$E604</f>
        <v>50.74</v>
      </c>
      <c r="Z604" s="157">
        <f>'Quantitativos (A)'!X604*$D604*$E604</f>
        <v>50.74</v>
      </c>
      <c r="AA604" s="157">
        <f>'Quantitativos (A)'!Y604*$D604*$E604</f>
        <v>50.74</v>
      </c>
      <c r="AB604" s="157">
        <f>'Quantitativos (A)'!Z604*$D604*$E604</f>
        <v>50.74</v>
      </c>
      <c r="AC604" s="157">
        <f>'Quantitativos (A)'!AA604*$D604*$E604</f>
        <v>50.74</v>
      </c>
      <c r="AD604" s="157">
        <f>'Quantitativos (A)'!AB604*$D604*$E604</f>
        <v>50.74</v>
      </c>
      <c r="AE604" s="157">
        <f>'Quantitativos (A)'!AC604*$D604*$E604</f>
        <v>50.74</v>
      </c>
      <c r="AF604" s="157">
        <f>'Quantitativos (A)'!AD604*$D604*$E604</f>
        <v>50.74</v>
      </c>
      <c r="AG604" s="157">
        <f>'Quantitativos (A)'!AE604*$D604*$E604</f>
        <v>50.74</v>
      </c>
      <c r="AH604" s="157">
        <f>'Quantitativos (A)'!AF604*$D604*$E604</f>
        <v>50.74</v>
      </c>
      <c r="AI604" s="158">
        <f>'Quantitativos (A)'!AG604*$D604*$E604</f>
        <v>50.74</v>
      </c>
      <c r="AJ604" s="22"/>
    </row>
    <row r="605" spans="1:36" x14ac:dyDescent="0.25">
      <c r="A605" s="21"/>
      <c r="B605" s="141" t="s">
        <v>624</v>
      </c>
      <c r="C605" s="125" t="s">
        <v>60</v>
      </c>
      <c r="D605" s="157">
        <f>'Dados (F)'!$D$385</f>
        <v>25.37</v>
      </c>
      <c r="E605" s="125">
        <f>IF('Dados (F)'!$D$35=1,1,'Dados (F)'!$C$39)</f>
        <v>1</v>
      </c>
      <c r="F605" s="157">
        <f>'Quantitativos (A)'!D605*$D605*$E605</f>
        <v>50.74</v>
      </c>
      <c r="G605" s="157">
        <f>'Quantitativos (A)'!E605*$D605*$E605</f>
        <v>50.74</v>
      </c>
      <c r="H605" s="157">
        <f>'Quantitativos (A)'!F605*$D605*$E605</f>
        <v>50.74</v>
      </c>
      <c r="I605" s="157">
        <f>'Quantitativos (A)'!G605*$D605*$E605</f>
        <v>50.74</v>
      </c>
      <c r="J605" s="157">
        <f>'Quantitativos (A)'!H605*$D605*$E605</f>
        <v>50.74</v>
      </c>
      <c r="K605" s="157">
        <f>'Quantitativos (A)'!I605*$D605*$E605</f>
        <v>50.74</v>
      </c>
      <c r="L605" s="157">
        <f>'Quantitativos (A)'!J605*$D605*$E605</f>
        <v>50.74</v>
      </c>
      <c r="M605" s="157">
        <f>'Quantitativos (A)'!K605*$D605*$E605</f>
        <v>50.74</v>
      </c>
      <c r="N605" s="157">
        <f>'Quantitativos (A)'!L605*$D605*$E605</f>
        <v>50.74</v>
      </c>
      <c r="O605" s="157">
        <f>'Quantitativos (A)'!M605*$D605*$E605</f>
        <v>50.74</v>
      </c>
      <c r="P605" s="157">
        <f>'Quantitativos (A)'!N605*$D605*$E605</f>
        <v>50.74</v>
      </c>
      <c r="Q605" s="157">
        <f>'Quantitativos (A)'!O605*$D605*$E605</f>
        <v>50.74</v>
      </c>
      <c r="R605" s="157">
        <f>'Quantitativos (A)'!P605*$D605*$E605</f>
        <v>50.74</v>
      </c>
      <c r="S605" s="157">
        <f>'Quantitativos (A)'!Q605*$D605*$E605</f>
        <v>50.74</v>
      </c>
      <c r="T605" s="157">
        <f>'Quantitativos (A)'!R605*$D605*$E605</f>
        <v>50.74</v>
      </c>
      <c r="U605" s="157">
        <f>'Quantitativos (A)'!S605*$D605*$E605</f>
        <v>50.74</v>
      </c>
      <c r="V605" s="157">
        <f>'Quantitativos (A)'!T605*$D605*$E605</f>
        <v>50.74</v>
      </c>
      <c r="W605" s="157">
        <f>'Quantitativos (A)'!U605*$D605*$E605</f>
        <v>50.74</v>
      </c>
      <c r="X605" s="157">
        <f>'Quantitativos (A)'!V605*$D605*$E605</f>
        <v>50.74</v>
      </c>
      <c r="Y605" s="157">
        <f>'Quantitativos (A)'!W605*$D605*$E605</f>
        <v>50.74</v>
      </c>
      <c r="Z605" s="157">
        <f>'Quantitativos (A)'!X605*$D605*$E605</f>
        <v>50.74</v>
      </c>
      <c r="AA605" s="157">
        <f>'Quantitativos (A)'!Y605*$D605*$E605</f>
        <v>50.74</v>
      </c>
      <c r="AB605" s="157">
        <f>'Quantitativos (A)'!Z605*$D605*$E605</f>
        <v>50.74</v>
      </c>
      <c r="AC605" s="157">
        <f>'Quantitativos (A)'!AA605*$D605*$E605</f>
        <v>50.74</v>
      </c>
      <c r="AD605" s="157">
        <f>'Quantitativos (A)'!AB605*$D605*$E605</f>
        <v>50.74</v>
      </c>
      <c r="AE605" s="157">
        <f>'Quantitativos (A)'!AC605*$D605*$E605</f>
        <v>50.74</v>
      </c>
      <c r="AF605" s="157">
        <f>'Quantitativos (A)'!AD605*$D605*$E605</f>
        <v>50.74</v>
      </c>
      <c r="AG605" s="157">
        <f>'Quantitativos (A)'!AE605*$D605*$E605</f>
        <v>50.74</v>
      </c>
      <c r="AH605" s="157">
        <f>'Quantitativos (A)'!AF605*$D605*$E605</f>
        <v>50.74</v>
      </c>
      <c r="AI605" s="158">
        <f>'Quantitativos (A)'!AG605*$D605*$E605</f>
        <v>50.74</v>
      </c>
      <c r="AJ605" s="22"/>
    </row>
    <row r="606" spans="1:36" x14ac:dyDescent="0.25">
      <c r="A606" s="21"/>
      <c r="B606" s="141" t="s">
        <v>625</v>
      </c>
      <c r="C606" s="125" t="s">
        <v>60</v>
      </c>
      <c r="D606" s="157">
        <f>'Dados (F)'!$D$386</f>
        <v>7.71</v>
      </c>
      <c r="E606" s="125">
        <f>IF('Dados (F)'!$D$35=1,1,'Dados (F)'!$C$39)</f>
        <v>1</v>
      </c>
      <c r="F606" s="157">
        <f>'Quantitativos (A)'!D606*$D606*$E606</f>
        <v>15.42</v>
      </c>
      <c r="G606" s="157">
        <f>'Quantitativos (A)'!E606*$D606*$E606</f>
        <v>15.42</v>
      </c>
      <c r="H606" s="157">
        <f>'Quantitativos (A)'!F606*$D606*$E606</f>
        <v>15.42</v>
      </c>
      <c r="I606" s="157">
        <f>'Quantitativos (A)'!G606*$D606*$E606</f>
        <v>15.42</v>
      </c>
      <c r="J606" s="157">
        <f>'Quantitativos (A)'!H606*$D606*$E606</f>
        <v>15.42</v>
      </c>
      <c r="K606" s="157">
        <f>'Quantitativos (A)'!I606*$D606*$E606</f>
        <v>15.42</v>
      </c>
      <c r="L606" s="157">
        <f>'Quantitativos (A)'!J606*$D606*$E606</f>
        <v>15.42</v>
      </c>
      <c r="M606" s="157">
        <f>'Quantitativos (A)'!K606*$D606*$E606</f>
        <v>15.42</v>
      </c>
      <c r="N606" s="157">
        <f>'Quantitativos (A)'!L606*$D606*$E606</f>
        <v>15.42</v>
      </c>
      <c r="O606" s="157">
        <f>'Quantitativos (A)'!M606*$D606*$E606</f>
        <v>15.42</v>
      </c>
      <c r="P606" s="157">
        <f>'Quantitativos (A)'!N606*$D606*$E606</f>
        <v>15.42</v>
      </c>
      <c r="Q606" s="157">
        <f>'Quantitativos (A)'!O606*$D606*$E606</f>
        <v>15.42</v>
      </c>
      <c r="R606" s="157">
        <f>'Quantitativos (A)'!P606*$D606*$E606</f>
        <v>15.42</v>
      </c>
      <c r="S606" s="157">
        <f>'Quantitativos (A)'!Q606*$D606*$E606</f>
        <v>15.42</v>
      </c>
      <c r="T606" s="157">
        <f>'Quantitativos (A)'!R606*$D606*$E606</f>
        <v>15.42</v>
      </c>
      <c r="U606" s="157">
        <f>'Quantitativos (A)'!S606*$D606*$E606</f>
        <v>15.42</v>
      </c>
      <c r="V606" s="157">
        <f>'Quantitativos (A)'!T606*$D606*$E606</f>
        <v>15.42</v>
      </c>
      <c r="W606" s="157">
        <f>'Quantitativos (A)'!U606*$D606*$E606</f>
        <v>15.42</v>
      </c>
      <c r="X606" s="157">
        <f>'Quantitativos (A)'!V606*$D606*$E606</f>
        <v>15.42</v>
      </c>
      <c r="Y606" s="157">
        <f>'Quantitativos (A)'!W606*$D606*$E606</f>
        <v>15.42</v>
      </c>
      <c r="Z606" s="157">
        <f>'Quantitativos (A)'!X606*$D606*$E606</f>
        <v>15.42</v>
      </c>
      <c r="AA606" s="157">
        <f>'Quantitativos (A)'!Y606*$D606*$E606</f>
        <v>15.42</v>
      </c>
      <c r="AB606" s="157">
        <f>'Quantitativos (A)'!Z606*$D606*$E606</f>
        <v>15.42</v>
      </c>
      <c r="AC606" s="157">
        <f>'Quantitativos (A)'!AA606*$D606*$E606</f>
        <v>15.42</v>
      </c>
      <c r="AD606" s="157">
        <f>'Quantitativos (A)'!AB606*$D606*$E606</f>
        <v>15.42</v>
      </c>
      <c r="AE606" s="157">
        <f>'Quantitativos (A)'!AC606*$D606*$E606</f>
        <v>15.42</v>
      </c>
      <c r="AF606" s="157">
        <f>'Quantitativos (A)'!AD606*$D606*$E606</f>
        <v>15.42</v>
      </c>
      <c r="AG606" s="157">
        <f>'Quantitativos (A)'!AE606*$D606*$E606</f>
        <v>15.42</v>
      </c>
      <c r="AH606" s="157">
        <f>'Quantitativos (A)'!AF606*$D606*$E606</f>
        <v>15.42</v>
      </c>
      <c r="AI606" s="158">
        <f>'Quantitativos (A)'!AG606*$D606*$E606</f>
        <v>15.42</v>
      </c>
      <c r="AJ606" s="22"/>
    </row>
    <row r="607" spans="1:36" x14ac:dyDescent="0.25">
      <c r="A607" s="21"/>
      <c r="B607" s="141" t="s">
        <v>626</v>
      </c>
      <c r="C607" s="125" t="s">
        <v>60</v>
      </c>
      <c r="D607" s="157">
        <f>'Dados (F)'!$D$387</f>
        <v>55.8</v>
      </c>
      <c r="E607" s="125">
        <f>IF('Dados (F)'!$D$35=1,1,'Dados (F)'!$C$39)</f>
        <v>1</v>
      </c>
      <c r="F607" s="157">
        <f>'Quantitativos (A)'!D607*$D607*$E607</f>
        <v>111.6</v>
      </c>
      <c r="G607" s="157">
        <f>'Quantitativos (A)'!E607*$D607*$E607</f>
        <v>111.6</v>
      </c>
      <c r="H607" s="157">
        <f>'Quantitativos (A)'!F607*$D607*$E607</f>
        <v>111.6</v>
      </c>
      <c r="I607" s="157">
        <f>'Quantitativos (A)'!G607*$D607*$E607</f>
        <v>111.6</v>
      </c>
      <c r="J607" s="157">
        <f>'Quantitativos (A)'!H607*$D607*$E607</f>
        <v>111.6</v>
      </c>
      <c r="K607" s="157">
        <f>'Quantitativos (A)'!I607*$D607*$E607</f>
        <v>111.6</v>
      </c>
      <c r="L607" s="157">
        <f>'Quantitativos (A)'!J607*$D607*$E607</f>
        <v>111.6</v>
      </c>
      <c r="M607" s="157">
        <f>'Quantitativos (A)'!K607*$D607*$E607</f>
        <v>111.6</v>
      </c>
      <c r="N607" s="157">
        <f>'Quantitativos (A)'!L607*$D607*$E607</f>
        <v>111.6</v>
      </c>
      <c r="O607" s="157">
        <f>'Quantitativos (A)'!M607*$D607*$E607</f>
        <v>111.6</v>
      </c>
      <c r="P607" s="157">
        <f>'Quantitativos (A)'!N607*$D607*$E607</f>
        <v>111.6</v>
      </c>
      <c r="Q607" s="157">
        <f>'Quantitativos (A)'!O607*$D607*$E607</f>
        <v>111.6</v>
      </c>
      <c r="R607" s="157">
        <f>'Quantitativos (A)'!P607*$D607*$E607</f>
        <v>111.6</v>
      </c>
      <c r="S607" s="157">
        <f>'Quantitativos (A)'!Q607*$D607*$E607</f>
        <v>111.6</v>
      </c>
      <c r="T607" s="157">
        <f>'Quantitativos (A)'!R607*$D607*$E607</f>
        <v>111.6</v>
      </c>
      <c r="U607" s="157">
        <f>'Quantitativos (A)'!S607*$D607*$E607</f>
        <v>111.6</v>
      </c>
      <c r="V607" s="157">
        <f>'Quantitativos (A)'!T607*$D607*$E607</f>
        <v>111.6</v>
      </c>
      <c r="W607" s="157">
        <f>'Quantitativos (A)'!U607*$D607*$E607</f>
        <v>111.6</v>
      </c>
      <c r="X607" s="157">
        <f>'Quantitativos (A)'!V607*$D607*$E607</f>
        <v>111.6</v>
      </c>
      <c r="Y607" s="157">
        <f>'Quantitativos (A)'!W607*$D607*$E607</f>
        <v>111.6</v>
      </c>
      <c r="Z607" s="157">
        <f>'Quantitativos (A)'!X607*$D607*$E607</f>
        <v>111.6</v>
      </c>
      <c r="AA607" s="157">
        <f>'Quantitativos (A)'!Y607*$D607*$E607</f>
        <v>111.6</v>
      </c>
      <c r="AB607" s="157">
        <f>'Quantitativos (A)'!Z607*$D607*$E607</f>
        <v>111.6</v>
      </c>
      <c r="AC607" s="157">
        <f>'Quantitativos (A)'!AA607*$D607*$E607</f>
        <v>111.6</v>
      </c>
      <c r="AD607" s="157">
        <f>'Quantitativos (A)'!AB607*$D607*$E607</f>
        <v>111.6</v>
      </c>
      <c r="AE607" s="157">
        <f>'Quantitativos (A)'!AC607*$D607*$E607</f>
        <v>111.6</v>
      </c>
      <c r="AF607" s="157">
        <f>'Quantitativos (A)'!AD607*$D607*$E607</f>
        <v>111.6</v>
      </c>
      <c r="AG607" s="157">
        <f>'Quantitativos (A)'!AE607*$D607*$E607</f>
        <v>111.6</v>
      </c>
      <c r="AH607" s="157">
        <f>'Quantitativos (A)'!AF607*$D607*$E607</f>
        <v>111.6</v>
      </c>
      <c r="AI607" s="158">
        <f>'Quantitativos (A)'!AG607*$D607*$E607</f>
        <v>111.6</v>
      </c>
      <c r="AJ607" s="22"/>
    </row>
    <row r="608" spans="1:36" x14ac:dyDescent="0.25">
      <c r="A608" s="21"/>
      <c r="B608" s="141" t="s">
        <v>627</v>
      </c>
      <c r="C608" s="125" t="s">
        <v>60</v>
      </c>
      <c r="D608" s="157">
        <f>'Dados (F)'!$D$388</f>
        <v>121.75</v>
      </c>
      <c r="E608" s="125">
        <f>IF('Dados (F)'!$D$35=1,1,'Dados (F)'!$C$39)</f>
        <v>1</v>
      </c>
      <c r="F608" s="157">
        <f>'Quantitativos (A)'!D608*$D608*$E608</f>
        <v>243.5</v>
      </c>
      <c r="G608" s="157">
        <f>'Quantitativos (A)'!E608*$D608*$E608</f>
        <v>243.5</v>
      </c>
      <c r="H608" s="157">
        <f>'Quantitativos (A)'!F608*$D608*$E608</f>
        <v>243.5</v>
      </c>
      <c r="I608" s="157">
        <f>'Quantitativos (A)'!G608*$D608*$E608</f>
        <v>243.5</v>
      </c>
      <c r="J608" s="157">
        <f>'Quantitativos (A)'!H608*$D608*$E608</f>
        <v>243.5</v>
      </c>
      <c r="K608" s="157">
        <f>'Quantitativos (A)'!I608*$D608*$E608</f>
        <v>243.5</v>
      </c>
      <c r="L608" s="157">
        <f>'Quantitativos (A)'!J608*$D608*$E608</f>
        <v>243.5</v>
      </c>
      <c r="M608" s="157">
        <f>'Quantitativos (A)'!K608*$D608*$E608</f>
        <v>243.5</v>
      </c>
      <c r="N608" s="157">
        <f>'Quantitativos (A)'!L608*$D608*$E608</f>
        <v>243.5</v>
      </c>
      <c r="O608" s="157">
        <f>'Quantitativos (A)'!M608*$D608*$E608</f>
        <v>243.5</v>
      </c>
      <c r="P608" s="157">
        <f>'Quantitativos (A)'!N608*$D608*$E608</f>
        <v>243.5</v>
      </c>
      <c r="Q608" s="157">
        <f>'Quantitativos (A)'!O608*$D608*$E608</f>
        <v>243.5</v>
      </c>
      <c r="R608" s="157">
        <f>'Quantitativos (A)'!P608*$D608*$E608</f>
        <v>243.5</v>
      </c>
      <c r="S608" s="157">
        <f>'Quantitativos (A)'!Q608*$D608*$E608</f>
        <v>243.5</v>
      </c>
      <c r="T608" s="157">
        <f>'Quantitativos (A)'!R608*$D608*$E608</f>
        <v>243.5</v>
      </c>
      <c r="U608" s="157">
        <f>'Quantitativos (A)'!S608*$D608*$E608</f>
        <v>243.5</v>
      </c>
      <c r="V608" s="157">
        <f>'Quantitativos (A)'!T608*$D608*$E608</f>
        <v>243.5</v>
      </c>
      <c r="W608" s="157">
        <f>'Quantitativos (A)'!U608*$D608*$E608</f>
        <v>243.5</v>
      </c>
      <c r="X608" s="157">
        <f>'Quantitativos (A)'!V608*$D608*$E608</f>
        <v>243.5</v>
      </c>
      <c r="Y608" s="157">
        <f>'Quantitativos (A)'!W608*$D608*$E608</f>
        <v>243.5</v>
      </c>
      <c r="Z608" s="157">
        <f>'Quantitativos (A)'!X608*$D608*$E608</f>
        <v>243.5</v>
      </c>
      <c r="AA608" s="157">
        <f>'Quantitativos (A)'!Y608*$D608*$E608</f>
        <v>243.5</v>
      </c>
      <c r="AB608" s="157">
        <f>'Quantitativos (A)'!Z608*$D608*$E608</f>
        <v>243.5</v>
      </c>
      <c r="AC608" s="157">
        <f>'Quantitativos (A)'!AA608*$D608*$E608</f>
        <v>243.5</v>
      </c>
      <c r="AD608" s="157">
        <f>'Quantitativos (A)'!AB608*$D608*$E608</f>
        <v>243.5</v>
      </c>
      <c r="AE608" s="157">
        <f>'Quantitativos (A)'!AC608*$D608*$E608</f>
        <v>243.5</v>
      </c>
      <c r="AF608" s="157">
        <f>'Quantitativos (A)'!AD608*$D608*$E608</f>
        <v>243.5</v>
      </c>
      <c r="AG608" s="157">
        <f>'Quantitativos (A)'!AE608*$D608*$E608</f>
        <v>243.5</v>
      </c>
      <c r="AH608" s="157">
        <f>'Quantitativos (A)'!AF608*$D608*$E608</f>
        <v>243.5</v>
      </c>
      <c r="AI608" s="158">
        <f>'Quantitativos (A)'!AG608*$D608*$E608</f>
        <v>243.5</v>
      </c>
      <c r="AJ608" s="22"/>
    </row>
    <row r="609" spans="1:36" x14ac:dyDescent="0.25">
      <c r="A609" s="21"/>
      <c r="B609" s="141" t="s">
        <v>628</v>
      </c>
      <c r="C609" s="125" t="s">
        <v>60</v>
      </c>
      <c r="D609" s="157">
        <f>'Dados (F)'!$D$389</f>
        <v>50.72</v>
      </c>
      <c r="E609" s="125">
        <f>IF('Dados (F)'!$D$35=1,1,'Dados (F)'!$C$39)</f>
        <v>1</v>
      </c>
      <c r="F609" s="157">
        <f>'Quantitativos (A)'!D609*$D609*$E609</f>
        <v>101.44</v>
      </c>
      <c r="G609" s="157">
        <f>'Quantitativos (A)'!E609*$D609*$E609</f>
        <v>101.44</v>
      </c>
      <c r="H609" s="157">
        <f>'Quantitativos (A)'!F609*$D609*$E609</f>
        <v>101.44</v>
      </c>
      <c r="I609" s="157">
        <f>'Quantitativos (A)'!G609*$D609*$E609</f>
        <v>101.44</v>
      </c>
      <c r="J609" s="157">
        <f>'Quantitativos (A)'!H609*$D609*$E609</f>
        <v>101.44</v>
      </c>
      <c r="K609" s="157">
        <f>'Quantitativos (A)'!I609*$D609*$E609</f>
        <v>101.44</v>
      </c>
      <c r="L609" s="157">
        <f>'Quantitativos (A)'!J609*$D609*$E609</f>
        <v>101.44</v>
      </c>
      <c r="M609" s="157">
        <f>'Quantitativos (A)'!K609*$D609*$E609</f>
        <v>101.44</v>
      </c>
      <c r="N609" s="157">
        <f>'Quantitativos (A)'!L609*$D609*$E609</f>
        <v>101.44</v>
      </c>
      <c r="O609" s="157">
        <f>'Quantitativos (A)'!M609*$D609*$E609</f>
        <v>101.44</v>
      </c>
      <c r="P609" s="157">
        <f>'Quantitativos (A)'!N609*$D609*$E609</f>
        <v>101.44</v>
      </c>
      <c r="Q609" s="157">
        <f>'Quantitativos (A)'!O609*$D609*$E609</f>
        <v>101.44</v>
      </c>
      <c r="R609" s="157">
        <f>'Quantitativos (A)'!P609*$D609*$E609</f>
        <v>101.44</v>
      </c>
      <c r="S609" s="157">
        <f>'Quantitativos (A)'!Q609*$D609*$E609</f>
        <v>101.44</v>
      </c>
      <c r="T609" s="157">
        <f>'Quantitativos (A)'!R609*$D609*$E609</f>
        <v>101.44</v>
      </c>
      <c r="U609" s="157">
        <f>'Quantitativos (A)'!S609*$D609*$E609</f>
        <v>101.44</v>
      </c>
      <c r="V609" s="157">
        <f>'Quantitativos (A)'!T609*$D609*$E609</f>
        <v>101.44</v>
      </c>
      <c r="W609" s="157">
        <f>'Quantitativos (A)'!U609*$D609*$E609</f>
        <v>101.44</v>
      </c>
      <c r="X609" s="157">
        <f>'Quantitativos (A)'!V609*$D609*$E609</f>
        <v>101.44</v>
      </c>
      <c r="Y609" s="157">
        <f>'Quantitativos (A)'!W609*$D609*$E609</f>
        <v>101.44</v>
      </c>
      <c r="Z609" s="157">
        <f>'Quantitativos (A)'!X609*$D609*$E609</f>
        <v>101.44</v>
      </c>
      <c r="AA609" s="157">
        <f>'Quantitativos (A)'!Y609*$D609*$E609</f>
        <v>101.44</v>
      </c>
      <c r="AB609" s="157">
        <f>'Quantitativos (A)'!Z609*$D609*$E609</f>
        <v>101.44</v>
      </c>
      <c r="AC609" s="157">
        <f>'Quantitativos (A)'!AA609*$D609*$E609</f>
        <v>101.44</v>
      </c>
      <c r="AD609" s="157">
        <f>'Quantitativos (A)'!AB609*$D609*$E609</f>
        <v>101.44</v>
      </c>
      <c r="AE609" s="157">
        <f>'Quantitativos (A)'!AC609*$D609*$E609</f>
        <v>101.44</v>
      </c>
      <c r="AF609" s="157">
        <f>'Quantitativos (A)'!AD609*$D609*$E609</f>
        <v>101.44</v>
      </c>
      <c r="AG609" s="157">
        <f>'Quantitativos (A)'!AE609*$D609*$E609</f>
        <v>101.44</v>
      </c>
      <c r="AH609" s="157">
        <f>'Quantitativos (A)'!AF609*$D609*$E609</f>
        <v>101.44</v>
      </c>
      <c r="AI609" s="158">
        <f>'Quantitativos (A)'!AG609*$D609*$E609</f>
        <v>101.44</v>
      </c>
      <c r="AJ609" s="22"/>
    </row>
    <row r="610" spans="1:36" x14ac:dyDescent="0.25">
      <c r="A610" s="21"/>
      <c r="B610" s="141" t="s">
        <v>629</v>
      </c>
      <c r="C610" s="125" t="s">
        <v>60</v>
      </c>
      <c r="D610" s="157">
        <f>'Dados (F)'!$D$390</f>
        <v>78.12</v>
      </c>
      <c r="E610" s="125">
        <f>IF('Dados (F)'!$D$35=1,1,'Dados (F)'!$C$39)</f>
        <v>1</v>
      </c>
      <c r="F610" s="157">
        <f>'Quantitativos (A)'!D610*$D610*$E610</f>
        <v>156.24</v>
      </c>
      <c r="G610" s="157">
        <f>'Quantitativos (A)'!E610*$D610*$E610</f>
        <v>156.24</v>
      </c>
      <c r="H610" s="157">
        <f>'Quantitativos (A)'!F610*$D610*$E610</f>
        <v>156.24</v>
      </c>
      <c r="I610" s="157">
        <f>'Quantitativos (A)'!G610*$D610*$E610</f>
        <v>156.24</v>
      </c>
      <c r="J610" s="157">
        <f>'Quantitativos (A)'!H610*$D610*$E610</f>
        <v>156.24</v>
      </c>
      <c r="K610" s="157">
        <f>'Quantitativos (A)'!I610*$D610*$E610</f>
        <v>156.24</v>
      </c>
      <c r="L610" s="157">
        <f>'Quantitativos (A)'!J610*$D610*$E610</f>
        <v>156.24</v>
      </c>
      <c r="M610" s="157">
        <f>'Quantitativos (A)'!K610*$D610*$E610</f>
        <v>156.24</v>
      </c>
      <c r="N610" s="157">
        <f>'Quantitativos (A)'!L610*$D610*$E610</f>
        <v>156.24</v>
      </c>
      <c r="O610" s="157">
        <f>'Quantitativos (A)'!M610*$D610*$E610</f>
        <v>156.24</v>
      </c>
      <c r="P610" s="157">
        <f>'Quantitativos (A)'!N610*$D610*$E610</f>
        <v>156.24</v>
      </c>
      <c r="Q610" s="157">
        <f>'Quantitativos (A)'!O610*$D610*$E610</f>
        <v>156.24</v>
      </c>
      <c r="R610" s="157">
        <f>'Quantitativos (A)'!P610*$D610*$E610</f>
        <v>156.24</v>
      </c>
      <c r="S610" s="157">
        <f>'Quantitativos (A)'!Q610*$D610*$E610</f>
        <v>156.24</v>
      </c>
      <c r="T610" s="157">
        <f>'Quantitativos (A)'!R610*$D610*$E610</f>
        <v>156.24</v>
      </c>
      <c r="U610" s="157">
        <f>'Quantitativos (A)'!S610*$D610*$E610</f>
        <v>156.24</v>
      </c>
      <c r="V610" s="157">
        <f>'Quantitativos (A)'!T610*$D610*$E610</f>
        <v>156.24</v>
      </c>
      <c r="W610" s="157">
        <f>'Quantitativos (A)'!U610*$D610*$E610</f>
        <v>156.24</v>
      </c>
      <c r="X610" s="157">
        <f>'Quantitativos (A)'!V610*$D610*$E610</f>
        <v>156.24</v>
      </c>
      <c r="Y610" s="157">
        <f>'Quantitativos (A)'!W610*$D610*$E610</f>
        <v>156.24</v>
      </c>
      <c r="Z610" s="157">
        <f>'Quantitativos (A)'!X610*$D610*$E610</f>
        <v>156.24</v>
      </c>
      <c r="AA610" s="157">
        <f>'Quantitativos (A)'!Y610*$D610*$E610</f>
        <v>156.24</v>
      </c>
      <c r="AB610" s="157">
        <f>'Quantitativos (A)'!Z610*$D610*$E610</f>
        <v>156.24</v>
      </c>
      <c r="AC610" s="157">
        <f>'Quantitativos (A)'!AA610*$D610*$E610</f>
        <v>156.24</v>
      </c>
      <c r="AD610" s="157">
        <f>'Quantitativos (A)'!AB610*$D610*$E610</f>
        <v>156.24</v>
      </c>
      <c r="AE610" s="157">
        <f>'Quantitativos (A)'!AC610*$D610*$E610</f>
        <v>156.24</v>
      </c>
      <c r="AF610" s="157">
        <f>'Quantitativos (A)'!AD610*$D610*$E610</f>
        <v>156.24</v>
      </c>
      <c r="AG610" s="157">
        <f>'Quantitativos (A)'!AE610*$D610*$E610</f>
        <v>156.24</v>
      </c>
      <c r="AH610" s="157">
        <f>'Quantitativos (A)'!AF610*$D610*$E610</f>
        <v>156.24</v>
      </c>
      <c r="AI610" s="158">
        <f>'Quantitativos (A)'!AG610*$D610*$E610</f>
        <v>156.24</v>
      </c>
      <c r="AJ610" s="22"/>
    </row>
    <row r="611" spans="1:36" x14ac:dyDescent="0.25">
      <c r="A611" s="21"/>
      <c r="B611" s="141" t="s">
        <v>630</v>
      </c>
      <c r="C611" s="125" t="s">
        <v>60</v>
      </c>
      <c r="D611" s="157">
        <f>'Dados (F)'!$D$391</f>
        <v>55.8</v>
      </c>
      <c r="E611" s="125">
        <f>IF('Dados (F)'!$D$35=1,1,'Dados (F)'!$C$39)</f>
        <v>1</v>
      </c>
      <c r="F611" s="157">
        <f>'Quantitativos (A)'!D611*$D611*$E611</f>
        <v>111.6</v>
      </c>
      <c r="G611" s="157">
        <f>'Quantitativos (A)'!E611*$D611*$E611</f>
        <v>111.6</v>
      </c>
      <c r="H611" s="157">
        <f>'Quantitativos (A)'!F611*$D611*$E611</f>
        <v>111.6</v>
      </c>
      <c r="I611" s="157">
        <f>'Quantitativos (A)'!G611*$D611*$E611</f>
        <v>111.6</v>
      </c>
      <c r="J611" s="157">
        <f>'Quantitativos (A)'!H611*$D611*$E611</f>
        <v>111.6</v>
      </c>
      <c r="K611" s="157">
        <f>'Quantitativos (A)'!I611*$D611*$E611</f>
        <v>111.6</v>
      </c>
      <c r="L611" s="157">
        <f>'Quantitativos (A)'!J611*$D611*$E611</f>
        <v>111.6</v>
      </c>
      <c r="M611" s="157">
        <f>'Quantitativos (A)'!K611*$D611*$E611</f>
        <v>111.6</v>
      </c>
      <c r="N611" s="157">
        <f>'Quantitativos (A)'!L611*$D611*$E611</f>
        <v>111.6</v>
      </c>
      <c r="O611" s="157">
        <f>'Quantitativos (A)'!M611*$D611*$E611</f>
        <v>111.6</v>
      </c>
      <c r="P611" s="157">
        <f>'Quantitativos (A)'!N611*$D611*$E611</f>
        <v>111.6</v>
      </c>
      <c r="Q611" s="157">
        <f>'Quantitativos (A)'!O611*$D611*$E611</f>
        <v>111.6</v>
      </c>
      <c r="R611" s="157">
        <f>'Quantitativos (A)'!P611*$D611*$E611</f>
        <v>111.6</v>
      </c>
      <c r="S611" s="157">
        <f>'Quantitativos (A)'!Q611*$D611*$E611</f>
        <v>111.6</v>
      </c>
      <c r="T611" s="157">
        <f>'Quantitativos (A)'!R611*$D611*$E611</f>
        <v>111.6</v>
      </c>
      <c r="U611" s="157">
        <f>'Quantitativos (A)'!S611*$D611*$E611</f>
        <v>111.6</v>
      </c>
      <c r="V611" s="157">
        <f>'Quantitativos (A)'!T611*$D611*$E611</f>
        <v>111.6</v>
      </c>
      <c r="W611" s="157">
        <f>'Quantitativos (A)'!U611*$D611*$E611</f>
        <v>111.6</v>
      </c>
      <c r="X611" s="157">
        <f>'Quantitativos (A)'!V611*$D611*$E611</f>
        <v>111.6</v>
      </c>
      <c r="Y611" s="157">
        <f>'Quantitativos (A)'!W611*$D611*$E611</f>
        <v>111.6</v>
      </c>
      <c r="Z611" s="157">
        <f>'Quantitativos (A)'!X611*$D611*$E611</f>
        <v>111.6</v>
      </c>
      <c r="AA611" s="157">
        <f>'Quantitativos (A)'!Y611*$D611*$E611</f>
        <v>111.6</v>
      </c>
      <c r="AB611" s="157">
        <f>'Quantitativos (A)'!Z611*$D611*$E611</f>
        <v>111.6</v>
      </c>
      <c r="AC611" s="157">
        <f>'Quantitativos (A)'!AA611*$D611*$E611</f>
        <v>111.6</v>
      </c>
      <c r="AD611" s="157">
        <f>'Quantitativos (A)'!AB611*$D611*$E611</f>
        <v>111.6</v>
      </c>
      <c r="AE611" s="157">
        <f>'Quantitativos (A)'!AC611*$D611*$E611</f>
        <v>111.6</v>
      </c>
      <c r="AF611" s="157">
        <f>'Quantitativos (A)'!AD611*$D611*$E611</f>
        <v>111.6</v>
      </c>
      <c r="AG611" s="157">
        <f>'Quantitativos (A)'!AE611*$D611*$E611</f>
        <v>111.6</v>
      </c>
      <c r="AH611" s="157">
        <f>'Quantitativos (A)'!AF611*$D611*$E611</f>
        <v>111.6</v>
      </c>
      <c r="AI611" s="158">
        <f>'Quantitativos (A)'!AG611*$D611*$E611</f>
        <v>111.6</v>
      </c>
      <c r="AJ611" s="22"/>
    </row>
    <row r="612" spans="1:36" x14ac:dyDescent="0.25">
      <c r="A612" s="21"/>
      <c r="B612" s="141" t="s">
        <v>631</v>
      </c>
      <c r="C612" s="125" t="s">
        <v>60</v>
      </c>
      <c r="D612" s="157">
        <f>'Dados (F)'!$D$392</f>
        <v>55.8</v>
      </c>
      <c r="E612" s="125">
        <f>IF('Dados (F)'!$D$35=1,1,'Dados (F)'!$C$39)</f>
        <v>1</v>
      </c>
      <c r="F612" s="157">
        <f>'Quantitativos (A)'!D612*$D612*$E612</f>
        <v>111.6</v>
      </c>
      <c r="G612" s="157">
        <f>'Quantitativos (A)'!E612*$D612*$E612</f>
        <v>111.6</v>
      </c>
      <c r="H612" s="157">
        <f>'Quantitativos (A)'!F612*$D612*$E612</f>
        <v>111.6</v>
      </c>
      <c r="I612" s="157">
        <f>'Quantitativos (A)'!G612*$D612*$E612</f>
        <v>111.6</v>
      </c>
      <c r="J612" s="157">
        <f>'Quantitativos (A)'!H612*$D612*$E612</f>
        <v>111.6</v>
      </c>
      <c r="K612" s="157">
        <f>'Quantitativos (A)'!I612*$D612*$E612</f>
        <v>111.6</v>
      </c>
      <c r="L612" s="157">
        <f>'Quantitativos (A)'!J612*$D612*$E612</f>
        <v>111.6</v>
      </c>
      <c r="M612" s="157">
        <f>'Quantitativos (A)'!K612*$D612*$E612</f>
        <v>111.6</v>
      </c>
      <c r="N612" s="157">
        <f>'Quantitativos (A)'!L612*$D612*$E612</f>
        <v>111.6</v>
      </c>
      <c r="O612" s="157">
        <f>'Quantitativos (A)'!M612*$D612*$E612</f>
        <v>111.6</v>
      </c>
      <c r="P612" s="157">
        <f>'Quantitativos (A)'!N612*$D612*$E612</f>
        <v>111.6</v>
      </c>
      <c r="Q612" s="157">
        <f>'Quantitativos (A)'!O612*$D612*$E612</f>
        <v>111.6</v>
      </c>
      <c r="R612" s="157">
        <f>'Quantitativos (A)'!P612*$D612*$E612</f>
        <v>111.6</v>
      </c>
      <c r="S612" s="157">
        <f>'Quantitativos (A)'!Q612*$D612*$E612</f>
        <v>111.6</v>
      </c>
      <c r="T612" s="157">
        <f>'Quantitativos (A)'!R612*$D612*$E612</f>
        <v>111.6</v>
      </c>
      <c r="U612" s="157">
        <f>'Quantitativos (A)'!S612*$D612*$E612</f>
        <v>111.6</v>
      </c>
      <c r="V612" s="157">
        <f>'Quantitativos (A)'!T612*$D612*$E612</f>
        <v>111.6</v>
      </c>
      <c r="W612" s="157">
        <f>'Quantitativos (A)'!U612*$D612*$E612</f>
        <v>111.6</v>
      </c>
      <c r="X612" s="157">
        <f>'Quantitativos (A)'!V612*$D612*$E612</f>
        <v>111.6</v>
      </c>
      <c r="Y612" s="157">
        <f>'Quantitativos (A)'!W612*$D612*$E612</f>
        <v>111.6</v>
      </c>
      <c r="Z612" s="157">
        <f>'Quantitativos (A)'!X612*$D612*$E612</f>
        <v>111.6</v>
      </c>
      <c r="AA612" s="157">
        <f>'Quantitativos (A)'!Y612*$D612*$E612</f>
        <v>111.6</v>
      </c>
      <c r="AB612" s="157">
        <f>'Quantitativos (A)'!Z612*$D612*$E612</f>
        <v>111.6</v>
      </c>
      <c r="AC612" s="157">
        <f>'Quantitativos (A)'!AA612*$D612*$E612</f>
        <v>111.6</v>
      </c>
      <c r="AD612" s="157">
        <f>'Quantitativos (A)'!AB612*$D612*$E612</f>
        <v>111.6</v>
      </c>
      <c r="AE612" s="157">
        <f>'Quantitativos (A)'!AC612*$D612*$E612</f>
        <v>111.6</v>
      </c>
      <c r="AF612" s="157">
        <f>'Quantitativos (A)'!AD612*$D612*$E612</f>
        <v>111.6</v>
      </c>
      <c r="AG612" s="157">
        <f>'Quantitativos (A)'!AE612*$D612*$E612</f>
        <v>111.6</v>
      </c>
      <c r="AH612" s="157">
        <f>'Quantitativos (A)'!AF612*$D612*$E612</f>
        <v>111.6</v>
      </c>
      <c r="AI612" s="158">
        <f>'Quantitativos (A)'!AG612*$D612*$E612</f>
        <v>111.6</v>
      </c>
      <c r="AJ612" s="22"/>
    </row>
    <row r="613" spans="1:36" x14ac:dyDescent="0.25">
      <c r="A613" s="21"/>
      <c r="B613" s="141" t="s">
        <v>632</v>
      </c>
      <c r="C613" s="125" t="s">
        <v>60</v>
      </c>
      <c r="D613" s="157">
        <f>'Dados (F)'!$D$393</f>
        <v>55.8</v>
      </c>
      <c r="E613" s="125">
        <f>IF('Dados (F)'!$D$35=1,1,'Dados (F)'!$C$39)</f>
        <v>1</v>
      </c>
      <c r="F613" s="157">
        <f>'Quantitativos (A)'!D613*$D613*$E613</f>
        <v>111.6</v>
      </c>
      <c r="G613" s="157">
        <f>'Quantitativos (A)'!E613*$D613*$E613</f>
        <v>111.6</v>
      </c>
      <c r="H613" s="157">
        <f>'Quantitativos (A)'!F613*$D613*$E613</f>
        <v>111.6</v>
      </c>
      <c r="I613" s="157">
        <f>'Quantitativos (A)'!G613*$D613*$E613</f>
        <v>111.6</v>
      </c>
      <c r="J613" s="157">
        <f>'Quantitativos (A)'!H613*$D613*$E613</f>
        <v>111.6</v>
      </c>
      <c r="K613" s="157">
        <f>'Quantitativos (A)'!I613*$D613*$E613</f>
        <v>111.6</v>
      </c>
      <c r="L613" s="157">
        <f>'Quantitativos (A)'!J613*$D613*$E613</f>
        <v>111.6</v>
      </c>
      <c r="M613" s="157">
        <f>'Quantitativos (A)'!K613*$D613*$E613</f>
        <v>111.6</v>
      </c>
      <c r="N613" s="157">
        <f>'Quantitativos (A)'!L613*$D613*$E613</f>
        <v>111.6</v>
      </c>
      <c r="O613" s="157">
        <f>'Quantitativos (A)'!M613*$D613*$E613</f>
        <v>111.6</v>
      </c>
      <c r="P613" s="157">
        <f>'Quantitativos (A)'!N613*$D613*$E613</f>
        <v>111.6</v>
      </c>
      <c r="Q613" s="157">
        <f>'Quantitativos (A)'!O613*$D613*$E613</f>
        <v>111.6</v>
      </c>
      <c r="R613" s="157">
        <f>'Quantitativos (A)'!P613*$D613*$E613</f>
        <v>111.6</v>
      </c>
      <c r="S613" s="157">
        <f>'Quantitativos (A)'!Q613*$D613*$E613</f>
        <v>111.6</v>
      </c>
      <c r="T613" s="157">
        <f>'Quantitativos (A)'!R613*$D613*$E613</f>
        <v>111.6</v>
      </c>
      <c r="U613" s="157">
        <f>'Quantitativos (A)'!S613*$D613*$E613</f>
        <v>111.6</v>
      </c>
      <c r="V613" s="157">
        <f>'Quantitativos (A)'!T613*$D613*$E613</f>
        <v>111.6</v>
      </c>
      <c r="W613" s="157">
        <f>'Quantitativos (A)'!U613*$D613*$E613</f>
        <v>111.6</v>
      </c>
      <c r="X613" s="157">
        <f>'Quantitativos (A)'!V613*$D613*$E613</f>
        <v>111.6</v>
      </c>
      <c r="Y613" s="157">
        <f>'Quantitativos (A)'!W613*$D613*$E613</f>
        <v>111.6</v>
      </c>
      <c r="Z613" s="157">
        <f>'Quantitativos (A)'!X613*$D613*$E613</f>
        <v>111.6</v>
      </c>
      <c r="AA613" s="157">
        <f>'Quantitativos (A)'!Y613*$D613*$E613</f>
        <v>111.6</v>
      </c>
      <c r="AB613" s="157">
        <f>'Quantitativos (A)'!Z613*$D613*$E613</f>
        <v>111.6</v>
      </c>
      <c r="AC613" s="157">
        <f>'Quantitativos (A)'!AA613*$D613*$E613</f>
        <v>111.6</v>
      </c>
      <c r="AD613" s="157">
        <f>'Quantitativos (A)'!AB613*$D613*$E613</f>
        <v>111.6</v>
      </c>
      <c r="AE613" s="157">
        <f>'Quantitativos (A)'!AC613*$D613*$E613</f>
        <v>111.6</v>
      </c>
      <c r="AF613" s="157">
        <f>'Quantitativos (A)'!AD613*$D613*$E613</f>
        <v>111.6</v>
      </c>
      <c r="AG613" s="157">
        <f>'Quantitativos (A)'!AE613*$D613*$E613</f>
        <v>111.6</v>
      </c>
      <c r="AH613" s="157">
        <f>'Quantitativos (A)'!AF613*$D613*$E613</f>
        <v>111.6</v>
      </c>
      <c r="AI613" s="158">
        <f>'Quantitativos (A)'!AG613*$D613*$E613</f>
        <v>111.6</v>
      </c>
      <c r="AJ613" s="22"/>
    </row>
    <row r="614" spans="1:36" x14ac:dyDescent="0.25">
      <c r="A614" s="21"/>
      <c r="B614" s="141" t="s">
        <v>633</v>
      </c>
      <c r="C614" s="125" t="s">
        <v>60</v>
      </c>
      <c r="D614" s="157">
        <f>'Dados (F)'!$D$394</f>
        <v>101.46</v>
      </c>
      <c r="E614" s="125">
        <f>IF('Dados (F)'!$D$35=1,1,'Dados (F)'!$C$39)</f>
        <v>1</v>
      </c>
      <c r="F614" s="157">
        <f>'Quantitativos (A)'!D614*$D614*$E614</f>
        <v>202.92</v>
      </c>
      <c r="G614" s="157">
        <f>'Quantitativos (A)'!E614*$D614*$E614</f>
        <v>202.92</v>
      </c>
      <c r="H614" s="157">
        <f>'Quantitativos (A)'!F614*$D614*$E614</f>
        <v>202.92</v>
      </c>
      <c r="I614" s="157">
        <f>'Quantitativos (A)'!G614*$D614*$E614</f>
        <v>202.92</v>
      </c>
      <c r="J614" s="157">
        <f>'Quantitativos (A)'!H614*$D614*$E614</f>
        <v>202.92</v>
      </c>
      <c r="K614" s="157">
        <f>'Quantitativos (A)'!I614*$D614*$E614</f>
        <v>202.92</v>
      </c>
      <c r="L614" s="157">
        <f>'Quantitativos (A)'!J614*$D614*$E614</f>
        <v>202.92</v>
      </c>
      <c r="M614" s="157">
        <f>'Quantitativos (A)'!K614*$D614*$E614</f>
        <v>202.92</v>
      </c>
      <c r="N614" s="157">
        <f>'Quantitativos (A)'!L614*$D614*$E614</f>
        <v>202.92</v>
      </c>
      <c r="O614" s="157">
        <f>'Quantitativos (A)'!M614*$D614*$E614</f>
        <v>202.92</v>
      </c>
      <c r="P614" s="157">
        <f>'Quantitativos (A)'!N614*$D614*$E614</f>
        <v>202.92</v>
      </c>
      <c r="Q614" s="157">
        <f>'Quantitativos (A)'!O614*$D614*$E614</f>
        <v>202.92</v>
      </c>
      <c r="R614" s="157">
        <f>'Quantitativos (A)'!P614*$D614*$E614</f>
        <v>202.92</v>
      </c>
      <c r="S614" s="157">
        <f>'Quantitativos (A)'!Q614*$D614*$E614</f>
        <v>202.92</v>
      </c>
      <c r="T614" s="157">
        <f>'Quantitativos (A)'!R614*$D614*$E614</f>
        <v>202.92</v>
      </c>
      <c r="U614" s="157">
        <f>'Quantitativos (A)'!S614*$D614*$E614</f>
        <v>202.92</v>
      </c>
      <c r="V614" s="157">
        <f>'Quantitativos (A)'!T614*$D614*$E614</f>
        <v>202.92</v>
      </c>
      <c r="W614" s="157">
        <f>'Quantitativos (A)'!U614*$D614*$E614</f>
        <v>202.92</v>
      </c>
      <c r="X614" s="157">
        <f>'Quantitativos (A)'!V614*$D614*$E614</f>
        <v>202.92</v>
      </c>
      <c r="Y614" s="157">
        <f>'Quantitativos (A)'!W614*$D614*$E614</f>
        <v>202.92</v>
      </c>
      <c r="Z614" s="157">
        <f>'Quantitativos (A)'!X614*$D614*$E614</f>
        <v>202.92</v>
      </c>
      <c r="AA614" s="157">
        <f>'Quantitativos (A)'!Y614*$D614*$E614</f>
        <v>202.92</v>
      </c>
      <c r="AB614" s="157">
        <f>'Quantitativos (A)'!Z614*$D614*$E614</f>
        <v>202.92</v>
      </c>
      <c r="AC614" s="157">
        <f>'Quantitativos (A)'!AA614*$D614*$E614</f>
        <v>202.92</v>
      </c>
      <c r="AD614" s="157">
        <f>'Quantitativos (A)'!AB614*$D614*$E614</f>
        <v>202.92</v>
      </c>
      <c r="AE614" s="157">
        <f>'Quantitativos (A)'!AC614*$D614*$E614</f>
        <v>202.92</v>
      </c>
      <c r="AF614" s="157">
        <f>'Quantitativos (A)'!AD614*$D614*$E614</f>
        <v>202.92</v>
      </c>
      <c r="AG614" s="157">
        <f>'Quantitativos (A)'!AE614*$D614*$E614</f>
        <v>202.92</v>
      </c>
      <c r="AH614" s="157">
        <f>'Quantitativos (A)'!AF614*$D614*$E614</f>
        <v>202.92</v>
      </c>
      <c r="AI614" s="158">
        <f>'Quantitativos (A)'!AG614*$D614*$E614</f>
        <v>202.92</v>
      </c>
      <c r="AJ614" s="22"/>
    </row>
    <row r="615" spans="1:36" x14ac:dyDescent="0.25">
      <c r="A615" s="21"/>
      <c r="B615" s="141" t="s">
        <v>634</v>
      </c>
      <c r="C615" s="125" t="s">
        <v>60</v>
      </c>
      <c r="D615" s="157">
        <f>'Dados (F)'!$D$395</f>
        <v>25.37</v>
      </c>
      <c r="E615" s="125">
        <f>IF('Dados (F)'!$D$35=1,1,'Dados (F)'!$C$39)</f>
        <v>1</v>
      </c>
      <c r="F615" s="157">
        <f>'Quantitativos (A)'!D615*$D615*$E615</f>
        <v>50.74</v>
      </c>
      <c r="G615" s="157">
        <f>'Quantitativos (A)'!E615*$D615*$E615</f>
        <v>50.74</v>
      </c>
      <c r="H615" s="157">
        <f>'Quantitativos (A)'!F615*$D615*$E615</f>
        <v>50.74</v>
      </c>
      <c r="I615" s="157">
        <f>'Quantitativos (A)'!G615*$D615*$E615</f>
        <v>50.74</v>
      </c>
      <c r="J615" s="157">
        <f>'Quantitativos (A)'!H615*$D615*$E615</f>
        <v>50.74</v>
      </c>
      <c r="K615" s="157">
        <f>'Quantitativos (A)'!I615*$D615*$E615</f>
        <v>50.74</v>
      </c>
      <c r="L615" s="157">
        <f>'Quantitativos (A)'!J615*$D615*$E615</f>
        <v>50.74</v>
      </c>
      <c r="M615" s="157">
        <f>'Quantitativos (A)'!K615*$D615*$E615</f>
        <v>50.74</v>
      </c>
      <c r="N615" s="157">
        <f>'Quantitativos (A)'!L615*$D615*$E615</f>
        <v>50.74</v>
      </c>
      <c r="O615" s="157">
        <f>'Quantitativos (A)'!M615*$D615*$E615</f>
        <v>50.74</v>
      </c>
      <c r="P615" s="157">
        <f>'Quantitativos (A)'!N615*$D615*$E615</f>
        <v>50.74</v>
      </c>
      <c r="Q615" s="157">
        <f>'Quantitativos (A)'!O615*$D615*$E615</f>
        <v>50.74</v>
      </c>
      <c r="R615" s="157">
        <f>'Quantitativos (A)'!P615*$D615*$E615</f>
        <v>50.74</v>
      </c>
      <c r="S615" s="157">
        <f>'Quantitativos (A)'!Q615*$D615*$E615</f>
        <v>50.74</v>
      </c>
      <c r="T615" s="157">
        <f>'Quantitativos (A)'!R615*$D615*$E615</f>
        <v>50.74</v>
      </c>
      <c r="U615" s="157">
        <f>'Quantitativos (A)'!S615*$D615*$E615</f>
        <v>50.74</v>
      </c>
      <c r="V615" s="157">
        <f>'Quantitativos (A)'!T615*$D615*$E615</f>
        <v>50.74</v>
      </c>
      <c r="W615" s="157">
        <f>'Quantitativos (A)'!U615*$D615*$E615</f>
        <v>50.74</v>
      </c>
      <c r="X615" s="157">
        <f>'Quantitativos (A)'!V615*$D615*$E615</f>
        <v>50.74</v>
      </c>
      <c r="Y615" s="157">
        <f>'Quantitativos (A)'!W615*$D615*$E615</f>
        <v>50.74</v>
      </c>
      <c r="Z615" s="157">
        <f>'Quantitativos (A)'!X615*$D615*$E615</f>
        <v>50.74</v>
      </c>
      <c r="AA615" s="157">
        <f>'Quantitativos (A)'!Y615*$D615*$E615</f>
        <v>50.74</v>
      </c>
      <c r="AB615" s="157">
        <f>'Quantitativos (A)'!Z615*$D615*$E615</f>
        <v>50.74</v>
      </c>
      <c r="AC615" s="157">
        <f>'Quantitativos (A)'!AA615*$D615*$E615</f>
        <v>50.74</v>
      </c>
      <c r="AD615" s="157">
        <f>'Quantitativos (A)'!AB615*$D615*$E615</f>
        <v>50.74</v>
      </c>
      <c r="AE615" s="157">
        <f>'Quantitativos (A)'!AC615*$D615*$E615</f>
        <v>50.74</v>
      </c>
      <c r="AF615" s="157">
        <f>'Quantitativos (A)'!AD615*$D615*$E615</f>
        <v>50.74</v>
      </c>
      <c r="AG615" s="157">
        <f>'Quantitativos (A)'!AE615*$D615*$E615</f>
        <v>50.74</v>
      </c>
      <c r="AH615" s="157">
        <f>'Quantitativos (A)'!AF615*$D615*$E615</f>
        <v>50.74</v>
      </c>
      <c r="AI615" s="158">
        <f>'Quantitativos (A)'!AG615*$D615*$E615</f>
        <v>50.74</v>
      </c>
      <c r="AJ615" s="22"/>
    </row>
    <row r="616" spans="1:36" x14ac:dyDescent="0.25">
      <c r="A616" s="21"/>
      <c r="B616" s="141" t="s">
        <v>635</v>
      </c>
      <c r="C616" s="125" t="s">
        <v>60</v>
      </c>
      <c r="D616" s="157">
        <f>'Dados (F)'!$D$396</f>
        <v>12.78</v>
      </c>
      <c r="E616" s="125">
        <f>IF('Dados (F)'!$D$35=1,1,'Dados (F)'!$C$39)</f>
        <v>1</v>
      </c>
      <c r="F616" s="157">
        <f>'Quantitativos (A)'!D616*$D616*$E616</f>
        <v>12.78</v>
      </c>
      <c r="G616" s="157">
        <f>'Quantitativos (A)'!E616*$D616*$E616</f>
        <v>12.78</v>
      </c>
      <c r="H616" s="157">
        <f>'Quantitativos (A)'!F616*$D616*$E616</f>
        <v>12.78</v>
      </c>
      <c r="I616" s="157">
        <f>'Quantitativos (A)'!G616*$D616*$E616</f>
        <v>12.78</v>
      </c>
      <c r="J616" s="157">
        <f>'Quantitativos (A)'!H616*$D616*$E616</f>
        <v>12.78</v>
      </c>
      <c r="K616" s="157">
        <f>'Quantitativos (A)'!I616*$D616*$E616</f>
        <v>12.78</v>
      </c>
      <c r="L616" s="157">
        <f>'Quantitativos (A)'!J616*$D616*$E616</f>
        <v>12.78</v>
      </c>
      <c r="M616" s="157">
        <f>'Quantitativos (A)'!K616*$D616*$E616</f>
        <v>12.78</v>
      </c>
      <c r="N616" s="157">
        <f>'Quantitativos (A)'!L616*$D616*$E616</f>
        <v>12.78</v>
      </c>
      <c r="O616" s="157">
        <f>'Quantitativos (A)'!M616*$D616*$E616</f>
        <v>12.78</v>
      </c>
      <c r="P616" s="157">
        <f>'Quantitativos (A)'!N616*$D616*$E616</f>
        <v>12.78</v>
      </c>
      <c r="Q616" s="157">
        <f>'Quantitativos (A)'!O616*$D616*$E616</f>
        <v>12.78</v>
      </c>
      <c r="R616" s="157">
        <f>'Quantitativos (A)'!P616*$D616*$E616</f>
        <v>12.78</v>
      </c>
      <c r="S616" s="157">
        <f>'Quantitativos (A)'!Q616*$D616*$E616</f>
        <v>12.78</v>
      </c>
      <c r="T616" s="157">
        <f>'Quantitativos (A)'!R616*$D616*$E616</f>
        <v>12.78</v>
      </c>
      <c r="U616" s="157">
        <f>'Quantitativos (A)'!S616*$D616*$E616</f>
        <v>12.78</v>
      </c>
      <c r="V616" s="157">
        <f>'Quantitativos (A)'!T616*$D616*$E616</f>
        <v>12.78</v>
      </c>
      <c r="W616" s="157">
        <f>'Quantitativos (A)'!U616*$D616*$E616</f>
        <v>12.78</v>
      </c>
      <c r="X616" s="157">
        <f>'Quantitativos (A)'!V616*$D616*$E616</f>
        <v>12.78</v>
      </c>
      <c r="Y616" s="157">
        <f>'Quantitativos (A)'!W616*$D616*$E616</f>
        <v>12.78</v>
      </c>
      <c r="Z616" s="157">
        <f>'Quantitativos (A)'!X616*$D616*$E616</f>
        <v>12.78</v>
      </c>
      <c r="AA616" s="157">
        <f>'Quantitativos (A)'!Y616*$D616*$E616</f>
        <v>12.78</v>
      </c>
      <c r="AB616" s="157">
        <f>'Quantitativos (A)'!Z616*$D616*$E616</f>
        <v>12.78</v>
      </c>
      <c r="AC616" s="157">
        <f>'Quantitativos (A)'!AA616*$D616*$E616</f>
        <v>12.78</v>
      </c>
      <c r="AD616" s="157">
        <f>'Quantitativos (A)'!AB616*$D616*$E616</f>
        <v>12.78</v>
      </c>
      <c r="AE616" s="157">
        <f>'Quantitativos (A)'!AC616*$D616*$E616</f>
        <v>12.78</v>
      </c>
      <c r="AF616" s="157">
        <f>'Quantitativos (A)'!AD616*$D616*$E616</f>
        <v>12.78</v>
      </c>
      <c r="AG616" s="157">
        <f>'Quantitativos (A)'!AE616*$D616*$E616</f>
        <v>12.78</v>
      </c>
      <c r="AH616" s="157">
        <f>'Quantitativos (A)'!AF616*$D616*$E616</f>
        <v>12.78</v>
      </c>
      <c r="AI616" s="158">
        <f>'Quantitativos (A)'!AG616*$D616*$E616</f>
        <v>12.78</v>
      </c>
      <c r="AJ616" s="22"/>
    </row>
    <row r="617" spans="1:36" x14ac:dyDescent="0.25">
      <c r="A617" s="21"/>
      <c r="B617" s="141" t="s">
        <v>636</v>
      </c>
      <c r="C617" s="125" t="s">
        <v>60</v>
      </c>
      <c r="D617" s="157">
        <f>'Dados (F)'!$D$397</f>
        <v>75.680000000000007</v>
      </c>
      <c r="E617" s="125">
        <f>IF('Dados (F)'!$D$35=1,1,'Dados (F)'!$C$39)</f>
        <v>1</v>
      </c>
      <c r="F617" s="157">
        <f>'Quantitativos (A)'!D617*$D617*$E617</f>
        <v>75.680000000000007</v>
      </c>
      <c r="G617" s="157">
        <f>'Quantitativos (A)'!E617*$D617*$E617</f>
        <v>75.680000000000007</v>
      </c>
      <c r="H617" s="157">
        <f>'Quantitativos (A)'!F617*$D617*$E617</f>
        <v>75.680000000000007</v>
      </c>
      <c r="I617" s="157">
        <f>'Quantitativos (A)'!G617*$D617*$E617</f>
        <v>75.680000000000007</v>
      </c>
      <c r="J617" s="157">
        <f>'Quantitativos (A)'!H617*$D617*$E617</f>
        <v>75.680000000000007</v>
      </c>
      <c r="K617" s="157">
        <f>'Quantitativos (A)'!I617*$D617*$E617</f>
        <v>75.680000000000007</v>
      </c>
      <c r="L617" s="157">
        <f>'Quantitativos (A)'!J617*$D617*$E617</f>
        <v>75.680000000000007</v>
      </c>
      <c r="M617" s="157">
        <f>'Quantitativos (A)'!K617*$D617*$E617</f>
        <v>75.680000000000007</v>
      </c>
      <c r="N617" s="157">
        <f>'Quantitativos (A)'!L617*$D617*$E617</f>
        <v>75.680000000000007</v>
      </c>
      <c r="O617" s="157">
        <f>'Quantitativos (A)'!M617*$D617*$E617</f>
        <v>75.680000000000007</v>
      </c>
      <c r="P617" s="157">
        <f>'Quantitativos (A)'!N617*$D617*$E617</f>
        <v>75.680000000000007</v>
      </c>
      <c r="Q617" s="157">
        <f>'Quantitativos (A)'!O617*$D617*$E617</f>
        <v>75.680000000000007</v>
      </c>
      <c r="R617" s="157">
        <f>'Quantitativos (A)'!P617*$D617*$E617</f>
        <v>75.680000000000007</v>
      </c>
      <c r="S617" s="157">
        <f>'Quantitativos (A)'!Q617*$D617*$E617</f>
        <v>75.680000000000007</v>
      </c>
      <c r="T617" s="157">
        <f>'Quantitativos (A)'!R617*$D617*$E617</f>
        <v>75.680000000000007</v>
      </c>
      <c r="U617" s="157">
        <f>'Quantitativos (A)'!S617*$D617*$E617</f>
        <v>75.680000000000007</v>
      </c>
      <c r="V617" s="157">
        <f>'Quantitativos (A)'!T617*$D617*$E617</f>
        <v>75.680000000000007</v>
      </c>
      <c r="W617" s="157">
        <f>'Quantitativos (A)'!U617*$D617*$E617</f>
        <v>75.680000000000007</v>
      </c>
      <c r="X617" s="157">
        <f>'Quantitativos (A)'!V617*$D617*$E617</f>
        <v>75.680000000000007</v>
      </c>
      <c r="Y617" s="157">
        <f>'Quantitativos (A)'!W617*$D617*$E617</f>
        <v>75.680000000000007</v>
      </c>
      <c r="Z617" s="157">
        <f>'Quantitativos (A)'!X617*$D617*$E617</f>
        <v>75.680000000000007</v>
      </c>
      <c r="AA617" s="157">
        <f>'Quantitativos (A)'!Y617*$D617*$E617</f>
        <v>75.680000000000007</v>
      </c>
      <c r="AB617" s="157">
        <f>'Quantitativos (A)'!Z617*$D617*$E617</f>
        <v>75.680000000000007</v>
      </c>
      <c r="AC617" s="157">
        <f>'Quantitativos (A)'!AA617*$D617*$E617</f>
        <v>75.680000000000007</v>
      </c>
      <c r="AD617" s="157">
        <f>'Quantitativos (A)'!AB617*$D617*$E617</f>
        <v>75.680000000000007</v>
      </c>
      <c r="AE617" s="157">
        <f>'Quantitativos (A)'!AC617*$D617*$E617</f>
        <v>75.680000000000007</v>
      </c>
      <c r="AF617" s="157">
        <f>'Quantitativos (A)'!AD617*$D617*$E617</f>
        <v>75.680000000000007</v>
      </c>
      <c r="AG617" s="157">
        <f>'Quantitativos (A)'!AE617*$D617*$E617</f>
        <v>75.680000000000007</v>
      </c>
      <c r="AH617" s="157">
        <f>'Quantitativos (A)'!AF617*$D617*$E617</f>
        <v>75.680000000000007</v>
      </c>
      <c r="AI617" s="158">
        <f>'Quantitativos (A)'!AG617*$D617*$E617</f>
        <v>75.680000000000007</v>
      </c>
      <c r="AJ617" s="22"/>
    </row>
    <row r="618" spans="1:36" x14ac:dyDescent="0.25">
      <c r="A618" s="21"/>
      <c r="B618" s="141" t="s">
        <v>637</v>
      </c>
      <c r="C618" s="125" t="s">
        <v>60</v>
      </c>
      <c r="D618" s="157">
        <f>'Dados (F)'!$D$398</f>
        <v>62.9</v>
      </c>
      <c r="E618" s="125">
        <f>IF('Dados (F)'!$D$35=1,1,'Dados (F)'!$C$39)</f>
        <v>1</v>
      </c>
      <c r="F618" s="157">
        <f>'Quantitativos (A)'!D618*$D618*$E618</f>
        <v>125.8</v>
      </c>
      <c r="G618" s="157">
        <f>'Quantitativos (A)'!E618*$D618*$E618</f>
        <v>125.8</v>
      </c>
      <c r="H618" s="157">
        <f>'Quantitativos (A)'!F618*$D618*$E618</f>
        <v>125.8</v>
      </c>
      <c r="I618" s="157">
        <f>'Quantitativos (A)'!G618*$D618*$E618</f>
        <v>125.8</v>
      </c>
      <c r="J618" s="157">
        <f>'Quantitativos (A)'!H618*$D618*$E618</f>
        <v>125.8</v>
      </c>
      <c r="K618" s="157">
        <f>'Quantitativos (A)'!I618*$D618*$E618</f>
        <v>125.8</v>
      </c>
      <c r="L618" s="157">
        <f>'Quantitativos (A)'!J618*$D618*$E618</f>
        <v>125.8</v>
      </c>
      <c r="M618" s="157">
        <f>'Quantitativos (A)'!K618*$D618*$E618</f>
        <v>125.8</v>
      </c>
      <c r="N618" s="157">
        <f>'Quantitativos (A)'!L618*$D618*$E618</f>
        <v>125.8</v>
      </c>
      <c r="O618" s="157">
        <f>'Quantitativos (A)'!M618*$D618*$E618</f>
        <v>125.8</v>
      </c>
      <c r="P618" s="157">
        <f>'Quantitativos (A)'!N618*$D618*$E618</f>
        <v>125.8</v>
      </c>
      <c r="Q618" s="157">
        <f>'Quantitativos (A)'!O618*$D618*$E618</f>
        <v>125.8</v>
      </c>
      <c r="R618" s="157">
        <f>'Quantitativos (A)'!P618*$D618*$E618</f>
        <v>125.8</v>
      </c>
      <c r="S618" s="157">
        <f>'Quantitativos (A)'!Q618*$D618*$E618</f>
        <v>125.8</v>
      </c>
      <c r="T618" s="157">
        <f>'Quantitativos (A)'!R618*$D618*$E618</f>
        <v>125.8</v>
      </c>
      <c r="U618" s="157">
        <f>'Quantitativos (A)'!S618*$D618*$E618</f>
        <v>125.8</v>
      </c>
      <c r="V618" s="157">
        <f>'Quantitativos (A)'!T618*$D618*$E618</f>
        <v>125.8</v>
      </c>
      <c r="W618" s="157">
        <f>'Quantitativos (A)'!U618*$D618*$E618</f>
        <v>125.8</v>
      </c>
      <c r="X618" s="157">
        <f>'Quantitativos (A)'!V618*$D618*$E618</f>
        <v>125.8</v>
      </c>
      <c r="Y618" s="157">
        <f>'Quantitativos (A)'!W618*$D618*$E618</f>
        <v>125.8</v>
      </c>
      <c r="Z618" s="157">
        <f>'Quantitativos (A)'!X618*$D618*$E618</f>
        <v>125.8</v>
      </c>
      <c r="AA618" s="157">
        <f>'Quantitativos (A)'!Y618*$D618*$E618</f>
        <v>125.8</v>
      </c>
      <c r="AB618" s="157">
        <f>'Quantitativos (A)'!Z618*$D618*$E618</f>
        <v>125.8</v>
      </c>
      <c r="AC618" s="157">
        <f>'Quantitativos (A)'!AA618*$D618*$E618</f>
        <v>125.8</v>
      </c>
      <c r="AD618" s="157">
        <f>'Quantitativos (A)'!AB618*$D618*$E618</f>
        <v>125.8</v>
      </c>
      <c r="AE618" s="157">
        <f>'Quantitativos (A)'!AC618*$D618*$E618</f>
        <v>125.8</v>
      </c>
      <c r="AF618" s="157">
        <f>'Quantitativos (A)'!AD618*$D618*$E618</f>
        <v>125.8</v>
      </c>
      <c r="AG618" s="157">
        <f>'Quantitativos (A)'!AE618*$D618*$E618</f>
        <v>125.8</v>
      </c>
      <c r="AH618" s="157">
        <f>'Quantitativos (A)'!AF618*$D618*$E618</f>
        <v>125.8</v>
      </c>
      <c r="AI618" s="158">
        <f>'Quantitativos (A)'!AG618*$D618*$E618</f>
        <v>125.8</v>
      </c>
      <c r="AJ618" s="22"/>
    </row>
    <row r="619" spans="1:36" x14ac:dyDescent="0.25">
      <c r="A619" s="21"/>
      <c r="B619" s="141" t="s">
        <v>638</v>
      </c>
      <c r="C619" s="125" t="s">
        <v>60</v>
      </c>
      <c r="D619" s="157">
        <f>'Dados (F)'!$D$399</f>
        <v>25.37</v>
      </c>
      <c r="E619" s="125">
        <f>IF('Dados (F)'!$D$35=1,1,'Dados (F)'!$C$39)</f>
        <v>1</v>
      </c>
      <c r="F619" s="157">
        <f>'Quantitativos (A)'!D619*$D619*$E619</f>
        <v>50.74</v>
      </c>
      <c r="G619" s="157">
        <f>'Quantitativos (A)'!E619*$D619*$E619</f>
        <v>50.74</v>
      </c>
      <c r="H619" s="157">
        <f>'Quantitativos (A)'!F619*$D619*$E619</f>
        <v>50.74</v>
      </c>
      <c r="I619" s="157">
        <f>'Quantitativos (A)'!G619*$D619*$E619</f>
        <v>50.74</v>
      </c>
      <c r="J619" s="157">
        <f>'Quantitativos (A)'!H619*$D619*$E619</f>
        <v>50.74</v>
      </c>
      <c r="K619" s="157">
        <f>'Quantitativos (A)'!I619*$D619*$E619</f>
        <v>50.74</v>
      </c>
      <c r="L619" s="157">
        <f>'Quantitativos (A)'!J619*$D619*$E619</f>
        <v>50.74</v>
      </c>
      <c r="M619" s="157">
        <f>'Quantitativos (A)'!K619*$D619*$E619</f>
        <v>50.74</v>
      </c>
      <c r="N619" s="157">
        <f>'Quantitativos (A)'!L619*$D619*$E619</f>
        <v>50.74</v>
      </c>
      <c r="O619" s="157">
        <f>'Quantitativos (A)'!M619*$D619*$E619</f>
        <v>50.74</v>
      </c>
      <c r="P619" s="157">
        <f>'Quantitativos (A)'!N619*$D619*$E619</f>
        <v>50.74</v>
      </c>
      <c r="Q619" s="157">
        <f>'Quantitativos (A)'!O619*$D619*$E619</f>
        <v>50.74</v>
      </c>
      <c r="R619" s="157">
        <f>'Quantitativos (A)'!P619*$D619*$E619</f>
        <v>50.74</v>
      </c>
      <c r="S619" s="157">
        <f>'Quantitativos (A)'!Q619*$D619*$E619</f>
        <v>50.74</v>
      </c>
      <c r="T619" s="157">
        <f>'Quantitativos (A)'!R619*$D619*$E619</f>
        <v>50.74</v>
      </c>
      <c r="U619" s="157">
        <f>'Quantitativos (A)'!S619*$D619*$E619</f>
        <v>50.74</v>
      </c>
      <c r="V619" s="157">
        <f>'Quantitativos (A)'!T619*$D619*$E619</f>
        <v>50.74</v>
      </c>
      <c r="W619" s="157">
        <f>'Quantitativos (A)'!U619*$D619*$E619</f>
        <v>50.74</v>
      </c>
      <c r="X619" s="157">
        <f>'Quantitativos (A)'!V619*$D619*$E619</f>
        <v>50.74</v>
      </c>
      <c r="Y619" s="157">
        <f>'Quantitativos (A)'!W619*$D619*$E619</f>
        <v>50.74</v>
      </c>
      <c r="Z619" s="157">
        <f>'Quantitativos (A)'!X619*$D619*$E619</f>
        <v>50.74</v>
      </c>
      <c r="AA619" s="157">
        <f>'Quantitativos (A)'!Y619*$D619*$E619</f>
        <v>50.74</v>
      </c>
      <c r="AB619" s="157">
        <f>'Quantitativos (A)'!Z619*$D619*$E619</f>
        <v>50.74</v>
      </c>
      <c r="AC619" s="157">
        <f>'Quantitativos (A)'!AA619*$D619*$E619</f>
        <v>50.74</v>
      </c>
      <c r="AD619" s="157">
        <f>'Quantitativos (A)'!AB619*$D619*$E619</f>
        <v>50.74</v>
      </c>
      <c r="AE619" s="157">
        <f>'Quantitativos (A)'!AC619*$D619*$E619</f>
        <v>50.74</v>
      </c>
      <c r="AF619" s="157">
        <f>'Quantitativos (A)'!AD619*$D619*$E619</f>
        <v>50.74</v>
      </c>
      <c r="AG619" s="157">
        <f>'Quantitativos (A)'!AE619*$D619*$E619</f>
        <v>50.74</v>
      </c>
      <c r="AH619" s="157">
        <f>'Quantitativos (A)'!AF619*$D619*$E619</f>
        <v>50.74</v>
      </c>
      <c r="AI619" s="158">
        <f>'Quantitativos (A)'!AG619*$D619*$E619</f>
        <v>50.74</v>
      </c>
      <c r="AJ619" s="22"/>
    </row>
    <row r="620" spans="1:36" x14ac:dyDescent="0.25">
      <c r="A620" s="21"/>
      <c r="B620" s="141" t="s">
        <v>639</v>
      </c>
      <c r="C620" s="125" t="s">
        <v>60</v>
      </c>
      <c r="D620" s="157">
        <f>'Dados (F)'!$D$400</f>
        <v>50.72</v>
      </c>
      <c r="E620" s="125">
        <f>IF('Dados (F)'!$D$35=1,1,'Dados (F)'!$C$39)</f>
        <v>1</v>
      </c>
      <c r="F620" s="157">
        <f>'Quantitativos (A)'!D620*$D620*$E620</f>
        <v>101.44</v>
      </c>
      <c r="G620" s="157">
        <f>'Quantitativos (A)'!E620*$D620*$E620</f>
        <v>101.44</v>
      </c>
      <c r="H620" s="157">
        <f>'Quantitativos (A)'!F620*$D620*$E620</f>
        <v>101.44</v>
      </c>
      <c r="I620" s="157">
        <f>'Quantitativos (A)'!G620*$D620*$E620</f>
        <v>101.44</v>
      </c>
      <c r="J620" s="157">
        <f>'Quantitativos (A)'!H620*$D620*$E620</f>
        <v>101.44</v>
      </c>
      <c r="K620" s="157">
        <f>'Quantitativos (A)'!I620*$D620*$E620</f>
        <v>101.44</v>
      </c>
      <c r="L620" s="157">
        <f>'Quantitativos (A)'!J620*$D620*$E620</f>
        <v>101.44</v>
      </c>
      <c r="M620" s="157">
        <f>'Quantitativos (A)'!K620*$D620*$E620</f>
        <v>101.44</v>
      </c>
      <c r="N620" s="157">
        <f>'Quantitativos (A)'!L620*$D620*$E620</f>
        <v>101.44</v>
      </c>
      <c r="O620" s="157">
        <f>'Quantitativos (A)'!M620*$D620*$E620</f>
        <v>101.44</v>
      </c>
      <c r="P620" s="157">
        <f>'Quantitativos (A)'!N620*$D620*$E620</f>
        <v>101.44</v>
      </c>
      <c r="Q620" s="157">
        <f>'Quantitativos (A)'!O620*$D620*$E620</f>
        <v>101.44</v>
      </c>
      <c r="R620" s="157">
        <f>'Quantitativos (A)'!P620*$D620*$E620</f>
        <v>101.44</v>
      </c>
      <c r="S620" s="157">
        <f>'Quantitativos (A)'!Q620*$D620*$E620</f>
        <v>101.44</v>
      </c>
      <c r="T620" s="157">
        <f>'Quantitativos (A)'!R620*$D620*$E620</f>
        <v>101.44</v>
      </c>
      <c r="U620" s="157">
        <f>'Quantitativos (A)'!S620*$D620*$E620</f>
        <v>101.44</v>
      </c>
      <c r="V620" s="157">
        <f>'Quantitativos (A)'!T620*$D620*$E620</f>
        <v>101.44</v>
      </c>
      <c r="W620" s="157">
        <f>'Quantitativos (A)'!U620*$D620*$E620</f>
        <v>101.44</v>
      </c>
      <c r="X620" s="157">
        <f>'Quantitativos (A)'!V620*$D620*$E620</f>
        <v>101.44</v>
      </c>
      <c r="Y620" s="157">
        <f>'Quantitativos (A)'!W620*$D620*$E620</f>
        <v>101.44</v>
      </c>
      <c r="Z620" s="157">
        <f>'Quantitativos (A)'!X620*$D620*$E620</f>
        <v>101.44</v>
      </c>
      <c r="AA620" s="157">
        <f>'Quantitativos (A)'!Y620*$D620*$E620</f>
        <v>101.44</v>
      </c>
      <c r="AB620" s="157">
        <f>'Quantitativos (A)'!Z620*$D620*$E620</f>
        <v>101.44</v>
      </c>
      <c r="AC620" s="157">
        <f>'Quantitativos (A)'!AA620*$D620*$E620</f>
        <v>101.44</v>
      </c>
      <c r="AD620" s="157">
        <f>'Quantitativos (A)'!AB620*$D620*$E620</f>
        <v>101.44</v>
      </c>
      <c r="AE620" s="157">
        <f>'Quantitativos (A)'!AC620*$D620*$E620</f>
        <v>101.44</v>
      </c>
      <c r="AF620" s="157">
        <f>'Quantitativos (A)'!AD620*$D620*$E620</f>
        <v>101.44</v>
      </c>
      <c r="AG620" s="157">
        <f>'Quantitativos (A)'!AE620*$D620*$E620</f>
        <v>101.44</v>
      </c>
      <c r="AH620" s="157">
        <f>'Quantitativos (A)'!AF620*$D620*$E620</f>
        <v>101.44</v>
      </c>
      <c r="AI620" s="158">
        <f>'Quantitativos (A)'!AG620*$D620*$E620</f>
        <v>101.44</v>
      </c>
      <c r="AJ620" s="22"/>
    </row>
    <row r="621" spans="1:36" x14ac:dyDescent="0.25">
      <c r="A621" s="21"/>
      <c r="B621" s="141" t="s">
        <v>640</v>
      </c>
      <c r="C621" s="125" t="s">
        <v>60</v>
      </c>
      <c r="D621" s="157">
        <f>'Dados (F)'!$D$401</f>
        <v>50.72</v>
      </c>
      <c r="E621" s="125">
        <f>IF('Dados (F)'!$D$35=1,1,'Dados (F)'!$C$39)</f>
        <v>1</v>
      </c>
      <c r="F621" s="157">
        <f>'Quantitativos (A)'!D621*$D621*$E621</f>
        <v>101.44</v>
      </c>
      <c r="G621" s="157">
        <f>'Quantitativos (A)'!E621*$D621*$E621</f>
        <v>101.44</v>
      </c>
      <c r="H621" s="157">
        <f>'Quantitativos (A)'!F621*$D621*$E621</f>
        <v>101.44</v>
      </c>
      <c r="I621" s="157">
        <f>'Quantitativos (A)'!G621*$D621*$E621</f>
        <v>101.44</v>
      </c>
      <c r="J621" s="157">
        <f>'Quantitativos (A)'!H621*$D621*$E621</f>
        <v>101.44</v>
      </c>
      <c r="K621" s="157">
        <f>'Quantitativos (A)'!I621*$D621*$E621</f>
        <v>101.44</v>
      </c>
      <c r="L621" s="157">
        <f>'Quantitativos (A)'!J621*$D621*$E621</f>
        <v>101.44</v>
      </c>
      <c r="M621" s="157">
        <f>'Quantitativos (A)'!K621*$D621*$E621</f>
        <v>101.44</v>
      </c>
      <c r="N621" s="157">
        <f>'Quantitativos (A)'!L621*$D621*$E621</f>
        <v>101.44</v>
      </c>
      <c r="O621" s="157">
        <f>'Quantitativos (A)'!M621*$D621*$E621</f>
        <v>101.44</v>
      </c>
      <c r="P621" s="157">
        <f>'Quantitativos (A)'!N621*$D621*$E621</f>
        <v>101.44</v>
      </c>
      <c r="Q621" s="157">
        <f>'Quantitativos (A)'!O621*$D621*$E621</f>
        <v>101.44</v>
      </c>
      <c r="R621" s="157">
        <f>'Quantitativos (A)'!P621*$D621*$E621</f>
        <v>101.44</v>
      </c>
      <c r="S621" s="157">
        <f>'Quantitativos (A)'!Q621*$D621*$E621</f>
        <v>101.44</v>
      </c>
      <c r="T621" s="157">
        <f>'Quantitativos (A)'!R621*$D621*$E621</f>
        <v>101.44</v>
      </c>
      <c r="U621" s="157">
        <f>'Quantitativos (A)'!S621*$D621*$E621</f>
        <v>101.44</v>
      </c>
      <c r="V621" s="157">
        <f>'Quantitativos (A)'!T621*$D621*$E621</f>
        <v>101.44</v>
      </c>
      <c r="W621" s="157">
        <f>'Quantitativos (A)'!U621*$D621*$E621</f>
        <v>101.44</v>
      </c>
      <c r="X621" s="157">
        <f>'Quantitativos (A)'!V621*$D621*$E621</f>
        <v>101.44</v>
      </c>
      <c r="Y621" s="157">
        <f>'Quantitativos (A)'!W621*$D621*$E621</f>
        <v>101.44</v>
      </c>
      <c r="Z621" s="157">
        <f>'Quantitativos (A)'!X621*$D621*$E621</f>
        <v>101.44</v>
      </c>
      <c r="AA621" s="157">
        <f>'Quantitativos (A)'!Y621*$D621*$E621</f>
        <v>101.44</v>
      </c>
      <c r="AB621" s="157">
        <f>'Quantitativos (A)'!Z621*$D621*$E621</f>
        <v>101.44</v>
      </c>
      <c r="AC621" s="157">
        <f>'Quantitativos (A)'!AA621*$D621*$E621</f>
        <v>101.44</v>
      </c>
      <c r="AD621" s="157">
        <f>'Quantitativos (A)'!AB621*$D621*$E621</f>
        <v>101.44</v>
      </c>
      <c r="AE621" s="157">
        <f>'Quantitativos (A)'!AC621*$D621*$E621</f>
        <v>101.44</v>
      </c>
      <c r="AF621" s="157">
        <f>'Quantitativos (A)'!AD621*$D621*$E621</f>
        <v>101.44</v>
      </c>
      <c r="AG621" s="157">
        <f>'Quantitativos (A)'!AE621*$D621*$E621</f>
        <v>101.44</v>
      </c>
      <c r="AH621" s="157">
        <f>'Quantitativos (A)'!AF621*$D621*$E621</f>
        <v>101.44</v>
      </c>
      <c r="AI621" s="158">
        <f>'Quantitativos (A)'!AG621*$D621*$E621</f>
        <v>101.44</v>
      </c>
      <c r="AJ621" s="22"/>
    </row>
    <row r="622" spans="1:36" x14ac:dyDescent="0.25">
      <c r="A622" s="21"/>
      <c r="B622" s="141" t="s">
        <v>641</v>
      </c>
      <c r="C622" s="125" t="s">
        <v>60</v>
      </c>
      <c r="D622" s="157">
        <f>'Dados (F)'!$D$402</f>
        <v>55.8</v>
      </c>
      <c r="E622" s="125">
        <f>IF('Dados (F)'!$D$35=1,1,'Dados (F)'!$C$39)</f>
        <v>1</v>
      </c>
      <c r="F622" s="157">
        <f>'Quantitativos (A)'!D622*$D622*$E622</f>
        <v>111.6</v>
      </c>
      <c r="G622" s="157">
        <f>'Quantitativos (A)'!E622*$D622*$E622</f>
        <v>111.6</v>
      </c>
      <c r="H622" s="157">
        <f>'Quantitativos (A)'!F622*$D622*$E622</f>
        <v>111.6</v>
      </c>
      <c r="I622" s="157">
        <f>'Quantitativos (A)'!G622*$D622*$E622</f>
        <v>111.6</v>
      </c>
      <c r="J622" s="157">
        <f>'Quantitativos (A)'!H622*$D622*$E622</f>
        <v>111.6</v>
      </c>
      <c r="K622" s="157">
        <f>'Quantitativos (A)'!I622*$D622*$E622</f>
        <v>111.6</v>
      </c>
      <c r="L622" s="157">
        <f>'Quantitativos (A)'!J622*$D622*$E622</f>
        <v>111.6</v>
      </c>
      <c r="M622" s="157">
        <f>'Quantitativos (A)'!K622*$D622*$E622</f>
        <v>111.6</v>
      </c>
      <c r="N622" s="157">
        <f>'Quantitativos (A)'!L622*$D622*$E622</f>
        <v>111.6</v>
      </c>
      <c r="O622" s="157">
        <f>'Quantitativos (A)'!M622*$D622*$E622</f>
        <v>111.6</v>
      </c>
      <c r="P622" s="157">
        <f>'Quantitativos (A)'!N622*$D622*$E622</f>
        <v>111.6</v>
      </c>
      <c r="Q622" s="157">
        <f>'Quantitativos (A)'!O622*$D622*$E622</f>
        <v>111.6</v>
      </c>
      <c r="R622" s="157">
        <f>'Quantitativos (A)'!P622*$D622*$E622</f>
        <v>111.6</v>
      </c>
      <c r="S622" s="157">
        <f>'Quantitativos (A)'!Q622*$D622*$E622</f>
        <v>111.6</v>
      </c>
      <c r="T622" s="157">
        <f>'Quantitativos (A)'!R622*$D622*$E622</f>
        <v>111.6</v>
      </c>
      <c r="U622" s="157">
        <f>'Quantitativos (A)'!S622*$D622*$E622</f>
        <v>111.6</v>
      </c>
      <c r="V622" s="157">
        <f>'Quantitativos (A)'!T622*$D622*$E622</f>
        <v>111.6</v>
      </c>
      <c r="W622" s="157">
        <f>'Quantitativos (A)'!U622*$D622*$E622</f>
        <v>111.6</v>
      </c>
      <c r="X622" s="157">
        <f>'Quantitativos (A)'!V622*$D622*$E622</f>
        <v>111.6</v>
      </c>
      <c r="Y622" s="157">
        <f>'Quantitativos (A)'!W622*$D622*$E622</f>
        <v>111.6</v>
      </c>
      <c r="Z622" s="157">
        <f>'Quantitativos (A)'!X622*$D622*$E622</f>
        <v>111.6</v>
      </c>
      <c r="AA622" s="157">
        <f>'Quantitativos (A)'!Y622*$D622*$E622</f>
        <v>111.6</v>
      </c>
      <c r="AB622" s="157">
        <f>'Quantitativos (A)'!Z622*$D622*$E622</f>
        <v>111.6</v>
      </c>
      <c r="AC622" s="157">
        <f>'Quantitativos (A)'!AA622*$D622*$E622</f>
        <v>111.6</v>
      </c>
      <c r="AD622" s="157">
        <f>'Quantitativos (A)'!AB622*$D622*$E622</f>
        <v>111.6</v>
      </c>
      <c r="AE622" s="157">
        <f>'Quantitativos (A)'!AC622*$D622*$E622</f>
        <v>111.6</v>
      </c>
      <c r="AF622" s="157">
        <f>'Quantitativos (A)'!AD622*$D622*$E622</f>
        <v>111.6</v>
      </c>
      <c r="AG622" s="157">
        <f>'Quantitativos (A)'!AE622*$D622*$E622</f>
        <v>111.6</v>
      </c>
      <c r="AH622" s="157">
        <f>'Quantitativos (A)'!AF622*$D622*$E622</f>
        <v>111.6</v>
      </c>
      <c r="AI622" s="158">
        <f>'Quantitativos (A)'!AG622*$D622*$E622</f>
        <v>111.6</v>
      </c>
      <c r="AJ622" s="22"/>
    </row>
    <row r="623" spans="1:36" x14ac:dyDescent="0.25">
      <c r="A623" s="21"/>
      <c r="B623" s="141" t="s">
        <v>642</v>
      </c>
      <c r="C623" s="125" t="s">
        <v>60</v>
      </c>
      <c r="D623" s="157">
        <f>'Dados (F)'!$D$403</f>
        <v>50.72</v>
      </c>
      <c r="E623" s="125">
        <f>IF('Dados (F)'!$D$35=1,1,'Dados (F)'!$C$39)</f>
        <v>1</v>
      </c>
      <c r="F623" s="157">
        <f>'Quantitativos (A)'!D623*$D623*$E623</f>
        <v>101.44</v>
      </c>
      <c r="G623" s="157">
        <f>'Quantitativos (A)'!E623*$D623*$E623</f>
        <v>101.44</v>
      </c>
      <c r="H623" s="157">
        <f>'Quantitativos (A)'!F623*$D623*$E623</f>
        <v>101.44</v>
      </c>
      <c r="I623" s="157">
        <f>'Quantitativos (A)'!G623*$D623*$E623</f>
        <v>101.44</v>
      </c>
      <c r="J623" s="157">
        <f>'Quantitativos (A)'!H623*$D623*$E623</f>
        <v>101.44</v>
      </c>
      <c r="K623" s="157">
        <f>'Quantitativos (A)'!I623*$D623*$E623</f>
        <v>101.44</v>
      </c>
      <c r="L623" s="157">
        <f>'Quantitativos (A)'!J623*$D623*$E623</f>
        <v>101.44</v>
      </c>
      <c r="M623" s="157">
        <f>'Quantitativos (A)'!K623*$D623*$E623</f>
        <v>101.44</v>
      </c>
      <c r="N623" s="157">
        <f>'Quantitativos (A)'!L623*$D623*$E623</f>
        <v>101.44</v>
      </c>
      <c r="O623" s="157">
        <f>'Quantitativos (A)'!M623*$D623*$E623</f>
        <v>101.44</v>
      </c>
      <c r="P623" s="157">
        <f>'Quantitativos (A)'!N623*$D623*$E623</f>
        <v>101.44</v>
      </c>
      <c r="Q623" s="157">
        <f>'Quantitativos (A)'!O623*$D623*$E623</f>
        <v>101.44</v>
      </c>
      <c r="R623" s="157">
        <f>'Quantitativos (A)'!P623*$D623*$E623</f>
        <v>101.44</v>
      </c>
      <c r="S623" s="157">
        <f>'Quantitativos (A)'!Q623*$D623*$E623</f>
        <v>101.44</v>
      </c>
      <c r="T623" s="157">
        <f>'Quantitativos (A)'!R623*$D623*$E623</f>
        <v>101.44</v>
      </c>
      <c r="U623" s="157">
        <f>'Quantitativos (A)'!S623*$D623*$E623</f>
        <v>101.44</v>
      </c>
      <c r="V623" s="157">
        <f>'Quantitativos (A)'!T623*$D623*$E623</f>
        <v>101.44</v>
      </c>
      <c r="W623" s="157">
        <f>'Quantitativos (A)'!U623*$D623*$E623</f>
        <v>101.44</v>
      </c>
      <c r="X623" s="157">
        <f>'Quantitativos (A)'!V623*$D623*$E623</f>
        <v>101.44</v>
      </c>
      <c r="Y623" s="157">
        <f>'Quantitativos (A)'!W623*$D623*$E623</f>
        <v>101.44</v>
      </c>
      <c r="Z623" s="157">
        <f>'Quantitativos (A)'!X623*$D623*$E623</f>
        <v>101.44</v>
      </c>
      <c r="AA623" s="157">
        <f>'Quantitativos (A)'!Y623*$D623*$E623</f>
        <v>101.44</v>
      </c>
      <c r="AB623" s="157">
        <f>'Quantitativos (A)'!Z623*$D623*$E623</f>
        <v>101.44</v>
      </c>
      <c r="AC623" s="157">
        <f>'Quantitativos (A)'!AA623*$D623*$E623</f>
        <v>101.44</v>
      </c>
      <c r="AD623" s="157">
        <f>'Quantitativos (A)'!AB623*$D623*$E623</f>
        <v>101.44</v>
      </c>
      <c r="AE623" s="157">
        <f>'Quantitativos (A)'!AC623*$D623*$E623</f>
        <v>101.44</v>
      </c>
      <c r="AF623" s="157">
        <f>'Quantitativos (A)'!AD623*$D623*$E623</f>
        <v>101.44</v>
      </c>
      <c r="AG623" s="157">
        <f>'Quantitativos (A)'!AE623*$D623*$E623</f>
        <v>101.44</v>
      </c>
      <c r="AH623" s="157">
        <f>'Quantitativos (A)'!AF623*$D623*$E623</f>
        <v>101.44</v>
      </c>
      <c r="AI623" s="158">
        <f>'Quantitativos (A)'!AG623*$D623*$E623</f>
        <v>101.44</v>
      </c>
      <c r="AJ623" s="22"/>
    </row>
    <row r="624" spans="1:36" x14ac:dyDescent="0.25">
      <c r="A624" s="21"/>
      <c r="B624" s="141" t="s">
        <v>643</v>
      </c>
      <c r="C624" s="125" t="s">
        <v>60</v>
      </c>
      <c r="D624" s="157">
        <f>'Dados (F)'!$D$404</f>
        <v>121.75</v>
      </c>
      <c r="E624" s="125">
        <f>IF('Dados (F)'!$D$35=1,1,'Dados (F)'!$C$39)</f>
        <v>1</v>
      </c>
      <c r="F624" s="157">
        <f>'Quantitativos (A)'!D624*$D624*$E624</f>
        <v>243.5</v>
      </c>
      <c r="G624" s="157">
        <f>'Quantitativos (A)'!E624*$D624*$E624</f>
        <v>243.5</v>
      </c>
      <c r="H624" s="157">
        <f>'Quantitativos (A)'!F624*$D624*$E624</f>
        <v>243.5</v>
      </c>
      <c r="I624" s="157">
        <f>'Quantitativos (A)'!G624*$D624*$E624</f>
        <v>243.5</v>
      </c>
      <c r="J624" s="157">
        <f>'Quantitativos (A)'!H624*$D624*$E624</f>
        <v>243.5</v>
      </c>
      <c r="K624" s="157">
        <f>'Quantitativos (A)'!I624*$D624*$E624</f>
        <v>243.5</v>
      </c>
      <c r="L624" s="157">
        <f>'Quantitativos (A)'!J624*$D624*$E624</f>
        <v>243.5</v>
      </c>
      <c r="M624" s="157">
        <f>'Quantitativos (A)'!K624*$D624*$E624</f>
        <v>243.5</v>
      </c>
      <c r="N624" s="157">
        <f>'Quantitativos (A)'!L624*$D624*$E624</f>
        <v>243.5</v>
      </c>
      <c r="O624" s="157">
        <f>'Quantitativos (A)'!M624*$D624*$E624</f>
        <v>243.5</v>
      </c>
      <c r="P624" s="157">
        <f>'Quantitativos (A)'!N624*$D624*$E624</f>
        <v>243.5</v>
      </c>
      <c r="Q624" s="157">
        <f>'Quantitativos (A)'!O624*$D624*$E624</f>
        <v>243.5</v>
      </c>
      <c r="R624" s="157">
        <f>'Quantitativos (A)'!P624*$D624*$E624</f>
        <v>243.5</v>
      </c>
      <c r="S624" s="157">
        <f>'Quantitativos (A)'!Q624*$D624*$E624</f>
        <v>243.5</v>
      </c>
      <c r="T624" s="157">
        <f>'Quantitativos (A)'!R624*$D624*$E624</f>
        <v>243.5</v>
      </c>
      <c r="U624" s="157">
        <f>'Quantitativos (A)'!S624*$D624*$E624</f>
        <v>243.5</v>
      </c>
      <c r="V624" s="157">
        <f>'Quantitativos (A)'!T624*$D624*$E624</f>
        <v>243.5</v>
      </c>
      <c r="W624" s="157">
        <f>'Quantitativos (A)'!U624*$D624*$E624</f>
        <v>243.5</v>
      </c>
      <c r="X624" s="157">
        <f>'Quantitativos (A)'!V624*$D624*$E624</f>
        <v>243.5</v>
      </c>
      <c r="Y624" s="157">
        <f>'Quantitativos (A)'!W624*$D624*$E624</f>
        <v>243.5</v>
      </c>
      <c r="Z624" s="157">
        <f>'Quantitativos (A)'!X624*$D624*$E624</f>
        <v>243.5</v>
      </c>
      <c r="AA624" s="157">
        <f>'Quantitativos (A)'!Y624*$D624*$E624</f>
        <v>243.5</v>
      </c>
      <c r="AB624" s="157">
        <f>'Quantitativos (A)'!Z624*$D624*$E624</f>
        <v>243.5</v>
      </c>
      <c r="AC624" s="157">
        <f>'Quantitativos (A)'!AA624*$D624*$E624</f>
        <v>243.5</v>
      </c>
      <c r="AD624" s="157">
        <f>'Quantitativos (A)'!AB624*$D624*$E624</f>
        <v>243.5</v>
      </c>
      <c r="AE624" s="157">
        <f>'Quantitativos (A)'!AC624*$D624*$E624</f>
        <v>243.5</v>
      </c>
      <c r="AF624" s="157">
        <f>'Quantitativos (A)'!AD624*$D624*$E624</f>
        <v>243.5</v>
      </c>
      <c r="AG624" s="157">
        <f>'Quantitativos (A)'!AE624*$D624*$E624</f>
        <v>243.5</v>
      </c>
      <c r="AH624" s="157">
        <f>'Quantitativos (A)'!AF624*$D624*$E624</f>
        <v>243.5</v>
      </c>
      <c r="AI624" s="158">
        <f>'Quantitativos (A)'!AG624*$D624*$E624</f>
        <v>243.5</v>
      </c>
      <c r="AJ624" s="22"/>
    </row>
    <row r="625" spans="1:36" x14ac:dyDescent="0.25">
      <c r="A625" s="21"/>
      <c r="B625" s="141" t="s">
        <v>644</v>
      </c>
      <c r="C625" s="125" t="s">
        <v>60</v>
      </c>
      <c r="D625" s="157">
        <f>'Dados (F)'!$D$405</f>
        <v>202.9</v>
      </c>
      <c r="E625" s="125">
        <f>IF('Dados (F)'!$D$35=1,1,'Dados (F)'!$C$39)</f>
        <v>1</v>
      </c>
      <c r="F625" s="157">
        <f>'Quantitativos (A)'!D625*$D625*$E625</f>
        <v>405.8</v>
      </c>
      <c r="G625" s="157">
        <f>'Quantitativos (A)'!E625*$D625*$E625</f>
        <v>405.8</v>
      </c>
      <c r="H625" s="157">
        <f>'Quantitativos (A)'!F625*$D625*$E625</f>
        <v>405.8</v>
      </c>
      <c r="I625" s="157">
        <f>'Quantitativos (A)'!G625*$D625*$E625</f>
        <v>405.8</v>
      </c>
      <c r="J625" s="157">
        <f>'Quantitativos (A)'!H625*$D625*$E625</f>
        <v>405.8</v>
      </c>
      <c r="K625" s="157">
        <f>'Quantitativos (A)'!I625*$D625*$E625</f>
        <v>405.8</v>
      </c>
      <c r="L625" s="157">
        <f>'Quantitativos (A)'!J625*$D625*$E625</f>
        <v>405.8</v>
      </c>
      <c r="M625" s="157">
        <f>'Quantitativos (A)'!K625*$D625*$E625</f>
        <v>405.8</v>
      </c>
      <c r="N625" s="157">
        <f>'Quantitativos (A)'!L625*$D625*$E625</f>
        <v>405.8</v>
      </c>
      <c r="O625" s="157">
        <f>'Quantitativos (A)'!M625*$D625*$E625</f>
        <v>405.8</v>
      </c>
      <c r="P625" s="157">
        <f>'Quantitativos (A)'!N625*$D625*$E625</f>
        <v>405.8</v>
      </c>
      <c r="Q625" s="157">
        <f>'Quantitativos (A)'!O625*$D625*$E625</f>
        <v>405.8</v>
      </c>
      <c r="R625" s="157">
        <f>'Quantitativos (A)'!P625*$D625*$E625</f>
        <v>405.8</v>
      </c>
      <c r="S625" s="157">
        <f>'Quantitativos (A)'!Q625*$D625*$E625</f>
        <v>405.8</v>
      </c>
      <c r="T625" s="157">
        <f>'Quantitativos (A)'!R625*$D625*$E625</f>
        <v>405.8</v>
      </c>
      <c r="U625" s="157">
        <f>'Quantitativos (A)'!S625*$D625*$E625</f>
        <v>405.8</v>
      </c>
      <c r="V625" s="157">
        <f>'Quantitativos (A)'!T625*$D625*$E625</f>
        <v>405.8</v>
      </c>
      <c r="W625" s="157">
        <f>'Quantitativos (A)'!U625*$D625*$E625</f>
        <v>405.8</v>
      </c>
      <c r="X625" s="157">
        <f>'Quantitativos (A)'!V625*$D625*$E625</f>
        <v>405.8</v>
      </c>
      <c r="Y625" s="157">
        <f>'Quantitativos (A)'!W625*$D625*$E625</f>
        <v>405.8</v>
      </c>
      <c r="Z625" s="157">
        <f>'Quantitativos (A)'!X625*$D625*$E625</f>
        <v>405.8</v>
      </c>
      <c r="AA625" s="157">
        <f>'Quantitativos (A)'!Y625*$D625*$E625</f>
        <v>405.8</v>
      </c>
      <c r="AB625" s="157">
        <f>'Quantitativos (A)'!Z625*$D625*$E625</f>
        <v>405.8</v>
      </c>
      <c r="AC625" s="157">
        <f>'Quantitativos (A)'!AA625*$D625*$E625</f>
        <v>405.8</v>
      </c>
      <c r="AD625" s="157">
        <f>'Quantitativos (A)'!AB625*$D625*$E625</f>
        <v>405.8</v>
      </c>
      <c r="AE625" s="157">
        <f>'Quantitativos (A)'!AC625*$D625*$E625</f>
        <v>405.8</v>
      </c>
      <c r="AF625" s="157">
        <f>'Quantitativos (A)'!AD625*$D625*$E625</f>
        <v>405.8</v>
      </c>
      <c r="AG625" s="157">
        <f>'Quantitativos (A)'!AE625*$D625*$E625</f>
        <v>405.8</v>
      </c>
      <c r="AH625" s="157">
        <f>'Quantitativos (A)'!AF625*$D625*$E625</f>
        <v>405.8</v>
      </c>
      <c r="AI625" s="158">
        <f>'Quantitativos (A)'!AG625*$D625*$E625</f>
        <v>405.8</v>
      </c>
      <c r="AJ625" s="22"/>
    </row>
    <row r="626" spans="1:36" x14ac:dyDescent="0.25">
      <c r="A626" s="21"/>
      <c r="B626" s="141" t="s">
        <v>645</v>
      </c>
      <c r="C626" s="125" t="s">
        <v>60</v>
      </c>
      <c r="D626" s="157">
        <f>'Dados (F)'!$D$406</f>
        <v>202.9</v>
      </c>
      <c r="E626" s="125">
        <f>IF('Dados (F)'!$D$35=1,1,'Dados (F)'!$C$39)</f>
        <v>1</v>
      </c>
      <c r="F626" s="157">
        <f>'Quantitativos (A)'!D626*$D626*$E626</f>
        <v>405.8</v>
      </c>
      <c r="G626" s="157">
        <f>'Quantitativos (A)'!E626*$D626*$E626</f>
        <v>405.8</v>
      </c>
      <c r="H626" s="157">
        <f>'Quantitativos (A)'!F626*$D626*$E626</f>
        <v>405.8</v>
      </c>
      <c r="I626" s="157">
        <f>'Quantitativos (A)'!G626*$D626*$E626</f>
        <v>405.8</v>
      </c>
      <c r="J626" s="157">
        <f>'Quantitativos (A)'!H626*$D626*$E626</f>
        <v>405.8</v>
      </c>
      <c r="K626" s="157">
        <f>'Quantitativos (A)'!I626*$D626*$E626</f>
        <v>405.8</v>
      </c>
      <c r="L626" s="157">
        <f>'Quantitativos (A)'!J626*$D626*$E626</f>
        <v>405.8</v>
      </c>
      <c r="M626" s="157">
        <f>'Quantitativos (A)'!K626*$D626*$E626</f>
        <v>405.8</v>
      </c>
      <c r="N626" s="157">
        <f>'Quantitativos (A)'!L626*$D626*$E626</f>
        <v>405.8</v>
      </c>
      <c r="O626" s="157">
        <f>'Quantitativos (A)'!M626*$D626*$E626</f>
        <v>405.8</v>
      </c>
      <c r="P626" s="157">
        <f>'Quantitativos (A)'!N626*$D626*$E626</f>
        <v>405.8</v>
      </c>
      <c r="Q626" s="157">
        <f>'Quantitativos (A)'!O626*$D626*$E626</f>
        <v>405.8</v>
      </c>
      <c r="R626" s="157">
        <f>'Quantitativos (A)'!P626*$D626*$E626</f>
        <v>405.8</v>
      </c>
      <c r="S626" s="157">
        <f>'Quantitativos (A)'!Q626*$D626*$E626</f>
        <v>405.8</v>
      </c>
      <c r="T626" s="157">
        <f>'Quantitativos (A)'!R626*$D626*$E626</f>
        <v>405.8</v>
      </c>
      <c r="U626" s="157">
        <f>'Quantitativos (A)'!S626*$D626*$E626</f>
        <v>405.8</v>
      </c>
      <c r="V626" s="157">
        <f>'Quantitativos (A)'!T626*$D626*$E626</f>
        <v>405.8</v>
      </c>
      <c r="W626" s="157">
        <f>'Quantitativos (A)'!U626*$D626*$E626</f>
        <v>405.8</v>
      </c>
      <c r="X626" s="157">
        <f>'Quantitativos (A)'!V626*$D626*$E626</f>
        <v>405.8</v>
      </c>
      <c r="Y626" s="157">
        <f>'Quantitativos (A)'!W626*$D626*$E626</f>
        <v>405.8</v>
      </c>
      <c r="Z626" s="157">
        <f>'Quantitativos (A)'!X626*$D626*$E626</f>
        <v>405.8</v>
      </c>
      <c r="AA626" s="157">
        <f>'Quantitativos (A)'!Y626*$D626*$E626</f>
        <v>405.8</v>
      </c>
      <c r="AB626" s="157">
        <f>'Quantitativos (A)'!Z626*$D626*$E626</f>
        <v>405.8</v>
      </c>
      <c r="AC626" s="157">
        <f>'Quantitativos (A)'!AA626*$D626*$E626</f>
        <v>405.8</v>
      </c>
      <c r="AD626" s="157">
        <f>'Quantitativos (A)'!AB626*$D626*$E626</f>
        <v>405.8</v>
      </c>
      <c r="AE626" s="157">
        <f>'Quantitativos (A)'!AC626*$D626*$E626</f>
        <v>405.8</v>
      </c>
      <c r="AF626" s="157">
        <f>'Quantitativos (A)'!AD626*$D626*$E626</f>
        <v>405.8</v>
      </c>
      <c r="AG626" s="157">
        <f>'Quantitativos (A)'!AE626*$D626*$E626</f>
        <v>405.8</v>
      </c>
      <c r="AH626" s="157">
        <f>'Quantitativos (A)'!AF626*$D626*$E626</f>
        <v>405.8</v>
      </c>
      <c r="AI626" s="158">
        <f>'Quantitativos (A)'!AG626*$D626*$E626</f>
        <v>405.8</v>
      </c>
      <c r="AJ626" s="22"/>
    </row>
    <row r="627" spans="1:36" x14ac:dyDescent="0.25">
      <c r="A627" s="21"/>
      <c r="B627" s="141" t="s">
        <v>646</v>
      </c>
      <c r="C627" s="125" t="s">
        <v>60</v>
      </c>
      <c r="D627" s="157">
        <f>'Dados (F)'!$D$407</f>
        <v>202.9</v>
      </c>
      <c r="E627" s="125">
        <f>IF('Dados (F)'!$D$35=1,1,'Dados (F)'!$C$39)</f>
        <v>1</v>
      </c>
      <c r="F627" s="157">
        <f>'Quantitativos (A)'!D627*$D627*$E627</f>
        <v>405.8</v>
      </c>
      <c r="G627" s="157">
        <f>'Quantitativos (A)'!E627*$D627*$E627</f>
        <v>405.8</v>
      </c>
      <c r="H627" s="157">
        <f>'Quantitativos (A)'!F627*$D627*$E627</f>
        <v>405.8</v>
      </c>
      <c r="I627" s="157">
        <f>'Quantitativos (A)'!G627*$D627*$E627</f>
        <v>405.8</v>
      </c>
      <c r="J627" s="157">
        <f>'Quantitativos (A)'!H627*$D627*$E627</f>
        <v>405.8</v>
      </c>
      <c r="K627" s="157">
        <f>'Quantitativos (A)'!I627*$D627*$E627</f>
        <v>405.8</v>
      </c>
      <c r="L627" s="157">
        <f>'Quantitativos (A)'!J627*$D627*$E627</f>
        <v>405.8</v>
      </c>
      <c r="M627" s="157">
        <f>'Quantitativos (A)'!K627*$D627*$E627</f>
        <v>405.8</v>
      </c>
      <c r="N627" s="157">
        <f>'Quantitativos (A)'!L627*$D627*$E627</f>
        <v>405.8</v>
      </c>
      <c r="O627" s="157">
        <f>'Quantitativos (A)'!M627*$D627*$E627</f>
        <v>405.8</v>
      </c>
      <c r="P627" s="157">
        <f>'Quantitativos (A)'!N627*$D627*$E627</f>
        <v>405.8</v>
      </c>
      <c r="Q627" s="157">
        <f>'Quantitativos (A)'!O627*$D627*$E627</f>
        <v>405.8</v>
      </c>
      <c r="R627" s="157">
        <f>'Quantitativos (A)'!P627*$D627*$E627</f>
        <v>405.8</v>
      </c>
      <c r="S627" s="157">
        <f>'Quantitativos (A)'!Q627*$D627*$E627</f>
        <v>405.8</v>
      </c>
      <c r="T627" s="157">
        <f>'Quantitativos (A)'!R627*$D627*$E627</f>
        <v>405.8</v>
      </c>
      <c r="U627" s="157">
        <f>'Quantitativos (A)'!S627*$D627*$E627</f>
        <v>405.8</v>
      </c>
      <c r="V627" s="157">
        <f>'Quantitativos (A)'!T627*$D627*$E627</f>
        <v>405.8</v>
      </c>
      <c r="W627" s="157">
        <f>'Quantitativos (A)'!U627*$D627*$E627</f>
        <v>405.8</v>
      </c>
      <c r="X627" s="157">
        <f>'Quantitativos (A)'!V627*$D627*$E627</f>
        <v>405.8</v>
      </c>
      <c r="Y627" s="157">
        <f>'Quantitativos (A)'!W627*$D627*$E627</f>
        <v>405.8</v>
      </c>
      <c r="Z627" s="157">
        <f>'Quantitativos (A)'!X627*$D627*$E627</f>
        <v>405.8</v>
      </c>
      <c r="AA627" s="157">
        <f>'Quantitativos (A)'!Y627*$D627*$E627</f>
        <v>405.8</v>
      </c>
      <c r="AB627" s="157">
        <f>'Quantitativos (A)'!Z627*$D627*$E627</f>
        <v>405.8</v>
      </c>
      <c r="AC627" s="157">
        <f>'Quantitativos (A)'!AA627*$D627*$E627</f>
        <v>405.8</v>
      </c>
      <c r="AD627" s="157">
        <f>'Quantitativos (A)'!AB627*$D627*$E627</f>
        <v>405.8</v>
      </c>
      <c r="AE627" s="157">
        <f>'Quantitativos (A)'!AC627*$D627*$E627</f>
        <v>405.8</v>
      </c>
      <c r="AF627" s="157">
        <f>'Quantitativos (A)'!AD627*$D627*$E627</f>
        <v>405.8</v>
      </c>
      <c r="AG627" s="157">
        <f>'Quantitativos (A)'!AE627*$D627*$E627</f>
        <v>405.8</v>
      </c>
      <c r="AH627" s="157">
        <f>'Quantitativos (A)'!AF627*$D627*$E627</f>
        <v>405.8</v>
      </c>
      <c r="AI627" s="158">
        <f>'Quantitativos (A)'!AG627*$D627*$E627</f>
        <v>405.8</v>
      </c>
      <c r="AJ627" s="22"/>
    </row>
    <row r="628" spans="1:36" x14ac:dyDescent="0.25">
      <c r="A628" s="21"/>
      <c r="B628" s="141" t="s">
        <v>647</v>
      </c>
      <c r="C628" s="125" t="s">
        <v>60</v>
      </c>
      <c r="D628" s="157">
        <f>'Dados (F)'!$D$408</f>
        <v>202.9</v>
      </c>
      <c r="E628" s="125">
        <f>IF('Dados (F)'!$D$35=1,1,'Dados (F)'!$C$39)</f>
        <v>1</v>
      </c>
      <c r="F628" s="157">
        <f>'Quantitativos (A)'!D628*$D628*$E628</f>
        <v>405.8</v>
      </c>
      <c r="G628" s="157">
        <f>'Quantitativos (A)'!E628*$D628*$E628</f>
        <v>405.8</v>
      </c>
      <c r="H628" s="157">
        <f>'Quantitativos (A)'!F628*$D628*$E628</f>
        <v>405.8</v>
      </c>
      <c r="I628" s="157">
        <f>'Quantitativos (A)'!G628*$D628*$E628</f>
        <v>405.8</v>
      </c>
      <c r="J628" s="157">
        <f>'Quantitativos (A)'!H628*$D628*$E628</f>
        <v>405.8</v>
      </c>
      <c r="K628" s="157">
        <f>'Quantitativos (A)'!I628*$D628*$E628</f>
        <v>405.8</v>
      </c>
      <c r="L628" s="157">
        <f>'Quantitativos (A)'!J628*$D628*$E628</f>
        <v>405.8</v>
      </c>
      <c r="M628" s="157">
        <f>'Quantitativos (A)'!K628*$D628*$E628</f>
        <v>405.8</v>
      </c>
      <c r="N628" s="157">
        <f>'Quantitativos (A)'!L628*$D628*$E628</f>
        <v>405.8</v>
      </c>
      <c r="O628" s="157">
        <f>'Quantitativos (A)'!M628*$D628*$E628</f>
        <v>405.8</v>
      </c>
      <c r="P628" s="157">
        <f>'Quantitativos (A)'!N628*$D628*$E628</f>
        <v>405.8</v>
      </c>
      <c r="Q628" s="157">
        <f>'Quantitativos (A)'!O628*$D628*$E628</f>
        <v>405.8</v>
      </c>
      <c r="R628" s="157">
        <f>'Quantitativos (A)'!P628*$D628*$E628</f>
        <v>405.8</v>
      </c>
      <c r="S628" s="157">
        <f>'Quantitativos (A)'!Q628*$D628*$E628</f>
        <v>405.8</v>
      </c>
      <c r="T628" s="157">
        <f>'Quantitativos (A)'!R628*$D628*$E628</f>
        <v>405.8</v>
      </c>
      <c r="U628" s="157">
        <f>'Quantitativos (A)'!S628*$D628*$E628</f>
        <v>405.8</v>
      </c>
      <c r="V628" s="157">
        <f>'Quantitativos (A)'!T628*$D628*$E628</f>
        <v>405.8</v>
      </c>
      <c r="W628" s="157">
        <f>'Quantitativos (A)'!U628*$D628*$E628</f>
        <v>405.8</v>
      </c>
      <c r="X628" s="157">
        <f>'Quantitativos (A)'!V628*$D628*$E628</f>
        <v>405.8</v>
      </c>
      <c r="Y628" s="157">
        <f>'Quantitativos (A)'!W628*$D628*$E628</f>
        <v>405.8</v>
      </c>
      <c r="Z628" s="157">
        <f>'Quantitativos (A)'!X628*$D628*$E628</f>
        <v>405.8</v>
      </c>
      <c r="AA628" s="157">
        <f>'Quantitativos (A)'!Y628*$D628*$E628</f>
        <v>405.8</v>
      </c>
      <c r="AB628" s="157">
        <f>'Quantitativos (A)'!Z628*$D628*$E628</f>
        <v>405.8</v>
      </c>
      <c r="AC628" s="157">
        <f>'Quantitativos (A)'!AA628*$D628*$E628</f>
        <v>405.8</v>
      </c>
      <c r="AD628" s="157">
        <f>'Quantitativos (A)'!AB628*$D628*$E628</f>
        <v>405.8</v>
      </c>
      <c r="AE628" s="157">
        <f>'Quantitativos (A)'!AC628*$D628*$E628</f>
        <v>405.8</v>
      </c>
      <c r="AF628" s="157">
        <f>'Quantitativos (A)'!AD628*$D628*$E628</f>
        <v>405.8</v>
      </c>
      <c r="AG628" s="157">
        <f>'Quantitativos (A)'!AE628*$D628*$E628</f>
        <v>405.8</v>
      </c>
      <c r="AH628" s="157">
        <f>'Quantitativos (A)'!AF628*$D628*$E628</f>
        <v>405.8</v>
      </c>
      <c r="AI628" s="158">
        <f>'Quantitativos (A)'!AG628*$D628*$E628</f>
        <v>405.8</v>
      </c>
      <c r="AJ628" s="22"/>
    </row>
    <row r="629" spans="1:36" x14ac:dyDescent="0.25">
      <c r="A629" s="21"/>
      <c r="B629" s="141" t="s">
        <v>648</v>
      </c>
      <c r="C629" s="125" t="s">
        <v>60</v>
      </c>
      <c r="D629" s="157">
        <f>'Dados (F)'!$D$409</f>
        <v>202.9</v>
      </c>
      <c r="E629" s="125">
        <f>IF('Dados (F)'!$D$35=1,1,'Dados (F)'!$C$39)</f>
        <v>1</v>
      </c>
      <c r="F629" s="157">
        <f>'Quantitativos (A)'!D629*$D629*$E629</f>
        <v>405.8</v>
      </c>
      <c r="G629" s="157">
        <f>'Quantitativos (A)'!E629*$D629*$E629</f>
        <v>405.8</v>
      </c>
      <c r="H629" s="157">
        <f>'Quantitativos (A)'!F629*$D629*$E629</f>
        <v>405.8</v>
      </c>
      <c r="I629" s="157">
        <f>'Quantitativos (A)'!G629*$D629*$E629</f>
        <v>405.8</v>
      </c>
      <c r="J629" s="157">
        <f>'Quantitativos (A)'!H629*$D629*$E629</f>
        <v>405.8</v>
      </c>
      <c r="K629" s="157">
        <f>'Quantitativos (A)'!I629*$D629*$E629</f>
        <v>405.8</v>
      </c>
      <c r="L629" s="157">
        <f>'Quantitativos (A)'!J629*$D629*$E629</f>
        <v>405.8</v>
      </c>
      <c r="M629" s="157">
        <f>'Quantitativos (A)'!K629*$D629*$E629</f>
        <v>405.8</v>
      </c>
      <c r="N629" s="157">
        <f>'Quantitativos (A)'!L629*$D629*$E629</f>
        <v>405.8</v>
      </c>
      <c r="O629" s="157">
        <f>'Quantitativos (A)'!M629*$D629*$E629</f>
        <v>405.8</v>
      </c>
      <c r="P629" s="157">
        <f>'Quantitativos (A)'!N629*$D629*$E629</f>
        <v>405.8</v>
      </c>
      <c r="Q629" s="157">
        <f>'Quantitativos (A)'!O629*$D629*$E629</f>
        <v>405.8</v>
      </c>
      <c r="R629" s="157">
        <f>'Quantitativos (A)'!P629*$D629*$E629</f>
        <v>405.8</v>
      </c>
      <c r="S629" s="157">
        <f>'Quantitativos (A)'!Q629*$D629*$E629</f>
        <v>405.8</v>
      </c>
      <c r="T629" s="157">
        <f>'Quantitativos (A)'!R629*$D629*$E629</f>
        <v>405.8</v>
      </c>
      <c r="U629" s="157">
        <f>'Quantitativos (A)'!S629*$D629*$E629</f>
        <v>405.8</v>
      </c>
      <c r="V629" s="157">
        <f>'Quantitativos (A)'!T629*$D629*$E629</f>
        <v>405.8</v>
      </c>
      <c r="W629" s="157">
        <f>'Quantitativos (A)'!U629*$D629*$E629</f>
        <v>405.8</v>
      </c>
      <c r="X629" s="157">
        <f>'Quantitativos (A)'!V629*$D629*$E629</f>
        <v>405.8</v>
      </c>
      <c r="Y629" s="157">
        <f>'Quantitativos (A)'!W629*$D629*$E629</f>
        <v>405.8</v>
      </c>
      <c r="Z629" s="157">
        <f>'Quantitativos (A)'!X629*$D629*$E629</f>
        <v>405.8</v>
      </c>
      <c r="AA629" s="157">
        <f>'Quantitativos (A)'!Y629*$D629*$E629</f>
        <v>405.8</v>
      </c>
      <c r="AB629" s="157">
        <f>'Quantitativos (A)'!Z629*$D629*$E629</f>
        <v>405.8</v>
      </c>
      <c r="AC629" s="157">
        <f>'Quantitativos (A)'!AA629*$D629*$E629</f>
        <v>405.8</v>
      </c>
      <c r="AD629" s="157">
        <f>'Quantitativos (A)'!AB629*$D629*$E629</f>
        <v>405.8</v>
      </c>
      <c r="AE629" s="157">
        <f>'Quantitativos (A)'!AC629*$D629*$E629</f>
        <v>405.8</v>
      </c>
      <c r="AF629" s="157">
        <f>'Quantitativos (A)'!AD629*$D629*$E629</f>
        <v>405.8</v>
      </c>
      <c r="AG629" s="157">
        <f>'Quantitativos (A)'!AE629*$D629*$E629</f>
        <v>405.8</v>
      </c>
      <c r="AH629" s="157">
        <f>'Quantitativos (A)'!AF629*$D629*$E629</f>
        <v>405.8</v>
      </c>
      <c r="AI629" s="158">
        <f>'Quantitativos (A)'!AG629*$D629*$E629</f>
        <v>405.8</v>
      </c>
      <c r="AJ629" s="22"/>
    </row>
    <row r="630" spans="1:36" x14ac:dyDescent="0.25">
      <c r="A630" s="21"/>
      <c r="B630" s="141" t="s">
        <v>649</v>
      </c>
      <c r="C630" s="125" t="s">
        <v>60</v>
      </c>
      <c r="D630" s="157">
        <f>'Dados (F)'!$D$410</f>
        <v>202.9</v>
      </c>
      <c r="E630" s="125">
        <f>IF('Dados (F)'!$D$35=1,1,'Dados (F)'!$C$39)</f>
        <v>1</v>
      </c>
      <c r="F630" s="157">
        <f>'Quantitativos (A)'!D630*$D630*$E630</f>
        <v>405.8</v>
      </c>
      <c r="G630" s="157">
        <f>'Quantitativos (A)'!E630*$D630*$E630</f>
        <v>405.8</v>
      </c>
      <c r="H630" s="157">
        <f>'Quantitativos (A)'!F630*$D630*$E630</f>
        <v>405.8</v>
      </c>
      <c r="I630" s="157">
        <f>'Quantitativos (A)'!G630*$D630*$E630</f>
        <v>405.8</v>
      </c>
      <c r="J630" s="157">
        <f>'Quantitativos (A)'!H630*$D630*$E630</f>
        <v>405.8</v>
      </c>
      <c r="K630" s="157">
        <f>'Quantitativos (A)'!I630*$D630*$E630</f>
        <v>405.8</v>
      </c>
      <c r="L630" s="157">
        <f>'Quantitativos (A)'!J630*$D630*$E630</f>
        <v>405.8</v>
      </c>
      <c r="M630" s="157">
        <f>'Quantitativos (A)'!K630*$D630*$E630</f>
        <v>405.8</v>
      </c>
      <c r="N630" s="157">
        <f>'Quantitativos (A)'!L630*$D630*$E630</f>
        <v>405.8</v>
      </c>
      <c r="O630" s="157">
        <f>'Quantitativos (A)'!M630*$D630*$E630</f>
        <v>405.8</v>
      </c>
      <c r="P630" s="157">
        <f>'Quantitativos (A)'!N630*$D630*$E630</f>
        <v>405.8</v>
      </c>
      <c r="Q630" s="157">
        <f>'Quantitativos (A)'!O630*$D630*$E630</f>
        <v>405.8</v>
      </c>
      <c r="R630" s="157">
        <f>'Quantitativos (A)'!P630*$D630*$E630</f>
        <v>405.8</v>
      </c>
      <c r="S630" s="157">
        <f>'Quantitativos (A)'!Q630*$D630*$E630</f>
        <v>405.8</v>
      </c>
      <c r="T630" s="157">
        <f>'Quantitativos (A)'!R630*$D630*$E630</f>
        <v>405.8</v>
      </c>
      <c r="U630" s="157">
        <f>'Quantitativos (A)'!S630*$D630*$E630</f>
        <v>405.8</v>
      </c>
      <c r="V630" s="157">
        <f>'Quantitativos (A)'!T630*$D630*$E630</f>
        <v>405.8</v>
      </c>
      <c r="W630" s="157">
        <f>'Quantitativos (A)'!U630*$D630*$E630</f>
        <v>405.8</v>
      </c>
      <c r="X630" s="157">
        <f>'Quantitativos (A)'!V630*$D630*$E630</f>
        <v>405.8</v>
      </c>
      <c r="Y630" s="157">
        <f>'Quantitativos (A)'!W630*$D630*$E630</f>
        <v>405.8</v>
      </c>
      <c r="Z630" s="157">
        <f>'Quantitativos (A)'!X630*$D630*$E630</f>
        <v>405.8</v>
      </c>
      <c r="AA630" s="157">
        <f>'Quantitativos (A)'!Y630*$D630*$E630</f>
        <v>405.8</v>
      </c>
      <c r="AB630" s="157">
        <f>'Quantitativos (A)'!Z630*$D630*$E630</f>
        <v>405.8</v>
      </c>
      <c r="AC630" s="157">
        <f>'Quantitativos (A)'!AA630*$D630*$E630</f>
        <v>405.8</v>
      </c>
      <c r="AD630" s="157">
        <f>'Quantitativos (A)'!AB630*$D630*$E630</f>
        <v>405.8</v>
      </c>
      <c r="AE630" s="157">
        <f>'Quantitativos (A)'!AC630*$D630*$E630</f>
        <v>405.8</v>
      </c>
      <c r="AF630" s="157">
        <f>'Quantitativos (A)'!AD630*$D630*$E630</f>
        <v>405.8</v>
      </c>
      <c r="AG630" s="157">
        <f>'Quantitativos (A)'!AE630*$D630*$E630</f>
        <v>405.8</v>
      </c>
      <c r="AH630" s="157">
        <f>'Quantitativos (A)'!AF630*$D630*$E630</f>
        <v>405.8</v>
      </c>
      <c r="AI630" s="158">
        <f>'Quantitativos (A)'!AG630*$D630*$E630</f>
        <v>405.8</v>
      </c>
      <c r="AJ630" s="22"/>
    </row>
    <row r="631" spans="1:36" x14ac:dyDescent="0.25">
      <c r="A631" s="21"/>
      <c r="B631" s="141" t="s">
        <v>650</v>
      </c>
      <c r="C631" s="125" t="s">
        <v>60</v>
      </c>
      <c r="D631" s="157">
        <f>'Dados (F)'!$D$411</f>
        <v>37.94</v>
      </c>
      <c r="E631" s="125">
        <f>IF('Dados (F)'!$D$35=1,1,'Dados (F)'!$C$39)</f>
        <v>1</v>
      </c>
      <c r="F631" s="157">
        <f>'Quantitativos (A)'!D631*$D631*$E631</f>
        <v>75.88</v>
      </c>
      <c r="G631" s="157">
        <f>'Quantitativos (A)'!E631*$D631*$E631</f>
        <v>75.88</v>
      </c>
      <c r="H631" s="157">
        <f>'Quantitativos (A)'!F631*$D631*$E631</f>
        <v>75.88</v>
      </c>
      <c r="I631" s="157">
        <f>'Quantitativos (A)'!G631*$D631*$E631</f>
        <v>75.88</v>
      </c>
      <c r="J631" s="157">
        <f>'Quantitativos (A)'!H631*$D631*$E631</f>
        <v>75.88</v>
      </c>
      <c r="K631" s="157">
        <f>'Quantitativos (A)'!I631*$D631*$E631</f>
        <v>75.88</v>
      </c>
      <c r="L631" s="157">
        <f>'Quantitativos (A)'!J631*$D631*$E631</f>
        <v>75.88</v>
      </c>
      <c r="M631" s="157">
        <f>'Quantitativos (A)'!K631*$D631*$E631</f>
        <v>75.88</v>
      </c>
      <c r="N631" s="157">
        <f>'Quantitativos (A)'!L631*$D631*$E631</f>
        <v>75.88</v>
      </c>
      <c r="O631" s="157">
        <f>'Quantitativos (A)'!M631*$D631*$E631</f>
        <v>75.88</v>
      </c>
      <c r="P631" s="157">
        <f>'Quantitativos (A)'!N631*$D631*$E631</f>
        <v>75.88</v>
      </c>
      <c r="Q631" s="157">
        <f>'Quantitativos (A)'!O631*$D631*$E631</f>
        <v>75.88</v>
      </c>
      <c r="R631" s="157">
        <f>'Quantitativos (A)'!P631*$D631*$E631</f>
        <v>75.88</v>
      </c>
      <c r="S631" s="157">
        <f>'Quantitativos (A)'!Q631*$D631*$E631</f>
        <v>75.88</v>
      </c>
      <c r="T631" s="157">
        <f>'Quantitativos (A)'!R631*$D631*$E631</f>
        <v>75.88</v>
      </c>
      <c r="U631" s="157">
        <f>'Quantitativos (A)'!S631*$D631*$E631</f>
        <v>75.88</v>
      </c>
      <c r="V631" s="157">
        <f>'Quantitativos (A)'!T631*$D631*$E631</f>
        <v>75.88</v>
      </c>
      <c r="W631" s="157">
        <f>'Quantitativos (A)'!U631*$D631*$E631</f>
        <v>75.88</v>
      </c>
      <c r="X631" s="157">
        <f>'Quantitativos (A)'!V631*$D631*$E631</f>
        <v>75.88</v>
      </c>
      <c r="Y631" s="157">
        <f>'Quantitativos (A)'!W631*$D631*$E631</f>
        <v>75.88</v>
      </c>
      <c r="Z631" s="157">
        <f>'Quantitativos (A)'!X631*$D631*$E631</f>
        <v>75.88</v>
      </c>
      <c r="AA631" s="157">
        <f>'Quantitativos (A)'!Y631*$D631*$E631</f>
        <v>75.88</v>
      </c>
      <c r="AB631" s="157">
        <f>'Quantitativos (A)'!Z631*$D631*$E631</f>
        <v>75.88</v>
      </c>
      <c r="AC631" s="157">
        <f>'Quantitativos (A)'!AA631*$D631*$E631</f>
        <v>75.88</v>
      </c>
      <c r="AD631" s="157">
        <f>'Quantitativos (A)'!AB631*$D631*$E631</f>
        <v>75.88</v>
      </c>
      <c r="AE631" s="157">
        <f>'Quantitativos (A)'!AC631*$D631*$E631</f>
        <v>75.88</v>
      </c>
      <c r="AF631" s="157">
        <f>'Quantitativos (A)'!AD631*$D631*$E631</f>
        <v>75.88</v>
      </c>
      <c r="AG631" s="157">
        <f>'Quantitativos (A)'!AE631*$D631*$E631</f>
        <v>75.88</v>
      </c>
      <c r="AH631" s="157">
        <f>'Quantitativos (A)'!AF631*$D631*$E631</f>
        <v>75.88</v>
      </c>
      <c r="AI631" s="158">
        <f>'Quantitativos (A)'!AG631*$D631*$E631</f>
        <v>75.88</v>
      </c>
      <c r="AJ631" s="22"/>
    </row>
    <row r="632" spans="1:36" x14ac:dyDescent="0.25">
      <c r="A632" s="21"/>
      <c r="B632" s="141" t="s">
        <v>651</v>
      </c>
      <c r="C632" s="125" t="s">
        <v>60</v>
      </c>
      <c r="D632" s="157">
        <f>'Dados (F)'!$D$412</f>
        <v>50.72</v>
      </c>
      <c r="E632" s="125">
        <f>IF('Dados (F)'!$D$35=1,1,'Dados (F)'!$C$39)</f>
        <v>1</v>
      </c>
      <c r="F632" s="157">
        <f>'Quantitativos (A)'!D632*$D632*$E632</f>
        <v>101.44</v>
      </c>
      <c r="G632" s="157">
        <f>'Quantitativos (A)'!E632*$D632*$E632</f>
        <v>101.44</v>
      </c>
      <c r="H632" s="157">
        <f>'Quantitativos (A)'!F632*$D632*$E632</f>
        <v>101.44</v>
      </c>
      <c r="I632" s="157">
        <f>'Quantitativos (A)'!G632*$D632*$E632</f>
        <v>101.44</v>
      </c>
      <c r="J632" s="157">
        <f>'Quantitativos (A)'!H632*$D632*$E632</f>
        <v>101.44</v>
      </c>
      <c r="K632" s="157">
        <f>'Quantitativos (A)'!I632*$D632*$E632</f>
        <v>101.44</v>
      </c>
      <c r="L632" s="157">
        <f>'Quantitativos (A)'!J632*$D632*$E632</f>
        <v>101.44</v>
      </c>
      <c r="M632" s="157">
        <f>'Quantitativos (A)'!K632*$D632*$E632</f>
        <v>101.44</v>
      </c>
      <c r="N632" s="157">
        <f>'Quantitativos (A)'!L632*$D632*$E632</f>
        <v>101.44</v>
      </c>
      <c r="O632" s="157">
        <f>'Quantitativos (A)'!M632*$D632*$E632</f>
        <v>101.44</v>
      </c>
      <c r="P632" s="157">
        <f>'Quantitativos (A)'!N632*$D632*$E632</f>
        <v>101.44</v>
      </c>
      <c r="Q632" s="157">
        <f>'Quantitativos (A)'!O632*$D632*$E632</f>
        <v>101.44</v>
      </c>
      <c r="R632" s="157">
        <f>'Quantitativos (A)'!P632*$D632*$E632</f>
        <v>101.44</v>
      </c>
      <c r="S632" s="157">
        <f>'Quantitativos (A)'!Q632*$D632*$E632</f>
        <v>101.44</v>
      </c>
      <c r="T632" s="157">
        <f>'Quantitativos (A)'!R632*$D632*$E632</f>
        <v>101.44</v>
      </c>
      <c r="U632" s="157">
        <f>'Quantitativos (A)'!S632*$D632*$E632</f>
        <v>101.44</v>
      </c>
      <c r="V632" s="157">
        <f>'Quantitativos (A)'!T632*$D632*$E632</f>
        <v>101.44</v>
      </c>
      <c r="W632" s="157">
        <f>'Quantitativos (A)'!U632*$D632*$E632</f>
        <v>101.44</v>
      </c>
      <c r="X632" s="157">
        <f>'Quantitativos (A)'!V632*$D632*$E632</f>
        <v>101.44</v>
      </c>
      <c r="Y632" s="157">
        <f>'Quantitativos (A)'!W632*$D632*$E632</f>
        <v>101.44</v>
      </c>
      <c r="Z632" s="157">
        <f>'Quantitativos (A)'!X632*$D632*$E632</f>
        <v>101.44</v>
      </c>
      <c r="AA632" s="157">
        <f>'Quantitativos (A)'!Y632*$D632*$E632</f>
        <v>101.44</v>
      </c>
      <c r="AB632" s="157">
        <f>'Quantitativos (A)'!Z632*$D632*$E632</f>
        <v>101.44</v>
      </c>
      <c r="AC632" s="157">
        <f>'Quantitativos (A)'!AA632*$D632*$E632</f>
        <v>101.44</v>
      </c>
      <c r="AD632" s="157">
        <f>'Quantitativos (A)'!AB632*$D632*$E632</f>
        <v>101.44</v>
      </c>
      <c r="AE632" s="157">
        <f>'Quantitativos (A)'!AC632*$D632*$E632</f>
        <v>101.44</v>
      </c>
      <c r="AF632" s="157">
        <f>'Quantitativos (A)'!AD632*$D632*$E632</f>
        <v>101.44</v>
      </c>
      <c r="AG632" s="157">
        <f>'Quantitativos (A)'!AE632*$D632*$E632</f>
        <v>101.44</v>
      </c>
      <c r="AH632" s="157">
        <f>'Quantitativos (A)'!AF632*$D632*$E632</f>
        <v>101.44</v>
      </c>
      <c r="AI632" s="158">
        <f>'Quantitativos (A)'!AG632*$D632*$E632</f>
        <v>101.44</v>
      </c>
      <c r="AJ632" s="22"/>
    </row>
    <row r="633" spans="1:36" x14ac:dyDescent="0.25">
      <c r="A633" s="21"/>
      <c r="B633" s="141" t="s">
        <v>652</v>
      </c>
      <c r="C633" s="125" t="s">
        <v>60</v>
      </c>
      <c r="D633" s="157">
        <f>'Dados (F)'!$D$413</f>
        <v>50.72</v>
      </c>
      <c r="E633" s="125">
        <f>IF('Dados (F)'!$D$35=1,1,'Dados (F)'!$C$39)</f>
        <v>1</v>
      </c>
      <c r="F633" s="157">
        <f>'Quantitativos (A)'!D633*$D633*$E633</f>
        <v>101.44</v>
      </c>
      <c r="G633" s="157">
        <f>'Quantitativos (A)'!E633*$D633*$E633</f>
        <v>101.44</v>
      </c>
      <c r="H633" s="157">
        <f>'Quantitativos (A)'!F633*$D633*$E633</f>
        <v>101.44</v>
      </c>
      <c r="I633" s="157">
        <f>'Quantitativos (A)'!G633*$D633*$E633</f>
        <v>101.44</v>
      </c>
      <c r="J633" s="157">
        <f>'Quantitativos (A)'!H633*$D633*$E633</f>
        <v>101.44</v>
      </c>
      <c r="K633" s="157">
        <f>'Quantitativos (A)'!I633*$D633*$E633</f>
        <v>101.44</v>
      </c>
      <c r="L633" s="157">
        <f>'Quantitativos (A)'!J633*$D633*$E633</f>
        <v>101.44</v>
      </c>
      <c r="M633" s="157">
        <f>'Quantitativos (A)'!K633*$D633*$E633</f>
        <v>101.44</v>
      </c>
      <c r="N633" s="157">
        <f>'Quantitativos (A)'!L633*$D633*$E633</f>
        <v>101.44</v>
      </c>
      <c r="O633" s="157">
        <f>'Quantitativos (A)'!M633*$D633*$E633</f>
        <v>101.44</v>
      </c>
      <c r="P633" s="157">
        <f>'Quantitativos (A)'!N633*$D633*$E633</f>
        <v>101.44</v>
      </c>
      <c r="Q633" s="157">
        <f>'Quantitativos (A)'!O633*$D633*$E633</f>
        <v>101.44</v>
      </c>
      <c r="R633" s="157">
        <f>'Quantitativos (A)'!P633*$D633*$E633</f>
        <v>101.44</v>
      </c>
      <c r="S633" s="157">
        <f>'Quantitativos (A)'!Q633*$D633*$E633</f>
        <v>101.44</v>
      </c>
      <c r="T633" s="157">
        <f>'Quantitativos (A)'!R633*$D633*$E633</f>
        <v>101.44</v>
      </c>
      <c r="U633" s="157">
        <f>'Quantitativos (A)'!S633*$D633*$E633</f>
        <v>101.44</v>
      </c>
      <c r="V633" s="157">
        <f>'Quantitativos (A)'!T633*$D633*$E633</f>
        <v>101.44</v>
      </c>
      <c r="W633" s="157">
        <f>'Quantitativos (A)'!U633*$D633*$E633</f>
        <v>101.44</v>
      </c>
      <c r="X633" s="157">
        <f>'Quantitativos (A)'!V633*$D633*$E633</f>
        <v>101.44</v>
      </c>
      <c r="Y633" s="157">
        <f>'Quantitativos (A)'!W633*$D633*$E633</f>
        <v>101.44</v>
      </c>
      <c r="Z633" s="157">
        <f>'Quantitativos (A)'!X633*$D633*$E633</f>
        <v>101.44</v>
      </c>
      <c r="AA633" s="157">
        <f>'Quantitativos (A)'!Y633*$D633*$E633</f>
        <v>101.44</v>
      </c>
      <c r="AB633" s="157">
        <f>'Quantitativos (A)'!Z633*$D633*$E633</f>
        <v>101.44</v>
      </c>
      <c r="AC633" s="157">
        <f>'Quantitativos (A)'!AA633*$D633*$E633</f>
        <v>101.44</v>
      </c>
      <c r="AD633" s="157">
        <f>'Quantitativos (A)'!AB633*$D633*$E633</f>
        <v>101.44</v>
      </c>
      <c r="AE633" s="157">
        <f>'Quantitativos (A)'!AC633*$D633*$E633</f>
        <v>101.44</v>
      </c>
      <c r="AF633" s="157">
        <f>'Quantitativos (A)'!AD633*$D633*$E633</f>
        <v>101.44</v>
      </c>
      <c r="AG633" s="157">
        <f>'Quantitativos (A)'!AE633*$D633*$E633</f>
        <v>101.44</v>
      </c>
      <c r="AH633" s="157">
        <f>'Quantitativos (A)'!AF633*$D633*$E633</f>
        <v>101.44</v>
      </c>
      <c r="AI633" s="158">
        <f>'Quantitativos (A)'!AG633*$D633*$E633</f>
        <v>101.44</v>
      </c>
      <c r="AJ633" s="22"/>
    </row>
    <row r="634" spans="1:36" x14ac:dyDescent="0.25">
      <c r="A634" s="21"/>
      <c r="B634" s="141" t="s">
        <v>653</v>
      </c>
      <c r="C634" s="125" t="s">
        <v>60</v>
      </c>
      <c r="D634" s="157">
        <f>'Dados (F)'!$D$414</f>
        <v>50.72</v>
      </c>
      <c r="E634" s="125">
        <f>IF('Dados (F)'!$D$35=1,1,'Dados (F)'!$C$39)</f>
        <v>1</v>
      </c>
      <c r="F634" s="157">
        <f>'Quantitativos (A)'!D634*$D634*$E634</f>
        <v>101.44</v>
      </c>
      <c r="G634" s="157">
        <f>'Quantitativos (A)'!E634*$D634*$E634</f>
        <v>101.44</v>
      </c>
      <c r="H634" s="157">
        <f>'Quantitativos (A)'!F634*$D634*$E634</f>
        <v>101.44</v>
      </c>
      <c r="I634" s="157">
        <f>'Quantitativos (A)'!G634*$D634*$E634</f>
        <v>101.44</v>
      </c>
      <c r="J634" s="157">
        <f>'Quantitativos (A)'!H634*$D634*$E634</f>
        <v>101.44</v>
      </c>
      <c r="K634" s="157">
        <f>'Quantitativos (A)'!I634*$D634*$E634</f>
        <v>101.44</v>
      </c>
      <c r="L634" s="157">
        <f>'Quantitativos (A)'!J634*$D634*$E634</f>
        <v>101.44</v>
      </c>
      <c r="M634" s="157">
        <f>'Quantitativos (A)'!K634*$D634*$E634</f>
        <v>101.44</v>
      </c>
      <c r="N634" s="157">
        <f>'Quantitativos (A)'!L634*$D634*$E634</f>
        <v>101.44</v>
      </c>
      <c r="O634" s="157">
        <f>'Quantitativos (A)'!M634*$D634*$E634</f>
        <v>101.44</v>
      </c>
      <c r="P634" s="157">
        <f>'Quantitativos (A)'!N634*$D634*$E634</f>
        <v>101.44</v>
      </c>
      <c r="Q634" s="157">
        <f>'Quantitativos (A)'!O634*$D634*$E634</f>
        <v>101.44</v>
      </c>
      <c r="R634" s="157">
        <f>'Quantitativos (A)'!P634*$D634*$E634</f>
        <v>101.44</v>
      </c>
      <c r="S634" s="157">
        <f>'Quantitativos (A)'!Q634*$D634*$E634</f>
        <v>101.44</v>
      </c>
      <c r="T634" s="157">
        <f>'Quantitativos (A)'!R634*$D634*$E634</f>
        <v>101.44</v>
      </c>
      <c r="U634" s="157">
        <f>'Quantitativos (A)'!S634*$D634*$E634</f>
        <v>101.44</v>
      </c>
      <c r="V634" s="157">
        <f>'Quantitativos (A)'!T634*$D634*$E634</f>
        <v>101.44</v>
      </c>
      <c r="W634" s="157">
        <f>'Quantitativos (A)'!U634*$D634*$E634</f>
        <v>101.44</v>
      </c>
      <c r="X634" s="157">
        <f>'Quantitativos (A)'!V634*$D634*$E634</f>
        <v>101.44</v>
      </c>
      <c r="Y634" s="157">
        <f>'Quantitativos (A)'!W634*$D634*$E634</f>
        <v>101.44</v>
      </c>
      <c r="Z634" s="157">
        <f>'Quantitativos (A)'!X634*$D634*$E634</f>
        <v>101.44</v>
      </c>
      <c r="AA634" s="157">
        <f>'Quantitativos (A)'!Y634*$D634*$E634</f>
        <v>101.44</v>
      </c>
      <c r="AB634" s="157">
        <f>'Quantitativos (A)'!Z634*$D634*$E634</f>
        <v>101.44</v>
      </c>
      <c r="AC634" s="157">
        <f>'Quantitativos (A)'!AA634*$D634*$E634</f>
        <v>101.44</v>
      </c>
      <c r="AD634" s="157">
        <f>'Quantitativos (A)'!AB634*$D634*$E634</f>
        <v>101.44</v>
      </c>
      <c r="AE634" s="157">
        <f>'Quantitativos (A)'!AC634*$D634*$E634</f>
        <v>101.44</v>
      </c>
      <c r="AF634" s="157">
        <f>'Quantitativos (A)'!AD634*$D634*$E634</f>
        <v>101.44</v>
      </c>
      <c r="AG634" s="157">
        <f>'Quantitativos (A)'!AE634*$D634*$E634</f>
        <v>101.44</v>
      </c>
      <c r="AH634" s="157">
        <f>'Quantitativos (A)'!AF634*$D634*$E634</f>
        <v>101.44</v>
      </c>
      <c r="AI634" s="158">
        <f>'Quantitativos (A)'!AG634*$D634*$E634</f>
        <v>101.44</v>
      </c>
      <c r="AJ634" s="22"/>
    </row>
    <row r="635" spans="1:36" x14ac:dyDescent="0.25">
      <c r="A635" s="21"/>
      <c r="B635" s="141" t="s">
        <v>654</v>
      </c>
      <c r="C635" s="125" t="s">
        <v>60</v>
      </c>
      <c r="D635" s="157">
        <f>'Dados (F)'!$D$415</f>
        <v>78.12</v>
      </c>
      <c r="E635" s="125">
        <f>IF('Dados (F)'!$D$35=1,1,'Dados (F)'!$C$39)</f>
        <v>1</v>
      </c>
      <c r="F635" s="157">
        <f>'Quantitativos (A)'!D635*$D635*$E635</f>
        <v>156.24</v>
      </c>
      <c r="G635" s="157">
        <f>'Quantitativos (A)'!E635*$D635*$E635</f>
        <v>156.24</v>
      </c>
      <c r="H635" s="157">
        <f>'Quantitativos (A)'!F635*$D635*$E635</f>
        <v>156.24</v>
      </c>
      <c r="I635" s="157">
        <f>'Quantitativos (A)'!G635*$D635*$E635</f>
        <v>156.24</v>
      </c>
      <c r="J635" s="157">
        <f>'Quantitativos (A)'!H635*$D635*$E635</f>
        <v>156.24</v>
      </c>
      <c r="K635" s="157">
        <f>'Quantitativos (A)'!I635*$D635*$E635</f>
        <v>156.24</v>
      </c>
      <c r="L635" s="157">
        <f>'Quantitativos (A)'!J635*$D635*$E635</f>
        <v>156.24</v>
      </c>
      <c r="M635" s="157">
        <f>'Quantitativos (A)'!K635*$D635*$E635</f>
        <v>156.24</v>
      </c>
      <c r="N635" s="157">
        <f>'Quantitativos (A)'!L635*$D635*$E635</f>
        <v>156.24</v>
      </c>
      <c r="O635" s="157">
        <f>'Quantitativos (A)'!M635*$D635*$E635</f>
        <v>156.24</v>
      </c>
      <c r="P635" s="157">
        <f>'Quantitativos (A)'!N635*$D635*$E635</f>
        <v>156.24</v>
      </c>
      <c r="Q635" s="157">
        <f>'Quantitativos (A)'!O635*$D635*$E635</f>
        <v>156.24</v>
      </c>
      <c r="R635" s="157">
        <f>'Quantitativos (A)'!P635*$D635*$E635</f>
        <v>156.24</v>
      </c>
      <c r="S635" s="157">
        <f>'Quantitativos (A)'!Q635*$D635*$E635</f>
        <v>156.24</v>
      </c>
      <c r="T635" s="157">
        <f>'Quantitativos (A)'!R635*$D635*$E635</f>
        <v>156.24</v>
      </c>
      <c r="U635" s="157">
        <f>'Quantitativos (A)'!S635*$D635*$E635</f>
        <v>156.24</v>
      </c>
      <c r="V635" s="157">
        <f>'Quantitativos (A)'!T635*$D635*$E635</f>
        <v>156.24</v>
      </c>
      <c r="W635" s="157">
        <f>'Quantitativos (A)'!U635*$D635*$E635</f>
        <v>156.24</v>
      </c>
      <c r="X635" s="157">
        <f>'Quantitativos (A)'!V635*$D635*$E635</f>
        <v>156.24</v>
      </c>
      <c r="Y635" s="157">
        <f>'Quantitativos (A)'!W635*$D635*$E635</f>
        <v>156.24</v>
      </c>
      <c r="Z635" s="157">
        <f>'Quantitativos (A)'!X635*$D635*$E635</f>
        <v>156.24</v>
      </c>
      <c r="AA635" s="157">
        <f>'Quantitativos (A)'!Y635*$D635*$E635</f>
        <v>156.24</v>
      </c>
      <c r="AB635" s="157">
        <f>'Quantitativos (A)'!Z635*$D635*$E635</f>
        <v>156.24</v>
      </c>
      <c r="AC635" s="157">
        <f>'Quantitativos (A)'!AA635*$D635*$E635</f>
        <v>156.24</v>
      </c>
      <c r="AD635" s="157">
        <f>'Quantitativos (A)'!AB635*$D635*$E635</f>
        <v>156.24</v>
      </c>
      <c r="AE635" s="157">
        <f>'Quantitativos (A)'!AC635*$D635*$E635</f>
        <v>156.24</v>
      </c>
      <c r="AF635" s="157">
        <f>'Quantitativos (A)'!AD635*$D635*$E635</f>
        <v>156.24</v>
      </c>
      <c r="AG635" s="157">
        <f>'Quantitativos (A)'!AE635*$D635*$E635</f>
        <v>156.24</v>
      </c>
      <c r="AH635" s="157">
        <f>'Quantitativos (A)'!AF635*$D635*$E635</f>
        <v>156.24</v>
      </c>
      <c r="AI635" s="158">
        <f>'Quantitativos (A)'!AG635*$D635*$E635</f>
        <v>156.24</v>
      </c>
      <c r="AJ635" s="22"/>
    </row>
    <row r="636" spans="1:36" x14ac:dyDescent="0.25">
      <c r="A636" s="21"/>
      <c r="B636" s="141" t="s">
        <v>655</v>
      </c>
      <c r="C636" s="125" t="s">
        <v>60</v>
      </c>
      <c r="D636" s="157">
        <f>'Dados (F)'!$D$416</f>
        <v>25.37</v>
      </c>
      <c r="E636" s="125">
        <f>IF('Dados (F)'!$D$35=1,1,'Dados (F)'!$C$39)</f>
        <v>1</v>
      </c>
      <c r="F636" s="157">
        <f>'Quantitativos (A)'!D636*$D636*$E636</f>
        <v>50.74</v>
      </c>
      <c r="G636" s="157">
        <f>'Quantitativos (A)'!E636*$D636*$E636</f>
        <v>50.74</v>
      </c>
      <c r="H636" s="157">
        <f>'Quantitativos (A)'!F636*$D636*$E636</f>
        <v>50.74</v>
      </c>
      <c r="I636" s="157">
        <f>'Quantitativos (A)'!G636*$D636*$E636</f>
        <v>50.74</v>
      </c>
      <c r="J636" s="157">
        <f>'Quantitativos (A)'!H636*$D636*$E636</f>
        <v>50.74</v>
      </c>
      <c r="K636" s="157">
        <f>'Quantitativos (A)'!I636*$D636*$E636</f>
        <v>50.74</v>
      </c>
      <c r="L636" s="157">
        <f>'Quantitativos (A)'!J636*$D636*$E636</f>
        <v>50.74</v>
      </c>
      <c r="M636" s="157">
        <f>'Quantitativos (A)'!K636*$D636*$E636</f>
        <v>50.74</v>
      </c>
      <c r="N636" s="157">
        <f>'Quantitativos (A)'!L636*$D636*$E636</f>
        <v>50.74</v>
      </c>
      <c r="O636" s="157">
        <f>'Quantitativos (A)'!M636*$D636*$E636</f>
        <v>50.74</v>
      </c>
      <c r="P636" s="157">
        <f>'Quantitativos (A)'!N636*$D636*$E636</f>
        <v>50.74</v>
      </c>
      <c r="Q636" s="157">
        <f>'Quantitativos (A)'!O636*$D636*$E636</f>
        <v>50.74</v>
      </c>
      <c r="R636" s="157">
        <f>'Quantitativos (A)'!P636*$D636*$E636</f>
        <v>50.74</v>
      </c>
      <c r="S636" s="157">
        <f>'Quantitativos (A)'!Q636*$D636*$E636</f>
        <v>50.74</v>
      </c>
      <c r="T636" s="157">
        <f>'Quantitativos (A)'!R636*$D636*$E636</f>
        <v>50.74</v>
      </c>
      <c r="U636" s="157">
        <f>'Quantitativos (A)'!S636*$D636*$E636</f>
        <v>50.74</v>
      </c>
      <c r="V636" s="157">
        <f>'Quantitativos (A)'!T636*$D636*$E636</f>
        <v>50.74</v>
      </c>
      <c r="W636" s="157">
        <f>'Quantitativos (A)'!U636*$D636*$E636</f>
        <v>50.74</v>
      </c>
      <c r="X636" s="157">
        <f>'Quantitativos (A)'!V636*$D636*$E636</f>
        <v>50.74</v>
      </c>
      <c r="Y636" s="157">
        <f>'Quantitativos (A)'!W636*$D636*$E636</f>
        <v>50.74</v>
      </c>
      <c r="Z636" s="157">
        <f>'Quantitativos (A)'!X636*$D636*$E636</f>
        <v>50.74</v>
      </c>
      <c r="AA636" s="157">
        <f>'Quantitativos (A)'!Y636*$D636*$E636</f>
        <v>50.74</v>
      </c>
      <c r="AB636" s="157">
        <f>'Quantitativos (A)'!Z636*$D636*$E636</f>
        <v>50.74</v>
      </c>
      <c r="AC636" s="157">
        <f>'Quantitativos (A)'!AA636*$D636*$E636</f>
        <v>50.74</v>
      </c>
      <c r="AD636" s="157">
        <f>'Quantitativos (A)'!AB636*$D636*$E636</f>
        <v>50.74</v>
      </c>
      <c r="AE636" s="157">
        <f>'Quantitativos (A)'!AC636*$D636*$E636</f>
        <v>50.74</v>
      </c>
      <c r="AF636" s="157">
        <f>'Quantitativos (A)'!AD636*$D636*$E636</f>
        <v>50.74</v>
      </c>
      <c r="AG636" s="157">
        <f>'Quantitativos (A)'!AE636*$D636*$E636</f>
        <v>50.74</v>
      </c>
      <c r="AH636" s="157">
        <f>'Quantitativos (A)'!AF636*$D636*$E636</f>
        <v>50.74</v>
      </c>
      <c r="AI636" s="158">
        <f>'Quantitativos (A)'!AG636*$D636*$E636</f>
        <v>50.74</v>
      </c>
      <c r="AJ636" s="22"/>
    </row>
    <row r="637" spans="1:36" x14ac:dyDescent="0.25">
      <c r="A637" s="21"/>
      <c r="B637" s="141" t="s">
        <v>656</v>
      </c>
      <c r="C637" s="125" t="s">
        <v>60</v>
      </c>
      <c r="D637" s="157">
        <f>'Dados (F)'!$D$417</f>
        <v>12.78</v>
      </c>
      <c r="E637" s="125">
        <f>IF('Dados (F)'!$D$35=1,1,'Dados (F)'!$C$39)</f>
        <v>1</v>
      </c>
      <c r="F637" s="157">
        <f>'Quantitativos (A)'!D637*$D637*$E637</f>
        <v>25.56</v>
      </c>
      <c r="G637" s="157">
        <f>'Quantitativos (A)'!E637*$D637*$E637</f>
        <v>25.56</v>
      </c>
      <c r="H637" s="157">
        <f>'Quantitativos (A)'!F637*$D637*$E637</f>
        <v>25.56</v>
      </c>
      <c r="I637" s="157">
        <f>'Quantitativos (A)'!G637*$D637*$E637</f>
        <v>25.56</v>
      </c>
      <c r="J637" s="157">
        <f>'Quantitativos (A)'!H637*$D637*$E637</f>
        <v>25.56</v>
      </c>
      <c r="K637" s="157">
        <f>'Quantitativos (A)'!I637*$D637*$E637</f>
        <v>25.56</v>
      </c>
      <c r="L637" s="157">
        <f>'Quantitativos (A)'!J637*$D637*$E637</f>
        <v>25.56</v>
      </c>
      <c r="M637" s="157">
        <f>'Quantitativos (A)'!K637*$D637*$E637</f>
        <v>25.56</v>
      </c>
      <c r="N637" s="157">
        <f>'Quantitativos (A)'!L637*$D637*$E637</f>
        <v>25.56</v>
      </c>
      <c r="O637" s="157">
        <f>'Quantitativos (A)'!M637*$D637*$E637</f>
        <v>25.56</v>
      </c>
      <c r="P637" s="157">
        <f>'Quantitativos (A)'!N637*$D637*$E637</f>
        <v>25.56</v>
      </c>
      <c r="Q637" s="157">
        <f>'Quantitativos (A)'!O637*$D637*$E637</f>
        <v>25.56</v>
      </c>
      <c r="R637" s="157">
        <f>'Quantitativos (A)'!P637*$D637*$E637</f>
        <v>25.56</v>
      </c>
      <c r="S637" s="157">
        <f>'Quantitativos (A)'!Q637*$D637*$E637</f>
        <v>25.56</v>
      </c>
      <c r="T637" s="157">
        <f>'Quantitativos (A)'!R637*$D637*$E637</f>
        <v>25.56</v>
      </c>
      <c r="U637" s="157">
        <f>'Quantitativos (A)'!S637*$D637*$E637</f>
        <v>25.56</v>
      </c>
      <c r="V637" s="157">
        <f>'Quantitativos (A)'!T637*$D637*$E637</f>
        <v>25.56</v>
      </c>
      <c r="W637" s="157">
        <f>'Quantitativos (A)'!U637*$D637*$E637</f>
        <v>25.56</v>
      </c>
      <c r="X637" s="157">
        <f>'Quantitativos (A)'!V637*$D637*$E637</f>
        <v>25.56</v>
      </c>
      <c r="Y637" s="157">
        <f>'Quantitativos (A)'!W637*$D637*$E637</f>
        <v>25.56</v>
      </c>
      <c r="Z637" s="157">
        <f>'Quantitativos (A)'!X637*$D637*$E637</f>
        <v>25.56</v>
      </c>
      <c r="AA637" s="157">
        <f>'Quantitativos (A)'!Y637*$D637*$E637</f>
        <v>25.56</v>
      </c>
      <c r="AB637" s="157">
        <f>'Quantitativos (A)'!Z637*$D637*$E637</f>
        <v>25.56</v>
      </c>
      <c r="AC637" s="157">
        <f>'Quantitativos (A)'!AA637*$D637*$E637</f>
        <v>25.56</v>
      </c>
      <c r="AD637" s="157">
        <f>'Quantitativos (A)'!AB637*$D637*$E637</f>
        <v>25.56</v>
      </c>
      <c r="AE637" s="157">
        <f>'Quantitativos (A)'!AC637*$D637*$E637</f>
        <v>25.56</v>
      </c>
      <c r="AF637" s="157">
        <f>'Quantitativos (A)'!AD637*$D637*$E637</f>
        <v>25.56</v>
      </c>
      <c r="AG637" s="157">
        <f>'Quantitativos (A)'!AE637*$D637*$E637</f>
        <v>25.56</v>
      </c>
      <c r="AH637" s="157">
        <f>'Quantitativos (A)'!AF637*$D637*$E637</f>
        <v>25.56</v>
      </c>
      <c r="AI637" s="158">
        <f>'Quantitativos (A)'!AG637*$D637*$E637</f>
        <v>25.56</v>
      </c>
      <c r="AJ637" s="22"/>
    </row>
    <row r="638" spans="1:36" x14ac:dyDescent="0.25">
      <c r="A638" s="21"/>
      <c r="B638" s="141" t="s">
        <v>657</v>
      </c>
      <c r="C638" s="125" t="s">
        <v>60</v>
      </c>
      <c r="D638" s="157">
        <f>'Dados (F)'!$D$418</f>
        <v>7.71</v>
      </c>
      <c r="E638" s="125">
        <f>IF('Dados (F)'!$D$35=1,1,'Dados (F)'!$C$39)</f>
        <v>1</v>
      </c>
      <c r="F638" s="157">
        <f>'Quantitativos (A)'!D638*$D638*$E638</f>
        <v>15.42</v>
      </c>
      <c r="G638" s="157">
        <f>'Quantitativos (A)'!E638*$D638*$E638</f>
        <v>15.42</v>
      </c>
      <c r="H638" s="157">
        <f>'Quantitativos (A)'!F638*$D638*$E638</f>
        <v>15.42</v>
      </c>
      <c r="I638" s="157">
        <f>'Quantitativos (A)'!G638*$D638*$E638</f>
        <v>15.42</v>
      </c>
      <c r="J638" s="157">
        <f>'Quantitativos (A)'!H638*$D638*$E638</f>
        <v>15.42</v>
      </c>
      <c r="K638" s="157">
        <f>'Quantitativos (A)'!I638*$D638*$E638</f>
        <v>15.42</v>
      </c>
      <c r="L638" s="157">
        <f>'Quantitativos (A)'!J638*$D638*$E638</f>
        <v>15.42</v>
      </c>
      <c r="M638" s="157">
        <f>'Quantitativos (A)'!K638*$D638*$E638</f>
        <v>15.42</v>
      </c>
      <c r="N638" s="157">
        <f>'Quantitativos (A)'!L638*$D638*$E638</f>
        <v>15.42</v>
      </c>
      <c r="O638" s="157">
        <f>'Quantitativos (A)'!M638*$D638*$E638</f>
        <v>15.42</v>
      </c>
      <c r="P638" s="157">
        <f>'Quantitativos (A)'!N638*$D638*$E638</f>
        <v>15.42</v>
      </c>
      <c r="Q638" s="157">
        <f>'Quantitativos (A)'!O638*$D638*$E638</f>
        <v>15.42</v>
      </c>
      <c r="R638" s="157">
        <f>'Quantitativos (A)'!P638*$D638*$E638</f>
        <v>15.42</v>
      </c>
      <c r="S638" s="157">
        <f>'Quantitativos (A)'!Q638*$D638*$E638</f>
        <v>15.42</v>
      </c>
      <c r="T638" s="157">
        <f>'Quantitativos (A)'!R638*$D638*$E638</f>
        <v>15.42</v>
      </c>
      <c r="U638" s="157">
        <f>'Quantitativos (A)'!S638*$D638*$E638</f>
        <v>15.42</v>
      </c>
      <c r="V638" s="157">
        <f>'Quantitativos (A)'!T638*$D638*$E638</f>
        <v>15.42</v>
      </c>
      <c r="W638" s="157">
        <f>'Quantitativos (A)'!U638*$D638*$E638</f>
        <v>15.42</v>
      </c>
      <c r="X638" s="157">
        <f>'Quantitativos (A)'!V638*$D638*$E638</f>
        <v>15.42</v>
      </c>
      <c r="Y638" s="157">
        <f>'Quantitativos (A)'!W638*$D638*$E638</f>
        <v>15.42</v>
      </c>
      <c r="Z638" s="157">
        <f>'Quantitativos (A)'!X638*$D638*$E638</f>
        <v>15.42</v>
      </c>
      <c r="AA638" s="157">
        <f>'Quantitativos (A)'!Y638*$D638*$E638</f>
        <v>15.42</v>
      </c>
      <c r="AB638" s="157">
        <f>'Quantitativos (A)'!Z638*$D638*$E638</f>
        <v>15.42</v>
      </c>
      <c r="AC638" s="157">
        <f>'Quantitativos (A)'!AA638*$D638*$E638</f>
        <v>15.42</v>
      </c>
      <c r="AD638" s="157">
        <f>'Quantitativos (A)'!AB638*$D638*$E638</f>
        <v>15.42</v>
      </c>
      <c r="AE638" s="157">
        <f>'Quantitativos (A)'!AC638*$D638*$E638</f>
        <v>15.42</v>
      </c>
      <c r="AF638" s="157">
        <f>'Quantitativos (A)'!AD638*$D638*$E638</f>
        <v>15.42</v>
      </c>
      <c r="AG638" s="157">
        <f>'Quantitativos (A)'!AE638*$D638*$E638</f>
        <v>15.42</v>
      </c>
      <c r="AH638" s="157">
        <f>'Quantitativos (A)'!AF638*$D638*$E638</f>
        <v>15.42</v>
      </c>
      <c r="AI638" s="158">
        <f>'Quantitativos (A)'!AG638*$D638*$E638</f>
        <v>15.42</v>
      </c>
      <c r="AJ638" s="22"/>
    </row>
    <row r="639" spans="1:36" x14ac:dyDescent="0.25">
      <c r="A639" s="21"/>
      <c r="B639" s="141" t="s">
        <v>658</v>
      </c>
      <c r="C639" s="125" t="s">
        <v>60</v>
      </c>
      <c r="D639" s="157">
        <f>'Dados (F)'!$D$419</f>
        <v>25.37</v>
      </c>
      <c r="E639" s="125">
        <f>IF('Dados (F)'!$D$35=1,1,'Dados (F)'!$C$39)</f>
        <v>1</v>
      </c>
      <c r="F639" s="157">
        <f>'Quantitativos (A)'!D639*$D639*$E639</f>
        <v>50.74</v>
      </c>
      <c r="G639" s="157">
        <f>'Quantitativos (A)'!E639*$D639*$E639</f>
        <v>50.74</v>
      </c>
      <c r="H639" s="157">
        <f>'Quantitativos (A)'!F639*$D639*$E639</f>
        <v>50.74</v>
      </c>
      <c r="I639" s="157">
        <f>'Quantitativos (A)'!G639*$D639*$E639</f>
        <v>50.74</v>
      </c>
      <c r="J639" s="157">
        <f>'Quantitativos (A)'!H639*$D639*$E639</f>
        <v>50.74</v>
      </c>
      <c r="K639" s="157">
        <f>'Quantitativos (A)'!I639*$D639*$E639</f>
        <v>50.74</v>
      </c>
      <c r="L639" s="157">
        <f>'Quantitativos (A)'!J639*$D639*$E639</f>
        <v>50.74</v>
      </c>
      <c r="M639" s="157">
        <f>'Quantitativos (A)'!K639*$D639*$E639</f>
        <v>50.74</v>
      </c>
      <c r="N639" s="157">
        <f>'Quantitativos (A)'!L639*$D639*$E639</f>
        <v>50.74</v>
      </c>
      <c r="O639" s="157">
        <f>'Quantitativos (A)'!M639*$D639*$E639</f>
        <v>50.74</v>
      </c>
      <c r="P639" s="157">
        <f>'Quantitativos (A)'!N639*$D639*$E639</f>
        <v>50.74</v>
      </c>
      <c r="Q639" s="157">
        <f>'Quantitativos (A)'!O639*$D639*$E639</f>
        <v>50.74</v>
      </c>
      <c r="R639" s="157">
        <f>'Quantitativos (A)'!P639*$D639*$E639</f>
        <v>50.74</v>
      </c>
      <c r="S639" s="157">
        <f>'Quantitativos (A)'!Q639*$D639*$E639</f>
        <v>50.74</v>
      </c>
      <c r="T639" s="157">
        <f>'Quantitativos (A)'!R639*$D639*$E639</f>
        <v>50.74</v>
      </c>
      <c r="U639" s="157">
        <f>'Quantitativos (A)'!S639*$D639*$E639</f>
        <v>50.74</v>
      </c>
      <c r="V639" s="157">
        <f>'Quantitativos (A)'!T639*$D639*$E639</f>
        <v>50.74</v>
      </c>
      <c r="W639" s="157">
        <f>'Quantitativos (A)'!U639*$D639*$E639</f>
        <v>50.74</v>
      </c>
      <c r="X639" s="157">
        <f>'Quantitativos (A)'!V639*$D639*$E639</f>
        <v>50.74</v>
      </c>
      <c r="Y639" s="157">
        <f>'Quantitativos (A)'!W639*$D639*$E639</f>
        <v>50.74</v>
      </c>
      <c r="Z639" s="157">
        <f>'Quantitativos (A)'!X639*$D639*$E639</f>
        <v>50.74</v>
      </c>
      <c r="AA639" s="157">
        <f>'Quantitativos (A)'!Y639*$D639*$E639</f>
        <v>50.74</v>
      </c>
      <c r="AB639" s="157">
        <f>'Quantitativos (A)'!Z639*$D639*$E639</f>
        <v>50.74</v>
      </c>
      <c r="AC639" s="157">
        <f>'Quantitativos (A)'!AA639*$D639*$E639</f>
        <v>50.74</v>
      </c>
      <c r="AD639" s="157">
        <f>'Quantitativos (A)'!AB639*$D639*$E639</f>
        <v>50.74</v>
      </c>
      <c r="AE639" s="157">
        <f>'Quantitativos (A)'!AC639*$D639*$E639</f>
        <v>50.74</v>
      </c>
      <c r="AF639" s="157">
        <f>'Quantitativos (A)'!AD639*$D639*$E639</f>
        <v>50.74</v>
      </c>
      <c r="AG639" s="157">
        <f>'Quantitativos (A)'!AE639*$D639*$E639</f>
        <v>50.74</v>
      </c>
      <c r="AH639" s="157">
        <f>'Quantitativos (A)'!AF639*$D639*$E639</f>
        <v>50.74</v>
      </c>
      <c r="AI639" s="158">
        <f>'Quantitativos (A)'!AG639*$D639*$E639</f>
        <v>50.74</v>
      </c>
      <c r="AJ639" s="22"/>
    </row>
    <row r="640" spans="1:36" x14ac:dyDescent="0.25">
      <c r="A640" s="21"/>
      <c r="B640" s="141" t="s">
        <v>659</v>
      </c>
      <c r="C640" s="125" t="s">
        <v>60</v>
      </c>
      <c r="D640" s="157">
        <f>'Dados (F)'!$D$420</f>
        <v>50.72</v>
      </c>
      <c r="E640" s="125">
        <f>IF('Dados (F)'!$D$35=1,1,'Dados (F)'!$C$39)</f>
        <v>1</v>
      </c>
      <c r="F640" s="157">
        <f>'Quantitativos (A)'!D640*$D640*$E640</f>
        <v>101.44</v>
      </c>
      <c r="G640" s="157">
        <f>'Quantitativos (A)'!E640*$D640*$E640</f>
        <v>101.44</v>
      </c>
      <c r="H640" s="157">
        <f>'Quantitativos (A)'!F640*$D640*$E640</f>
        <v>101.44</v>
      </c>
      <c r="I640" s="157">
        <f>'Quantitativos (A)'!G640*$D640*$E640</f>
        <v>101.44</v>
      </c>
      <c r="J640" s="157">
        <f>'Quantitativos (A)'!H640*$D640*$E640</f>
        <v>101.44</v>
      </c>
      <c r="K640" s="157">
        <f>'Quantitativos (A)'!I640*$D640*$E640</f>
        <v>101.44</v>
      </c>
      <c r="L640" s="157">
        <f>'Quantitativos (A)'!J640*$D640*$E640</f>
        <v>101.44</v>
      </c>
      <c r="M640" s="157">
        <f>'Quantitativos (A)'!K640*$D640*$E640</f>
        <v>101.44</v>
      </c>
      <c r="N640" s="157">
        <f>'Quantitativos (A)'!L640*$D640*$E640</f>
        <v>101.44</v>
      </c>
      <c r="O640" s="157">
        <f>'Quantitativos (A)'!M640*$D640*$E640</f>
        <v>101.44</v>
      </c>
      <c r="P640" s="157">
        <f>'Quantitativos (A)'!N640*$D640*$E640</f>
        <v>101.44</v>
      </c>
      <c r="Q640" s="157">
        <f>'Quantitativos (A)'!O640*$D640*$E640</f>
        <v>101.44</v>
      </c>
      <c r="R640" s="157">
        <f>'Quantitativos (A)'!P640*$D640*$E640</f>
        <v>101.44</v>
      </c>
      <c r="S640" s="157">
        <f>'Quantitativos (A)'!Q640*$D640*$E640</f>
        <v>101.44</v>
      </c>
      <c r="T640" s="157">
        <f>'Quantitativos (A)'!R640*$D640*$E640</f>
        <v>101.44</v>
      </c>
      <c r="U640" s="157">
        <f>'Quantitativos (A)'!S640*$D640*$E640</f>
        <v>101.44</v>
      </c>
      <c r="V640" s="157">
        <f>'Quantitativos (A)'!T640*$D640*$E640</f>
        <v>101.44</v>
      </c>
      <c r="W640" s="157">
        <f>'Quantitativos (A)'!U640*$D640*$E640</f>
        <v>101.44</v>
      </c>
      <c r="X640" s="157">
        <f>'Quantitativos (A)'!V640*$D640*$E640</f>
        <v>101.44</v>
      </c>
      <c r="Y640" s="157">
        <f>'Quantitativos (A)'!W640*$D640*$E640</f>
        <v>101.44</v>
      </c>
      <c r="Z640" s="157">
        <f>'Quantitativos (A)'!X640*$D640*$E640</f>
        <v>101.44</v>
      </c>
      <c r="AA640" s="157">
        <f>'Quantitativos (A)'!Y640*$D640*$E640</f>
        <v>101.44</v>
      </c>
      <c r="AB640" s="157">
        <f>'Quantitativos (A)'!Z640*$D640*$E640</f>
        <v>101.44</v>
      </c>
      <c r="AC640" s="157">
        <f>'Quantitativos (A)'!AA640*$D640*$E640</f>
        <v>101.44</v>
      </c>
      <c r="AD640" s="157">
        <f>'Quantitativos (A)'!AB640*$D640*$E640</f>
        <v>101.44</v>
      </c>
      <c r="AE640" s="157">
        <f>'Quantitativos (A)'!AC640*$D640*$E640</f>
        <v>101.44</v>
      </c>
      <c r="AF640" s="157">
        <f>'Quantitativos (A)'!AD640*$D640*$E640</f>
        <v>101.44</v>
      </c>
      <c r="AG640" s="157">
        <f>'Quantitativos (A)'!AE640*$D640*$E640</f>
        <v>101.44</v>
      </c>
      <c r="AH640" s="157">
        <f>'Quantitativos (A)'!AF640*$D640*$E640</f>
        <v>101.44</v>
      </c>
      <c r="AI640" s="158">
        <f>'Quantitativos (A)'!AG640*$D640*$E640</f>
        <v>101.44</v>
      </c>
      <c r="AJ640" s="22"/>
    </row>
    <row r="641" spans="1:36" x14ac:dyDescent="0.25">
      <c r="A641" s="21"/>
      <c r="B641" s="141" t="s">
        <v>660</v>
      </c>
      <c r="C641" s="125" t="s">
        <v>60</v>
      </c>
      <c r="D641" s="157">
        <f>'Dados (F)'!$D$421</f>
        <v>55.8</v>
      </c>
      <c r="E641" s="125">
        <f>IF('Dados (F)'!$D$35=1,1,'Dados (F)'!$C$39)</f>
        <v>1</v>
      </c>
      <c r="F641" s="157">
        <f>'Quantitativos (A)'!D641*$D641*$E641</f>
        <v>111.6</v>
      </c>
      <c r="G641" s="157">
        <f>'Quantitativos (A)'!E641*$D641*$E641</f>
        <v>111.6</v>
      </c>
      <c r="H641" s="157">
        <f>'Quantitativos (A)'!F641*$D641*$E641</f>
        <v>111.6</v>
      </c>
      <c r="I641" s="157">
        <f>'Quantitativos (A)'!G641*$D641*$E641</f>
        <v>111.6</v>
      </c>
      <c r="J641" s="157">
        <f>'Quantitativos (A)'!H641*$D641*$E641</f>
        <v>111.6</v>
      </c>
      <c r="K641" s="157">
        <f>'Quantitativos (A)'!I641*$D641*$E641</f>
        <v>111.6</v>
      </c>
      <c r="L641" s="157">
        <f>'Quantitativos (A)'!J641*$D641*$E641</f>
        <v>111.6</v>
      </c>
      <c r="M641" s="157">
        <f>'Quantitativos (A)'!K641*$D641*$E641</f>
        <v>111.6</v>
      </c>
      <c r="N641" s="157">
        <f>'Quantitativos (A)'!L641*$D641*$E641</f>
        <v>111.6</v>
      </c>
      <c r="O641" s="157">
        <f>'Quantitativos (A)'!M641*$D641*$E641</f>
        <v>111.6</v>
      </c>
      <c r="P641" s="157">
        <f>'Quantitativos (A)'!N641*$D641*$E641</f>
        <v>111.6</v>
      </c>
      <c r="Q641" s="157">
        <f>'Quantitativos (A)'!O641*$D641*$E641</f>
        <v>111.6</v>
      </c>
      <c r="R641" s="157">
        <f>'Quantitativos (A)'!P641*$D641*$E641</f>
        <v>111.6</v>
      </c>
      <c r="S641" s="157">
        <f>'Quantitativos (A)'!Q641*$D641*$E641</f>
        <v>111.6</v>
      </c>
      <c r="T641" s="157">
        <f>'Quantitativos (A)'!R641*$D641*$E641</f>
        <v>111.6</v>
      </c>
      <c r="U641" s="157">
        <f>'Quantitativos (A)'!S641*$D641*$E641</f>
        <v>111.6</v>
      </c>
      <c r="V641" s="157">
        <f>'Quantitativos (A)'!T641*$D641*$E641</f>
        <v>111.6</v>
      </c>
      <c r="W641" s="157">
        <f>'Quantitativos (A)'!U641*$D641*$E641</f>
        <v>111.6</v>
      </c>
      <c r="X641" s="157">
        <f>'Quantitativos (A)'!V641*$D641*$E641</f>
        <v>111.6</v>
      </c>
      <c r="Y641" s="157">
        <f>'Quantitativos (A)'!W641*$D641*$E641</f>
        <v>111.6</v>
      </c>
      <c r="Z641" s="157">
        <f>'Quantitativos (A)'!X641*$D641*$E641</f>
        <v>111.6</v>
      </c>
      <c r="AA641" s="157">
        <f>'Quantitativos (A)'!Y641*$D641*$E641</f>
        <v>111.6</v>
      </c>
      <c r="AB641" s="157">
        <f>'Quantitativos (A)'!Z641*$D641*$E641</f>
        <v>111.6</v>
      </c>
      <c r="AC641" s="157">
        <f>'Quantitativos (A)'!AA641*$D641*$E641</f>
        <v>111.6</v>
      </c>
      <c r="AD641" s="157">
        <f>'Quantitativos (A)'!AB641*$D641*$E641</f>
        <v>111.6</v>
      </c>
      <c r="AE641" s="157">
        <f>'Quantitativos (A)'!AC641*$D641*$E641</f>
        <v>111.6</v>
      </c>
      <c r="AF641" s="157">
        <f>'Quantitativos (A)'!AD641*$D641*$E641</f>
        <v>111.6</v>
      </c>
      <c r="AG641" s="157">
        <f>'Quantitativos (A)'!AE641*$D641*$E641</f>
        <v>111.6</v>
      </c>
      <c r="AH641" s="157">
        <f>'Quantitativos (A)'!AF641*$D641*$E641</f>
        <v>111.6</v>
      </c>
      <c r="AI641" s="158">
        <f>'Quantitativos (A)'!AG641*$D641*$E641</f>
        <v>111.6</v>
      </c>
      <c r="AJ641" s="22"/>
    </row>
    <row r="642" spans="1:36" x14ac:dyDescent="0.25">
      <c r="A642" s="21"/>
      <c r="B642" s="141" t="s">
        <v>661</v>
      </c>
      <c r="C642" s="125" t="s">
        <v>60</v>
      </c>
      <c r="D642" s="157">
        <f>'Dados (F)'!$D$422</f>
        <v>25.37</v>
      </c>
      <c r="E642" s="125">
        <f>IF('Dados (F)'!$D$35=1,1,'Dados (F)'!$C$39)</f>
        <v>1</v>
      </c>
      <c r="F642" s="157">
        <f>'Quantitativos (A)'!D642*$D642*$E642</f>
        <v>50.74</v>
      </c>
      <c r="G642" s="157">
        <f>'Quantitativos (A)'!E642*$D642*$E642</f>
        <v>50.74</v>
      </c>
      <c r="H642" s="157">
        <f>'Quantitativos (A)'!F642*$D642*$E642</f>
        <v>50.74</v>
      </c>
      <c r="I642" s="157">
        <f>'Quantitativos (A)'!G642*$D642*$E642</f>
        <v>50.74</v>
      </c>
      <c r="J642" s="157">
        <f>'Quantitativos (A)'!H642*$D642*$E642</f>
        <v>50.74</v>
      </c>
      <c r="K642" s="157">
        <f>'Quantitativos (A)'!I642*$D642*$E642</f>
        <v>50.74</v>
      </c>
      <c r="L642" s="157">
        <f>'Quantitativos (A)'!J642*$D642*$E642</f>
        <v>50.74</v>
      </c>
      <c r="M642" s="157">
        <f>'Quantitativos (A)'!K642*$D642*$E642</f>
        <v>50.74</v>
      </c>
      <c r="N642" s="157">
        <f>'Quantitativos (A)'!L642*$D642*$E642</f>
        <v>50.74</v>
      </c>
      <c r="O642" s="157">
        <f>'Quantitativos (A)'!M642*$D642*$E642</f>
        <v>50.74</v>
      </c>
      <c r="P642" s="157">
        <f>'Quantitativos (A)'!N642*$D642*$E642</f>
        <v>50.74</v>
      </c>
      <c r="Q642" s="157">
        <f>'Quantitativos (A)'!O642*$D642*$E642</f>
        <v>50.74</v>
      </c>
      <c r="R642" s="157">
        <f>'Quantitativos (A)'!P642*$D642*$E642</f>
        <v>50.74</v>
      </c>
      <c r="S642" s="157">
        <f>'Quantitativos (A)'!Q642*$D642*$E642</f>
        <v>50.74</v>
      </c>
      <c r="T642" s="157">
        <f>'Quantitativos (A)'!R642*$D642*$E642</f>
        <v>50.74</v>
      </c>
      <c r="U642" s="157">
        <f>'Quantitativos (A)'!S642*$D642*$E642</f>
        <v>50.74</v>
      </c>
      <c r="V642" s="157">
        <f>'Quantitativos (A)'!T642*$D642*$E642</f>
        <v>50.74</v>
      </c>
      <c r="W642" s="157">
        <f>'Quantitativos (A)'!U642*$D642*$E642</f>
        <v>50.74</v>
      </c>
      <c r="X642" s="157">
        <f>'Quantitativos (A)'!V642*$D642*$E642</f>
        <v>50.74</v>
      </c>
      <c r="Y642" s="157">
        <f>'Quantitativos (A)'!W642*$D642*$E642</f>
        <v>50.74</v>
      </c>
      <c r="Z642" s="157">
        <f>'Quantitativos (A)'!X642*$D642*$E642</f>
        <v>50.74</v>
      </c>
      <c r="AA642" s="157">
        <f>'Quantitativos (A)'!Y642*$D642*$E642</f>
        <v>50.74</v>
      </c>
      <c r="AB642" s="157">
        <f>'Quantitativos (A)'!Z642*$D642*$E642</f>
        <v>50.74</v>
      </c>
      <c r="AC642" s="157">
        <f>'Quantitativos (A)'!AA642*$D642*$E642</f>
        <v>50.74</v>
      </c>
      <c r="AD642" s="157">
        <f>'Quantitativos (A)'!AB642*$D642*$E642</f>
        <v>50.74</v>
      </c>
      <c r="AE642" s="157">
        <f>'Quantitativos (A)'!AC642*$D642*$E642</f>
        <v>50.74</v>
      </c>
      <c r="AF642" s="157">
        <f>'Quantitativos (A)'!AD642*$D642*$E642</f>
        <v>50.74</v>
      </c>
      <c r="AG642" s="157">
        <f>'Quantitativos (A)'!AE642*$D642*$E642</f>
        <v>50.74</v>
      </c>
      <c r="AH642" s="157">
        <f>'Quantitativos (A)'!AF642*$D642*$E642</f>
        <v>50.74</v>
      </c>
      <c r="AI642" s="158">
        <f>'Quantitativos (A)'!AG642*$D642*$E642</f>
        <v>50.74</v>
      </c>
      <c r="AJ642" s="22"/>
    </row>
    <row r="643" spans="1:36" x14ac:dyDescent="0.25">
      <c r="A643" s="21"/>
      <c r="B643" s="141" t="s">
        <v>662</v>
      </c>
      <c r="C643" s="125" t="s">
        <v>60</v>
      </c>
      <c r="D643" s="157">
        <f>'Dados (F)'!$D$423</f>
        <v>37.94</v>
      </c>
      <c r="E643" s="125">
        <f>IF('Dados (F)'!$D$35=1,1,'Dados (F)'!$C$39)</f>
        <v>1</v>
      </c>
      <c r="F643" s="157">
        <f>'Quantitativos (A)'!D643*$D643*$E643</f>
        <v>75.88</v>
      </c>
      <c r="G643" s="157">
        <f>'Quantitativos (A)'!E643*$D643*$E643</f>
        <v>75.88</v>
      </c>
      <c r="H643" s="157">
        <f>'Quantitativos (A)'!F643*$D643*$E643</f>
        <v>75.88</v>
      </c>
      <c r="I643" s="157">
        <f>'Quantitativos (A)'!G643*$D643*$E643</f>
        <v>75.88</v>
      </c>
      <c r="J643" s="157">
        <f>'Quantitativos (A)'!H643*$D643*$E643</f>
        <v>75.88</v>
      </c>
      <c r="K643" s="157">
        <f>'Quantitativos (A)'!I643*$D643*$E643</f>
        <v>75.88</v>
      </c>
      <c r="L643" s="157">
        <f>'Quantitativos (A)'!J643*$D643*$E643</f>
        <v>75.88</v>
      </c>
      <c r="M643" s="157">
        <f>'Quantitativos (A)'!K643*$D643*$E643</f>
        <v>75.88</v>
      </c>
      <c r="N643" s="157">
        <f>'Quantitativos (A)'!L643*$D643*$E643</f>
        <v>75.88</v>
      </c>
      <c r="O643" s="157">
        <f>'Quantitativos (A)'!M643*$D643*$E643</f>
        <v>75.88</v>
      </c>
      <c r="P643" s="157">
        <f>'Quantitativos (A)'!N643*$D643*$E643</f>
        <v>75.88</v>
      </c>
      <c r="Q643" s="157">
        <f>'Quantitativos (A)'!O643*$D643*$E643</f>
        <v>75.88</v>
      </c>
      <c r="R643" s="157">
        <f>'Quantitativos (A)'!P643*$D643*$E643</f>
        <v>75.88</v>
      </c>
      <c r="S643" s="157">
        <f>'Quantitativos (A)'!Q643*$D643*$E643</f>
        <v>75.88</v>
      </c>
      <c r="T643" s="157">
        <f>'Quantitativos (A)'!R643*$D643*$E643</f>
        <v>75.88</v>
      </c>
      <c r="U643" s="157">
        <f>'Quantitativos (A)'!S643*$D643*$E643</f>
        <v>75.88</v>
      </c>
      <c r="V643" s="157">
        <f>'Quantitativos (A)'!T643*$D643*$E643</f>
        <v>75.88</v>
      </c>
      <c r="W643" s="157">
        <f>'Quantitativos (A)'!U643*$D643*$E643</f>
        <v>75.88</v>
      </c>
      <c r="X643" s="157">
        <f>'Quantitativos (A)'!V643*$D643*$E643</f>
        <v>75.88</v>
      </c>
      <c r="Y643" s="157">
        <f>'Quantitativos (A)'!W643*$D643*$E643</f>
        <v>75.88</v>
      </c>
      <c r="Z643" s="157">
        <f>'Quantitativos (A)'!X643*$D643*$E643</f>
        <v>75.88</v>
      </c>
      <c r="AA643" s="157">
        <f>'Quantitativos (A)'!Y643*$D643*$E643</f>
        <v>75.88</v>
      </c>
      <c r="AB643" s="157">
        <f>'Quantitativos (A)'!Z643*$D643*$E643</f>
        <v>75.88</v>
      </c>
      <c r="AC643" s="157">
        <f>'Quantitativos (A)'!AA643*$D643*$E643</f>
        <v>75.88</v>
      </c>
      <c r="AD643" s="157">
        <f>'Quantitativos (A)'!AB643*$D643*$E643</f>
        <v>75.88</v>
      </c>
      <c r="AE643" s="157">
        <f>'Quantitativos (A)'!AC643*$D643*$E643</f>
        <v>75.88</v>
      </c>
      <c r="AF643" s="157">
        <f>'Quantitativos (A)'!AD643*$D643*$E643</f>
        <v>75.88</v>
      </c>
      <c r="AG643" s="157">
        <f>'Quantitativos (A)'!AE643*$D643*$E643</f>
        <v>75.88</v>
      </c>
      <c r="AH643" s="157">
        <f>'Quantitativos (A)'!AF643*$D643*$E643</f>
        <v>75.88</v>
      </c>
      <c r="AI643" s="158">
        <f>'Quantitativos (A)'!AG643*$D643*$E643</f>
        <v>75.88</v>
      </c>
      <c r="AJ643" s="22"/>
    </row>
    <row r="644" spans="1:36" x14ac:dyDescent="0.25">
      <c r="A644" s="21"/>
      <c r="B644" s="141" t="s">
        <v>663</v>
      </c>
      <c r="C644" s="125" t="s">
        <v>60</v>
      </c>
      <c r="D644" s="157">
        <f>'Dados (F)'!$D$424</f>
        <v>12.78</v>
      </c>
      <c r="E644" s="125">
        <f>IF('Dados (F)'!$D$35=1,1,'Dados (F)'!$C$39)</f>
        <v>1</v>
      </c>
      <c r="F644" s="157">
        <f>'Quantitativos (A)'!D644*$D644*$E644</f>
        <v>25.56</v>
      </c>
      <c r="G644" s="157">
        <f>'Quantitativos (A)'!E644*$D644*$E644</f>
        <v>25.56</v>
      </c>
      <c r="H644" s="157">
        <f>'Quantitativos (A)'!F644*$D644*$E644</f>
        <v>25.56</v>
      </c>
      <c r="I644" s="157">
        <f>'Quantitativos (A)'!G644*$D644*$E644</f>
        <v>25.56</v>
      </c>
      <c r="J644" s="157">
        <f>'Quantitativos (A)'!H644*$D644*$E644</f>
        <v>25.56</v>
      </c>
      <c r="K644" s="157">
        <f>'Quantitativos (A)'!I644*$D644*$E644</f>
        <v>25.56</v>
      </c>
      <c r="L644" s="157">
        <f>'Quantitativos (A)'!J644*$D644*$E644</f>
        <v>25.56</v>
      </c>
      <c r="M644" s="157">
        <f>'Quantitativos (A)'!K644*$D644*$E644</f>
        <v>25.56</v>
      </c>
      <c r="N644" s="157">
        <f>'Quantitativos (A)'!L644*$D644*$E644</f>
        <v>25.56</v>
      </c>
      <c r="O644" s="157">
        <f>'Quantitativos (A)'!M644*$D644*$E644</f>
        <v>25.56</v>
      </c>
      <c r="P644" s="157">
        <f>'Quantitativos (A)'!N644*$D644*$E644</f>
        <v>25.56</v>
      </c>
      <c r="Q644" s="157">
        <f>'Quantitativos (A)'!O644*$D644*$E644</f>
        <v>25.56</v>
      </c>
      <c r="R644" s="157">
        <f>'Quantitativos (A)'!P644*$D644*$E644</f>
        <v>25.56</v>
      </c>
      <c r="S644" s="157">
        <f>'Quantitativos (A)'!Q644*$D644*$E644</f>
        <v>25.56</v>
      </c>
      <c r="T644" s="157">
        <f>'Quantitativos (A)'!R644*$D644*$E644</f>
        <v>25.56</v>
      </c>
      <c r="U644" s="157">
        <f>'Quantitativos (A)'!S644*$D644*$E644</f>
        <v>25.56</v>
      </c>
      <c r="V644" s="157">
        <f>'Quantitativos (A)'!T644*$D644*$E644</f>
        <v>25.56</v>
      </c>
      <c r="W644" s="157">
        <f>'Quantitativos (A)'!U644*$D644*$E644</f>
        <v>25.56</v>
      </c>
      <c r="X644" s="157">
        <f>'Quantitativos (A)'!V644*$D644*$E644</f>
        <v>25.56</v>
      </c>
      <c r="Y644" s="157">
        <f>'Quantitativos (A)'!W644*$D644*$E644</f>
        <v>25.56</v>
      </c>
      <c r="Z644" s="157">
        <f>'Quantitativos (A)'!X644*$D644*$E644</f>
        <v>25.56</v>
      </c>
      <c r="AA644" s="157">
        <f>'Quantitativos (A)'!Y644*$D644*$E644</f>
        <v>25.56</v>
      </c>
      <c r="AB644" s="157">
        <f>'Quantitativos (A)'!Z644*$D644*$E644</f>
        <v>25.56</v>
      </c>
      <c r="AC644" s="157">
        <f>'Quantitativos (A)'!AA644*$D644*$E644</f>
        <v>25.56</v>
      </c>
      <c r="AD644" s="157">
        <f>'Quantitativos (A)'!AB644*$D644*$E644</f>
        <v>25.56</v>
      </c>
      <c r="AE644" s="157">
        <f>'Quantitativos (A)'!AC644*$D644*$E644</f>
        <v>25.56</v>
      </c>
      <c r="AF644" s="157">
        <f>'Quantitativos (A)'!AD644*$D644*$E644</f>
        <v>25.56</v>
      </c>
      <c r="AG644" s="157">
        <f>'Quantitativos (A)'!AE644*$D644*$E644</f>
        <v>25.56</v>
      </c>
      <c r="AH644" s="157">
        <f>'Quantitativos (A)'!AF644*$D644*$E644</f>
        <v>25.56</v>
      </c>
      <c r="AI644" s="158">
        <f>'Quantitativos (A)'!AG644*$D644*$E644</f>
        <v>25.56</v>
      </c>
      <c r="AJ644" s="22"/>
    </row>
    <row r="645" spans="1:36" x14ac:dyDescent="0.25">
      <c r="A645" s="21"/>
      <c r="B645" s="141" t="s">
        <v>664</v>
      </c>
      <c r="C645" s="125" t="s">
        <v>60</v>
      </c>
      <c r="D645" s="157">
        <f>'Dados (F)'!$D$425</f>
        <v>37.94</v>
      </c>
      <c r="E645" s="125">
        <f>IF('Dados (F)'!$D$35=1,1,'Dados (F)'!$C$39)</f>
        <v>1</v>
      </c>
      <c r="F645" s="157">
        <f>'Quantitativos (A)'!D645*$D645*$E645</f>
        <v>75.88</v>
      </c>
      <c r="G645" s="157">
        <f>'Quantitativos (A)'!E645*$D645*$E645</f>
        <v>75.88</v>
      </c>
      <c r="H645" s="157">
        <f>'Quantitativos (A)'!F645*$D645*$E645</f>
        <v>75.88</v>
      </c>
      <c r="I645" s="157">
        <f>'Quantitativos (A)'!G645*$D645*$E645</f>
        <v>75.88</v>
      </c>
      <c r="J645" s="157">
        <f>'Quantitativos (A)'!H645*$D645*$E645</f>
        <v>75.88</v>
      </c>
      <c r="K645" s="157">
        <f>'Quantitativos (A)'!I645*$D645*$E645</f>
        <v>75.88</v>
      </c>
      <c r="L645" s="157">
        <f>'Quantitativos (A)'!J645*$D645*$E645</f>
        <v>75.88</v>
      </c>
      <c r="M645" s="157">
        <f>'Quantitativos (A)'!K645*$D645*$E645</f>
        <v>75.88</v>
      </c>
      <c r="N645" s="157">
        <f>'Quantitativos (A)'!L645*$D645*$E645</f>
        <v>75.88</v>
      </c>
      <c r="O645" s="157">
        <f>'Quantitativos (A)'!M645*$D645*$E645</f>
        <v>75.88</v>
      </c>
      <c r="P645" s="157">
        <f>'Quantitativos (A)'!N645*$D645*$E645</f>
        <v>75.88</v>
      </c>
      <c r="Q645" s="157">
        <f>'Quantitativos (A)'!O645*$D645*$E645</f>
        <v>75.88</v>
      </c>
      <c r="R645" s="157">
        <f>'Quantitativos (A)'!P645*$D645*$E645</f>
        <v>75.88</v>
      </c>
      <c r="S645" s="157">
        <f>'Quantitativos (A)'!Q645*$D645*$E645</f>
        <v>75.88</v>
      </c>
      <c r="T645" s="157">
        <f>'Quantitativos (A)'!R645*$D645*$E645</f>
        <v>75.88</v>
      </c>
      <c r="U645" s="157">
        <f>'Quantitativos (A)'!S645*$D645*$E645</f>
        <v>75.88</v>
      </c>
      <c r="V645" s="157">
        <f>'Quantitativos (A)'!T645*$D645*$E645</f>
        <v>75.88</v>
      </c>
      <c r="W645" s="157">
        <f>'Quantitativos (A)'!U645*$D645*$E645</f>
        <v>75.88</v>
      </c>
      <c r="X645" s="157">
        <f>'Quantitativos (A)'!V645*$D645*$E645</f>
        <v>75.88</v>
      </c>
      <c r="Y645" s="157">
        <f>'Quantitativos (A)'!W645*$D645*$E645</f>
        <v>75.88</v>
      </c>
      <c r="Z645" s="157">
        <f>'Quantitativos (A)'!X645*$D645*$E645</f>
        <v>75.88</v>
      </c>
      <c r="AA645" s="157">
        <f>'Quantitativos (A)'!Y645*$D645*$E645</f>
        <v>75.88</v>
      </c>
      <c r="AB645" s="157">
        <f>'Quantitativos (A)'!Z645*$D645*$E645</f>
        <v>75.88</v>
      </c>
      <c r="AC645" s="157">
        <f>'Quantitativos (A)'!AA645*$D645*$E645</f>
        <v>75.88</v>
      </c>
      <c r="AD645" s="157">
        <f>'Quantitativos (A)'!AB645*$D645*$E645</f>
        <v>75.88</v>
      </c>
      <c r="AE645" s="157">
        <f>'Quantitativos (A)'!AC645*$D645*$E645</f>
        <v>75.88</v>
      </c>
      <c r="AF645" s="157">
        <f>'Quantitativos (A)'!AD645*$D645*$E645</f>
        <v>75.88</v>
      </c>
      <c r="AG645" s="157">
        <f>'Quantitativos (A)'!AE645*$D645*$E645</f>
        <v>75.88</v>
      </c>
      <c r="AH645" s="157">
        <f>'Quantitativos (A)'!AF645*$D645*$E645</f>
        <v>75.88</v>
      </c>
      <c r="AI645" s="158">
        <f>'Quantitativos (A)'!AG645*$D645*$E645</f>
        <v>75.88</v>
      </c>
      <c r="AJ645" s="22"/>
    </row>
    <row r="646" spans="1:36" x14ac:dyDescent="0.25">
      <c r="A646" s="21"/>
      <c r="B646" s="141" t="s">
        <v>665</v>
      </c>
      <c r="C646" s="125" t="s">
        <v>60</v>
      </c>
      <c r="D646" s="157">
        <f>'Dados (F)'!$D$426</f>
        <v>25.37</v>
      </c>
      <c r="E646" s="125">
        <f>IF('Dados (F)'!$D$35=1,1,'Dados (F)'!$C$39)</f>
        <v>1</v>
      </c>
      <c r="F646" s="157">
        <f>'Quantitativos (A)'!D646*$D646*$E646</f>
        <v>50.74</v>
      </c>
      <c r="G646" s="157">
        <f>'Quantitativos (A)'!E646*$D646*$E646</f>
        <v>50.74</v>
      </c>
      <c r="H646" s="157">
        <f>'Quantitativos (A)'!F646*$D646*$E646</f>
        <v>50.74</v>
      </c>
      <c r="I646" s="157">
        <f>'Quantitativos (A)'!G646*$D646*$E646</f>
        <v>50.74</v>
      </c>
      <c r="J646" s="157">
        <f>'Quantitativos (A)'!H646*$D646*$E646</f>
        <v>50.74</v>
      </c>
      <c r="K646" s="157">
        <f>'Quantitativos (A)'!I646*$D646*$E646</f>
        <v>50.74</v>
      </c>
      <c r="L646" s="157">
        <f>'Quantitativos (A)'!J646*$D646*$E646</f>
        <v>50.74</v>
      </c>
      <c r="M646" s="157">
        <f>'Quantitativos (A)'!K646*$D646*$E646</f>
        <v>50.74</v>
      </c>
      <c r="N646" s="157">
        <f>'Quantitativos (A)'!L646*$D646*$E646</f>
        <v>50.74</v>
      </c>
      <c r="O646" s="157">
        <f>'Quantitativos (A)'!M646*$D646*$E646</f>
        <v>50.74</v>
      </c>
      <c r="P646" s="157">
        <f>'Quantitativos (A)'!N646*$D646*$E646</f>
        <v>50.74</v>
      </c>
      <c r="Q646" s="157">
        <f>'Quantitativos (A)'!O646*$D646*$E646</f>
        <v>50.74</v>
      </c>
      <c r="R646" s="157">
        <f>'Quantitativos (A)'!P646*$D646*$E646</f>
        <v>50.74</v>
      </c>
      <c r="S646" s="157">
        <f>'Quantitativos (A)'!Q646*$D646*$E646</f>
        <v>50.74</v>
      </c>
      <c r="T646" s="157">
        <f>'Quantitativos (A)'!R646*$D646*$E646</f>
        <v>50.74</v>
      </c>
      <c r="U646" s="157">
        <f>'Quantitativos (A)'!S646*$D646*$E646</f>
        <v>50.74</v>
      </c>
      <c r="V646" s="157">
        <f>'Quantitativos (A)'!T646*$D646*$E646</f>
        <v>50.74</v>
      </c>
      <c r="W646" s="157">
        <f>'Quantitativos (A)'!U646*$D646*$E646</f>
        <v>50.74</v>
      </c>
      <c r="X646" s="157">
        <f>'Quantitativos (A)'!V646*$D646*$E646</f>
        <v>50.74</v>
      </c>
      <c r="Y646" s="157">
        <f>'Quantitativos (A)'!W646*$D646*$E646</f>
        <v>50.74</v>
      </c>
      <c r="Z646" s="157">
        <f>'Quantitativos (A)'!X646*$D646*$E646</f>
        <v>50.74</v>
      </c>
      <c r="AA646" s="157">
        <f>'Quantitativos (A)'!Y646*$D646*$E646</f>
        <v>50.74</v>
      </c>
      <c r="AB646" s="157">
        <f>'Quantitativos (A)'!Z646*$D646*$E646</f>
        <v>50.74</v>
      </c>
      <c r="AC646" s="157">
        <f>'Quantitativos (A)'!AA646*$D646*$E646</f>
        <v>50.74</v>
      </c>
      <c r="AD646" s="157">
        <f>'Quantitativos (A)'!AB646*$D646*$E646</f>
        <v>50.74</v>
      </c>
      <c r="AE646" s="157">
        <f>'Quantitativos (A)'!AC646*$D646*$E646</f>
        <v>50.74</v>
      </c>
      <c r="AF646" s="157">
        <f>'Quantitativos (A)'!AD646*$D646*$E646</f>
        <v>50.74</v>
      </c>
      <c r="AG646" s="157">
        <f>'Quantitativos (A)'!AE646*$D646*$E646</f>
        <v>50.74</v>
      </c>
      <c r="AH646" s="157">
        <f>'Quantitativos (A)'!AF646*$D646*$E646</f>
        <v>50.74</v>
      </c>
      <c r="AI646" s="158">
        <f>'Quantitativos (A)'!AG646*$D646*$E646</f>
        <v>50.74</v>
      </c>
      <c r="AJ646" s="22"/>
    </row>
    <row r="647" spans="1:36" x14ac:dyDescent="0.25">
      <c r="A647" s="21"/>
      <c r="B647" s="141" t="s">
        <v>666</v>
      </c>
      <c r="C647" s="125" t="s">
        <v>60</v>
      </c>
      <c r="D647" s="157">
        <f>'Dados (F)'!$D$427</f>
        <v>55.8</v>
      </c>
      <c r="E647" s="125">
        <f>IF('Dados (F)'!$D$35=1,1,'Dados (F)'!$C$39)</f>
        <v>1</v>
      </c>
      <c r="F647" s="157">
        <f>'Quantitativos (A)'!D647*$D647*$E647</f>
        <v>111.6</v>
      </c>
      <c r="G647" s="157">
        <f>'Quantitativos (A)'!E647*$D647*$E647</f>
        <v>111.6</v>
      </c>
      <c r="H647" s="157">
        <f>'Quantitativos (A)'!F647*$D647*$E647</f>
        <v>111.6</v>
      </c>
      <c r="I647" s="157">
        <f>'Quantitativos (A)'!G647*$D647*$E647</f>
        <v>111.6</v>
      </c>
      <c r="J647" s="157">
        <f>'Quantitativos (A)'!H647*$D647*$E647</f>
        <v>111.6</v>
      </c>
      <c r="K647" s="157">
        <f>'Quantitativos (A)'!I647*$D647*$E647</f>
        <v>111.6</v>
      </c>
      <c r="L647" s="157">
        <f>'Quantitativos (A)'!J647*$D647*$E647</f>
        <v>111.6</v>
      </c>
      <c r="M647" s="157">
        <f>'Quantitativos (A)'!K647*$D647*$E647</f>
        <v>111.6</v>
      </c>
      <c r="N647" s="157">
        <f>'Quantitativos (A)'!L647*$D647*$E647</f>
        <v>111.6</v>
      </c>
      <c r="O647" s="157">
        <f>'Quantitativos (A)'!M647*$D647*$E647</f>
        <v>111.6</v>
      </c>
      <c r="P647" s="157">
        <f>'Quantitativos (A)'!N647*$D647*$E647</f>
        <v>111.6</v>
      </c>
      <c r="Q647" s="157">
        <f>'Quantitativos (A)'!O647*$D647*$E647</f>
        <v>111.6</v>
      </c>
      <c r="R647" s="157">
        <f>'Quantitativos (A)'!P647*$D647*$E647</f>
        <v>111.6</v>
      </c>
      <c r="S647" s="157">
        <f>'Quantitativos (A)'!Q647*$D647*$E647</f>
        <v>111.6</v>
      </c>
      <c r="T647" s="157">
        <f>'Quantitativos (A)'!R647*$D647*$E647</f>
        <v>111.6</v>
      </c>
      <c r="U647" s="157">
        <f>'Quantitativos (A)'!S647*$D647*$E647</f>
        <v>111.6</v>
      </c>
      <c r="V647" s="157">
        <f>'Quantitativos (A)'!T647*$D647*$E647</f>
        <v>111.6</v>
      </c>
      <c r="W647" s="157">
        <f>'Quantitativos (A)'!U647*$D647*$E647</f>
        <v>111.6</v>
      </c>
      <c r="X647" s="157">
        <f>'Quantitativos (A)'!V647*$D647*$E647</f>
        <v>111.6</v>
      </c>
      <c r="Y647" s="157">
        <f>'Quantitativos (A)'!W647*$D647*$E647</f>
        <v>111.6</v>
      </c>
      <c r="Z647" s="157">
        <f>'Quantitativos (A)'!X647*$D647*$E647</f>
        <v>111.6</v>
      </c>
      <c r="AA647" s="157">
        <f>'Quantitativos (A)'!Y647*$D647*$E647</f>
        <v>111.6</v>
      </c>
      <c r="AB647" s="157">
        <f>'Quantitativos (A)'!Z647*$D647*$E647</f>
        <v>111.6</v>
      </c>
      <c r="AC647" s="157">
        <f>'Quantitativos (A)'!AA647*$D647*$E647</f>
        <v>111.6</v>
      </c>
      <c r="AD647" s="157">
        <f>'Quantitativos (A)'!AB647*$D647*$E647</f>
        <v>111.6</v>
      </c>
      <c r="AE647" s="157">
        <f>'Quantitativos (A)'!AC647*$D647*$E647</f>
        <v>111.6</v>
      </c>
      <c r="AF647" s="157">
        <f>'Quantitativos (A)'!AD647*$D647*$E647</f>
        <v>111.6</v>
      </c>
      <c r="AG647" s="157">
        <f>'Quantitativos (A)'!AE647*$D647*$E647</f>
        <v>111.6</v>
      </c>
      <c r="AH647" s="157">
        <f>'Quantitativos (A)'!AF647*$D647*$E647</f>
        <v>111.6</v>
      </c>
      <c r="AI647" s="158">
        <f>'Quantitativos (A)'!AG647*$D647*$E647</f>
        <v>111.6</v>
      </c>
      <c r="AJ647" s="22"/>
    </row>
    <row r="648" spans="1:36" x14ac:dyDescent="0.25">
      <c r="A648" s="21"/>
      <c r="B648" s="141" t="s">
        <v>667</v>
      </c>
      <c r="C648" s="125" t="s">
        <v>60</v>
      </c>
      <c r="D648" s="157">
        <f>'Dados (F)'!$D$428</f>
        <v>55.8</v>
      </c>
      <c r="E648" s="125">
        <f>IF('Dados (F)'!$D$35=1,1,'Dados (F)'!$C$39)</f>
        <v>1</v>
      </c>
      <c r="F648" s="157">
        <f>'Quantitativos (A)'!D648*$D648*$E648</f>
        <v>111.6</v>
      </c>
      <c r="G648" s="157">
        <f>'Quantitativos (A)'!E648*$D648*$E648</f>
        <v>111.6</v>
      </c>
      <c r="H648" s="157">
        <f>'Quantitativos (A)'!F648*$D648*$E648</f>
        <v>111.6</v>
      </c>
      <c r="I648" s="157">
        <f>'Quantitativos (A)'!G648*$D648*$E648</f>
        <v>111.6</v>
      </c>
      <c r="J648" s="157">
        <f>'Quantitativos (A)'!H648*$D648*$E648</f>
        <v>111.6</v>
      </c>
      <c r="K648" s="157">
        <f>'Quantitativos (A)'!I648*$D648*$E648</f>
        <v>111.6</v>
      </c>
      <c r="L648" s="157">
        <f>'Quantitativos (A)'!J648*$D648*$E648</f>
        <v>111.6</v>
      </c>
      <c r="M648" s="157">
        <f>'Quantitativos (A)'!K648*$D648*$E648</f>
        <v>111.6</v>
      </c>
      <c r="N648" s="157">
        <f>'Quantitativos (A)'!L648*$D648*$E648</f>
        <v>111.6</v>
      </c>
      <c r="O648" s="157">
        <f>'Quantitativos (A)'!M648*$D648*$E648</f>
        <v>111.6</v>
      </c>
      <c r="P648" s="157">
        <f>'Quantitativos (A)'!N648*$D648*$E648</f>
        <v>111.6</v>
      </c>
      <c r="Q648" s="157">
        <f>'Quantitativos (A)'!O648*$D648*$E648</f>
        <v>111.6</v>
      </c>
      <c r="R648" s="157">
        <f>'Quantitativos (A)'!P648*$D648*$E648</f>
        <v>111.6</v>
      </c>
      <c r="S648" s="157">
        <f>'Quantitativos (A)'!Q648*$D648*$E648</f>
        <v>111.6</v>
      </c>
      <c r="T648" s="157">
        <f>'Quantitativos (A)'!R648*$D648*$E648</f>
        <v>111.6</v>
      </c>
      <c r="U648" s="157">
        <f>'Quantitativos (A)'!S648*$D648*$E648</f>
        <v>111.6</v>
      </c>
      <c r="V648" s="157">
        <f>'Quantitativos (A)'!T648*$D648*$E648</f>
        <v>111.6</v>
      </c>
      <c r="W648" s="157">
        <f>'Quantitativos (A)'!U648*$D648*$E648</f>
        <v>111.6</v>
      </c>
      <c r="X648" s="157">
        <f>'Quantitativos (A)'!V648*$D648*$E648</f>
        <v>111.6</v>
      </c>
      <c r="Y648" s="157">
        <f>'Quantitativos (A)'!W648*$D648*$E648</f>
        <v>111.6</v>
      </c>
      <c r="Z648" s="157">
        <f>'Quantitativos (A)'!X648*$D648*$E648</f>
        <v>111.6</v>
      </c>
      <c r="AA648" s="157">
        <f>'Quantitativos (A)'!Y648*$D648*$E648</f>
        <v>111.6</v>
      </c>
      <c r="AB648" s="157">
        <f>'Quantitativos (A)'!Z648*$D648*$E648</f>
        <v>111.6</v>
      </c>
      <c r="AC648" s="157">
        <f>'Quantitativos (A)'!AA648*$D648*$E648</f>
        <v>111.6</v>
      </c>
      <c r="AD648" s="157">
        <f>'Quantitativos (A)'!AB648*$D648*$E648</f>
        <v>111.6</v>
      </c>
      <c r="AE648" s="157">
        <f>'Quantitativos (A)'!AC648*$D648*$E648</f>
        <v>111.6</v>
      </c>
      <c r="AF648" s="157">
        <f>'Quantitativos (A)'!AD648*$D648*$E648</f>
        <v>111.6</v>
      </c>
      <c r="AG648" s="157">
        <f>'Quantitativos (A)'!AE648*$D648*$E648</f>
        <v>111.6</v>
      </c>
      <c r="AH648" s="157">
        <f>'Quantitativos (A)'!AF648*$D648*$E648</f>
        <v>111.6</v>
      </c>
      <c r="AI648" s="158">
        <f>'Quantitativos (A)'!AG648*$D648*$E648</f>
        <v>111.6</v>
      </c>
      <c r="AJ648" s="22"/>
    </row>
    <row r="649" spans="1:36" x14ac:dyDescent="0.25">
      <c r="A649" s="21"/>
      <c r="B649" s="141" t="s">
        <v>668</v>
      </c>
      <c r="C649" s="125" t="s">
        <v>60</v>
      </c>
      <c r="D649" s="157">
        <f>'Dados (F)'!$D$429</f>
        <v>55.8</v>
      </c>
      <c r="E649" s="125">
        <f>IF('Dados (F)'!$D$35=1,1,'Dados (F)'!$C$39)</f>
        <v>1</v>
      </c>
      <c r="F649" s="157">
        <f>'Quantitativos (A)'!D649*$D649*$E649</f>
        <v>111.6</v>
      </c>
      <c r="G649" s="157">
        <f>'Quantitativos (A)'!E649*$D649*$E649</f>
        <v>111.6</v>
      </c>
      <c r="H649" s="157">
        <f>'Quantitativos (A)'!F649*$D649*$E649</f>
        <v>111.6</v>
      </c>
      <c r="I649" s="157">
        <f>'Quantitativos (A)'!G649*$D649*$E649</f>
        <v>111.6</v>
      </c>
      <c r="J649" s="157">
        <f>'Quantitativos (A)'!H649*$D649*$E649</f>
        <v>111.6</v>
      </c>
      <c r="K649" s="157">
        <f>'Quantitativos (A)'!I649*$D649*$E649</f>
        <v>111.6</v>
      </c>
      <c r="L649" s="157">
        <f>'Quantitativos (A)'!J649*$D649*$E649</f>
        <v>111.6</v>
      </c>
      <c r="M649" s="157">
        <f>'Quantitativos (A)'!K649*$D649*$E649</f>
        <v>111.6</v>
      </c>
      <c r="N649" s="157">
        <f>'Quantitativos (A)'!L649*$D649*$E649</f>
        <v>111.6</v>
      </c>
      <c r="O649" s="157">
        <f>'Quantitativos (A)'!M649*$D649*$E649</f>
        <v>111.6</v>
      </c>
      <c r="P649" s="157">
        <f>'Quantitativos (A)'!N649*$D649*$E649</f>
        <v>111.6</v>
      </c>
      <c r="Q649" s="157">
        <f>'Quantitativos (A)'!O649*$D649*$E649</f>
        <v>111.6</v>
      </c>
      <c r="R649" s="157">
        <f>'Quantitativos (A)'!P649*$D649*$E649</f>
        <v>111.6</v>
      </c>
      <c r="S649" s="157">
        <f>'Quantitativos (A)'!Q649*$D649*$E649</f>
        <v>111.6</v>
      </c>
      <c r="T649" s="157">
        <f>'Quantitativos (A)'!R649*$D649*$E649</f>
        <v>111.6</v>
      </c>
      <c r="U649" s="157">
        <f>'Quantitativos (A)'!S649*$D649*$E649</f>
        <v>111.6</v>
      </c>
      <c r="V649" s="157">
        <f>'Quantitativos (A)'!T649*$D649*$E649</f>
        <v>111.6</v>
      </c>
      <c r="W649" s="157">
        <f>'Quantitativos (A)'!U649*$D649*$E649</f>
        <v>111.6</v>
      </c>
      <c r="X649" s="157">
        <f>'Quantitativos (A)'!V649*$D649*$E649</f>
        <v>111.6</v>
      </c>
      <c r="Y649" s="157">
        <f>'Quantitativos (A)'!W649*$D649*$E649</f>
        <v>111.6</v>
      </c>
      <c r="Z649" s="157">
        <f>'Quantitativos (A)'!X649*$D649*$E649</f>
        <v>111.6</v>
      </c>
      <c r="AA649" s="157">
        <f>'Quantitativos (A)'!Y649*$D649*$E649</f>
        <v>111.6</v>
      </c>
      <c r="AB649" s="157">
        <f>'Quantitativos (A)'!Z649*$D649*$E649</f>
        <v>111.6</v>
      </c>
      <c r="AC649" s="157">
        <f>'Quantitativos (A)'!AA649*$D649*$E649</f>
        <v>111.6</v>
      </c>
      <c r="AD649" s="157">
        <f>'Quantitativos (A)'!AB649*$D649*$E649</f>
        <v>111.6</v>
      </c>
      <c r="AE649" s="157">
        <f>'Quantitativos (A)'!AC649*$D649*$E649</f>
        <v>111.6</v>
      </c>
      <c r="AF649" s="157">
        <f>'Quantitativos (A)'!AD649*$D649*$E649</f>
        <v>111.6</v>
      </c>
      <c r="AG649" s="157">
        <f>'Quantitativos (A)'!AE649*$D649*$E649</f>
        <v>111.6</v>
      </c>
      <c r="AH649" s="157">
        <f>'Quantitativos (A)'!AF649*$D649*$E649</f>
        <v>111.6</v>
      </c>
      <c r="AI649" s="158">
        <f>'Quantitativos (A)'!AG649*$D649*$E649</f>
        <v>111.6</v>
      </c>
      <c r="AJ649" s="22"/>
    </row>
    <row r="650" spans="1:36" x14ac:dyDescent="0.25">
      <c r="A650" s="21"/>
      <c r="B650" s="141" t="s">
        <v>669</v>
      </c>
      <c r="C650" s="125" t="s">
        <v>60</v>
      </c>
      <c r="D650" s="157">
        <f>'Dados (F)'!$D$430</f>
        <v>75.680000000000007</v>
      </c>
      <c r="E650" s="125">
        <f>IF('Dados (F)'!$D$35=1,1,'Dados (F)'!$C$39)</f>
        <v>1</v>
      </c>
      <c r="F650" s="157">
        <f>'Quantitativos (A)'!D650*$D650*$E650</f>
        <v>151.36000000000001</v>
      </c>
      <c r="G650" s="157">
        <f>'Quantitativos (A)'!E650*$D650*$E650</f>
        <v>151.36000000000001</v>
      </c>
      <c r="H650" s="157">
        <f>'Quantitativos (A)'!F650*$D650*$E650</f>
        <v>151.36000000000001</v>
      </c>
      <c r="I650" s="157">
        <f>'Quantitativos (A)'!G650*$D650*$E650</f>
        <v>151.36000000000001</v>
      </c>
      <c r="J650" s="157">
        <f>'Quantitativos (A)'!H650*$D650*$E650</f>
        <v>151.36000000000001</v>
      </c>
      <c r="K650" s="157">
        <f>'Quantitativos (A)'!I650*$D650*$E650</f>
        <v>151.36000000000001</v>
      </c>
      <c r="L650" s="157">
        <f>'Quantitativos (A)'!J650*$D650*$E650</f>
        <v>151.36000000000001</v>
      </c>
      <c r="M650" s="157">
        <f>'Quantitativos (A)'!K650*$D650*$E650</f>
        <v>151.36000000000001</v>
      </c>
      <c r="N650" s="157">
        <f>'Quantitativos (A)'!L650*$D650*$E650</f>
        <v>151.36000000000001</v>
      </c>
      <c r="O650" s="157">
        <f>'Quantitativos (A)'!M650*$D650*$E650</f>
        <v>151.36000000000001</v>
      </c>
      <c r="P650" s="157">
        <f>'Quantitativos (A)'!N650*$D650*$E650</f>
        <v>151.36000000000001</v>
      </c>
      <c r="Q650" s="157">
        <f>'Quantitativos (A)'!O650*$D650*$E650</f>
        <v>151.36000000000001</v>
      </c>
      <c r="R650" s="157">
        <f>'Quantitativos (A)'!P650*$D650*$E650</f>
        <v>151.36000000000001</v>
      </c>
      <c r="S650" s="157">
        <f>'Quantitativos (A)'!Q650*$D650*$E650</f>
        <v>151.36000000000001</v>
      </c>
      <c r="T650" s="157">
        <f>'Quantitativos (A)'!R650*$D650*$E650</f>
        <v>151.36000000000001</v>
      </c>
      <c r="U650" s="157">
        <f>'Quantitativos (A)'!S650*$D650*$E650</f>
        <v>151.36000000000001</v>
      </c>
      <c r="V650" s="157">
        <f>'Quantitativos (A)'!T650*$D650*$E650</f>
        <v>151.36000000000001</v>
      </c>
      <c r="W650" s="157">
        <f>'Quantitativos (A)'!U650*$D650*$E650</f>
        <v>151.36000000000001</v>
      </c>
      <c r="X650" s="157">
        <f>'Quantitativos (A)'!V650*$D650*$E650</f>
        <v>151.36000000000001</v>
      </c>
      <c r="Y650" s="157">
        <f>'Quantitativos (A)'!W650*$D650*$E650</f>
        <v>151.36000000000001</v>
      </c>
      <c r="Z650" s="157">
        <f>'Quantitativos (A)'!X650*$D650*$E650</f>
        <v>151.36000000000001</v>
      </c>
      <c r="AA650" s="157">
        <f>'Quantitativos (A)'!Y650*$D650*$E650</f>
        <v>151.36000000000001</v>
      </c>
      <c r="AB650" s="157">
        <f>'Quantitativos (A)'!Z650*$D650*$E650</f>
        <v>151.36000000000001</v>
      </c>
      <c r="AC650" s="157">
        <f>'Quantitativos (A)'!AA650*$D650*$E650</f>
        <v>151.36000000000001</v>
      </c>
      <c r="AD650" s="157">
        <f>'Quantitativos (A)'!AB650*$D650*$E650</f>
        <v>151.36000000000001</v>
      </c>
      <c r="AE650" s="157">
        <f>'Quantitativos (A)'!AC650*$D650*$E650</f>
        <v>151.36000000000001</v>
      </c>
      <c r="AF650" s="157">
        <f>'Quantitativos (A)'!AD650*$D650*$E650</f>
        <v>151.36000000000001</v>
      </c>
      <c r="AG650" s="157">
        <f>'Quantitativos (A)'!AE650*$D650*$E650</f>
        <v>151.36000000000001</v>
      </c>
      <c r="AH650" s="157">
        <f>'Quantitativos (A)'!AF650*$D650*$E650</f>
        <v>151.36000000000001</v>
      </c>
      <c r="AI650" s="158">
        <f>'Quantitativos (A)'!AG650*$D650*$E650</f>
        <v>151.36000000000001</v>
      </c>
      <c r="AJ650" s="22"/>
    </row>
    <row r="651" spans="1:36" x14ac:dyDescent="0.25">
      <c r="A651" s="21"/>
      <c r="B651" s="141" t="s">
        <v>670</v>
      </c>
      <c r="C651" s="125" t="s">
        <v>60</v>
      </c>
      <c r="D651" s="157">
        <f>'Dados (F)'!$D$431</f>
        <v>7.71</v>
      </c>
      <c r="E651" s="125">
        <f>IF('Dados (F)'!$D$35=1,1,'Dados (F)'!$C$39)</f>
        <v>1</v>
      </c>
      <c r="F651" s="157">
        <f>'Quantitativos (A)'!D651*$D651*$E651</f>
        <v>15.42</v>
      </c>
      <c r="G651" s="157">
        <f>'Quantitativos (A)'!E651*$D651*$E651</f>
        <v>15.42</v>
      </c>
      <c r="H651" s="157">
        <f>'Quantitativos (A)'!F651*$D651*$E651</f>
        <v>15.42</v>
      </c>
      <c r="I651" s="157">
        <f>'Quantitativos (A)'!G651*$D651*$E651</f>
        <v>15.42</v>
      </c>
      <c r="J651" s="157">
        <f>'Quantitativos (A)'!H651*$D651*$E651</f>
        <v>15.42</v>
      </c>
      <c r="K651" s="157">
        <f>'Quantitativos (A)'!I651*$D651*$E651</f>
        <v>15.42</v>
      </c>
      <c r="L651" s="157">
        <f>'Quantitativos (A)'!J651*$D651*$E651</f>
        <v>15.42</v>
      </c>
      <c r="M651" s="157">
        <f>'Quantitativos (A)'!K651*$D651*$E651</f>
        <v>15.42</v>
      </c>
      <c r="N651" s="157">
        <f>'Quantitativos (A)'!L651*$D651*$E651</f>
        <v>15.42</v>
      </c>
      <c r="O651" s="157">
        <f>'Quantitativos (A)'!M651*$D651*$E651</f>
        <v>15.42</v>
      </c>
      <c r="P651" s="157">
        <f>'Quantitativos (A)'!N651*$D651*$E651</f>
        <v>15.42</v>
      </c>
      <c r="Q651" s="157">
        <f>'Quantitativos (A)'!O651*$D651*$E651</f>
        <v>15.42</v>
      </c>
      <c r="R651" s="157">
        <f>'Quantitativos (A)'!P651*$D651*$E651</f>
        <v>15.42</v>
      </c>
      <c r="S651" s="157">
        <f>'Quantitativos (A)'!Q651*$D651*$E651</f>
        <v>15.42</v>
      </c>
      <c r="T651" s="157">
        <f>'Quantitativos (A)'!R651*$D651*$E651</f>
        <v>15.42</v>
      </c>
      <c r="U651" s="157">
        <f>'Quantitativos (A)'!S651*$D651*$E651</f>
        <v>15.42</v>
      </c>
      <c r="V651" s="157">
        <f>'Quantitativos (A)'!T651*$D651*$E651</f>
        <v>15.42</v>
      </c>
      <c r="W651" s="157">
        <f>'Quantitativos (A)'!U651*$D651*$E651</f>
        <v>15.42</v>
      </c>
      <c r="X651" s="157">
        <f>'Quantitativos (A)'!V651*$D651*$E651</f>
        <v>15.42</v>
      </c>
      <c r="Y651" s="157">
        <f>'Quantitativos (A)'!W651*$D651*$E651</f>
        <v>15.42</v>
      </c>
      <c r="Z651" s="157">
        <f>'Quantitativos (A)'!X651*$D651*$E651</f>
        <v>15.42</v>
      </c>
      <c r="AA651" s="157">
        <f>'Quantitativos (A)'!Y651*$D651*$E651</f>
        <v>15.42</v>
      </c>
      <c r="AB651" s="157">
        <f>'Quantitativos (A)'!Z651*$D651*$E651</f>
        <v>15.42</v>
      </c>
      <c r="AC651" s="157">
        <f>'Quantitativos (A)'!AA651*$D651*$E651</f>
        <v>15.42</v>
      </c>
      <c r="AD651" s="157">
        <f>'Quantitativos (A)'!AB651*$D651*$E651</f>
        <v>15.42</v>
      </c>
      <c r="AE651" s="157">
        <f>'Quantitativos (A)'!AC651*$D651*$E651</f>
        <v>15.42</v>
      </c>
      <c r="AF651" s="157">
        <f>'Quantitativos (A)'!AD651*$D651*$E651</f>
        <v>15.42</v>
      </c>
      <c r="AG651" s="157">
        <f>'Quantitativos (A)'!AE651*$D651*$E651</f>
        <v>15.42</v>
      </c>
      <c r="AH651" s="157">
        <f>'Quantitativos (A)'!AF651*$D651*$E651</f>
        <v>15.42</v>
      </c>
      <c r="AI651" s="158">
        <f>'Quantitativos (A)'!AG651*$D651*$E651</f>
        <v>15.42</v>
      </c>
      <c r="AJ651" s="22"/>
    </row>
    <row r="652" spans="1:36" x14ac:dyDescent="0.25">
      <c r="A652" s="21"/>
      <c r="B652" s="141" t="s">
        <v>671</v>
      </c>
      <c r="C652" s="125" t="s">
        <v>60</v>
      </c>
      <c r="D652" s="157">
        <f>'Dados (F)'!$D$432</f>
        <v>304.36</v>
      </c>
      <c r="E652" s="125">
        <f>IF('Dados (F)'!$D$35=1,1,'Dados (F)'!$C$39)</f>
        <v>1</v>
      </c>
      <c r="F652" s="157">
        <f>'Quantitativos (A)'!D652*$D652*$E652</f>
        <v>608.72</v>
      </c>
      <c r="G652" s="157">
        <f>'Quantitativos (A)'!E652*$D652*$E652</f>
        <v>608.72</v>
      </c>
      <c r="H652" s="157">
        <f>'Quantitativos (A)'!F652*$D652*$E652</f>
        <v>608.72</v>
      </c>
      <c r="I652" s="157">
        <f>'Quantitativos (A)'!G652*$D652*$E652</f>
        <v>608.72</v>
      </c>
      <c r="J652" s="157">
        <f>'Quantitativos (A)'!H652*$D652*$E652</f>
        <v>608.72</v>
      </c>
      <c r="K652" s="157">
        <f>'Quantitativos (A)'!I652*$D652*$E652</f>
        <v>608.72</v>
      </c>
      <c r="L652" s="157">
        <f>'Quantitativos (A)'!J652*$D652*$E652</f>
        <v>608.72</v>
      </c>
      <c r="M652" s="157">
        <f>'Quantitativos (A)'!K652*$D652*$E652</f>
        <v>608.72</v>
      </c>
      <c r="N652" s="157">
        <f>'Quantitativos (A)'!L652*$D652*$E652</f>
        <v>608.72</v>
      </c>
      <c r="O652" s="157">
        <f>'Quantitativos (A)'!M652*$D652*$E652</f>
        <v>608.72</v>
      </c>
      <c r="P652" s="157">
        <f>'Quantitativos (A)'!N652*$D652*$E652</f>
        <v>608.72</v>
      </c>
      <c r="Q652" s="157">
        <f>'Quantitativos (A)'!O652*$D652*$E652</f>
        <v>608.72</v>
      </c>
      <c r="R652" s="157">
        <f>'Quantitativos (A)'!P652*$D652*$E652</f>
        <v>608.72</v>
      </c>
      <c r="S652" s="157">
        <f>'Quantitativos (A)'!Q652*$D652*$E652</f>
        <v>608.72</v>
      </c>
      <c r="T652" s="157">
        <f>'Quantitativos (A)'!R652*$D652*$E652</f>
        <v>608.72</v>
      </c>
      <c r="U652" s="157">
        <f>'Quantitativos (A)'!S652*$D652*$E652</f>
        <v>608.72</v>
      </c>
      <c r="V652" s="157">
        <f>'Quantitativos (A)'!T652*$D652*$E652</f>
        <v>608.72</v>
      </c>
      <c r="W652" s="157">
        <f>'Quantitativos (A)'!U652*$D652*$E652</f>
        <v>608.72</v>
      </c>
      <c r="X652" s="157">
        <f>'Quantitativos (A)'!V652*$D652*$E652</f>
        <v>608.72</v>
      </c>
      <c r="Y652" s="157">
        <f>'Quantitativos (A)'!W652*$D652*$E652</f>
        <v>608.72</v>
      </c>
      <c r="Z652" s="157">
        <f>'Quantitativos (A)'!X652*$D652*$E652</f>
        <v>608.72</v>
      </c>
      <c r="AA652" s="157">
        <f>'Quantitativos (A)'!Y652*$D652*$E652</f>
        <v>608.72</v>
      </c>
      <c r="AB652" s="157">
        <f>'Quantitativos (A)'!Z652*$D652*$E652</f>
        <v>608.72</v>
      </c>
      <c r="AC652" s="157">
        <f>'Quantitativos (A)'!AA652*$D652*$E652</f>
        <v>608.72</v>
      </c>
      <c r="AD652" s="157">
        <f>'Quantitativos (A)'!AB652*$D652*$E652</f>
        <v>608.72</v>
      </c>
      <c r="AE652" s="157">
        <f>'Quantitativos (A)'!AC652*$D652*$E652</f>
        <v>608.72</v>
      </c>
      <c r="AF652" s="157">
        <f>'Quantitativos (A)'!AD652*$D652*$E652</f>
        <v>608.72</v>
      </c>
      <c r="AG652" s="157">
        <f>'Quantitativos (A)'!AE652*$D652*$E652</f>
        <v>608.72</v>
      </c>
      <c r="AH652" s="157">
        <f>'Quantitativos (A)'!AF652*$D652*$E652</f>
        <v>608.72</v>
      </c>
      <c r="AI652" s="158">
        <f>'Quantitativos (A)'!AG652*$D652*$E652</f>
        <v>608.72</v>
      </c>
      <c r="AJ652" s="22"/>
    </row>
    <row r="653" spans="1:36" x14ac:dyDescent="0.25">
      <c r="A653" s="21"/>
      <c r="B653" s="141" t="s">
        <v>672</v>
      </c>
      <c r="C653" s="125" t="s">
        <v>60</v>
      </c>
      <c r="D653" s="157">
        <f>'Dados (F)'!$D$433</f>
        <v>55.33</v>
      </c>
      <c r="E653" s="125">
        <f>IF('Dados (F)'!$D$35=1,1,'Dados (F)'!$C$39)</f>
        <v>1</v>
      </c>
      <c r="F653" s="157">
        <f>'Quantitativos (A)'!D653*$D653*$E653</f>
        <v>110.66</v>
      </c>
      <c r="G653" s="157">
        <f>'Quantitativos (A)'!E653*$D653*$E653</f>
        <v>110.66</v>
      </c>
      <c r="H653" s="157">
        <f>'Quantitativos (A)'!F653*$D653*$E653</f>
        <v>110.66</v>
      </c>
      <c r="I653" s="157">
        <f>'Quantitativos (A)'!G653*$D653*$E653</f>
        <v>110.66</v>
      </c>
      <c r="J653" s="157">
        <f>'Quantitativos (A)'!H653*$D653*$E653</f>
        <v>110.66</v>
      </c>
      <c r="K653" s="157">
        <f>'Quantitativos (A)'!I653*$D653*$E653</f>
        <v>110.66</v>
      </c>
      <c r="L653" s="157">
        <f>'Quantitativos (A)'!J653*$D653*$E653</f>
        <v>110.66</v>
      </c>
      <c r="M653" s="157">
        <f>'Quantitativos (A)'!K653*$D653*$E653</f>
        <v>110.66</v>
      </c>
      <c r="N653" s="157">
        <f>'Quantitativos (A)'!L653*$D653*$E653</f>
        <v>110.66</v>
      </c>
      <c r="O653" s="157">
        <f>'Quantitativos (A)'!M653*$D653*$E653</f>
        <v>110.66</v>
      </c>
      <c r="P653" s="157">
        <f>'Quantitativos (A)'!N653*$D653*$E653</f>
        <v>110.66</v>
      </c>
      <c r="Q653" s="157">
        <f>'Quantitativos (A)'!O653*$D653*$E653</f>
        <v>110.66</v>
      </c>
      <c r="R653" s="157">
        <f>'Quantitativos (A)'!P653*$D653*$E653</f>
        <v>110.66</v>
      </c>
      <c r="S653" s="157">
        <f>'Quantitativos (A)'!Q653*$D653*$E653</f>
        <v>110.66</v>
      </c>
      <c r="T653" s="157">
        <f>'Quantitativos (A)'!R653*$D653*$E653</f>
        <v>110.66</v>
      </c>
      <c r="U653" s="157">
        <f>'Quantitativos (A)'!S653*$D653*$E653</f>
        <v>110.66</v>
      </c>
      <c r="V653" s="157">
        <f>'Quantitativos (A)'!T653*$D653*$E653</f>
        <v>110.66</v>
      </c>
      <c r="W653" s="157">
        <f>'Quantitativos (A)'!U653*$D653*$E653</f>
        <v>110.66</v>
      </c>
      <c r="X653" s="157">
        <f>'Quantitativos (A)'!V653*$D653*$E653</f>
        <v>110.66</v>
      </c>
      <c r="Y653" s="157">
        <f>'Quantitativos (A)'!W653*$D653*$E653</f>
        <v>110.66</v>
      </c>
      <c r="Z653" s="157">
        <f>'Quantitativos (A)'!X653*$D653*$E653</f>
        <v>110.66</v>
      </c>
      <c r="AA653" s="157">
        <f>'Quantitativos (A)'!Y653*$D653*$E653</f>
        <v>110.66</v>
      </c>
      <c r="AB653" s="157">
        <f>'Quantitativos (A)'!Z653*$D653*$E653</f>
        <v>110.66</v>
      </c>
      <c r="AC653" s="157">
        <f>'Quantitativos (A)'!AA653*$D653*$E653</f>
        <v>110.66</v>
      </c>
      <c r="AD653" s="157">
        <f>'Quantitativos (A)'!AB653*$D653*$E653</f>
        <v>110.66</v>
      </c>
      <c r="AE653" s="157">
        <f>'Quantitativos (A)'!AC653*$D653*$E653</f>
        <v>110.66</v>
      </c>
      <c r="AF653" s="157">
        <f>'Quantitativos (A)'!AD653*$D653*$E653</f>
        <v>110.66</v>
      </c>
      <c r="AG653" s="157">
        <f>'Quantitativos (A)'!AE653*$D653*$E653</f>
        <v>110.66</v>
      </c>
      <c r="AH653" s="157">
        <f>'Quantitativos (A)'!AF653*$D653*$E653</f>
        <v>110.66</v>
      </c>
      <c r="AI653" s="158">
        <f>'Quantitativos (A)'!AG653*$D653*$E653</f>
        <v>110.66</v>
      </c>
      <c r="AJ653" s="22"/>
    </row>
    <row r="654" spans="1:36" x14ac:dyDescent="0.25">
      <c r="A654" s="21"/>
      <c r="B654" s="141" t="s">
        <v>673</v>
      </c>
      <c r="C654" s="125" t="s">
        <v>60</v>
      </c>
      <c r="D654" s="157">
        <f>'Dados (F)'!$D$434</f>
        <v>42.26</v>
      </c>
      <c r="E654" s="125">
        <f>IF('Dados (F)'!$D$35=1,1,'Dados (F)'!$C$39)</f>
        <v>1</v>
      </c>
      <c r="F654" s="157">
        <f>'Quantitativos (A)'!D654*$D654*$E654</f>
        <v>84.52</v>
      </c>
      <c r="G654" s="157">
        <f>'Quantitativos (A)'!E654*$D654*$E654</f>
        <v>84.52</v>
      </c>
      <c r="H654" s="157">
        <f>'Quantitativos (A)'!F654*$D654*$E654</f>
        <v>84.52</v>
      </c>
      <c r="I654" s="157">
        <f>'Quantitativos (A)'!G654*$D654*$E654</f>
        <v>84.52</v>
      </c>
      <c r="J654" s="157">
        <f>'Quantitativos (A)'!H654*$D654*$E654</f>
        <v>84.52</v>
      </c>
      <c r="K654" s="157">
        <f>'Quantitativos (A)'!I654*$D654*$E654</f>
        <v>84.52</v>
      </c>
      <c r="L654" s="157">
        <f>'Quantitativos (A)'!J654*$D654*$E654</f>
        <v>84.52</v>
      </c>
      <c r="M654" s="157">
        <f>'Quantitativos (A)'!K654*$D654*$E654</f>
        <v>84.52</v>
      </c>
      <c r="N654" s="157">
        <f>'Quantitativos (A)'!L654*$D654*$E654</f>
        <v>84.52</v>
      </c>
      <c r="O654" s="157">
        <f>'Quantitativos (A)'!M654*$D654*$E654</f>
        <v>84.52</v>
      </c>
      <c r="P654" s="157">
        <f>'Quantitativos (A)'!N654*$D654*$E654</f>
        <v>84.52</v>
      </c>
      <c r="Q654" s="157">
        <f>'Quantitativos (A)'!O654*$D654*$E654</f>
        <v>84.52</v>
      </c>
      <c r="R654" s="157">
        <f>'Quantitativos (A)'!P654*$D654*$E654</f>
        <v>84.52</v>
      </c>
      <c r="S654" s="157">
        <f>'Quantitativos (A)'!Q654*$D654*$E654</f>
        <v>84.52</v>
      </c>
      <c r="T654" s="157">
        <f>'Quantitativos (A)'!R654*$D654*$E654</f>
        <v>84.52</v>
      </c>
      <c r="U654" s="157">
        <f>'Quantitativos (A)'!S654*$D654*$E654</f>
        <v>84.52</v>
      </c>
      <c r="V654" s="157">
        <f>'Quantitativos (A)'!T654*$D654*$E654</f>
        <v>84.52</v>
      </c>
      <c r="W654" s="157">
        <f>'Quantitativos (A)'!U654*$D654*$E654</f>
        <v>84.52</v>
      </c>
      <c r="X654" s="157">
        <f>'Quantitativos (A)'!V654*$D654*$E654</f>
        <v>84.52</v>
      </c>
      <c r="Y654" s="157">
        <f>'Quantitativos (A)'!W654*$D654*$E654</f>
        <v>84.52</v>
      </c>
      <c r="Z654" s="157">
        <f>'Quantitativos (A)'!X654*$D654*$E654</f>
        <v>84.52</v>
      </c>
      <c r="AA654" s="157">
        <f>'Quantitativos (A)'!Y654*$D654*$E654</f>
        <v>84.52</v>
      </c>
      <c r="AB654" s="157">
        <f>'Quantitativos (A)'!Z654*$D654*$E654</f>
        <v>84.52</v>
      </c>
      <c r="AC654" s="157">
        <f>'Quantitativos (A)'!AA654*$D654*$E654</f>
        <v>84.52</v>
      </c>
      <c r="AD654" s="157">
        <f>'Quantitativos (A)'!AB654*$D654*$E654</f>
        <v>84.52</v>
      </c>
      <c r="AE654" s="157">
        <f>'Quantitativos (A)'!AC654*$D654*$E654</f>
        <v>84.52</v>
      </c>
      <c r="AF654" s="157">
        <f>'Quantitativos (A)'!AD654*$D654*$E654</f>
        <v>84.52</v>
      </c>
      <c r="AG654" s="157">
        <f>'Quantitativos (A)'!AE654*$D654*$E654</f>
        <v>84.52</v>
      </c>
      <c r="AH654" s="157">
        <f>'Quantitativos (A)'!AF654*$D654*$E654</f>
        <v>84.52</v>
      </c>
      <c r="AI654" s="158">
        <f>'Quantitativos (A)'!AG654*$D654*$E654</f>
        <v>84.52</v>
      </c>
      <c r="AJ654" s="22"/>
    </row>
    <row r="655" spans="1:36" x14ac:dyDescent="0.25">
      <c r="A655" s="21"/>
      <c r="B655" s="141" t="s">
        <v>674</v>
      </c>
      <c r="C655" s="125" t="s">
        <v>60</v>
      </c>
      <c r="D655" s="157">
        <f>'Dados (F)'!$D$435</f>
        <v>55.33</v>
      </c>
      <c r="E655" s="125">
        <f>IF('Dados (F)'!$D$35=1,1,'Dados (F)'!$C$39)</f>
        <v>1</v>
      </c>
      <c r="F655" s="157">
        <f>'Quantitativos (A)'!D655*$D655*$E655</f>
        <v>110.66</v>
      </c>
      <c r="G655" s="157">
        <f>'Quantitativos (A)'!E655*$D655*$E655</f>
        <v>110.66</v>
      </c>
      <c r="H655" s="157">
        <f>'Quantitativos (A)'!F655*$D655*$E655</f>
        <v>110.66</v>
      </c>
      <c r="I655" s="157">
        <f>'Quantitativos (A)'!G655*$D655*$E655</f>
        <v>110.66</v>
      </c>
      <c r="J655" s="157">
        <f>'Quantitativos (A)'!H655*$D655*$E655</f>
        <v>110.66</v>
      </c>
      <c r="K655" s="157">
        <f>'Quantitativos (A)'!I655*$D655*$E655</f>
        <v>110.66</v>
      </c>
      <c r="L655" s="157">
        <f>'Quantitativos (A)'!J655*$D655*$E655</f>
        <v>110.66</v>
      </c>
      <c r="M655" s="157">
        <f>'Quantitativos (A)'!K655*$D655*$E655</f>
        <v>110.66</v>
      </c>
      <c r="N655" s="157">
        <f>'Quantitativos (A)'!L655*$D655*$E655</f>
        <v>110.66</v>
      </c>
      <c r="O655" s="157">
        <f>'Quantitativos (A)'!M655*$D655*$E655</f>
        <v>110.66</v>
      </c>
      <c r="P655" s="157">
        <f>'Quantitativos (A)'!N655*$D655*$E655</f>
        <v>110.66</v>
      </c>
      <c r="Q655" s="157">
        <f>'Quantitativos (A)'!O655*$D655*$E655</f>
        <v>110.66</v>
      </c>
      <c r="R655" s="157">
        <f>'Quantitativos (A)'!P655*$D655*$E655</f>
        <v>110.66</v>
      </c>
      <c r="S655" s="157">
        <f>'Quantitativos (A)'!Q655*$D655*$E655</f>
        <v>110.66</v>
      </c>
      <c r="T655" s="157">
        <f>'Quantitativos (A)'!R655*$D655*$E655</f>
        <v>110.66</v>
      </c>
      <c r="U655" s="157">
        <f>'Quantitativos (A)'!S655*$D655*$E655</f>
        <v>110.66</v>
      </c>
      <c r="V655" s="157">
        <f>'Quantitativos (A)'!T655*$D655*$E655</f>
        <v>110.66</v>
      </c>
      <c r="W655" s="157">
        <f>'Quantitativos (A)'!U655*$D655*$E655</f>
        <v>110.66</v>
      </c>
      <c r="X655" s="157">
        <f>'Quantitativos (A)'!V655*$D655*$E655</f>
        <v>110.66</v>
      </c>
      <c r="Y655" s="157">
        <f>'Quantitativos (A)'!W655*$D655*$E655</f>
        <v>110.66</v>
      </c>
      <c r="Z655" s="157">
        <f>'Quantitativos (A)'!X655*$D655*$E655</f>
        <v>110.66</v>
      </c>
      <c r="AA655" s="157">
        <f>'Quantitativos (A)'!Y655*$D655*$E655</f>
        <v>110.66</v>
      </c>
      <c r="AB655" s="157">
        <f>'Quantitativos (A)'!Z655*$D655*$E655</f>
        <v>110.66</v>
      </c>
      <c r="AC655" s="157">
        <f>'Quantitativos (A)'!AA655*$D655*$E655</f>
        <v>110.66</v>
      </c>
      <c r="AD655" s="157">
        <f>'Quantitativos (A)'!AB655*$D655*$E655</f>
        <v>110.66</v>
      </c>
      <c r="AE655" s="157">
        <f>'Quantitativos (A)'!AC655*$D655*$E655</f>
        <v>110.66</v>
      </c>
      <c r="AF655" s="157">
        <f>'Quantitativos (A)'!AD655*$D655*$E655</f>
        <v>110.66</v>
      </c>
      <c r="AG655" s="157">
        <f>'Quantitativos (A)'!AE655*$D655*$E655</f>
        <v>110.66</v>
      </c>
      <c r="AH655" s="157">
        <f>'Quantitativos (A)'!AF655*$D655*$E655</f>
        <v>110.66</v>
      </c>
      <c r="AI655" s="158">
        <f>'Quantitativos (A)'!AG655*$D655*$E655</f>
        <v>110.66</v>
      </c>
      <c r="AJ655" s="22"/>
    </row>
    <row r="656" spans="1:36" x14ac:dyDescent="0.25">
      <c r="A656" s="21"/>
      <c r="B656" s="141" t="s">
        <v>675</v>
      </c>
      <c r="C656" s="125" t="s">
        <v>60</v>
      </c>
      <c r="D656" s="157">
        <f>'Dados (F)'!$D$436</f>
        <v>55.33</v>
      </c>
      <c r="E656" s="125">
        <f>IF('Dados (F)'!$D$35=1,1,'Dados (F)'!$C$39)</f>
        <v>1</v>
      </c>
      <c r="F656" s="157">
        <f>'Quantitativos (A)'!D656*$D656*$E656</f>
        <v>110.66</v>
      </c>
      <c r="G656" s="157">
        <f>'Quantitativos (A)'!E656*$D656*$E656</f>
        <v>110.66</v>
      </c>
      <c r="H656" s="157">
        <f>'Quantitativos (A)'!F656*$D656*$E656</f>
        <v>110.66</v>
      </c>
      <c r="I656" s="157">
        <f>'Quantitativos (A)'!G656*$D656*$E656</f>
        <v>110.66</v>
      </c>
      <c r="J656" s="157">
        <f>'Quantitativos (A)'!H656*$D656*$E656</f>
        <v>110.66</v>
      </c>
      <c r="K656" s="157">
        <f>'Quantitativos (A)'!I656*$D656*$E656</f>
        <v>110.66</v>
      </c>
      <c r="L656" s="157">
        <f>'Quantitativos (A)'!J656*$D656*$E656</f>
        <v>110.66</v>
      </c>
      <c r="M656" s="157">
        <f>'Quantitativos (A)'!K656*$D656*$E656</f>
        <v>110.66</v>
      </c>
      <c r="N656" s="157">
        <f>'Quantitativos (A)'!L656*$D656*$E656</f>
        <v>110.66</v>
      </c>
      <c r="O656" s="157">
        <f>'Quantitativos (A)'!M656*$D656*$E656</f>
        <v>110.66</v>
      </c>
      <c r="P656" s="157">
        <f>'Quantitativos (A)'!N656*$D656*$E656</f>
        <v>110.66</v>
      </c>
      <c r="Q656" s="157">
        <f>'Quantitativos (A)'!O656*$D656*$E656</f>
        <v>110.66</v>
      </c>
      <c r="R656" s="157">
        <f>'Quantitativos (A)'!P656*$D656*$E656</f>
        <v>110.66</v>
      </c>
      <c r="S656" s="157">
        <f>'Quantitativos (A)'!Q656*$D656*$E656</f>
        <v>110.66</v>
      </c>
      <c r="T656" s="157">
        <f>'Quantitativos (A)'!R656*$D656*$E656</f>
        <v>110.66</v>
      </c>
      <c r="U656" s="157">
        <f>'Quantitativos (A)'!S656*$D656*$E656</f>
        <v>110.66</v>
      </c>
      <c r="V656" s="157">
        <f>'Quantitativos (A)'!T656*$D656*$E656</f>
        <v>110.66</v>
      </c>
      <c r="W656" s="157">
        <f>'Quantitativos (A)'!U656*$D656*$E656</f>
        <v>110.66</v>
      </c>
      <c r="X656" s="157">
        <f>'Quantitativos (A)'!V656*$D656*$E656</f>
        <v>110.66</v>
      </c>
      <c r="Y656" s="157">
        <f>'Quantitativos (A)'!W656*$D656*$E656</f>
        <v>110.66</v>
      </c>
      <c r="Z656" s="157">
        <f>'Quantitativos (A)'!X656*$D656*$E656</f>
        <v>110.66</v>
      </c>
      <c r="AA656" s="157">
        <f>'Quantitativos (A)'!Y656*$D656*$E656</f>
        <v>110.66</v>
      </c>
      <c r="AB656" s="157">
        <f>'Quantitativos (A)'!Z656*$D656*$E656</f>
        <v>110.66</v>
      </c>
      <c r="AC656" s="157">
        <f>'Quantitativos (A)'!AA656*$D656*$E656</f>
        <v>110.66</v>
      </c>
      <c r="AD656" s="157">
        <f>'Quantitativos (A)'!AB656*$D656*$E656</f>
        <v>110.66</v>
      </c>
      <c r="AE656" s="157">
        <f>'Quantitativos (A)'!AC656*$D656*$E656</f>
        <v>110.66</v>
      </c>
      <c r="AF656" s="157">
        <f>'Quantitativos (A)'!AD656*$D656*$E656</f>
        <v>110.66</v>
      </c>
      <c r="AG656" s="157">
        <f>'Quantitativos (A)'!AE656*$D656*$E656</f>
        <v>110.66</v>
      </c>
      <c r="AH656" s="157">
        <f>'Quantitativos (A)'!AF656*$D656*$E656</f>
        <v>110.66</v>
      </c>
      <c r="AI656" s="158">
        <f>'Quantitativos (A)'!AG656*$D656*$E656</f>
        <v>110.66</v>
      </c>
      <c r="AJ656" s="22"/>
    </row>
    <row r="657" spans="1:36" x14ac:dyDescent="0.25">
      <c r="A657" s="21"/>
      <c r="B657" s="141" t="s">
        <v>676</v>
      </c>
      <c r="C657" s="125" t="s">
        <v>60</v>
      </c>
      <c r="D657" s="157">
        <f>'Dados (F)'!$D$437</f>
        <v>55.33</v>
      </c>
      <c r="E657" s="125">
        <f>IF('Dados (F)'!$D$35=1,1,'Dados (F)'!$C$39)</f>
        <v>1</v>
      </c>
      <c r="F657" s="157">
        <f>'Quantitativos (A)'!D657*$D657*$E657</f>
        <v>110.66</v>
      </c>
      <c r="G657" s="157">
        <f>'Quantitativos (A)'!E657*$D657*$E657</f>
        <v>110.66</v>
      </c>
      <c r="H657" s="157">
        <f>'Quantitativos (A)'!F657*$D657*$E657</f>
        <v>110.66</v>
      </c>
      <c r="I657" s="157">
        <f>'Quantitativos (A)'!G657*$D657*$E657</f>
        <v>110.66</v>
      </c>
      <c r="J657" s="157">
        <f>'Quantitativos (A)'!H657*$D657*$E657</f>
        <v>110.66</v>
      </c>
      <c r="K657" s="157">
        <f>'Quantitativos (A)'!I657*$D657*$E657</f>
        <v>110.66</v>
      </c>
      <c r="L657" s="157">
        <f>'Quantitativos (A)'!J657*$D657*$E657</f>
        <v>110.66</v>
      </c>
      <c r="M657" s="157">
        <f>'Quantitativos (A)'!K657*$D657*$E657</f>
        <v>110.66</v>
      </c>
      <c r="N657" s="157">
        <f>'Quantitativos (A)'!L657*$D657*$E657</f>
        <v>110.66</v>
      </c>
      <c r="O657" s="157">
        <f>'Quantitativos (A)'!M657*$D657*$E657</f>
        <v>110.66</v>
      </c>
      <c r="P657" s="157">
        <f>'Quantitativos (A)'!N657*$D657*$E657</f>
        <v>110.66</v>
      </c>
      <c r="Q657" s="157">
        <f>'Quantitativos (A)'!O657*$D657*$E657</f>
        <v>110.66</v>
      </c>
      <c r="R657" s="157">
        <f>'Quantitativos (A)'!P657*$D657*$E657</f>
        <v>110.66</v>
      </c>
      <c r="S657" s="157">
        <f>'Quantitativos (A)'!Q657*$D657*$E657</f>
        <v>110.66</v>
      </c>
      <c r="T657" s="157">
        <f>'Quantitativos (A)'!R657*$D657*$E657</f>
        <v>110.66</v>
      </c>
      <c r="U657" s="157">
        <f>'Quantitativos (A)'!S657*$D657*$E657</f>
        <v>110.66</v>
      </c>
      <c r="V657" s="157">
        <f>'Quantitativos (A)'!T657*$D657*$E657</f>
        <v>110.66</v>
      </c>
      <c r="W657" s="157">
        <f>'Quantitativos (A)'!U657*$D657*$E657</f>
        <v>110.66</v>
      </c>
      <c r="X657" s="157">
        <f>'Quantitativos (A)'!V657*$D657*$E657</f>
        <v>110.66</v>
      </c>
      <c r="Y657" s="157">
        <f>'Quantitativos (A)'!W657*$D657*$E657</f>
        <v>110.66</v>
      </c>
      <c r="Z657" s="157">
        <f>'Quantitativos (A)'!X657*$D657*$E657</f>
        <v>110.66</v>
      </c>
      <c r="AA657" s="157">
        <f>'Quantitativos (A)'!Y657*$D657*$E657</f>
        <v>110.66</v>
      </c>
      <c r="AB657" s="157">
        <f>'Quantitativos (A)'!Z657*$D657*$E657</f>
        <v>110.66</v>
      </c>
      <c r="AC657" s="157">
        <f>'Quantitativos (A)'!AA657*$D657*$E657</f>
        <v>110.66</v>
      </c>
      <c r="AD657" s="157">
        <f>'Quantitativos (A)'!AB657*$D657*$E657</f>
        <v>110.66</v>
      </c>
      <c r="AE657" s="157">
        <f>'Quantitativos (A)'!AC657*$D657*$E657</f>
        <v>110.66</v>
      </c>
      <c r="AF657" s="157">
        <f>'Quantitativos (A)'!AD657*$D657*$E657</f>
        <v>110.66</v>
      </c>
      <c r="AG657" s="157">
        <f>'Quantitativos (A)'!AE657*$D657*$E657</f>
        <v>110.66</v>
      </c>
      <c r="AH657" s="157">
        <f>'Quantitativos (A)'!AF657*$D657*$E657</f>
        <v>110.66</v>
      </c>
      <c r="AI657" s="158">
        <f>'Quantitativos (A)'!AG657*$D657*$E657</f>
        <v>110.66</v>
      </c>
      <c r="AJ657" s="22"/>
    </row>
    <row r="658" spans="1:36" x14ac:dyDescent="0.25">
      <c r="A658" s="21"/>
      <c r="B658" s="141" t="s">
        <v>677</v>
      </c>
      <c r="C658" s="125" t="s">
        <v>60</v>
      </c>
      <c r="D658" s="157">
        <f>'Dados (F)'!$D$438</f>
        <v>55.33</v>
      </c>
      <c r="E658" s="125">
        <f>IF('Dados (F)'!$D$35=1,1,'Dados (F)'!$C$39)</f>
        <v>1</v>
      </c>
      <c r="F658" s="157">
        <f>'Quantitativos (A)'!D658*$D658*$E658</f>
        <v>110.66</v>
      </c>
      <c r="G658" s="157">
        <f>'Quantitativos (A)'!E658*$D658*$E658</f>
        <v>110.66</v>
      </c>
      <c r="H658" s="157">
        <f>'Quantitativos (A)'!F658*$D658*$E658</f>
        <v>110.66</v>
      </c>
      <c r="I658" s="157">
        <f>'Quantitativos (A)'!G658*$D658*$E658</f>
        <v>110.66</v>
      </c>
      <c r="J658" s="157">
        <f>'Quantitativos (A)'!H658*$D658*$E658</f>
        <v>110.66</v>
      </c>
      <c r="K658" s="157">
        <f>'Quantitativos (A)'!I658*$D658*$E658</f>
        <v>110.66</v>
      </c>
      <c r="L658" s="157">
        <f>'Quantitativos (A)'!J658*$D658*$E658</f>
        <v>110.66</v>
      </c>
      <c r="M658" s="157">
        <f>'Quantitativos (A)'!K658*$D658*$E658</f>
        <v>110.66</v>
      </c>
      <c r="N658" s="157">
        <f>'Quantitativos (A)'!L658*$D658*$E658</f>
        <v>110.66</v>
      </c>
      <c r="O658" s="157">
        <f>'Quantitativos (A)'!M658*$D658*$E658</f>
        <v>110.66</v>
      </c>
      <c r="P658" s="157">
        <f>'Quantitativos (A)'!N658*$D658*$E658</f>
        <v>110.66</v>
      </c>
      <c r="Q658" s="157">
        <f>'Quantitativos (A)'!O658*$D658*$E658</f>
        <v>110.66</v>
      </c>
      <c r="R658" s="157">
        <f>'Quantitativos (A)'!P658*$D658*$E658</f>
        <v>110.66</v>
      </c>
      <c r="S658" s="157">
        <f>'Quantitativos (A)'!Q658*$D658*$E658</f>
        <v>110.66</v>
      </c>
      <c r="T658" s="157">
        <f>'Quantitativos (A)'!R658*$D658*$E658</f>
        <v>110.66</v>
      </c>
      <c r="U658" s="157">
        <f>'Quantitativos (A)'!S658*$D658*$E658</f>
        <v>110.66</v>
      </c>
      <c r="V658" s="157">
        <f>'Quantitativos (A)'!T658*$D658*$E658</f>
        <v>110.66</v>
      </c>
      <c r="W658" s="157">
        <f>'Quantitativos (A)'!U658*$D658*$E658</f>
        <v>110.66</v>
      </c>
      <c r="X658" s="157">
        <f>'Quantitativos (A)'!V658*$D658*$E658</f>
        <v>110.66</v>
      </c>
      <c r="Y658" s="157">
        <f>'Quantitativos (A)'!W658*$D658*$E658</f>
        <v>110.66</v>
      </c>
      <c r="Z658" s="157">
        <f>'Quantitativos (A)'!X658*$D658*$E658</f>
        <v>110.66</v>
      </c>
      <c r="AA658" s="157">
        <f>'Quantitativos (A)'!Y658*$D658*$E658</f>
        <v>110.66</v>
      </c>
      <c r="AB658" s="157">
        <f>'Quantitativos (A)'!Z658*$D658*$E658</f>
        <v>110.66</v>
      </c>
      <c r="AC658" s="157">
        <f>'Quantitativos (A)'!AA658*$D658*$E658</f>
        <v>110.66</v>
      </c>
      <c r="AD658" s="157">
        <f>'Quantitativos (A)'!AB658*$D658*$E658</f>
        <v>110.66</v>
      </c>
      <c r="AE658" s="157">
        <f>'Quantitativos (A)'!AC658*$D658*$E658</f>
        <v>110.66</v>
      </c>
      <c r="AF658" s="157">
        <f>'Quantitativos (A)'!AD658*$D658*$E658</f>
        <v>110.66</v>
      </c>
      <c r="AG658" s="157">
        <f>'Quantitativos (A)'!AE658*$D658*$E658</f>
        <v>110.66</v>
      </c>
      <c r="AH658" s="157">
        <f>'Quantitativos (A)'!AF658*$D658*$E658</f>
        <v>110.66</v>
      </c>
      <c r="AI658" s="158">
        <f>'Quantitativos (A)'!AG658*$D658*$E658</f>
        <v>110.66</v>
      </c>
      <c r="AJ658" s="22"/>
    </row>
    <row r="659" spans="1:36" x14ac:dyDescent="0.25">
      <c r="A659" s="21"/>
      <c r="B659" s="141" t="s">
        <v>678</v>
      </c>
      <c r="C659" s="125" t="s">
        <v>60</v>
      </c>
      <c r="D659" s="157">
        <f>'Dados (F)'!$D$439</f>
        <v>55.33</v>
      </c>
      <c r="E659" s="125">
        <f>IF('Dados (F)'!$D$35=1,1,'Dados (F)'!$C$39)</f>
        <v>1</v>
      </c>
      <c r="F659" s="157">
        <f>'Quantitativos (A)'!D659*$D659*$E659</f>
        <v>110.66</v>
      </c>
      <c r="G659" s="157">
        <f>'Quantitativos (A)'!E659*$D659*$E659</f>
        <v>110.66</v>
      </c>
      <c r="H659" s="157">
        <f>'Quantitativos (A)'!F659*$D659*$E659</f>
        <v>110.66</v>
      </c>
      <c r="I659" s="157">
        <f>'Quantitativos (A)'!G659*$D659*$E659</f>
        <v>110.66</v>
      </c>
      <c r="J659" s="157">
        <f>'Quantitativos (A)'!H659*$D659*$E659</f>
        <v>110.66</v>
      </c>
      <c r="K659" s="157">
        <f>'Quantitativos (A)'!I659*$D659*$E659</f>
        <v>110.66</v>
      </c>
      <c r="L659" s="157">
        <f>'Quantitativos (A)'!J659*$D659*$E659</f>
        <v>110.66</v>
      </c>
      <c r="M659" s="157">
        <f>'Quantitativos (A)'!K659*$D659*$E659</f>
        <v>110.66</v>
      </c>
      <c r="N659" s="157">
        <f>'Quantitativos (A)'!L659*$D659*$E659</f>
        <v>110.66</v>
      </c>
      <c r="O659" s="157">
        <f>'Quantitativos (A)'!M659*$D659*$E659</f>
        <v>110.66</v>
      </c>
      <c r="P659" s="157">
        <f>'Quantitativos (A)'!N659*$D659*$E659</f>
        <v>110.66</v>
      </c>
      <c r="Q659" s="157">
        <f>'Quantitativos (A)'!O659*$D659*$E659</f>
        <v>110.66</v>
      </c>
      <c r="R659" s="157">
        <f>'Quantitativos (A)'!P659*$D659*$E659</f>
        <v>110.66</v>
      </c>
      <c r="S659" s="157">
        <f>'Quantitativos (A)'!Q659*$D659*$E659</f>
        <v>110.66</v>
      </c>
      <c r="T659" s="157">
        <f>'Quantitativos (A)'!R659*$D659*$E659</f>
        <v>110.66</v>
      </c>
      <c r="U659" s="157">
        <f>'Quantitativos (A)'!S659*$D659*$E659</f>
        <v>110.66</v>
      </c>
      <c r="V659" s="157">
        <f>'Quantitativos (A)'!T659*$D659*$E659</f>
        <v>110.66</v>
      </c>
      <c r="W659" s="157">
        <f>'Quantitativos (A)'!U659*$D659*$E659</f>
        <v>110.66</v>
      </c>
      <c r="X659" s="157">
        <f>'Quantitativos (A)'!V659*$D659*$E659</f>
        <v>110.66</v>
      </c>
      <c r="Y659" s="157">
        <f>'Quantitativos (A)'!W659*$D659*$E659</f>
        <v>110.66</v>
      </c>
      <c r="Z659" s="157">
        <f>'Quantitativos (A)'!X659*$D659*$E659</f>
        <v>110.66</v>
      </c>
      <c r="AA659" s="157">
        <f>'Quantitativos (A)'!Y659*$D659*$E659</f>
        <v>110.66</v>
      </c>
      <c r="AB659" s="157">
        <f>'Quantitativos (A)'!Z659*$D659*$E659</f>
        <v>110.66</v>
      </c>
      <c r="AC659" s="157">
        <f>'Quantitativos (A)'!AA659*$D659*$E659</f>
        <v>110.66</v>
      </c>
      <c r="AD659" s="157">
        <f>'Quantitativos (A)'!AB659*$D659*$E659</f>
        <v>110.66</v>
      </c>
      <c r="AE659" s="157">
        <f>'Quantitativos (A)'!AC659*$D659*$E659</f>
        <v>110.66</v>
      </c>
      <c r="AF659" s="157">
        <f>'Quantitativos (A)'!AD659*$D659*$E659</f>
        <v>110.66</v>
      </c>
      <c r="AG659" s="157">
        <f>'Quantitativos (A)'!AE659*$D659*$E659</f>
        <v>110.66</v>
      </c>
      <c r="AH659" s="157">
        <f>'Quantitativos (A)'!AF659*$D659*$E659</f>
        <v>110.66</v>
      </c>
      <c r="AI659" s="158">
        <f>'Quantitativos (A)'!AG659*$D659*$E659</f>
        <v>110.66</v>
      </c>
      <c r="AJ659" s="22"/>
    </row>
    <row r="660" spans="1:36" x14ac:dyDescent="0.25">
      <c r="A660" s="21"/>
      <c r="B660" s="141" t="s">
        <v>679</v>
      </c>
      <c r="C660" s="125" t="s">
        <v>60</v>
      </c>
      <c r="D660" s="157">
        <f>'Dados (F)'!$D$440</f>
        <v>55.33</v>
      </c>
      <c r="E660" s="125">
        <f>IF('Dados (F)'!$D$35=1,1,'Dados (F)'!$C$39)</f>
        <v>1</v>
      </c>
      <c r="F660" s="157">
        <f>'Quantitativos (A)'!D660*$D660*$E660</f>
        <v>110.66</v>
      </c>
      <c r="G660" s="157">
        <f>'Quantitativos (A)'!E660*$D660*$E660</f>
        <v>110.66</v>
      </c>
      <c r="H660" s="157">
        <f>'Quantitativos (A)'!F660*$D660*$E660</f>
        <v>110.66</v>
      </c>
      <c r="I660" s="157">
        <f>'Quantitativos (A)'!G660*$D660*$E660</f>
        <v>110.66</v>
      </c>
      <c r="J660" s="157">
        <f>'Quantitativos (A)'!H660*$D660*$E660</f>
        <v>110.66</v>
      </c>
      <c r="K660" s="157">
        <f>'Quantitativos (A)'!I660*$D660*$E660</f>
        <v>110.66</v>
      </c>
      <c r="L660" s="157">
        <f>'Quantitativos (A)'!J660*$D660*$E660</f>
        <v>110.66</v>
      </c>
      <c r="M660" s="157">
        <f>'Quantitativos (A)'!K660*$D660*$E660</f>
        <v>110.66</v>
      </c>
      <c r="N660" s="157">
        <f>'Quantitativos (A)'!L660*$D660*$E660</f>
        <v>110.66</v>
      </c>
      <c r="O660" s="157">
        <f>'Quantitativos (A)'!M660*$D660*$E660</f>
        <v>110.66</v>
      </c>
      <c r="P660" s="157">
        <f>'Quantitativos (A)'!N660*$D660*$E660</f>
        <v>110.66</v>
      </c>
      <c r="Q660" s="157">
        <f>'Quantitativos (A)'!O660*$D660*$E660</f>
        <v>110.66</v>
      </c>
      <c r="R660" s="157">
        <f>'Quantitativos (A)'!P660*$D660*$E660</f>
        <v>110.66</v>
      </c>
      <c r="S660" s="157">
        <f>'Quantitativos (A)'!Q660*$D660*$E660</f>
        <v>110.66</v>
      </c>
      <c r="T660" s="157">
        <f>'Quantitativos (A)'!R660*$D660*$E660</f>
        <v>110.66</v>
      </c>
      <c r="U660" s="157">
        <f>'Quantitativos (A)'!S660*$D660*$E660</f>
        <v>110.66</v>
      </c>
      <c r="V660" s="157">
        <f>'Quantitativos (A)'!T660*$D660*$E660</f>
        <v>110.66</v>
      </c>
      <c r="W660" s="157">
        <f>'Quantitativos (A)'!U660*$D660*$E660</f>
        <v>110.66</v>
      </c>
      <c r="X660" s="157">
        <f>'Quantitativos (A)'!V660*$D660*$E660</f>
        <v>110.66</v>
      </c>
      <c r="Y660" s="157">
        <f>'Quantitativos (A)'!W660*$D660*$E660</f>
        <v>110.66</v>
      </c>
      <c r="Z660" s="157">
        <f>'Quantitativos (A)'!X660*$D660*$E660</f>
        <v>110.66</v>
      </c>
      <c r="AA660" s="157">
        <f>'Quantitativos (A)'!Y660*$D660*$E660</f>
        <v>110.66</v>
      </c>
      <c r="AB660" s="157">
        <f>'Quantitativos (A)'!Z660*$D660*$E660</f>
        <v>110.66</v>
      </c>
      <c r="AC660" s="157">
        <f>'Quantitativos (A)'!AA660*$D660*$E660</f>
        <v>110.66</v>
      </c>
      <c r="AD660" s="157">
        <f>'Quantitativos (A)'!AB660*$D660*$E660</f>
        <v>110.66</v>
      </c>
      <c r="AE660" s="157">
        <f>'Quantitativos (A)'!AC660*$D660*$E660</f>
        <v>110.66</v>
      </c>
      <c r="AF660" s="157">
        <f>'Quantitativos (A)'!AD660*$D660*$E660</f>
        <v>110.66</v>
      </c>
      <c r="AG660" s="157">
        <f>'Quantitativos (A)'!AE660*$D660*$E660</f>
        <v>110.66</v>
      </c>
      <c r="AH660" s="157">
        <f>'Quantitativos (A)'!AF660*$D660*$E660</f>
        <v>110.66</v>
      </c>
      <c r="AI660" s="158">
        <f>'Quantitativos (A)'!AG660*$D660*$E660</f>
        <v>110.66</v>
      </c>
      <c r="AJ660" s="22"/>
    </row>
    <row r="661" spans="1:36" x14ac:dyDescent="0.25">
      <c r="A661" s="21"/>
      <c r="B661" s="141" t="s">
        <v>680</v>
      </c>
      <c r="C661" s="125" t="s">
        <v>60</v>
      </c>
      <c r="D661" s="157">
        <f>'Dados (F)'!$D$441</f>
        <v>55.33</v>
      </c>
      <c r="E661" s="125">
        <f>IF('Dados (F)'!$D$35=1,1,'Dados (F)'!$C$39)</f>
        <v>1</v>
      </c>
      <c r="F661" s="157">
        <f>'Quantitativos (A)'!D661*$D661*$E661</f>
        <v>110.66</v>
      </c>
      <c r="G661" s="157">
        <f>'Quantitativos (A)'!E661*$D661*$E661</f>
        <v>110.66</v>
      </c>
      <c r="H661" s="157">
        <f>'Quantitativos (A)'!F661*$D661*$E661</f>
        <v>110.66</v>
      </c>
      <c r="I661" s="157">
        <f>'Quantitativos (A)'!G661*$D661*$E661</f>
        <v>110.66</v>
      </c>
      <c r="J661" s="157">
        <f>'Quantitativos (A)'!H661*$D661*$E661</f>
        <v>110.66</v>
      </c>
      <c r="K661" s="157">
        <f>'Quantitativos (A)'!I661*$D661*$E661</f>
        <v>110.66</v>
      </c>
      <c r="L661" s="157">
        <f>'Quantitativos (A)'!J661*$D661*$E661</f>
        <v>110.66</v>
      </c>
      <c r="M661" s="157">
        <f>'Quantitativos (A)'!K661*$D661*$E661</f>
        <v>110.66</v>
      </c>
      <c r="N661" s="157">
        <f>'Quantitativos (A)'!L661*$D661*$E661</f>
        <v>110.66</v>
      </c>
      <c r="O661" s="157">
        <f>'Quantitativos (A)'!M661*$D661*$E661</f>
        <v>110.66</v>
      </c>
      <c r="P661" s="157">
        <f>'Quantitativos (A)'!N661*$D661*$E661</f>
        <v>110.66</v>
      </c>
      <c r="Q661" s="157">
        <f>'Quantitativos (A)'!O661*$D661*$E661</f>
        <v>110.66</v>
      </c>
      <c r="R661" s="157">
        <f>'Quantitativos (A)'!P661*$D661*$E661</f>
        <v>110.66</v>
      </c>
      <c r="S661" s="157">
        <f>'Quantitativos (A)'!Q661*$D661*$E661</f>
        <v>110.66</v>
      </c>
      <c r="T661" s="157">
        <f>'Quantitativos (A)'!R661*$D661*$E661</f>
        <v>110.66</v>
      </c>
      <c r="U661" s="157">
        <f>'Quantitativos (A)'!S661*$D661*$E661</f>
        <v>110.66</v>
      </c>
      <c r="V661" s="157">
        <f>'Quantitativos (A)'!T661*$D661*$E661</f>
        <v>110.66</v>
      </c>
      <c r="W661" s="157">
        <f>'Quantitativos (A)'!U661*$D661*$E661</f>
        <v>110.66</v>
      </c>
      <c r="X661" s="157">
        <f>'Quantitativos (A)'!V661*$D661*$E661</f>
        <v>110.66</v>
      </c>
      <c r="Y661" s="157">
        <f>'Quantitativos (A)'!W661*$D661*$E661</f>
        <v>110.66</v>
      </c>
      <c r="Z661" s="157">
        <f>'Quantitativos (A)'!X661*$D661*$E661</f>
        <v>110.66</v>
      </c>
      <c r="AA661" s="157">
        <f>'Quantitativos (A)'!Y661*$D661*$E661</f>
        <v>110.66</v>
      </c>
      <c r="AB661" s="157">
        <f>'Quantitativos (A)'!Z661*$D661*$E661</f>
        <v>110.66</v>
      </c>
      <c r="AC661" s="157">
        <f>'Quantitativos (A)'!AA661*$D661*$E661</f>
        <v>110.66</v>
      </c>
      <c r="AD661" s="157">
        <f>'Quantitativos (A)'!AB661*$D661*$E661</f>
        <v>110.66</v>
      </c>
      <c r="AE661" s="157">
        <f>'Quantitativos (A)'!AC661*$D661*$E661</f>
        <v>110.66</v>
      </c>
      <c r="AF661" s="157">
        <f>'Quantitativos (A)'!AD661*$D661*$E661</f>
        <v>110.66</v>
      </c>
      <c r="AG661" s="157">
        <f>'Quantitativos (A)'!AE661*$D661*$E661</f>
        <v>110.66</v>
      </c>
      <c r="AH661" s="157">
        <f>'Quantitativos (A)'!AF661*$D661*$E661</f>
        <v>110.66</v>
      </c>
      <c r="AI661" s="158">
        <f>'Quantitativos (A)'!AG661*$D661*$E661</f>
        <v>110.66</v>
      </c>
      <c r="AJ661" s="22"/>
    </row>
    <row r="662" spans="1:36" x14ac:dyDescent="0.25">
      <c r="A662" s="21"/>
      <c r="B662" s="141" t="s">
        <v>681</v>
      </c>
      <c r="C662" s="125" t="s">
        <v>60</v>
      </c>
      <c r="D662" s="157">
        <f>'Dados (F)'!$D$442</f>
        <v>55.33</v>
      </c>
      <c r="E662" s="125">
        <f>IF('Dados (F)'!$D$35=1,1,'Dados (F)'!$C$39)</f>
        <v>1</v>
      </c>
      <c r="F662" s="157">
        <f>'Quantitativos (A)'!D662*$D662*$E662</f>
        <v>110.66</v>
      </c>
      <c r="G662" s="157">
        <f>'Quantitativos (A)'!E662*$D662*$E662</f>
        <v>110.66</v>
      </c>
      <c r="H662" s="157">
        <f>'Quantitativos (A)'!F662*$D662*$E662</f>
        <v>110.66</v>
      </c>
      <c r="I662" s="157">
        <f>'Quantitativos (A)'!G662*$D662*$E662</f>
        <v>110.66</v>
      </c>
      <c r="J662" s="157">
        <f>'Quantitativos (A)'!H662*$D662*$E662</f>
        <v>110.66</v>
      </c>
      <c r="K662" s="157">
        <f>'Quantitativos (A)'!I662*$D662*$E662</f>
        <v>110.66</v>
      </c>
      <c r="L662" s="157">
        <f>'Quantitativos (A)'!J662*$D662*$E662</f>
        <v>110.66</v>
      </c>
      <c r="M662" s="157">
        <f>'Quantitativos (A)'!K662*$D662*$E662</f>
        <v>110.66</v>
      </c>
      <c r="N662" s="157">
        <f>'Quantitativos (A)'!L662*$D662*$E662</f>
        <v>110.66</v>
      </c>
      <c r="O662" s="157">
        <f>'Quantitativos (A)'!M662*$D662*$E662</f>
        <v>110.66</v>
      </c>
      <c r="P662" s="157">
        <f>'Quantitativos (A)'!N662*$D662*$E662</f>
        <v>110.66</v>
      </c>
      <c r="Q662" s="157">
        <f>'Quantitativos (A)'!O662*$D662*$E662</f>
        <v>110.66</v>
      </c>
      <c r="R662" s="157">
        <f>'Quantitativos (A)'!P662*$D662*$E662</f>
        <v>110.66</v>
      </c>
      <c r="S662" s="157">
        <f>'Quantitativos (A)'!Q662*$D662*$E662</f>
        <v>110.66</v>
      </c>
      <c r="T662" s="157">
        <f>'Quantitativos (A)'!R662*$D662*$E662</f>
        <v>110.66</v>
      </c>
      <c r="U662" s="157">
        <f>'Quantitativos (A)'!S662*$D662*$E662</f>
        <v>110.66</v>
      </c>
      <c r="V662" s="157">
        <f>'Quantitativos (A)'!T662*$D662*$E662</f>
        <v>110.66</v>
      </c>
      <c r="W662" s="157">
        <f>'Quantitativos (A)'!U662*$D662*$E662</f>
        <v>110.66</v>
      </c>
      <c r="X662" s="157">
        <f>'Quantitativos (A)'!V662*$D662*$E662</f>
        <v>110.66</v>
      </c>
      <c r="Y662" s="157">
        <f>'Quantitativos (A)'!W662*$D662*$E662</f>
        <v>110.66</v>
      </c>
      <c r="Z662" s="157">
        <f>'Quantitativos (A)'!X662*$D662*$E662</f>
        <v>110.66</v>
      </c>
      <c r="AA662" s="157">
        <f>'Quantitativos (A)'!Y662*$D662*$E662</f>
        <v>110.66</v>
      </c>
      <c r="AB662" s="157">
        <f>'Quantitativos (A)'!Z662*$D662*$E662</f>
        <v>110.66</v>
      </c>
      <c r="AC662" s="157">
        <f>'Quantitativos (A)'!AA662*$D662*$E662</f>
        <v>110.66</v>
      </c>
      <c r="AD662" s="157">
        <f>'Quantitativos (A)'!AB662*$D662*$E662</f>
        <v>110.66</v>
      </c>
      <c r="AE662" s="157">
        <f>'Quantitativos (A)'!AC662*$D662*$E662</f>
        <v>110.66</v>
      </c>
      <c r="AF662" s="157">
        <f>'Quantitativos (A)'!AD662*$D662*$E662</f>
        <v>110.66</v>
      </c>
      <c r="AG662" s="157">
        <f>'Quantitativos (A)'!AE662*$D662*$E662</f>
        <v>110.66</v>
      </c>
      <c r="AH662" s="157">
        <f>'Quantitativos (A)'!AF662*$D662*$E662</f>
        <v>110.66</v>
      </c>
      <c r="AI662" s="158">
        <f>'Quantitativos (A)'!AG662*$D662*$E662</f>
        <v>110.66</v>
      </c>
      <c r="AJ662" s="22"/>
    </row>
    <row r="663" spans="1:36" x14ac:dyDescent="0.25">
      <c r="A663" s="21"/>
      <c r="B663" s="141" t="s">
        <v>682</v>
      </c>
      <c r="C663" s="125" t="s">
        <v>60</v>
      </c>
      <c r="D663" s="157">
        <f>'Dados (F)'!$D$443</f>
        <v>55.33</v>
      </c>
      <c r="E663" s="125">
        <f>IF('Dados (F)'!$D$35=1,1,'Dados (F)'!$C$39)</f>
        <v>1</v>
      </c>
      <c r="F663" s="157">
        <f>'Quantitativos (A)'!D663*$D663*$E663</f>
        <v>110.66</v>
      </c>
      <c r="G663" s="157">
        <f>'Quantitativos (A)'!E663*$D663*$E663</f>
        <v>110.66</v>
      </c>
      <c r="H663" s="157">
        <f>'Quantitativos (A)'!F663*$D663*$E663</f>
        <v>110.66</v>
      </c>
      <c r="I663" s="157">
        <f>'Quantitativos (A)'!G663*$D663*$E663</f>
        <v>110.66</v>
      </c>
      <c r="J663" s="157">
        <f>'Quantitativos (A)'!H663*$D663*$E663</f>
        <v>110.66</v>
      </c>
      <c r="K663" s="157">
        <f>'Quantitativos (A)'!I663*$D663*$E663</f>
        <v>110.66</v>
      </c>
      <c r="L663" s="157">
        <f>'Quantitativos (A)'!J663*$D663*$E663</f>
        <v>110.66</v>
      </c>
      <c r="M663" s="157">
        <f>'Quantitativos (A)'!K663*$D663*$E663</f>
        <v>110.66</v>
      </c>
      <c r="N663" s="157">
        <f>'Quantitativos (A)'!L663*$D663*$E663</f>
        <v>110.66</v>
      </c>
      <c r="O663" s="157">
        <f>'Quantitativos (A)'!M663*$D663*$E663</f>
        <v>110.66</v>
      </c>
      <c r="P663" s="157">
        <f>'Quantitativos (A)'!N663*$D663*$E663</f>
        <v>110.66</v>
      </c>
      <c r="Q663" s="157">
        <f>'Quantitativos (A)'!O663*$D663*$E663</f>
        <v>110.66</v>
      </c>
      <c r="R663" s="157">
        <f>'Quantitativos (A)'!P663*$D663*$E663</f>
        <v>110.66</v>
      </c>
      <c r="S663" s="157">
        <f>'Quantitativos (A)'!Q663*$D663*$E663</f>
        <v>110.66</v>
      </c>
      <c r="T663" s="157">
        <f>'Quantitativos (A)'!R663*$D663*$E663</f>
        <v>110.66</v>
      </c>
      <c r="U663" s="157">
        <f>'Quantitativos (A)'!S663*$D663*$E663</f>
        <v>110.66</v>
      </c>
      <c r="V663" s="157">
        <f>'Quantitativos (A)'!T663*$D663*$E663</f>
        <v>110.66</v>
      </c>
      <c r="W663" s="157">
        <f>'Quantitativos (A)'!U663*$D663*$E663</f>
        <v>110.66</v>
      </c>
      <c r="X663" s="157">
        <f>'Quantitativos (A)'!V663*$D663*$E663</f>
        <v>110.66</v>
      </c>
      <c r="Y663" s="157">
        <f>'Quantitativos (A)'!W663*$D663*$E663</f>
        <v>110.66</v>
      </c>
      <c r="Z663" s="157">
        <f>'Quantitativos (A)'!X663*$D663*$E663</f>
        <v>110.66</v>
      </c>
      <c r="AA663" s="157">
        <f>'Quantitativos (A)'!Y663*$D663*$E663</f>
        <v>110.66</v>
      </c>
      <c r="AB663" s="157">
        <f>'Quantitativos (A)'!Z663*$D663*$E663</f>
        <v>110.66</v>
      </c>
      <c r="AC663" s="157">
        <f>'Quantitativos (A)'!AA663*$D663*$E663</f>
        <v>110.66</v>
      </c>
      <c r="AD663" s="157">
        <f>'Quantitativos (A)'!AB663*$D663*$E663</f>
        <v>110.66</v>
      </c>
      <c r="AE663" s="157">
        <f>'Quantitativos (A)'!AC663*$D663*$E663</f>
        <v>110.66</v>
      </c>
      <c r="AF663" s="157">
        <f>'Quantitativos (A)'!AD663*$D663*$E663</f>
        <v>110.66</v>
      </c>
      <c r="AG663" s="157">
        <f>'Quantitativos (A)'!AE663*$D663*$E663</f>
        <v>110.66</v>
      </c>
      <c r="AH663" s="157">
        <f>'Quantitativos (A)'!AF663*$D663*$E663</f>
        <v>110.66</v>
      </c>
      <c r="AI663" s="158">
        <f>'Quantitativos (A)'!AG663*$D663*$E663</f>
        <v>110.66</v>
      </c>
      <c r="AJ663" s="22"/>
    </row>
    <row r="664" spans="1:36" x14ac:dyDescent="0.25">
      <c r="A664" s="21"/>
      <c r="B664" s="141" t="s">
        <v>683</v>
      </c>
      <c r="C664" s="125" t="s">
        <v>60</v>
      </c>
      <c r="D664" s="157">
        <f>'Dados (F)'!$D$444</f>
        <v>42.26</v>
      </c>
      <c r="E664" s="125">
        <f>IF('Dados (F)'!$D$35=1,1,'Dados (F)'!$C$39)</f>
        <v>1</v>
      </c>
      <c r="F664" s="157">
        <f>'Quantitativos (A)'!D664*$D664*$E664</f>
        <v>84.52</v>
      </c>
      <c r="G664" s="157">
        <f>'Quantitativos (A)'!E664*$D664*$E664</f>
        <v>84.52</v>
      </c>
      <c r="H664" s="157">
        <f>'Quantitativos (A)'!F664*$D664*$E664</f>
        <v>84.52</v>
      </c>
      <c r="I664" s="157">
        <f>'Quantitativos (A)'!G664*$D664*$E664</f>
        <v>84.52</v>
      </c>
      <c r="J664" s="157">
        <f>'Quantitativos (A)'!H664*$D664*$E664</f>
        <v>84.52</v>
      </c>
      <c r="K664" s="157">
        <f>'Quantitativos (A)'!I664*$D664*$E664</f>
        <v>84.52</v>
      </c>
      <c r="L664" s="157">
        <f>'Quantitativos (A)'!J664*$D664*$E664</f>
        <v>84.52</v>
      </c>
      <c r="M664" s="157">
        <f>'Quantitativos (A)'!K664*$D664*$E664</f>
        <v>84.52</v>
      </c>
      <c r="N664" s="157">
        <f>'Quantitativos (A)'!L664*$D664*$E664</f>
        <v>84.52</v>
      </c>
      <c r="O664" s="157">
        <f>'Quantitativos (A)'!M664*$D664*$E664</f>
        <v>84.52</v>
      </c>
      <c r="P664" s="157">
        <f>'Quantitativos (A)'!N664*$D664*$E664</f>
        <v>84.52</v>
      </c>
      <c r="Q664" s="157">
        <f>'Quantitativos (A)'!O664*$D664*$E664</f>
        <v>84.52</v>
      </c>
      <c r="R664" s="157">
        <f>'Quantitativos (A)'!P664*$D664*$E664</f>
        <v>84.52</v>
      </c>
      <c r="S664" s="157">
        <f>'Quantitativos (A)'!Q664*$D664*$E664</f>
        <v>84.52</v>
      </c>
      <c r="T664" s="157">
        <f>'Quantitativos (A)'!R664*$D664*$E664</f>
        <v>84.52</v>
      </c>
      <c r="U664" s="157">
        <f>'Quantitativos (A)'!S664*$D664*$E664</f>
        <v>84.52</v>
      </c>
      <c r="V664" s="157">
        <f>'Quantitativos (A)'!T664*$D664*$E664</f>
        <v>84.52</v>
      </c>
      <c r="W664" s="157">
        <f>'Quantitativos (A)'!U664*$D664*$E664</f>
        <v>84.52</v>
      </c>
      <c r="X664" s="157">
        <f>'Quantitativos (A)'!V664*$D664*$E664</f>
        <v>84.52</v>
      </c>
      <c r="Y664" s="157">
        <f>'Quantitativos (A)'!W664*$D664*$E664</f>
        <v>84.52</v>
      </c>
      <c r="Z664" s="157">
        <f>'Quantitativos (A)'!X664*$D664*$E664</f>
        <v>84.52</v>
      </c>
      <c r="AA664" s="157">
        <f>'Quantitativos (A)'!Y664*$D664*$E664</f>
        <v>84.52</v>
      </c>
      <c r="AB664" s="157">
        <f>'Quantitativos (A)'!Z664*$D664*$E664</f>
        <v>84.52</v>
      </c>
      <c r="AC664" s="157">
        <f>'Quantitativos (A)'!AA664*$D664*$E664</f>
        <v>84.52</v>
      </c>
      <c r="AD664" s="157">
        <f>'Quantitativos (A)'!AB664*$D664*$E664</f>
        <v>84.52</v>
      </c>
      <c r="AE664" s="157">
        <f>'Quantitativos (A)'!AC664*$D664*$E664</f>
        <v>84.52</v>
      </c>
      <c r="AF664" s="157">
        <f>'Quantitativos (A)'!AD664*$D664*$E664</f>
        <v>84.52</v>
      </c>
      <c r="AG664" s="157">
        <f>'Quantitativos (A)'!AE664*$D664*$E664</f>
        <v>84.52</v>
      </c>
      <c r="AH664" s="157">
        <f>'Quantitativos (A)'!AF664*$D664*$E664</f>
        <v>84.52</v>
      </c>
      <c r="AI664" s="158">
        <f>'Quantitativos (A)'!AG664*$D664*$E664</f>
        <v>84.52</v>
      </c>
      <c r="AJ664" s="22"/>
    </row>
    <row r="665" spans="1:36" x14ac:dyDescent="0.25">
      <c r="A665" s="21"/>
      <c r="B665" s="141" t="s">
        <v>684</v>
      </c>
      <c r="C665" s="125" t="s">
        <v>60</v>
      </c>
      <c r="D665" s="157">
        <f>'Dados (F)'!$D$445</f>
        <v>42.26</v>
      </c>
      <c r="E665" s="125">
        <f>IF('Dados (F)'!$D$35=1,1,'Dados (F)'!$C$39)</f>
        <v>1</v>
      </c>
      <c r="F665" s="157">
        <f>'Quantitativos (A)'!D665*$D665*$E665</f>
        <v>84.52</v>
      </c>
      <c r="G665" s="157">
        <f>'Quantitativos (A)'!E665*$D665*$E665</f>
        <v>84.52</v>
      </c>
      <c r="H665" s="157">
        <f>'Quantitativos (A)'!F665*$D665*$E665</f>
        <v>84.52</v>
      </c>
      <c r="I665" s="157">
        <f>'Quantitativos (A)'!G665*$D665*$E665</f>
        <v>84.52</v>
      </c>
      <c r="J665" s="157">
        <f>'Quantitativos (A)'!H665*$D665*$E665</f>
        <v>84.52</v>
      </c>
      <c r="K665" s="157">
        <f>'Quantitativos (A)'!I665*$D665*$E665</f>
        <v>84.52</v>
      </c>
      <c r="L665" s="157">
        <f>'Quantitativos (A)'!J665*$D665*$E665</f>
        <v>84.52</v>
      </c>
      <c r="M665" s="157">
        <f>'Quantitativos (A)'!K665*$D665*$E665</f>
        <v>84.52</v>
      </c>
      <c r="N665" s="157">
        <f>'Quantitativos (A)'!L665*$D665*$E665</f>
        <v>84.52</v>
      </c>
      <c r="O665" s="157">
        <f>'Quantitativos (A)'!M665*$D665*$E665</f>
        <v>84.52</v>
      </c>
      <c r="P665" s="157">
        <f>'Quantitativos (A)'!N665*$D665*$E665</f>
        <v>84.52</v>
      </c>
      <c r="Q665" s="157">
        <f>'Quantitativos (A)'!O665*$D665*$E665</f>
        <v>84.52</v>
      </c>
      <c r="R665" s="157">
        <f>'Quantitativos (A)'!P665*$D665*$E665</f>
        <v>84.52</v>
      </c>
      <c r="S665" s="157">
        <f>'Quantitativos (A)'!Q665*$D665*$E665</f>
        <v>84.52</v>
      </c>
      <c r="T665" s="157">
        <f>'Quantitativos (A)'!R665*$D665*$E665</f>
        <v>84.52</v>
      </c>
      <c r="U665" s="157">
        <f>'Quantitativos (A)'!S665*$D665*$E665</f>
        <v>84.52</v>
      </c>
      <c r="V665" s="157">
        <f>'Quantitativos (A)'!T665*$D665*$E665</f>
        <v>84.52</v>
      </c>
      <c r="W665" s="157">
        <f>'Quantitativos (A)'!U665*$D665*$E665</f>
        <v>84.52</v>
      </c>
      <c r="X665" s="157">
        <f>'Quantitativos (A)'!V665*$D665*$E665</f>
        <v>84.52</v>
      </c>
      <c r="Y665" s="157">
        <f>'Quantitativos (A)'!W665*$D665*$E665</f>
        <v>84.52</v>
      </c>
      <c r="Z665" s="157">
        <f>'Quantitativos (A)'!X665*$D665*$E665</f>
        <v>84.52</v>
      </c>
      <c r="AA665" s="157">
        <f>'Quantitativos (A)'!Y665*$D665*$E665</f>
        <v>84.52</v>
      </c>
      <c r="AB665" s="157">
        <f>'Quantitativos (A)'!Z665*$D665*$E665</f>
        <v>84.52</v>
      </c>
      <c r="AC665" s="157">
        <f>'Quantitativos (A)'!AA665*$D665*$E665</f>
        <v>84.52</v>
      </c>
      <c r="AD665" s="157">
        <f>'Quantitativos (A)'!AB665*$D665*$E665</f>
        <v>84.52</v>
      </c>
      <c r="AE665" s="157">
        <f>'Quantitativos (A)'!AC665*$D665*$E665</f>
        <v>84.52</v>
      </c>
      <c r="AF665" s="157">
        <f>'Quantitativos (A)'!AD665*$D665*$E665</f>
        <v>84.52</v>
      </c>
      <c r="AG665" s="157">
        <f>'Quantitativos (A)'!AE665*$D665*$E665</f>
        <v>84.52</v>
      </c>
      <c r="AH665" s="157">
        <f>'Quantitativos (A)'!AF665*$D665*$E665</f>
        <v>84.52</v>
      </c>
      <c r="AI665" s="158">
        <f>'Quantitativos (A)'!AG665*$D665*$E665</f>
        <v>84.52</v>
      </c>
      <c r="AJ665" s="22"/>
    </row>
    <row r="666" spans="1:36" x14ac:dyDescent="0.25">
      <c r="A666" s="21"/>
      <c r="B666" s="141" t="s">
        <v>685</v>
      </c>
      <c r="C666" s="125" t="s">
        <v>60</v>
      </c>
      <c r="D666" s="157">
        <f>'Dados (F)'!$D$446</f>
        <v>42.26</v>
      </c>
      <c r="E666" s="125">
        <f>IF('Dados (F)'!$D$35=1,1,'Dados (F)'!$C$39)</f>
        <v>1</v>
      </c>
      <c r="F666" s="157">
        <f>'Quantitativos (A)'!D666*$D666*$E666</f>
        <v>84.52</v>
      </c>
      <c r="G666" s="157">
        <f>'Quantitativos (A)'!E666*$D666*$E666</f>
        <v>84.52</v>
      </c>
      <c r="H666" s="157">
        <f>'Quantitativos (A)'!F666*$D666*$E666</f>
        <v>84.52</v>
      </c>
      <c r="I666" s="157">
        <f>'Quantitativos (A)'!G666*$D666*$E666</f>
        <v>84.52</v>
      </c>
      <c r="J666" s="157">
        <f>'Quantitativos (A)'!H666*$D666*$E666</f>
        <v>84.52</v>
      </c>
      <c r="K666" s="157">
        <f>'Quantitativos (A)'!I666*$D666*$E666</f>
        <v>84.52</v>
      </c>
      <c r="L666" s="157">
        <f>'Quantitativos (A)'!J666*$D666*$E666</f>
        <v>84.52</v>
      </c>
      <c r="M666" s="157">
        <f>'Quantitativos (A)'!K666*$D666*$E666</f>
        <v>84.52</v>
      </c>
      <c r="N666" s="157">
        <f>'Quantitativos (A)'!L666*$D666*$E666</f>
        <v>84.52</v>
      </c>
      <c r="O666" s="157">
        <f>'Quantitativos (A)'!M666*$D666*$E666</f>
        <v>84.52</v>
      </c>
      <c r="P666" s="157">
        <f>'Quantitativos (A)'!N666*$D666*$E666</f>
        <v>84.52</v>
      </c>
      <c r="Q666" s="157">
        <f>'Quantitativos (A)'!O666*$D666*$E666</f>
        <v>84.52</v>
      </c>
      <c r="R666" s="157">
        <f>'Quantitativos (A)'!P666*$D666*$E666</f>
        <v>84.52</v>
      </c>
      <c r="S666" s="157">
        <f>'Quantitativos (A)'!Q666*$D666*$E666</f>
        <v>84.52</v>
      </c>
      <c r="T666" s="157">
        <f>'Quantitativos (A)'!R666*$D666*$E666</f>
        <v>84.52</v>
      </c>
      <c r="U666" s="157">
        <f>'Quantitativos (A)'!S666*$D666*$E666</f>
        <v>84.52</v>
      </c>
      <c r="V666" s="157">
        <f>'Quantitativos (A)'!T666*$D666*$E666</f>
        <v>84.52</v>
      </c>
      <c r="W666" s="157">
        <f>'Quantitativos (A)'!U666*$D666*$E666</f>
        <v>84.52</v>
      </c>
      <c r="X666" s="157">
        <f>'Quantitativos (A)'!V666*$D666*$E666</f>
        <v>84.52</v>
      </c>
      <c r="Y666" s="157">
        <f>'Quantitativos (A)'!W666*$D666*$E666</f>
        <v>84.52</v>
      </c>
      <c r="Z666" s="157">
        <f>'Quantitativos (A)'!X666*$D666*$E666</f>
        <v>84.52</v>
      </c>
      <c r="AA666" s="157">
        <f>'Quantitativos (A)'!Y666*$D666*$E666</f>
        <v>84.52</v>
      </c>
      <c r="AB666" s="157">
        <f>'Quantitativos (A)'!Z666*$D666*$E666</f>
        <v>84.52</v>
      </c>
      <c r="AC666" s="157">
        <f>'Quantitativos (A)'!AA666*$D666*$E666</f>
        <v>84.52</v>
      </c>
      <c r="AD666" s="157">
        <f>'Quantitativos (A)'!AB666*$D666*$E666</f>
        <v>84.52</v>
      </c>
      <c r="AE666" s="157">
        <f>'Quantitativos (A)'!AC666*$D666*$E666</f>
        <v>84.52</v>
      </c>
      <c r="AF666" s="157">
        <f>'Quantitativos (A)'!AD666*$D666*$E666</f>
        <v>84.52</v>
      </c>
      <c r="AG666" s="157">
        <f>'Quantitativos (A)'!AE666*$D666*$E666</f>
        <v>84.52</v>
      </c>
      <c r="AH666" s="157">
        <f>'Quantitativos (A)'!AF666*$D666*$E666</f>
        <v>84.52</v>
      </c>
      <c r="AI666" s="158">
        <f>'Quantitativos (A)'!AG666*$D666*$E666</f>
        <v>84.52</v>
      </c>
      <c r="AJ666" s="22"/>
    </row>
    <row r="667" spans="1:36" x14ac:dyDescent="0.25">
      <c r="A667" s="21"/>
      <c r="B667" s="141" t="s">
        <v>686</v>
      </c>
      <c r="C667" s="125" t="s">
        <v>60</v>
      </c>
      <c r="D667" s="157">
        <f>'Dados (F)'!$D$447</f>
        <v>42.26</v>
      </c>
      <c r="E667" s="125">
        <f>IF('Dados (F)'!$D$35=1,1,'Dados (F)'!$C$39)</f>
        <v>1</v>
      </c>
      <c r="F667" s="157">
        <f>'Quantitativos (A)'!D667*$D667*$E667</f>
        <v>84.52</v>
      </c>
      <c r="G667" s="157">
        <f>'Quantitativos (A)'!E667*$D667*$E667</f>
        <v>84.52</v>
      </c>
      <c r="H667" s="157">
        <f>'Quantitativos (A)'!F667*$D667*$E667</f>
        <v>84.52</v>
      </c>
      <c r="I667" s="157">
        <f>'Quantitativos (A)'!G667*$D667*$E667</f>
        <v>84.52</v>
      </c>
      <c r="J667" s="157">
        <f>'Quantitativos (A)'!H667*$D667*$E667</f>
        <v>84.52</v>
      </c>
      <c r="K667" s="157">
        <f>'Quantitativos (A)'!I667*$D667*$E667</f>
        <v>84.52</v>
      </c>
      <c r="L667" s="157">
        <f>'Quantitativos (A)'!J667*$D667*$E667</f>
        <v>84.52</v>
      </c>
      <c r="M667" s="157">
        <f>'Quantitativos (A)'!K667*$D667*$E667</f>
        <v>84.52</v>
      </c>
      <c r="N667" s="157">
        <f>'Quantitativos (A)'!L667*$D667*$E667</f>
        <v>84.52</v>
      </c>
      <c r="O667" s="157">
        <f>'Quantitativos (A)'!M667*$D667*$E667</f>
        <v>84.52</v>
      </c>
      <c r="P667" s="157">
        <f>'Quantitativos (A)'!N667*$D667*$E667</f>
        <v>84.52</v>
      </c>
      <c r="Q667" s="157">
        <f>'Quantitativos (A)'!O667*$D667*$E667</f>
        <v>84.52</v>
      </c>
      <c r="R667" s="157">
        <f>'Quantitativos (A)'!P667*$D667*$E667</f>
        <v>84.52</v>
      </c>
      <c r="S667" s="157">
        <f>'Quantitativos (A)'!Q667*$D667*$E667</f>
        <v>84.52</v>
      </c>
      <c r="T667" s="157">
        <f>'Quantitativos (A)'!R667*$D667*$E667</f>
        <v>84.52</v>
      </c>
      <c r="U667" s="157">
        <f>'Quantitativos (A)'!S667*$D667*$E667</f>
        <v>84.52</v>
      </c>
      <c r="V667" s="157">
        <f>'Quantitativos (A)'!T667*$D667*$E667</f>
        <v>84.52</v>
      </c>
      <c r="W667" s="157">
        <f>'Quantitativos (A)'!U667*$D667*$E667</f>
        <v>84.52</v>
      </c>
      <c r="X667" s="157">
        <f>'Quantitativos (A)'!V667*$D667*$E667</f>
        <v>84.52</v>
      </c>
      <c r="Y667" s="157">
        <f>'Quantitativos (A)'!W667*$D667*$E667</f>
        <v>84.52</v>
      </c>
      <c r="Z667" s="157">
        <f>'Quantitativos (A)'!X667*$D667*$E667</f>
        <v>84.52</v>
      </c>
      <c r="AA667" s="157">
        <f>'Quantitativos (A)'!Y667*$D667*$E667</f>
        <v>84.52</v>
      </c>
      <c r="AB667" s="157">
        <f>'Quantitativos (A)'!Z667*$D667*$E667</f>
        <v>84.52</v>
      </c>
      <c r="AC667" s="157">
        <f>'Quantitativos (A)'!AA667*$D667*$E667</f>
        <v>84.52</v>
      </c>
      <c r="AD667" s="157">
        <f>'Quantitativos (A)'!AB667*$D667*$E667</f>
        <v>84.52</v>
      </c>
      <c r="AE667" s="157">
        <f>'Quantitativos (A)'!AC667*$D667*$E667</f>
        <v>84.52</v>
      </c>
      <c r="AF667" s="157">
        <f>'Quantitativos (A)'!AD667*$D667*$E667</f>
        <v>84.52</v>
      </c>
      <c r="AG667" s="157">
        <f>'Quantitativos (A)'!AE667*$D667*$E667</f>
        <v>84.52</v>
      </c>
      <c r="AH667" s="157">
        <f>'Quantitativos (A)'!AF667*$D667*$E667</f>
        <v>84.52</v>
      </c>
      <c r="AI667" s="158">
        <f>'Quantitativos (A)'!AG667*$D667*$E667</f>
        <v>84.52</v>
      </c>
      <c r="AJ667" s="22"/>
    </row>
    <row r="668" spans="1:36" x14ac:dyDescent="0.25">
      <c r="A668" s="21"/>
      <c r="B668" s="141" t="s">
        <v>687</v>
      </c>
      <c r="C668" s="125" t="s">
        <v>60</v>
      </c>
      <c r="D668" s="157">
        <f>'Dados (F)'!$D$448</f>
        <v>42.26</v>
      </c>
      <c r="E668" s="125">
        <f>IF('Dados (F)'!$D$35=1,1,'Dados (F)'!$C$39)</f>
        <v>1</v>
      </c>
      <c r="F668" s="157">
        <f>'Quantitativos (A)'!D668*$D668*$E668</f>
        <v>84.52</v>
      </c>
      <c r="G668" s="157">
        <f>'Quantitativos (A)'!E668*$D668*$E668</f>
        <v>84.52</v>
      </c>
      <c r="H668" s="157">
        <f>'Quantitativos (A)'!F668*$D668*$E668</f>
        <v>84.52</v>
      </c>
      <c r="I668" s="157">
        <f>'Quantitativos (A)'!G668*$D668*$E668</f>
        <v>84.52</v>
      </c>
      <c r="J668" s="157">
        <f>'Quantitativos (A)'!H668*$D668*$E668</f>
        <v>84.52</v>
      </c>
      <c r="K668" s="157">
        <f>'Quantitativos (A)'!I668*$D668*$E668</f>
        <v>84.52</v>
      </c>
      <c r="L668" s="157">
        <f>'Quantitativos (A)'!J668*$D668*$E668</f>
        <v>84.52</v>
      </c>
      <c r="M668" s="157">
        <f>'Quantitativos (A)'!K668*$D668*$E668</f>
        <v>84.52</v>
      </c>
      <c r="N668" s="157">
        <f>'Quantitativos (A)'!L668*$D668*$E668</f>
        <v>84.52</v>
      </c>
      <c r="O668" s="157">
        <f>'Quantitativos (A)'!M668*$D668*$E668</f>
        <v>84.52</v>
      </c>
      <c r="P668" s="157">
        <f>'Quantitativos (A)'!N668*$D668*$E668</f>
        <v>84.52</v>
      </c>
      <c r="Q668" s="157">
        <f>'Quantitativos (A)'!O668*$D668*$E668</f>
        <v>84.52</v>
      </c>
      <c r="R668" s="157">
        <f>'Quantitativos (A)'!P668*$D668*$E668</f>
        <v>84.52</v>
      </c>
      <c r="S668" s="157">
        <f>'Quantitativos (A)'!Q668*$D668*$E668</f>
        <v>84.52</v>
      </c>
      <c r="T668" s="157">
        <f>'Quantitativos (A)'!R668*$D668*$E668</f>
        <v>84.52</v>
      </c>
      <c r="U668" s="157">
        <f>'Quantitativos (A)'!S668*$D668*$E668</f>
        <v>84.52</v>
      </c>
      <c r="V668" s="157">
        <f>'Quantitativos (A)'!T668*$D668*$E668</f>
        <v>84.52</v>
      </c>
      <c r="W668" s="157">
        <f>'Quantitativos (A)'!U668*$D668*$E668</f>
        <v>84.52</v>
      </c>
      <c r="X668" s="157">
        <f>'Quantitativos (A)'!V668*$D668*$E668</f>
        <v>84.52</v>
      </c>
      <c r="Y668" s="157">
        <f>'Quantitativos (A)'!W668*$D668*$E668</f>
        <v>84.52</v>
      </c>
      <c r="Z668" s="157">
        <f>'Quantitativos (A)'!X668*$D668*$E668</f>
        <v>84.52</v>
      </c>
      <c r="AA668" s="157">
        <f>'Quantitativos (A)'!Y668*$D668*$E668</f>
        <v>84.52</v>
      </c>
      <c r="AB668" s="157">
        <f>'Quantitativos (A)'!Z668*$D668*$E668</f>
        <v>84.52</v>
      </c>
      <c r="AC668" s="157">
        <f>'Quantitativos (A)'!AA668*$D668*$E668</f>
        <v>84.52</v>
      </c>
      <c r="AD668" s="157">
        <f>'Quantitativos (A)'!AB668*$D668*$E668</f>
        <v>84.52</v>
      </c>
      <c r="AE668" s="157">
        <f>'Quantitativos (A)'!AC668*$D668*$E668</f>
        <v>84.52</v>
      </c>
      <c r="AF668" s="157">
        <f>'Quantitativos (A)'!AD668*$D668*$E668</f>
        <v>84.52</v>
      </c>
      <c r="AG668" s="157">
        <f>'Quantitativos (A)'!AE668*$D668*$E668</f>
        <v>84.52</v>
      </c>
      <c r="AH668" s="157">
        <f>'Quantitativos (A)'!AF668*$D668*$E668</f>
        <v>84.52</v>
      </c>
      <c r="AI668" s="158">
        <f>'Quantitativos (A)'!AG668*$D668*$E668</f>
        <v>84.52</v>
      </c>
      <c r="AJ668" s="22"/>
    </row>
    <row r="669" spans="1:36" x14ac:dyDescent="0.25">
      <c r="A669" s="21"/>
      <c r="B669" s="141" t="s">
        <v>688</v>
      </c>
      <c r="C669" s="125" t="s">
        <v>60</v>
      </c>
      <c r="D669" s="157">
        <f>'Dados (F)'!$D$449</f>
        <v>42.26</v>
      </c>
      <c r="E669" s="125">
        <f>IF('Dados (F)'!$D$35=1,1,'Dados (F)'!$C$39)</f>
        <v>1</v>
      </c>
      <c r="F669" s="157">
        <f>'Quantitativos (A)'!D669*$D669*$E669</f>
        <v>84.52</v>
      </c>
      <c r="G669" s="157">
        <f>'Quantitativos (A)'!E669*$D669*$E669</f>
        <v>84.52</v>
      </c>
      <c r="H669" s="157">
        <f>'Quantitativos (A)'!F669*$D669*$E669</f>
        <v>84.52</v>
      </c>
      <c r="I669" s="157">
        <f>'Quantitativos (A)'!G669*$D669*$E669</f>
        <v>84.52</v>
      </c>
      <c r="J669" s="157">
        <f>'Quantitativos (A)'!H669*$D669*$E669</f>
        <v>84.52</v>
      </c>
      <c r="K669" s="157">
        <f>'Quantitativos (A)'!I669*$D669*$E669</f>
        <v>84.52</v>
      </c>
      <c r="L669" s="157">
        <f>'Quantitativos (A)'!J669*$D669*$E669</f>
        <v>84.52</v>
      </c>
      <c r="M669" s="157">
        <f>'Quantitativos (A)'!K669*$D669*$E669</f>
        <v>84.52</v>
      </c>
      <c r="N669" s="157">
        <f>'Quantitativos (A)'!L669*$D669*$E669</f>
        <v>84.52</v>
      </c>
      <c r="O669" s="157">
        <f>'Quantitativos (A)'!M669*$D669*$E669</f>
        <v>84.52</v>
      </c>
      <c r="P669" s="157">
        <f>'Quantitativos (A)'!N669*$D669*$E669</f>
        <v>84.52</v>
      </c>
      <c r="Q669" s="157">
        <f>'Quantitativos (A)'!O669*$D669*$E669</f>
        <v>84.52</v>
      </c>
      <c r="R669" s="157">
        <f>'Quantitativos (A)'!P669*$D669*$E669</f>
        <v>84.52</v>
      </c>
      <c r="S669" s="157">
        <f>'Quantitativos (A)'!Q669*$D669*$E669</f>
        <v>84.52</v>
      </c>
      <c r="T669" s="157">
        <f>'Quantitativos (A)'!R669*$D669*$E669</f>
        <v>84.52</v>
      </c>
      <c r="U669" s="157">
        <f>'Quantitativos (A)'!S669*$D669*$E669</f>
        <v>84.52</v>
      </c>
      <c r="V669" s="157">
        <f>'Quantitativos (A)'!T669*$D669*$E669</f>
        <v>84.52</v>
      </c>
      <c r="W669" s="157">
        <f>'Quantitativos (A)'!U669*$D669*$E669</f>
        <v>84.52</v>
      </c>
      <c r="X669" s="157">
        <f>'Quantitativos (A)'!V669*$D669*$E669</f>
        <v>84.52</v>
      </c>
      <c r="Y669" s="157">
        <f>'Quantitativos (A)'!W669*$D669*$E669</f>
        <v>84.52</v>
      </c>
      <c r="Z669" s="157">
        <f>'Quantitativos (A)'!X669*$D669*$E669</f>
        <v>84.52</v>
      </c>
      <c r="AA669" s="157">
        <f>'Quantitativos (A)'!Y669*$D669*$E669</f>
        <v>84.52</v>
      </c>
      <c r="AB669" s="157">
        <f>'Quantitativos (A)'!Z669*$D669*$E669</f>
        <v>84.52</v>
      </c>
      <c r="AC669" s="157">
        <f>'Quantitativos (A)'!AA669*$D669*$E669</f>
        <v>84.52</v>
      </c>
      <c r="AD669" s="157">
        <f>'Quantitativos (A)'!AB669*$D669*$E669</f>
        <v>84.52</v>
      </c>
      <c r="AE669" s="157">
        <f>'Quantitativos (A)'!AC669*$D669*$E669</f>
        <v>84.52</v>
      </c>
      <c r="AF669" s="157">
        <f>'Quantitativos (A)'!AD669*$D669*$E669</f>
        <v>84.52</v>
      </c>
      <c r="AG669" s="157">
        <f>'Quantitativos (A)'!AE669*$D669*$E669</f>
        <v>84.52</v>
      </c>
      <c r="AH669" s="157">
        <f>'Quantitativos (A)'!AF669*$D669*$E669</f>
        <v>84.52</v>
      </c>
      <c r="AI669" s="158">
        <f>'Quantitativos (A)'!AG669*$D669*$E669</f>
        <v>84.52</v>
      </c>
      <c r="AJ669" s="22"/>
    </row>
    <row r="670" spans="1:36" x14ac:dyDescent="0.25">
      <c r="A670" s="21"/>
      <c r="B670" s="141" t="s">
        <v>689</v>
      </c>
      <c r="C670" s="125" t="s">
        <v>60</v>
      </c>
      <c r="D670" s="157">
        <f>'Dados (F)'!$D$450</f>
        <v>42.26</v>
      </c>
      <c r="E670" s="125">
        <f>IF('Dados (F)'!$D$35=1,1,'Dados (F)'!$C$39)</f>
        <v>1</v>
      </c>
      <c r="F670" s="157">
        <f>'Quantitativos (A)'!D670*$D670*$E670</f>
        <v>84.52</v>
      </c>
      <c r="G670" s="157">
        <f>'Quantitativos (A)'!E670*$D670*$E670</f>
        <v>84.52</v>
      </c>
      <c r="H670" s="157">
        <f>'Quantitativos (A)'!F670*$D670*$E670</f>
        <v>84.52</v>
      </c>
      <c r="I670" s="157">
        <f>'Quantitativos (A)'!G670*$D670*$E670</f>
        <v>84.52</v>
      </c>
      <c r="J670" s="157">
        <f>'Quantitativos (A)'!H670*$D670*$E670</f>
        <v>84.52</v>
      </c>
      <c r="K670" s="157">
        <f>'Quantitativos (A)'!I670*$D670*$E670</f>
        <v>84.52</v>
      </c>
      <c r="L670" s="157">
        <f>'Quantitativos (A)'!J670*$D670*$E670</f>
        <v>84.52</v>
      </c>
      <c r="M670" s="157">
        <f>'Quantitativos (A)'!K670*$D670*$E670</f>
        <v>84.52</v>
      </c>
      <c r="N670" s="157">
        <f>'Quantitativos (A)'!L670*$D670*$E670</f>
        <v>84.52</v>
      </c>
      <c r="O670" s="157">
        <f>'Quantitativos (A)'!M670*$D670*$E670</f>
        <v>84.52</v>
      </c>
      <c r="P670" s="157">
        <f>'Quantitativos (A)'!N670*$D670*$E670</f>
        <v>84.52</v>
      </c>
      <c r="Q670" s="157">
        <f>'Quantitativos (A)'!O670*$D670*$E670</f>
        <v>84.52</v>
      </c>
      <c r="R670" s="157">
        <f>'Quantitativos (A)'!P670*$D670*$E670</f>
        <v>84.52</v>
      </c>
      <c r="S670" s="157">
        <f>'Quantitativos (A)'!Q670*$D670*$E670</f>
        <v>84.52</v>
      </c>
      <c r="T670" s="157">
        <f>'Quantitativos (A)'!R670*$D670*$E670</f>
        <v>84.52</v>
      </c>
      <c r="U670" s="157">
        <f>'Quantitativos (A)'!S670*$D670*$E670</f>
        <v>84.52</v>
      </c>
      <c r="V670" s="157">
        <f>'Quantitativos (A)'!T670*$D670*$E670</f>
        <v>84.52</v>
      </c>
      <c r="W670" s="157">
        <f>'Quantitativos (A)'!U670*$D670*$E670</f>
        <v>84.52</v>
      </c>
      <c r="X670" s="157">
        <f>'Quantitativos (A)'!V670*$D670*$E670</f>
        <v>84.52</v>
      </c>
      <c r="Y670" s="157">
        <f>'Quantitativos (A)'!W670*$D670*$E670</f>
        <v>84.52</v>
      </c>
      <c r="Z670" s="157">
        <f>'Quantitativos (A)'!X670*$D670*$E670</f>
        <v>84.52</v>
      </c>
      <c r="AA670" s="157">
        <f>'Quantitativos (A)'!Y670*$D670*$E670</f>
        <v>84.52</v>
      </c>
      <c r="AB670" s="157">
        <f>'Quantitativos (A)'!Z670*$D670*$E670</f>
        <v>84.52</v>
      </c>
      <c r="AC670" s="157">
        <f>'Quantitativos (A)'!AA670*$D670*$E670</f>
        <v>84.52</v>
      </c>
      <c r="AD670" s="157">
        <f>'Quantitativos (A)'!AB670*$D670*$E670</f>
        <v>84.52</v>
      </c>
      <c r="AE670" s="157">
        <f>'Quantitativos (A)'!AC670*$D670*$E670</f>
        <v>84.52</v>
      </c>
      <c r="AF670" s="157">
        <f>'Quantitativos (A)'!AD670*$D670*$E670</f>
        <v>84.52</v>
      </c>
      <c r="AG670" s="157">
        <f>'Quantitativos (A)'!AE670*$D670*$E670</f>
        <v>84.52</v>
      </c>
      <c r="AH670" s="157">
        <f>'Quantitativos (A)'!AF670*$D670*$E670</f>
        <v>84.52</v>
      </c>
      <c r="AI670" s="158">
        <f>'Quantitativos (A)'!AG670*$D670*$E670</f>
        <v>84.52</v>
      </c>
      <c r="AJ670" s="22"/>
    </row>
    <row r="671" spans="1:36" x14ac:dyDescent="0.25">
      <c r="A671" s="21"/>
      <c r="B671" s="141" t="s">
        <v>690</v>
      </c>
      <c r="C671" s="125" t="s">
        <v>60</v>
      </c>
      <c r="D671" s="157">
        <f>'Dados (F)'!$D$451</f>
        <v>42.26</v>
      </c>
      <c r="E671" s="125">
        <f>IF('Dados (F)'!$D$35=1,1,'Dados (F)'!$C$39)</f>
        <v>1</v>
      </c>
      <c r="F671" s="157">
        <f>'Quantitativos (A)'!D671*$D671*$E671</f>
        <v>84.52</v>
      </c>
      <c r="G671" s="157">
        <f>'Quantitativos (A)'!E671*$D671*$E671</f>
        <v>84.52</v>
      </c>
      <c r="H671" s="157">
        <f>'Quantitativos (A)'!F671*$D671*$E671</f>
        <v>84.52</v>
      </c>
      <c r="I671" s="157">
        <f>'Quantitativos (A)'!G671*$D671*$E671</f>
        <v>84.52</v>
      </c>
      <c r="J671" s="157">
        <f>'Quantitativos (A)'!H671*$D671*$E671</f>
        <v>84.52</v>
      </c>
      <c r="K671" s="157">
        <f>'Quantitativos (A)'!I671*$D671*$E671</f>
        <v>84.52</v>
      </c>
      <c r="L671" s="157">
        <f>'Quantitativos (A)'!J671*$D671*$E671</f>
        <v>84.52</v>
      </c>
      <c r="M671" s="157">
        <f>'Quantitativos (A)'!K671*$D671*$E671</f>
        <v>84.52</v>
      </c>
      <c r="N671" s="157">
        <f>'Quantitativos (A)'!L671*$D671*$E671</f>
        <v>84.52</v>
      </c>
      <c r="O671" s="157">
        <f>'Quantitativos (A)'!M671*$D671*$E671</f>
        <v>84.52</v>
      </c>
      <c r="P671" s="157">
        <f>'Quantitativos (A)'!N671*$D671*$E671</f>
        <v>84.52</v>
      </c>
      <c r="Q671" s="157">
        <f>'Quantitativos (A)'!O671*$D671*$E671</f>
        <v>84.52</v>
      </c>
      <c r="R671" s="157">
        <f>'Quantitativos (A)'!P671*$D671*$E671</f>
        <v>84.52</v>
      </c>
      <c r="S671" s="157">
        <f>'Quantitativos (A)'!Q671*$D671*$E671</f>
        <v>84.52</v>
      </c>
      <c r="T671" s="157">
        <f>'Quantitativos (A)'!R671*$D671*$E671</f>
        <v>84.52</v>
      </c>
      <c r="U671" s="157">
        <f>'Quantitativos (A)'!S671*$D671*$E671</f>
        <v>84.52</v>
      </c>
      <c r="V671" s="157">
        <f>'Quantitativos (A)'!T671*$D671*$E671</f>
        <v>84.52</v>
      </c>
      <c r="W671" s="157">
        <f>'Quantitativos (A)'!U671*$D671*$E671</f>
        <v>84.52</v>
      </c>
      <c r="X671" s="157">
        <f>'Quantitativos (A)'!V671*$D671*$E671</f>
        <v>84.52</v>
      </c>
      <c r="Y671" s="157">
        <f>'Quantitativos (A)'!W671*$D671*$E671</f>
        <v>84.52</v>
      </c>
      <c r="Z671" s="157">
        <f>'Quantitativos (A)'!X671*$D671*$E671</f>
        <v>84.52</v>
      </c>
      <c r="AA671" s="157">
        <f>'Quantitativos (A)'!Y671*$D671*$E671</f>
        <v>84.52</v>
      </c>
      <c r="AB671" s="157">
        <f>'Quantitativos (A)'!Z671*$D671*$E671</f>
        <v>84.52</v>
      </c>
      <c r="AC671" s="157">
        <f>'Quantitativos (A)'!AA671*$D671*$E671</f>
        <v>84.52</v>
      </c>
      <c r="AD671" s="157">
        <f>'Quantitativos (A)'!AB671*$D671*$E671</f>
        <v>84.52</v>
      </c>
      <c r="AE671" s="157">
        <f>'Quantitativos (A)'!AC671*$D671*$E671</f>
        <v>84.52</v>
      </c>
      <c r="AF671" s="157">
        <f>'Quantitativos (A)'!AD671*$D671*$E671</f>
        <v>84.52</v>
      </c>
      <c r="AG671" s="157">
        <f>'Quantitativos (A)'!AE671*$D671*$E671</f>
        <v>84.52</v>
      </c>
      <c r="AH671" s="157">
        <f>'Quantitativos (A)'!AF671*$D671*$E671</f>
        <v>84.52</v>
      </c>
      <c r="AI671" s="158">
        <f>'Quantitativos (A)'!AG671*$D671*$E671</f>
        <v>84.52</v>
      </c>
      <c r="AJ671" s="22"/>
    </row>
    <row r="672" spans="1:36" x14ac:dyDescent="0.25">
      <c r="A672" s="21"/>
      <c r="B672" s="141" t="s">
        <v>691</v>
      </c>
      <c r="C672" s="125" t="s">
        <v>60</v>
      </c>
      <c r="D672" s="157">
        <f>'Dados (F)'!$D$452</f>
        <v>42.26</v>
      </c>
      <c r="E672" s="125">
        <f>IF('Dados (F)'!$D$35=1,1,'Dados (F)'!$C$39)</f>
        <v>1</v>
      </c>
      <c r="F672" s="157">
        <f>'Quantitativos (A)'!D672*$D672*$E672</f>
        <v>84.52</v>
      </c>
      <c r="G672" s="157">
        <f>'Quantitativos (A)'!E672*$D672*$E672</f>
        <v>84.52</v>
      </c>
      <c r="H672" s="157">
        <f>'Quantitativos (A)'!F672*$D672*$E672</f>
        <v>84.52</v>
      </c>
      <c r="I672" s="157">
        <f>'Quantitativos (A)'!G672*$D672*$E672</f>
        <v>84.52</v>
      </c>
      <c r="J672" s="157">
        <f>'Quantitativos (A)'!H672*$D672*$E672</f>
        <v>84.52</v>
      </c>
      <c r="K672" s="157">
        <f>'Quantitativos (A)'!I672*$D672*$E672</f>
        <v>84.52</v>
      </c>
      <c r="L672" s="157">
        <f>'Quantitativos (A)'!J672*$D672*$E672</f>
        <v>84.52</v>
      </c>
      <c r="M672" s="157">
        <f>'Quantitativos (A)'!K672*$D672*$E672</f>
        <v>84.52</v>
      </c>
      <c r="N672" s="157">
        <f>'Quantitativos (A)'!L672*$D672*$E672</f>
        <v>84.52</v>
      </c>
      <c r="O672" s="157">
        <f>'Quantitativos (A)'!M672*$D672*$E672</f>
        <v>84.52</v>
      </c>
      <c r="P672" s="157">
        <f>'Quantitativos (A)'!N672*$D672*$E672</f>
        <v>84.52</v>
      </c>
      <c r="Q672" s="157">
        <f>'Quantitativos (A)'!O672*$D672*$E672</f>
        <v>84.52</v>
      </c>
      <c r="R672" s="157">
        <f>'Quantitativos (A)'!P672*$D672*$E672</f>
        <v>84.52</v>
      </c>
      <c r="S672" s="157">
        <f>'Quantitativos (A)'!Q672*$D672*$E672</f>
        <v>84.52</v>
      </c>
      <c r="T672" s="157">
        <f>'Quantitativos (A)'!R672*$D672*$E672</f>
        <v>84.52</v>
      </c>
      <c r="U672" s="157">
        <f>'Quantitativos (A)'!S672*$D672*$E672</f>
        <v>84.52</v>
      </c>
      <c r="V672" s="157">
        <f>'Quantitativos (A)'!T672*$D672*$E672</f>
        <v>84.52</v>
      </c>
      <c r="W672" s="157">
        <f>'Quantitativos (A)'!U672*$D672*$E672</f>
        <v>84.52</v>
      </c>
      <c r="X672" s="157">
        <f>'Quantitativos (A)'!V672*$D672*$E672</f>
        <v>84.52</v>
      </c>
      <c r="Y672" s="157">
        <f>'Quantitativos (A)'!W672*$D672*$E672</f>
        <v>84.52</v>
      </c>
      <c r="Z672" s="157">
        <f>'Quantitativos (A)'!X672*$D672*$E672</f>
        <v>84.52</v>
      </c>
      <c r="AA672" s="157">
        <f>'Quantitativos (A)'!Y672*$D672*$E672</f>
        <v>84.52</v>
      </c>
      <c r="AB672" s="157">
        <f>'Quantitativos (A)'!Z672*$D672*$E672</f>
        <v>84.52</v>
      </c>
      <c r="AC672" s="157">
        <f>'Quantitativos (A)'!AA672*$D672*$E672</f>
        <v>84.52</v>
      </c>
      <c r="AD672" s="157">
        <f>'Quantitativos (A)'!AB672*$D672*$E672</f>
        <v>84.52</v>
      </c>
      <c r="AE672" s="157">
        <f>'Quantitativos (A)'!AC672*$D672*$E672</f>
        <v>84.52</v>
      </c>
      <c r="AF672" s="157">
        <f>'Quantitativos (A)'!AD672*$D672*$E672</f>
        <v>84.52</v>
      </c>
      <c r="AG672" s="157">
        <f>'Quantitativos (A)'!AE672*$D672*$E672</f>
        <v>84.52</v>
      </c>
      <c r="AH672" s="157">
        <f>'Quantitativos (A)'!AF672*$D672*$E672</f>
        <v>84.52</v>
      </c>
      <c r="AI672" s="158">
        <f>'Quantitativos (A)'!AG672*$D672*$E672</f>
        <v>84.52</v>
      </c>
      <c r="AJ672" s="22"/>
    </row>
    <row r="673" spans="1:36" x14ac:dyDescent="0.25">
      <c r="A673" s="21"/>
      <c r="B673" s="141" t="s">
        <v>692</v>
      </c>
      <c r="C673" s="125" t="s">
        <v>60</v>
      </c>
      <c r="D673" s="157">
        <f>'Dados (F)'!$D$453</f>
        <v>304.36</v>
      </c>
      <c r="E673" s="125">
        <f>IF('Dados (F)'!$D$35=1,1,'Dados (F)'!$C$39)</f>
        <v>1</v>
      </c>
      <c r="F673" s="157">
        <f>'Quantitativos (A)'!D673*$D673*$E673</f>
        <v>608.72</v>
      </c>
      <c r="G673" s="157">
        <f>'Quantitativos (A)'!E673*$D673*$E673</f>
        <v>608.72</v>
      </c>
      <c r="H673" s="157">
        <f>'Quantitativos (A)'!F673*$D673*$E673</f>
        <v>608.72</v>
      </c>
      <c r="I673" s="157">
        <f>'Quantitativos (A)'!G673*$D673*$E673</f>
        <v>608.72</v>
      </c>
      <c r="J673" s="157">
        <f>'Quantitativos (A)'!H673*$D673*$E673</f>
        <v>608.72</v>
      </c>
      <c r="K673" s="157">
        <f>'Quantitativos (A)'!I673*$D673*$E673</f>
        <v>608.72</v>
      </c>
      <c r="L673" s="157">
        <f>'Quantitativos (A)'!J673*$D673*$E673</f>
        <v>608.72</v>
      </c>
      <c r="M673" s="157">
        <f>'Quantitativos (A)'!K673*$D673*$E673</f>
        <v>608.72</v>
      </c>
      <c r="N673" s="157">
        <f>'Quantitativos (A)'!L673*$D673*$E673</f>
        <v>608.72</v>
      </c>
      <c r="O673" s="157">
        <f>'Quantitativos (A)'!M673*$D673*$E673</f>
        <v>608.72</v>
      </c>
      <c r="P673" s="157">
        <f>'Quantitativos (A)'!N673*$D673*$E673</f>
        <v>608.72</v>
      </c>
      <c r="Q673" s="157">
        <f>'Quantitativos (A)'!O673*$D673*$E673</f>
        <v>608.72</v>
      </c>
      <c r="R673" s="157">
        <f>'Quantitativos (A)'!P673*$D673*$E673</f>
        <v>608.72</v>
      </c>
      <c r="S673" s="157">
        <f>'Quantitativos (A)'!Q673*$D673*$E673</f>
        <v>608.72</v>
      </c>
      <c r="T673" s="157">
        <f>'Quantitativos (A)'!R673*$D673*$E673</f>
        <v>608.72</v>
      </c>
      <c r="U673" s="157">
        <f>'Quantitativos (A)'!S673*$D673*$E673</f>
        <v>608.72</v>
      </c>
      <c r="V673" s="157">
        <f>'Quantitativos (A)'!T673*$D673*$E673</f>
        <v>608.72</v>
      </c>
      <c r="W673" s="157">
        <f>'Quantitativos (A)'!U673*$D673*$E673</f>
        <v>608.72</v>
      </c>
      <c r="X673" s="157">
        <f>'Quantitativos (A)'!V673*$D673*$E673</f>
        <v>608.72</v>
      </c>
      <c r="Y673" s="157">
        <f>'Quantitativos (A)'!W673*$D673*$E673</f>
        <v>608.72</v>
      </c>
      <c r="Z673" s="157">
        <f>'Quantitativos (A)'!X673*$D673*$E673</f>
        <v>608.72</v>
      </c>
      <c r="AA673" s="157">
        <f>'Quantitativos (A)'!Y673*$D673*$E673</f>
        <v>608.72</v>
      </c>
      <c r="AB673" s="157">
        <f>'Quantitativos (A)'!Z673*$D673*$E673</f>
        <v>608.72</v>
      </c>
      <c r="AC673" s="157">
        <f>'Quantitativos (A)'!AA673*$D673*$E673</f>
        <v>608.72</v>
      </c>
      <c r="AD673" s="157">
        <f>'Quantitativos (A)'!AB673*$D673*$E673</f>
        <v>608.72</v>
      </c>
      <c r="AE673" s="157">
        <f>'Quantitativos (A)'!AC673*$D673*$E673</f>
        <v>608.72</v>
      </c>
      <c r="AF673" s="157">
        <f>'Quantitativos (A)'!AD673*$D673*$E673</f>
        <v>608.72</v>
      </c>
      <c r="AG673" s="157">
        <f>'Quantitativos (A)'!AE673*$D673*$E673</f>
        <v>608.72</v>
      </c>
      <c r="AH673" s="157">
        <f>'Quantitativos (A)'!AF673*$D673*$E673</f>
        <v>608.72</v>
      </c>
      <c r="AI673" s="158">
        <f>'Quantitativos (A)'!AG673*$D673*$E673</f>
        <v>608.72</v>
      </c>
      <c r="AJ673" s="22"/>
    </row>
    <row r="674" spans="1:36" x14ac:dyDescent="0.25">
      <c r="A674" s="21"/>
      <c r="B674" s="141" t="s">
        <v>693</v>
      </c>
      <c r="C674" s="125" t="s">
        <v>60</v>
      </c>
      <c r="D674" s="157">
        <f>'Dados (F)'!$D$454</f>
        <v>42.26</v>
      </c>
      <c r="E674" s="125">
        <f>IF('Dados (F)'!$D$35=1,1,'Dados (F)'!$C$39)</f>
        <v>1</v>
      </c>
      <c r="F674" s="157">
        <f>'Quantitativos (A)'!D674*$D674*$E674</f>
        <v>84.52</v>
      </c>
      <c r="G674" s="157">
        <f>'Quantitativos (A)'!E674*$D674*$E674</f>
        <v>84.52</v>
      </c>
      <c r="H674" s="157">
        <f>'Quantitativos (A)'!F674*$D674*$E674</f>
        <v>84.52</v>
      </c>
      <c r="I674" s="157">
        <f>'Quantitativos (A)'!G674*$D674*$E674</f>
        <v>84.52</v>
      </c>
      <c r="J674" s="157">
        <f>'Quantitativos (A)'!H674*$D674*$E674</f>
        <v>84.52</v>
      </c>
      <c r="K674" s="157">
        <f>'Quantitativos (A)'!I674*$D674*$E674</f>
        <v>84.52</v>
      </c>
      <c r="L674" s="157">
        <f>'Quantitativos (A)'!J674*$D674*$E674</f>
        <v>84.52</v>
      </c>
      <c r="M674" s="157">
        <f>'Quantitativos (A)'!K674*$D674*$E674</f>
        <v>84.52</v>
      </c>
      <c r="N674" s="157">
        <f>'Quantitativos (A)'!L674*$D674*$E674</f>
        <v>84.52</v>
      </c>
      <c r="O674" s="157">
        <f>'Quantitativos (A)'!M674*$D674*$E674</f>
        <v>84.52</v>
      </c>
      <c r="P674" s="157">
        <f>'Quantitativos (A)'!N674*$D674*$E674</f>
        <v>84.52</v>
      </c>
      <c r="Q674" s="157">
        <f>'Quantitativos (A)'!O674*$D674*$E674</f>
        <v>84.52</v>
      </c>
      <c r="R674" s="157">
        <f>'Quantitativos (A)'!P674*$D674*$E674</f>
        <v>84.52</v>
      </c>
      <c r="S674" s="157">
        <f>'Quantitativos (A)'!Q674*$D674*$E674</f>
        <v>84.52</v>
      </c>
      <c r="T674" s="157">
        <f>'Quantitativos (A)'!R674*$D674*$E674</f>
        <v>84.52</v>
      </c>
      <c r="U674" s="157">
        <f>'Quantitativos (A)'!S674*$D674*$E674</f>
        <v>84.52</v>
      </c>
      <c r="V674" s="157">
        <f>'Quantitativos (A)'!T674*$D674*$E674</f>
        <v>84.52</v>
      </c>
      <c r="W674" s="157">
        <f>'Quantitativos (A)'!U674*$D674*$E674</f>
        <v>84.52</v>
      </c>
      <c r="X674" s="157">
        <f>'Quantitativos (A)'!V674*$D674*$E674</f>
        <v>84.52</v>
      </c>
      <c r="Y674" s="157">
        <f>'Quantitativos (A)'!W674*$D674*$E674</f>
        <v>84.52</v>
      </c>
      <c r="Z674" s="157">
        <f>'Quantitativos (A)'!X674*$D674*$E674</f>
        <v>84.52</v>
      </c>
      <c r="AA674" s="157">
        <f>'Quantitativos (A)'!Y674*$D674*$E674</f>
        <v>84.52</v>
      </c>
      <c r="AB674" s="157">
        <f>'Quantitativos (A)'!Z674*$D674*$E674</f>
        <v>84.52</v>
      </c>
      <c r="AC674" s="157">
        <f>'Quantitativos (A)'!AA674*$D674*$E674</f>
        <v>84.52</v>
      </c>
      <c r="AD674" s="157">
        <f>'Quantitativos (A)'!AB674*$D674*$E674</f>
        <v>84.52</v>
      </c>
      <c r="AE674" s="157">
        <f>'Quantitativos (A)'!AC674*$D674*$E674</f>
        <v>84.52</v>
      </c>
      <c r="AF674" s="157">
        <f>'Quantitativos (A)'!AD674*$D674*$E674</f>
        <v>84.52</v>
      </c>
      <c r="AG674" s="157">
        <f>'Quantitativos (A)'!AE674*$D674*$E674</f>
        <v>84.52</v>
      </c>
      <c r="AH674" s="157">
        <f>'Quantitativos (A)'!AF674*$D674*$E674</f>
        <v>84.52</v>
      </c>
      <c r="AI674" s="158">
        <f>'Quantitativos (A)'!AG674*$D674*$E674</f>
        <v>84.52</v>
      </c>
      <c r="AJ674" s="22"/>
    </row>
    <row r="675" spans="1:36" x14ac:dyDescent="0.25">
      <c r="A675" s="21"/>
      <c r="B675" s="141" t="s">
        <v>694</v>
      </c>
      <c r="C675" s="125" t="s">
        <v>60</v>
      </c>
      <c r="D675" s="157">
        <f>'Dados (F)'!$D$455</f>
        <v>42.26</v>
      </c>
      <c r="E675" s="125">
        <f>IF('Dados (F)'!$D$35=1,1,'Dados (F)'!$C$39)</f>
        <v>1</v>
      </c>
      <c r="F675" s="157">
        <f>'Quantitativos (A)'!D675*$D675*$E675</f>
        <v>84.52</v>
      </c>
      <c r="G675" s="157">
        <f>'Quantitativos (A)'!E675*$D675*$E675</f>
        <v>84.52</v>
      </c>
      <c r="H675" s="157">
        <f>'Quantitativos (A)'!F675*$D675*$E675</f>
        <v>84.52</v>
      </c>
      <c r="I675" s="157">
        <f>'Quantitativos (A)'!G675*$D675*$E675</f>
        <v>84.52</v>
      </c>
      <c r="J675" s="157">
        <f>'Quantitativos (A)'!H675*$D675*$E675</f>
        <v>84.52</v>
      </c>
      <c r="K675" s="157">
        <f>'Quantitativos (A)'!I675*$D675*$E675</f>
        <v>84.52</v>
      </c>
      <c r="L675" s="157">
        <f>'Quantitativos (A)'!J675*$D675*$E675</f>
        <v>84.52</v>
      </c>
      <c r="M675" s="157">
        <f>'Quantitativos (A)'!K675*$D675*$E675</f>
        <v>84.52</v>
      </c>
      <c r="N675" s="157">
        <f>'Quantitativos (A)'!L675*$D675*$E675</f>
        <v>84.52</v>
      </c>
      <c r="O675" s="157">
        <f>'Quantitativos (A)'!M675*$D675*$E675</f>
        <v>84.52</v>
      </c>
      <c r="P675" s="157">
        <f>'Quantitativos (A)'!N675*$D675*$E675</f>
        <v>84.52</v>
      </c>
      <c r="Q675" s="157">
        <f>'Quantitativos (A)'!O675*$D675*$E675</f>
        <v>84.52</v>
      </c>
      <c r="R675" s="157">
        <f>'Quantitativos (A)'!P675*$D675*$E675</f>
        <v>84.52</v>
      </c>
      <c r="S675" s="157">
        <f>'Quantitativos (A)'!Q675*$D675*$E675</f>
        <v>84.52</v>
      </c>
      <c r="T675" s="157">
        <f>'Quantitativos (A)'!R675*$D675*$E675</f>
        <v>84.52</v>
      </c>
      <c r="U675" s="157">
        <f>'Quantitativos (A)'!S675*$D675*$E675</f>
        <v>84.52</v>
      </c>
      <c r="V675" s="157">
        <f>'Quantitativos (A)'!T675*$D675*$E675</f>
        <v>84.52</v>
      </c>
      <c r="W675" s="157">
        <f>'Quantitativos (A)'!U675*$D675*$E675</f>
        <v>84.52</v>
      </c>
      <c r="X675" s="157">
        <f>'Quantitativos (A)'!V675*$D675*$E675</f>
        <v>84.52</v>
      </c>
      <c r="Y675" s="157">
        <f>'Quantitativos (A)'!W675*$D675*$E675</f>
        <v>84.52</v>
      </c>
      <c r="Z675" s="157">
        <f>'Quantitativos (A)'!X675*$D675*$E675</f>
        <v>84.52</v>
      </c>
      <c r="AA675" s="157">
        <f>'Quantitativos (A)'!Y675*$D675*$E675</f>
        <v>84.52</v>
      </c>
      <c r="AB675" s="157">
        <f>'Quantitativos (A)'!Z675*$D675*$E675</f>
        <v>84.52</v>
      </c>
      <c r="AC675" s="157">
        <f>'Quantitativos (A)'!AA675*$D675*$E675</f>
        <v>84.52</v>
      </c>
      <c r="AD675" s="157">
        <f>'Quantitativos (A)'!AB675*$D675*$E675</f>
        <v>84.52</v>
      </c>
      <c r="AE675" s="157">
        <f>'Quantitativos (A)'!AC675*$D675*$E675</f>
        <v>84.52</v>
      </c>
      <c r="AF675" s="157">
        <f>'Quantitativos (A)'!AD675*$D675*$E675</f>
        <v>84.52</v>
      </c>
      <c r="AG675" s="157">
        <f>'Quantitativos (A)'!AE675*$D675*$E675</f>
        <v>84.52</v>
      </c>
      <c r="AH675" s="157">
        <f>'Quantitativos (A)'!AF675*$D675*$E675</f>
        <v>84.52</v>
      </c>
      <c r="AI675" s="158">
        <f>'Quantitativos (A)'!AG675*$D675*$E675</f>
        <v>84.52</v>
      </c>
      <c r="AJ675" s="22"/>
    </row>
    <row r="676" spans="1:36" x14ac:dyDescent="0.25">
      <c r="A676" s="21"/>
      <c r="B676" s="141" t="s">
        <v>695</v>
      </c>
      <c r="C676" s="125" t="s">
        <v>60</v>
      </c>
      <c r="D676" s="157">
        <f>'Dados (F)'!$D$456</f>
        <v>42.26</v>
      </c>
      <c r="E676" s="125">
        <f>IF('Dados (F)'!$D$35=1,1,'Dados (F)'!$C$39)</f>
        <v>1</v>
      </c>
      <c r="F676" s="157">
        <f>'Quantitativos (A)'!D676*$D676*$E676</f>
        <v>84.52</v>
      </c>
      <c r="G676" s="157">
        <f>'Quantitativos (A)'!E676*$D676*$E676</f>
        <v>84.52</v>
      </c>
      <c r="H676" s="157">
        <f>'Quantitativos (A)'!F676*$D676*$E676</f>
        <v>84.52</v>
      </c>
      <c r="I676" s="157">
        <f>'Quantitativos (A)'!G676*$D676*$E676</f>
        <v>84.52</v>
      </c>
      <c r="J676" s="157">
        <f>'Quantitativos (A)'!H676*$D676*$E676</f>
        <v>84.52</v>
      </c>
      <c r="K676" s="157">
        <f>'Quantitativos (A)'!I676*$D676*$E676</f>
        <v>84.52</v>
      </c>
      <c r="L676" s="157">
        <f>'Quantitativos (A)'!J676*$D676*$E676</f>
        <v>84.52</v>
      </c>
      <c r="M676" s="157">
        <f>'Quantitativos (A)'!K676*$D676*$E676</f>
        <v>84.52</v>
      </c>
      <c r="N676" s="157">
        <f>'Quantitativos (A)'!L676*$D676*$E676</f>
        <v>84.52</v>
      </c>
      <c r="O676" s="157">
        <f>'Quantitativos (A)'!M676*$D676*$E676</f>
        <v>84.52</v>
      </c>
      <c r="P676" s="157">
        <f>'Quantitativos (A)'!N676*$D676*$E676</f>
        <v>84.52</v>
      </c>
      <c r="Q676" s="157">
        <f>'Quantitativos (A)'!O676*$D676*$E676</f>
        <v>84.52</v>
      </c>
      <c r="R676" s="157">
        <f>'Quantitativos (A)'!P676*$D676*$E676</f>
        <v>84.52</v>
      </c>
      <c r="S676" s="157">
        <f>'Quantitativos (A)'!Q676*$D676*$E676</f>
        <v>84.52</v>
      </c>
      <c r="T676" s="157">
        <f>'Quantitativos (A)'!R676*$D676*$E676</f>
        <v>84.52</v>
      </c>
      <c r="U676" s="157">
        <f>'Quantitativos (A)'!S676*$D676*$E676</f>
        <v>84.52</v>
      </c>
      <c r="V676" s="157">
        <f>'Quantitativos (A)'!T676*$D676*$E676</f>
        <v>84.52</v>
      </c>
      <c r="W676" s="157">
        <f>'Quantitativos (A)'!U676*$D676*$E676</f>
        <v>84.52</v>
      </c>
      <c r="X676" s="157">
        <f>'Quantitativos (A)'!V676*$D676*$E676</f>
        <v>84.52</v>
      </c>
      <c r="Y676" s="157">
        <f>'Quantitativos (A)'!W676*$D676*$E676</f>
        <v>84.52</v>
      </c>
      <c r="Z676" s="157">
        <f>'Quantitativos (A)'!X676*$D676*$E676</f>
        <v>84.52</v>
      </c>
      <c r="AA676" s="157">
        <f>'Quantitativos (A)'!Y676*$D676*$E676</f>
        <v>84.52</v>
      </c>
      <c r="AB676" s="157">
        <f>'Quantitativos (A)'!Z676*$D676*$E676</f>
        <v>84.52</v>
      </c>
      <c r="AC676" s="157">
        <f>'Quantitativos (A)'!AA676*$D676*$E676</f>
        <v>84.52</v>
      </c>
      <c r="AD676" s="157">
        <f>'Quantitativos (A)'!AB676*$D676*$E676</f>
        <v>84.52</v>
      </c>
      <c r="AE676" s="157">
        <f>'Quantitativos (A)'!AC676*$D676*$E676</f>
        <v>84.52</v>
      </c>
      <c r="AF676" s="157">
        <f>'Quantitativos (A)'!AD676*$D676*$E676</f>
        <v>84.52</v>
      </c>
      <c r="AG676" s="157">
        <f>'Quantitativos (A)'!AE676*$D676*$E676</f>
        <v>84.52</v>
      </c>
      <c r="AH676" s="157">
        <f>'Quantitativos (A)'!AF676*$D676*$E676</f>
        <v>84.52</v>
      </c>
      <c r="AI676" s="158">
        <f>'Quantitativos (A)'!AG676*$D676*$E676</f>
        <v>84.52</v>
      </c>
      <c r="AJ676" s="22"/>
    </row>
    <row r="677" spans="1:36" x14ac:dyDescent="0.25">
      <c r="A677" s="21"/>
      <c r="B677" s="141" t="s">
        <v>696</v>
      </c>
      <c r="C677" s="125" t="s">
        <v>60</v>
      </c>
      <c r="D677" s="157">
        <f>'Dados (F)'!$D$457</f>
        <v>42.26</v>
      </c>
      <c r="E677" s="125">
        <f>IF('Dados (F)'!$D$35=1,1,'Dados (F)'!$C$39)</f>
        <v>1</v>
      </c>
      <c r="F677" s="157">
        <f>'Quantitativos (A)'!D677*$D677*$E677</f>
        <v>84.52</v>
      </c>
      <c r="G677" s="157">
        <f>'Quantitativos (A)'!E677*$D677*$E677</f>
        <v>84.52</v>
      </c>
      <c r="H677" s="157">
        <f>'Quantitativos (A)'!F677*$D677*$E677</f>
        <v>84.52</v>
      </c>
      <c r="I677" s="157">
        <f>'Quantitativos (A)'!G677*$D677*$E677</f>
        <v>84.52</v>
      </c>
      <c r="J677" s="157">
        <f>'Quantitativos (A)'!H677*$D677*$E677</f>
        <v>84.52</v>
      </c>
      <c r="K677" s="157">
        <f>'Quantitativos (A)'!I677*$D677*$E677</f>
        <v>84.52</v>
      </c>
      <c r="L677" s="157">
        <f>'Quantitativos (A)'!J677*$D677*$E677</f>
        <v>84.52</v>
      </c>
      <c r="M677" s="157">
        <f>'Quantitativos (A)'!K677*$D677*$E677</f>
        <v>84.52</v>
      </c>
      <c r="N677" s="157">
        <f>'Quantitativos (A)'!L677*$D677*$E677</f>
        <v>84.52</v>
      </c>
      <c r="O677" s="157">
        <f>'Quantitativos (A)'!M677*$D677*$E677</f>
        <v>84.52</v>
      </c>
      <c r="P677" s="157">
        <f>'Quantitativos (A)'!N677*$D677*$E677</f>
        <v>84.52</v>
      </c>
      <c r="Q677" s="157">
        <f>'Quantitativos (A)'!O677*$D677*$E677</f>
        <v>84.52</v>
      </c>
      <c r="R677" s="157">
        <f>'Quantitativos (A)'!P677*$D677*$E677</f>
        <v>84.52</v>
      </c>
      <c r="S677" s="157">
        <f>'Quantitativos (A)'!Q677*$D677*$E677</f>
        <v>84.52</v>
      </c>
      <c r="T677" s="157">
        <f>'Quantitativos (A)'!R677*$D677*$E677</f>
        <v>84.52</v>
      </c>
      <c r="U677" s="157">
        <f>'Quantitativos (A)'!S677*$D677*$E677</f>
        <v>84.52</v>
      </c>
      <c r="V677" s="157">
        <f>'Quantitativos (A)'!T677*$D677*$E677</f>
        <v>84.52</v>
      </c>
      <c r="W677" s="157">
        <f>'Quantitativos (A)'!U677*$D677*$E677</f>
        <v>84.52</v>
      </c>
      <c r="X677" s="157">
        <f>'Quantitativos (A)'!V677*$D677*$E677</f>
        <v>84.52</v>
      </c>
      <c r="Y677" s="157">
        <f>'Quantitativos (A)'!W677*$D677*$E677</f>
        <v>84.52</v>
      </c>
      <c r="Z677" s="157">
        <f>'Quantitativos (A)'!X677*$D677*$E677</f>
        <v>84.52</v>
      </c>
      <c r="AA677" s="157">
        <f>'Quantitativos (A)'!Y677*$D677*$E677</f>
        <v>84.52</v>
      </c>
      <c r="AB677" s="157">
        <f>'Quantitativos (A)'!Z677*$D677*$E677</f>
        <v>84.52</v>
      </c>
      <c r="AC677" s="157">
        <f>'Quantitativos (A)'!AA677*$D677*$E677</f>
        <v>84.52</v>
      </c>
      <c r="AD677" s="157">
        <f>'Quantitativos (A)'!AB677*$D677*$E677</f>
        <v>84.52</v>
      </c>
      <c r="AE677" s="157">
        <f>'Quantitativos (A)'!AC677*$D677*$E677</f>
        <v>84.52</v>
      </c>
      <c r="AF677" s="157">
        <f>'Quantitativos (A)'!AD677*$D677*$E677</f>
        <v>84.52</v>
      </c>
      <c r="AG677" s="157">
        <f>'Quantitativos (A)'!AE677*$D677*$E677</f>
        <v>84.52</v>
      </c>
      <c r="AH677" s="157">
        <f>'Quantitativos (A)'!AF677*$D677*$E677</f>
        <v>84.52</v>
      </c>
      <c r="AI677" s="158">
        <f>'Quantitativos (A)'!AG677*$D677*$E677</f>
        <v>84.52</v>
      </c>
      <c r="AJ677" s="22"/>
    </row>
    <row r="678" spans="1:36" x14ac:dyDescent="0.25">
      <c r="A678" s="21"/>
      <c r="B678" s="141" t="s">
        <v>697</v>
      </c>
      <c r="C678" s="125" t="s">
        <v>60</v>
      </c>
      <c r="D678" s="157">
        <f>'Dados (F)'!$D$458</f>
        <v>42.26</v>
      </c>
      <c r="E678" s="125">
        <f>IF('Dados (F)'!$D$35=1,1,'Dados (F)'!$C$39)</f>
        <v>1</v>
      </c>
      <c r="F678" s="157">
        <f>'Quantitativos (A)'!D678*$D678*$E678</f>
        <v>84.52</v>
      </c>
      <c r="G678" s="157">
        <f>'Quantitativos (A)'!E678*$D678*$E678</f>
        <v>84.52</v>
      </c>
      <c r="H678" s="157">
        <f>'Quantitativos (A)'!F678*$D678*$E678</f>
        <v>84.52</v>
      </c>
      <c r="I678" s="157">
        <f>'Quantitativos (A)'!G678*$D678*$E678</f>
        <v>84.52</v>
      </c>
      <c r="J678" s="157">
        <f>'Quantitativos (A)'!H678*$D678*$E678</f>
        <v>84.52</v>
      </c>
      <c r="K678" s="157">
        <f>'Quantitativos (A)'!I678*$D678*$E678</f>
        <v>84.52</v>
      </c>
      <c r="L678" s="157">
        <f>'Quantitativos (A)'!J678*$D678*$E678</f>
        <v>84.52</v>
      </c>
      <c r="M678" s="157">
        <f>'Quantitativos (A)'!K678*$D678*$E678</f>
        <v>84.52</v>
      </c>
      <c r="N678" s="157">
        <f>'Quantitativos (A)'!L678*$D678*$E678</f>
        <v>84.52</v>
      </c>
      <c r="O678" s="157">
        <f>'Quantitativos (A)'!M678*$D678*$E678</f>
        <v>84.52</v>
      </c>
      <c r="P678" s="157">
        <f>'Quantitativos (A)'!N678*$D678*$E678</f>
        <v>84.52</v>
      </c>
      <c r="Q678" s="157">
        <f>'Quantitativos (A)'!O678*$D678*$E678</f>
        <v>84.52</v>
      </c>
      <c r="R678" s="157">
        <f>'Quantitativos (A)'!P678*$D678*$E678</f>
        <v>84.52</v>
      </c>
      <c r="S678" s="157">
        <f>'Quantitativos (A)'!Q678*$D678*$E678</f>
        <v>84.52</v>
      </c>
      <c r="T678" s="157">
        <f>'Quantitativos (A)'!R678*$D678*$E678</f>
        <v>84.52</v>
      </c>
      <c r="U678" s="157">
        <f>'Quantitativos (A)'!S678*$D678*$E678</f>
        <v>84.52</v>
      </c>
      <c r="V678" s="157">
        <f>'Quantitativos (A)'!T678*$D678*$E678</f>
        <v>84.52</v>
      </c>
      <c r="W678" s="157">
        <f>'Quantitativos (A)'!U678*$D678*$E678</f>
        <v>84.52</v>
      </c>
      <c r="X678" s="157">
        <f>'Quantitativos (A)'!V678*$D678*$E678</f>
        <v>84.52</v>
      </c>
      <c r="Y678" s="157">
        <f>'Quantitativos (A)'!W678*$D678*$E678</f>
        <v>84.52</v>
      </c>
      <c r="Z678" s="157">
        <f>'Quantitativos (A)'!X678*$D678*$E678</f>
        <v>84.52</v>
      </c>
      <c r="AA678" s="157">
        <f>'Quantitativos (A)'!Y678*$D678*$E678</f>
        <v>84.52</v>
      </c>
      <c r="AB678" s="157">
        <f>'Quantitativos (A)'!Z678*$D678*$E678</f>
        <v>84.52</v>
      </c>
      <c r="AC678" s="157">
        <f>'Quantitativos (A)'!AA678*$D678*$E678</f>
        <v>84.52</v>
      </c>
      <c r="AD678" s="157">
        <f>'Quantitativos (A)'!AB678*$D678*$E678</f>
        <v>84.52</v>
      </c>
      <c r="AE678" s="157">
        <f>'Quantitativos (A)'!AC678*$D678*$E678</f>
        <v>84.52</v>
      </c>
      <c r="AF678" s="157">
        <f>'Quantitativos (A)'!AD678*$D678*$E678</f>
        <v>84.52</v>
      </c>
      <c r="AG678" s="157">
        <f>'Quantitativos (A)'!AE678*$D678*$E678</f>
        <v>84.52</v>
      </c>
      <c r="AH678" s="157">
        <f>'Quantitativos (A)'!AF678*$D678*$E678</f>
        <v>84.52</v>
      </c>
      <c r="AI678" s="158">
        <f>'Quantitativos (A)'!AG678*$D678*$E678</f>
        <v>84.52</v>
      </c>
      <c r="AJ678" s="22"/>
    </row>
    <row r="679" spans="1:36" x14ac:dyDescent="0.25">
      <c r="A679" s="21"/>
      <c r="B679" s="141" t="s">
        <v>698</v>
      </c>
      <c r="C679" s="125" t="s">
        <v>60</v>
      </c>
      <c r="D679" s="157">
        <f>'Dados (F)'!$D$459</f>
        <v>42.26</v>
      </c>
      <c r="E679" s="125">
        <f>IF('Dados (F)'!$D$35=1,1,'Dados (F)'!$C$39)</f>
        <v>1</v>
      </c>
      <c r="F679" s="157">
        <f>'Quantitativos (A)'!D679*$D679*$E679</f>
        <v>84.52</v>
      </c>
      <c r="G679" s="157">
        <f>'Quantitativos (A)'!E679*$D679*$E679</f>
        <v>84.52</v>
      </c>
      <c r="H679" s="157">
        <f>'Quantitativos (A)'!F679*$D679*$E679</f>
        <v>84.52</v>
      </c>
      <c r="I679" s="157">
        <f>'Quantitativos (A)'!G679*$D679*$E679</f>
        <v>84.52</v>
      </c>
      <c r="J679" s="157">
        <f>'Quantitativos (A)'!H679*$D679*$E679</f>
        <v>84.52</v>
      </c>
      <c r="K679" s="157">
        <f>'Quantitativos (A)'!I679*$D679*$E679</f>
        <v>84.52</v>
      </c>
      <c r="L679" s="157">
        <f>'Quantitativos (A)'!J679*$D679*$E679</f>
        <v>84.52</v>
      </c>
      <c r="M679" s="157">
        <f>'Quantitativos (A)'!K679*$D679*$E679</f>
        <v>84.52</v>
      </c>
      <c r="N679" s="157">
        <f>'Quantitativos (A)'!L679*$D679*$E679</f>
        <v>84.52</v>
      </c>
      <c r="O679" s="157">
        <f>'Quantitativos (A)'!M679*$D679*$E679</f>
        <v>84.52</v>
      </c>
      <c r="P679" s="157">
        <f>'Quantitativos (A)'!N679*$D679*$E679</f>
        <v>84.52</v>
      </c>
      <c r="Q679" s="157">
        <f>'Quantitativos (A)'!O679*$D679*$E679</f>
        <v>84.52</v>
      </c>
      <c r="R679" s="157">
        <f>'Quantitativos (A)'!P679*$D679*$E679</f>
        <v>84.52</v>
      </c>
      <c r="S679" s="157">
        <f>'Quantitativos (A)'!Q679*$D679*$E679</f>
        <v>84.52</v>
      </c>
      <c r="T679" s="157">
        <f>'Quantitativos (A)'!R679*$D679*$E679</f>
        <v>84.52</v>
      </c>
      <c r="U679" s="157">
        <f>'Quantitativos (A)'!S679*$D679*$E679</f>
        <v>84.52</v>
      </c>
      <c r="V679" s="157">
        <f>'Quantitativos (A)'!T679*$D679*$E679</f>
        <v>84.52</v>
      </c>
      <c r="W679" s="157">
        <f>'Quantitativos (A)'!U679*$D679*$E679</f>
        <v>84.52</v>
      </c>
      <c r="X679" s="157">
        <f>'Quantitativos (A)'!V679*$D679*$E679</f>
        <v>84.52</v>
      </c>
      <c r="Y679" s="157">
        <f>'Quantitativos (A)'!W679*$D679*$E679</f>
        <v>84.52</v>
      </c>
      <c r="Z679" s="157">
        <f>'Quantitativos (A)'!X679*$D679*$E679</f>
        <v>84.52</v>
      </c>
      <c r="AA679" s="157">
        <f>'Quantitativos (A)'!Y679*$D679*$E679</f>
        <v>84.52</v>
      </c>
      <c r="AB679" s="157">
        <f>'Quantitativos (A)'!Z679*$D679*$E679</f>
        <v>84.52</v>
      </c>
      <c r="AC679" s="157">
        <f>'Quantitativos (A)'!AA679*$D679*$E679</f>
        <v>84.52</v>
      </c>
      <c r="AD679" s="157">
        <f>'Quantitativos (A)'!AB679*$D679*$E679</f>
        <v>84.52</v>
      </c>
      <c r="AE679" s="157">
        <f>'Quantitativos (A)'!AC679*$D679*$E679</f>
        <v>84.52</v>
      </c>
      <c r="AF679" s="157">
        <f>'Quantitativos (A)'!AD679*$D679*$E679</f>
        <v>84.52</v>
      </c>
      <c r="AG679" s="157">
        <f>'Quantitativos (A)'!AE679*$D679*$E679</f>
        <v>84.52</v>
      </c>
      <c r="AH679" s="157">
        <f>'Quantitativos (A)'!AF679*$D679*$E679</f>
        <v>84.52</v>
      </c>
      <c r="AI679" s="158">
        <f>'Quantitativos (A)'!AG679*$D679*$E679</f>
        <v>84.52</v>
      </c>
      <c r="AJ679" s="22"/>
    </row>
    <row r="680" spans="1:36" x14ac:dyDescent="0.25">
      <c r="A680" s="21"/>
      <c r="B680" s="141" t="s">
        <v>699</v>
      </c>
      <c r="C680" s="125" t="s">
        <v>60</v>
      </c>
      <c r="D680" s="157">
        <f>'Dados (F)'!$D$460</f>
        <v>42.26</v>
      </c>
      <c r="E680" s="125">
        <f>IF('Dados (F)'!$D$35=1,1,'Dados (F)'!$C$39)</f>
        <v>1</v>
      </c>
      <c r="F680" s="157">
        <f>'Quantitativos (A)'!D680*$D680*$E680</f>
        <v>84.52</v>
      </c>
      <c r="G680" s="157">
        <f>'Quantitativos (A)'!E680*$D680*$E680</f>
        <v>84.52</v>
      </c>
      <c r="H680" s="157">
        <f>'Quantitativos (A)'!F680*$D680*$E680</f>
        <v>84.52</v>
      </c>
      <c r="I680" s="157">
        <f>'Quantitativos (A)'!G680*$D680*$E680</f>
        <v>84.52</v>
      </c>
      <c r="J680" s="157">
        <f>'Quantitativos (A)'!H680*$D680*$E680</f>
        <v>84.52</v>
      </c>
      <c r="K680" s="157">
        <f>'Quantitativos (A)'!I680*$D680*$E680</f>
        <v>84.52</v>
      </c>
      <c r="L680" s="157">
        <f>'Quantitativos (A)'!J680*$D680*$E680</f>
        <v>84.52</v>
      </c>
      <c r="M680" s="157">
        <f>'Quantitativos (A)'!K680*$D680*$E680</f>
        <v>84.52</v>
      </c>
      <c r="N680" s="157">
        <f>'Quantitativos (A)'!L680*$D680*$E680</f>
        <v>84.52</v>
      </c>
      <c r="O680" s="157">
        <f>'Quantitativos (A)'!M680*$D680*$E680</f>
        <v>84.52</v>
      </c>
      <c r="P680" s="157">
        <f>'Quantitativos (A)'!N680*$D680*$E680</f>
        <v>84.52</v>
      </c>
      <c r="Q680" s="157">
        <f>'Quantitativos (A)'!O680*$D680*$E680</f>
        <v>84.52</v>
      </c>
      <c r="R680" s="157">
        <f>'Quantitativos (A)'!P680*$D680*$E680</f>
        <v>84.52</v>
      </c>
      <c r="S680" s="157">
        <f>'Quantitativos (A)'!Q680*$D680*$E680</f>
        <v>84.52</v>
      </c>
      <c r="T680" s="157">
        <f>'Quantitativos (A)'!R680*$D680*$E680</f>
        <v>84.52</v>
      </c>
      <c r="U680" s="157">
        <f>'Quantitativos (A)'!S680*$D680*$E680</f>
        <v>84.52</v>
      </c>
      <c r="V680" s="157">
        <f>'Quantitativos (A)'!T680*$D680*$E680</f>
        <v>84.52</v>
      </c>
      <c r="W680" s="157">
        <f>'Quantitativos (A)'!U680*$D680*$E680</f>
        <v>84.52</v>
      </c>
      <c r="X680" s="157">
        <f>'Quantitativos (A)'!V680*$D680*$E680</f>
        <v>84.52</v>
      </c>
      <c r="Y680" s="157">
        <f>'Quantitativos (A)'!W680*$D680*$E680</f>
        <v>84.52</v>
      </c>
      <c r="Z680" s="157">
        <f>'Quantitativos (A)'!X680*$D680*$E680</f>
        <v>84.52</v>
      </c>
      <c r="AA680" s="157">
        <f>'Quantitativos (A)'!Y680*$D680*$E680</f>
        <v>84.52</v>
      </c>
      <c r="AB680" s="157">
        <f>'Quantitativos (A)'!Z680*$D680*$E680</f>
        <v>84.52</v>
      </c>
      <c r="AC680" s="157">
        <f>'Quantitativos (A)'!AA680*$D680*$E680</f>
        <v>84.52</v>
      </c>
      <c r="AD680" s="157">
        <f>'Quantitativos (A)'!AB680*$D680*$E680</f>
        <v>84.52</v>
      </c>
      <c r="AE680" s="157">
        <f>'Quantitativos (A)'!AC680*$D680*$E680</f>
        <v>84.52</v>
      </c>
      <c r="AF680" s="157">
        <f>'Quantitativos (A)'!AD680*$D680*$E680</f>
        <v>84.52</v>
      </c>
      <c r="AG680" s="157">
        <f>'Quantitativos (A)'!AE680*$D680*$E680</f>
        <v>84.52</v>
      </c>
      <c r="AH680" s="157">
        <f>'Quantitativos (A)'!AF680*$D680*$E680</f>
        <v>84.52</v>
      </c>
      <c r="AI680" s="158">
        <f>'Quantitativos (A)'!AG680*$D680*$E680</f>
        <v>84.52</v>
      </c>
      <c r="AJ680" s="22"/>
    </row>
    <row r="681" spans="1:36" x14ac:dyDescent="0.25">
      <c r="A681" s="21"/>
      <c r="B681" s="141" t="s">
        <v>700</v>
      </c>
      <c r="C681" s="125" t="s">
        <v>60</v>
      </c>
      <c r="D681" s="157">
        <f>'Dados (F)'!$D$461</f>
        <v>42.26</v>
      </c>
      <c r="E681" s="125">
        <f>IF('Dados (F)'!$D$35=1,1,'Dados (F)'!$C$39)</f>
        <v>1</v>
      </c>
      <c r="F681" s="157">
        <f>'Quantitativos (A)'!D681*$D681*$E681</f>
        <v>84.52</v>
      </c>
      <c r="G681" s="157">
        <f>'Quantitativos (A)'!E681*$D681*$E681</f>
        <v>84.52</v>
      </c>
      <c r="H681" s="157">
        <f>'Quantitativos (A)'!F681*$D681*$E681</f>
        <v>84.52</v>
      </c>
      <c r="I681" s="157">
        <f>'Quantitativos (A)'!G681*$D681*$E681</f>
        <v>84.52</v>
      </c>
      <c r="J681" s="157">
        <f>'Quantitativos (A)'!H681*$D681*$E681</f>
        <v>84.52</v>
      </c>
      <c r="K681" s="157">
        <f>'Quantitativos (A)'!I681*$D681*$E681</f>
        <v>84.52</v>
      </c>
      <c r="L681" s="157">
        <f>'Quantitativos (A)'!J681*$D681*$E681</f>
        <v>84.52</v>
      </c>
      <c r="M681" s="157">
        <f>'Quantitativos (A)'!K681*$D681*$E681</f>
        <v>84.52</v>
      </c>
      <c r="N681" s="157">
        <f>'Quantitativos (A)'!L681*$D681*$E681</f>
        <v>84.52</v>
      </c>
      <c r="O681" s="157">
        <f>'Quantitativos (A)'!M681*$D681*$E681</f>
        <v>84.52</v>
      </c>
      <c r="P681" s="157">
        <f>'Quantitativos (A)'!N681*$D681*$E681</f>
        <v>84.52</v>
      </c>
      <c r="Q681" s="157">
        <f>'Quantitativos (A)'!O681*$D681*$E681</f>
        <v>84.52</v>
      </c>
      <c r="R681" s="157">
        <f>'Quantitativos (A)'!P681*$D681*$E681</f>
        <v>84.52</v>
      </c>
      <c r="S681" s="157">
        <f>'Quantitativos (A)'!Q681*$D681*$E681</f>
        <v>84.52</v>
      </c>
      <c r="T681" s="157">
        <f>'Quantitativos (A)'!R681*$D681*$E681</f>
        <v>84.52</v>
      </c>
      <c r="U681" s="157">
        <f>'Quantitativos (A)'!S681*$D681*$E681</f>
        <v>84.52</v>
      </c>
      <c r="V681" s="157">
        <f>'Quantitativos (A)'!T681*$D681*$E681</f>
        <v>84.52</v>
      </c>
      <c r="W681" s="157">
        <f>'Quantitativos (A)'!U681*$D681*$E681</f>
        <v>84.52</v>
      </c>
      <c r="X681" s="157">
        <f>'Quantitativos (A)'!V681*$D681*$E681</f>
        <v>84.52</v>
      </c>
      <c r="Y681" s="157">
        <f>'Quantitativos (A)'!W681*$D681*$E681</f>
        <v>84.52</v>
      </c>
      <c r="Z681" s="157">
        <f>'Quantitativos (A)'!X681*$D681*$E681</f>
        <v>84.52</v>
      </c>
      <c r="AA681" s="157">
        <f>'Quantitativos (A)'!Y681*$D681*$E681</f>
        <v>84.52</v>
      </c>
      <c r="AB681" s="157">
        <f>'Quantitativos (A)'!Z681*$D681*$E681</f>
        <v>84.52</v>
      </c>
      <c r="AC681" s="157">
        <f>'Quantitativos (A)'!AA681*$D681*$E681</f>
        <v>84.52</v>
      </c>
      <c r="AD681" s="157">
        <f>'Quantitativos (A)'!AB681*$D681*$E681</f>
        <v>84.52</v>
      </c>
      <c r="AE681" s="157">
        <f>'Quantitativos (A)'!AC681*$D681*$E681</f>
        <v>84.52</v>
      </c>
      <c r="AF681" s="157">
        <f>'Quantitativos (A)'!AD681*$D681*$E681</f>
        <v>84.52</v>
      </c>
      <c r="AG681" s="157">
        <f>'Quantitativos (A)'!AE681*$D681*$E681</f>
        <v>84.52</v>
      </c>
      <c r="AH681" s="157">
        <f>'Quantitativos (A)'!AF681*$D681*$E681</f>
        <v>84.52</v>
      </c>
      <c r="AI681" s="158">
        <f>'Quantitativos (A)'!AG681*$D681*$E681</f>
        <v>84.52</v>
      </c>
      <c r="AJ681" s="22"/>
    </row>
    <row r="682" spans="1:36" x14ac:dyDescent="0.25">
      <c r="A682" s="21"/>
      <c r="B682" s="141" t="s">
        <v>701</v>
      </c>
      <c r="C682" s="125" t="s">
        <v>60</v>
      </c>
      <c r="D682" s="157">
        <f>'Dados (F)'!$D$462</f>
        <v>42.26</v>
      </c>
      <c r="E682" s="125">
        <f>IF('Dados (F)'!$D$35=1,1,'Dados (F)'!$C$39)</f>
        <v>1</v>
      </c>
      <c r="F682" s="157">
        <f>'Quantitativos (A)'!D682*$D682*$E682</f>
        <v>84.52</v>
      </c>
      <c r="G682" s="157">
        <f>'Quantitativos (A)'!E682*$D682*$E682</f>
        <v>84.52</v>
      </c>
      <c r="H682" s="157">
        <f>'Quantitativos (A)'!F682*$D682*$E682</f>
        <v>84.52</v>
      </c>
      <c r="I682" s="157">
        <f>'Quantitativos (A)'!G682*$D682*$E682</f>
        <v>84.52</v>
      </c>
      <c r="J682" s="157">
        <f>'Quantitativos (A)'!H682*$D682*$E682</f>
        <v>84.52</v>
      </c>
      <c r="K682" s="157">
        <f>'Quantitativos (A)'!I682*$D682*$E682</f>
        <v>84.52</v>
      </c>
      <c r="L682" s="157">
        <f>'Quantitativos (A)'!J682*$D682*$E682</f>
        <v>84.52</v>
      </c>
      <c r="M682" s="157">
        <f>'Quantitativos (A)'!K682*$D682*$E682</f>
        <v>84.52</v>
      </c>
      <c r="N682" s="157">
        <f>'Quantitativos (A)'!L682*$D682*$E682</f>
        <v>84.52</v>
      </c>
      <c r="O682" s="157">
        <f>'Quantitativos (A)'!M682*$D682*$E682</f>
        <v>84.52</v>
      </c>
      <c r="P682" s="157">
        <f>'Quantitativos (A)'!N682*$D682*$E682</f>
        <v>84.52</v>
      </c>
      <c r="Q682" s="157">
        <f>'Quantitativos (A)'!O682*$D682*$E682</f>
        <v>84.52</v>
      </c>
      <c r="R682" s="157">
        <f>'Quantitativos (A)'!P682*$D682*$E682</f>
        <v>84.52</v>
      </c>
      <c r="S682" s="157">
        <f>'Quantitativos (A)'!Q682*$D682*$E682</f>
        <v>84.52</v>
      </c>
      <c r="T682" s="157">
        <f>'Quantitativos (A)'!R682*$D682*$E682</f>
        <v>84.52</v>
      </c>
      <c r="U682" s="157">
        <f>'Quantitativos (A)'!S682*$D682*$E682</f>
        <v>84.52</v>
      </c>
      <c r="V682" s="157">
        <f>'Quantitativos (A)'!T682*$D682*$E682</f>
        <v>84.52</v>
      </c>
      <c r="W682" s="157">
        <f>'Quantitativos (A)'!U682*$D682*$E682</f>
        <v>84.52</v>
      </c>
      <c r="X682" s="157">
        <f>'Quantitativos (A)'!V682*$D682*$E682</f>
        <v>84.52</v>
      </c>
      <c r="Y682" s="157">
        <f>'Quantitativos (A)'!W682*$D682*$E682</f>
        <v>84.52</v>
      </c>
      <c r="Z682" s="157">
        <f>'Quantitativos (A)'!X682*$D682*$E682</f>
        <v>84.52</v>
      </c>
      <c r="AA682" s="157">
        <f>'Quantitativos (A)'!Y682*$D682*$E682</f>
        <v>84.52</v>
      </c>
      <c r="AB682" s="157">
        <f>'Quantitativos (A)'!Z682*$D682*$E682</f>
        <v>84.52</v>
      </c>
      <c r="AC682" s="157">
        <f>'Quantitativos (A)'!AA682*$D682*$E682</f>
        <v>84.52</v>
      </c>
      <c r="AD682" s="157">
        <f>'Quantitativos (A)'!AB682*$D682*$E682</f>
        <v>84.52</v>
      </c>
      <c r="AE682" s="157">
        <f>'Quantitativos (A)'!AC682*$D682*$E682</f>
        <v>84.52</v>
      </c>
      <c r="AF682" s="157">
        <f>'Quantitativos (A)'!AD682*$D682*$E682</f>
        <v>84.52</v>
      </c>
      <c r="AG682" s="157">
        <f>'Quantitativos (A)'!AE682*$D682*$E682</f>
        <v>84.52</v>
      </c>
      <c r="AH682" s="157">
        <f>'Quantitativos (A)'!AF682*$D682*$E682</f>
        <v>84.52</v>
      </c>
      <c r="AI682" s="158">
        <f>'Quantitativos (A)'!AG682*$D682*$E682</f>
        <v>84.52</v>
      </c>
      <c r="AJ682" s="22"/>
    </row>
    <row r="683" spans="1:36" x14ac:dyDescent="0.25">
      <c r="A683" s="21"/>
      <c r="B683" s="141" t="s">
        <v>702</v>
      </c>
      <c r="C683" s="125" t="s">
        <v>60</v>
      </c>
      <c r="D683" s="157">
        <f>'Dados (F)'!$D$463</f>
        <v>42.26</v>
      </c>
      <c r="E683" s="125">
        <f>IF('Dados (F)'!$D$35=1,1,'Dados (F)'!$C$39)</f>
        <v>1</v>
      </c>
      <c r="F683" s="157">
        <f>'Quantitativos (A)'!D683*$D683*$E683</f>
        <v>84.52</v>
      </c>
      <c r="G683" s="157">
        <f>'Quantitativos (A)'!E683*$D683*$E683</f>
        <v>84.52</v>
      </c>
      <c r="H683" s="157">
        <f>'Quantitativos (A)'!F683*$D683*$E683</f>
        <v>84.52</v>
      </c>
      <c r="I683" s="157">
        <f>'Quantitativos (A)'!G683*$D683*$E683</f>
        <v>84.52</v>
      </c>
      <c r="J683" s="157">
        <f>'Quantitativos (A)'!H683*$D683*$E683</f>
        <v>84.52</v>
      </c>
      <c r="K683" s="157">
        <f>'Quantitativos (A)'!I683*$D683*$E683</f>
        <v>84.52</v>
      </c>
      <c r="L683" s="157">
        <f>'Quantitativos (A)'!J683*$D683*$E683</f>
        <v>84.52</v>
      </c>
      <c r="M683" s="157">
        <f>'Quantitativos (A)'!K683*$D683*$E683</f>
        <v>84.52</v>
      </c>
      <c r="N683" s="157">
        <f>'Quantitativos (A)'!L683*$D683*$E683</f>
        <v>84.52</v>
      </c>
      <c r="O683" s="157">
        <f>'Quantitativos (A)'!M683*$D683*$E683</f>
        <v>84.52</v>
      </c>
      <c r="P683" s="157">
        <f>'Quantitativos (A)'!N683*$D683*$E683</f>
        <v>84.52</v>
      </c>
      <c r="Q683" s="157">
        <f>'Quantitativos (A)'!O683*$D683*$E683</f>
        <v>84.52</v>
      </c>
      <c r="R683" s="157">
        <f>'Quantitativos (A)'!P683*$D683*$E683</f>
        <v>84.52</v>
      </c>
      <c r="S683" s="157">
        <f>'Quantitativos (A)'!Q683*$D683*$E683</f>
        <v>84.52</v>
      </c>
      <c r="T683" s="157">
        <f>'Quantitativos (A)'!R683*$D683*$E683</f>
        <v>84.52</v>
      </c>
      <c r="U683" s="157">
        <f>'Quantitativos (A)'!S683*$D683*$E683</f>
        <v>84.52</v>
      </c>
      <c r="V683" s="157">
        <f>'Quantitativos (A)'!T683*$D683*$E683</f>
        <v>84.52</v>
      </c>
      <c r="W683" s="157">
        <f>'Quantitativos (A)'!U683*$D683*$E683</f>
        <v>84.52</v>
      </c>
      <c r="X683" s="157">
        <f>'Quantitativos (A)'!V683*$D683*$E683</f>
        <v>84.52</v>
      </c>
      <c r="Y683" s="157">
        <f>'Quantitativos (A)'!W683*$D683*$E683</f>
        <v>84.52</v>
      </c>
      <c r="Z683" s="157">
        <f>'Quantitativos (A)'!X683*$D683*$E683</f>
        <v>84.52</v>
      </c>
      <c r="AA683" s="157">
        <f>'Quantitativos (A)'!Y683*$D683*$E683</f>
        <v>84.52</v>
      </c>
      <c r="AB683" s="157">
        <f>'Quantitativos (A)'!Z683*$D683*$E683</f>
        <v>84.52</v>
      </c>
      <c r="AC683" s="157">
        <f>'Quantitativos (A)'!AA683*$D683*$E683</f>
        <v>84.52</v>
      </c>
      <c r="AD683" s="157">
        <f>'Quantitativos (A)'!AB683*$D683*$E683</f>
        <v>84.52</v>
      </c>
      <c r="AE683" s="157">
        <f>'Quantitativos (A)'!AC683*$D683*$E683</f>
        <v>84.52</v>
      </c>
      <c r="AF683" s="157">
        <f>'Quantitativos (A)'!AD683*$D683*$E683</f>
        <v>84.52</v>
      </c>
      <c r="AG683" s="157">
        <f>'Quantitativos (A)'!AE683*$D683*$E683</f>
        <v>84.52</v>
      </c>
      <c r="AH683" s="157">
        <f>'Quantitativos (A)'!AF683*$D683*$E683</f>
        <v>84.52</v>
      </c>
      <c r="AI683" s="158">
        <f>'Quantitativos (A)'!AG683*$D683*$E683</f>
        <v>84.52</v>
      </c>
      <c r="AJ683" s="22"/>
    </row>
    <row r="684" spans="1:36" x14ac:dyDescent="0.25">
      <c r="A684" s="21"/>
      <c r="B684" s="141" t="s">
        <v>703</v>
      </c>
      <c r="C684" s="125" t="s">
        <v>60</v>
      </c>
      <c r="D684" s="157">
        <f>'Dados (F)'!$D$464</f>
        <v>42.26</v>
      </c>
      <c r="E684" s="125">
        <f>IF('Dados (F)'!$D$35=1,1,'Dados (F)'!$C$39)</f>
        <v>1</v>
      </c>
      <c r="F684" s="157">
        <f>'Quantitativos (A)'!D684*$D684*$E684</f>
        <v>84.52</v>
      </c>
      <c r="G684" s="157">
        <f>'Quantitativos (A)'!E684*$D684*$E684</f>
        <v>84.52</v>
      </c>
      <c r="H684" s="157">
        <f>'Quantitativos (A)'!F684*$D684*$E684</f>
        <v>84.52</v>
      </c>
      <c r="I684" s="157">
        <f>'Quantitativos (A)'!G684*$D684*$E684</f>
        <v>84.52</v>
      </c>
      <c r="J684" s="157">
        <f>'Quantitativos (A)'!H684*$D684*$E684</f>
        <v>84.52</v>
      </c>
      <c r="K684" s="157">
        <f>'Quantitativos (A)'!I684*$D684*$E684</f>
        <v>84.52</v>
      </c>
      <c r="L684" s="157">
        <f>'Quantitativos (A)'!J684*$D684*$E684</f>
        <v>84.52</v>
      </c>
      <c r="M684" s="157">
        <f>'Quantitativos (A)'!K684*$D684*$E684</f>
        <v>84.52</v>
      </c>
      <c r="N684" s="157">
        <f>'Quantitativos (A)'!L684*$D684*$E684</f>
        <v>84.52</v>
      </c>
      <c r="O684" s="157">
        <f>'Quantitativos (A)'!M684*$D684*$E684</f>
        <v>84.52</v>
      </c>
      <c r="P684" s="157">
        <f>'Quantitativos (A)'!N684*$D684*$E684</f>
        <v>84.52</v>
      </c>
      <c r="Q684" s="157">
        <f>'Quantitativos (A)'!O684*$D684*$E684</f>
        <v>84.52</v>
      </c>
      <c r="R684" s="157">
        <f>'Quantitativos (A)'!P684*$D684*$E684</f>
        <v>84.52</v>
      </c>
      <c r="S684" s="157">
        <f>'Quantitativos (A)'!Q684*$D684*$E684</f>
        <v>84.52</v>
      </c>
      <c r="T684" s="157">
        <f>'Quantitativos (A)'!R684*$D684*$E684</f>
        <v>84.52</v>
      </c>
      <c r="U684" s="157">
        <f>'Quantitativos (A)'!S684*$D684*$E684</f>
        <v>84.52</v>
      </c>
      <c r="V684" s="157">
        <f>'Quantitativos (A)'!T684*$D684*$E684</f>
        <v>84.52</v>
      </c>
      <c r="W684" s="157">
        <f>'Quantitativos (A)'!U684*$D684*$E684</f>
        <v>84.52</v>
      </c>
      <c r="X684" s="157">
        <f>'Quantitativos (A)'!V684*$D684*$E684</f>
        <v>84.52</v>
      </c>
      <c r="Y684" s="157">
        <f>'Quantitativos (A)'!W684*$D684*$E684</f>
        <v>84.52</v>
      </c>
      <c r="Z684" s="157">
        <f>'Quantitativos (A)'!X684*$D684*$E684</f>
        <v>84.52</v>
      </c>
      <c r="AA684" s="157">
        <f>'Quantitativos (A)'!Y684*$D684*$E684</f>
        <v>84.52</v>
      </c>
      <c r="AB684" s="157">
        <f>'Quantitativos (A)'!Z684*$D684*$E684</f>
        <v>84.52</v>
      </c>
      <c r="AC684" s="157">
        <f>'Quantitativos (A)'!AA684*$D684*$E684</f>
        <v>84.52</v>
      </c>
      <c r="AD684" s="157">
        <f>'Quantitativos (A)'!AB684*$D684*$E684</f>
        <v>84.52</v>
      </c>
      <c r="AE684" s="157">
        <f>'Quantitativos (A)'!AC684*$D684*$E684</f>
        <v>84.52</v>
      </c>
      <c r="AF684" s="157">
        <f>'Quantitativos (A)'!AD684*$D684*$E684</f>
        <v>84.52</v>
      </c>
      <c r="AG684" s="157">
        <f>'Quantitativos (A)'!AE684*$D684*$E684</f>
        <v>84.52</v>
      </c>
      <c r="AH684" s="157">
        <f>'Quantitativos (A)'!AF684*$D684*$E684</f>
        <v>84.52</v>
      </c>
      <c r="AI684" s="158">
        <f>'Quantitativos (A)'!AG684*$D684*$E684</f>
        <v>84.52</v>
      </c>
      <c r="AJ684" s="22"/>
    </row>
    <row r="685" spans="1:36" x14ac:dyDescent="0.25">
      <c r="A685" s="21"/>
      <c r="B685" s="141" t="s">
        <v>704</v>
      </c>
      <c r="C685" s="125" t="s">
        <v>60</v>
      </c>
      <c r="D685" s="157">
        <f>'Dados (F)'!$D$465</f>
        <v>42.26</v>
      </c>
      <c r="E685" s="125">
        <f>IF('Dados (F)'!$D$35=1,1,'Dados (F)'!$C$39)</f>
        <v>1</v>
      </c>
      <c r="F685" s="157">
        <f>'Quantitativos (A)'!D685*$D685*$E685</f>
        <v>84.52</v>
      </c>
      <c r="G685" s="157">
        <f>'Quantitativos (A)'!E685*$D685*$E685</f>
        <v>84.52</v>
      </c>
      <c r="H685" s="157">
        <f>'Quantitativos (A)'!F685*$D685*$E685</f>
        <v>84.52</v>
      </c>
      <c r="I685" s="157">
        <f>'Quantitativos (A)'!G685*$D685*$E685</f>
        <v>84.52</v>
      </c>
      <c r="J685" s="157">
        <f>'Quantitativos (A)'!H685*$D685*$E685</f>
        <v>84.52</v>
      </c>
      <c r="K685" s="157">
        <f>'Quantitativos (A)'!I685*$D685*$E685</f>
        <v>84.52</v>
      </c>
      <c r="L685" s="157">
        <f>'Quantitativos (A)'!J685*$D685*$E685</f>
        <v>84.52</v>
      </c>
      <c r="M685" s="157">
        <f>'Quantitativos (A)'!K685*$D685*$E685</f>
        <v>84.52</v>
      </c>
      <c r="N685" s="157">
        <f>'Quantitativos (A)'!L685*$D685*$E685</f>
        <v>84.52</v>
      </c>
      <c r="O685" s="157">
        <f>'Quantitativos (A)'!M685*$D685*$E685</f>
        <v>84.52</v>
      </c>
      <c r="P685" s="157">
        <f>'Quantitativos (A)'!N685*$D685*$E685</f>
        <v>84.52</v>
      </c>
      <c r="Q685" s="157">
        <f>'Quantitativos (A)'!O685*$D685*$E685</f>
        <v>84.52</v>
      </c>
      <c r="R685" s="157">
        <f>'Quantitativos (A)'!P685*$D685*$E685</f>
        <v>84.52</v>
      </c>
      <c r="S685" s="157">
        <f>'Quantitativos (A)'!Q685*$D685*$E685</f>
        <v>84.52</v>
      </c>
      <c r="T685" s="157">
        <f>'Quantitativos (A)'!R685*$D685*$E685</f>
        <v>84.52</v>
      </c>
      <c r="U685" s="157">
        <f>'Quantitativos (A)'!S685*$D685*$E685</f>
        <v>84.52</v>
      </c>
      <c r="V685" s="157">
        <f>'Quantitativos (A)'!T685*$D685*$E685</f>
        <v>84.52</v>
      </c>
      <c r="W685" s="157">
        <f>'Quantitativos (A)'!U685*$D685*$E685</f>
        <v>84.52</v>
      </c>
      <c r="X685" s="157">
        <f>'Quantitativos (A)'!V685*$D685*$E685</f>
        <v>84.52</v>
      </c>
      <c r="Y685" s="157">
        <f>'Quantitativos (A)'!W685*$D685*$E685</f>
        <v>84.52</v>
      </c>
      <c r="Z685" s="157">
        <f>'Quantitativos (A)'!X685*$D685*$E685</f>
        <v>84.52</v>
      </c>
      <c r="AA685" s="157">
        <f>'Quantitativos (A)'!Y685*$D685*$E685</f>
        <v>84.52</v>
      </c>
      <c r="AB685" s="157">
        <f>'Quantitativos (A)'!Z685*$D685*$E685</f>
        <v>84.52</v>
      </c>
      <c r="AC685" s="157">
        <f>'Quantitativos (A)'!AA685*$D685*$E685</f>
        <v>84.52</v>
      </c>
      <c r="AD685" s="157">
        <f>'Quantitativos (A)'!AB685*$D685*$E685</f>
        <v>84.52</v>
      </c>
      <c r="AE685" s="157">
        <f>'Quantitativos (A)'!AC685*$D685*$E685</f>
        <v>84.52</v>
      </c>
      <c r="AF685" s="157">
        <f>'Quantitativos (A)'!AD685*$D685*$E685</f>
        <v>84.52</v>
      </c>
      <c r="AG685" s="157">
        <f>'Quantitativos (A)'!AE685*$D685*$E685</f>
        <v>84.52</v>
      </c>
      <c r="AH685" s="157">
        <f>'Quantitativos (A)'!AF685*$D685*$E685</f>
        <v>84.52</v>
      </c>
      <c r="AI685" s="158">
        <f>'Quantitativos (A)'!AG685*$D685*$E685</f>
        <v>84.52</v>
      </c>
      <c r="AJ685" s="22"/>
    </row>
    <row r="686" spans="1:36" x14ac:dyDescent="0.25">
      <c r="A686" s="21"/>
      <c r="B686" s="141" t="s">
        <v>705</v>
      </c>
      <c r="C686" s="125" t="s">
        <v>60</v>
      </c>
      <c r="D686" s="157">
        <f>'Dados (F)'!$D$466</f>
        <v>55.33</v>
      </c>
      <c r="E686" s="125">
        <f>IF('Dados (F)'!$D$35=1,1,'Dados (F)'!$C$39)</f>
        <v>1</v>
      </c>
      <c r="F686" s="157">
        <f>'Quantitativos (A)'!D686*$D686*$E686</f>
        <v>55.33</v>
      </c>
      <c r="G686" s="157">
        <f>'Quantitativos (A)'!E686*$D686*$E686</f>
        <v>55.33</v>
      </c>
      <c r="H686" s="157">
        <f>'Quantitativos (A)'!F686*$D686*$E686</f>
        <v>55.33</v>
      </c>
      <c r="I686" s="157">
        <f>'Quantitativos (A)'!G686*$D686*$E686</f>
        <v>55.33</v>
      </c>
      <c r="J686" s="157">
        <f>'Quantitativos (A)'!H686*$D686*$E686</f>
        <v>55.33</v>
      </c>
      <c r="K686" s="157">
        <f>'Quantitativos (A)'!I686*$D686*$E686</f>
        <v>55.33</v>
      </c>
      <c r="L686" s="157">
        <f>'Quantitativos (A)'!J686*$D686*$E686</f>
        <v>55.33</v>
      </c>
      <c r="M686" s="157">
        <f>'Quantitativos (A)'!K686*$D686*$E686</f>
        <v>55.33</v>
      </c>
      <c r="N686" s="157">
        <f>'Quantitativos (A)'!L686*$D686*$E686</f>
        <v>55.33</v>
      </c>
      <c r="O686" s="157">
        <f>'Quantitativos (A)'!M686*$D686*$E686</f>
        <v>55.33</v>
      </c>
      <c r="P686" s="157">
        <f>'Quantitativos (A)'!N686*$D686*$E686</f>
        <v>55.33</v>
      </c>
      <c r="Q686" s="157">
        <f>'Quantitativos (A)'!O686*$D686*$E686</f>
        <v>55.33</v>
      </c>
      <c r="R686" s="157">
        <f>'Quantitativos (A)'!P686*$D686*$E686</f>
        <v>55.33</v>
      </c>
      <c r="S686" s="157">
        <f>'Quantitativos (A)'!Q686*$D686*$E686</f>
        <v>55.33</v>
      </c>
      <c r="T686" s="157">
        <f>'Quantitativos (A)'!R686*$D686*$E686</f>
        <v>55.33</v>
      </c>
      <c r="U686" s="157">
        <f>'Quantitativos (A)'!S686*$D686*$E686</f>
        <v>55.33</v>
      </c>
      <c r="V686" s="157">
        <f>'Quantitativos (A)'!T686*$D686*$E686</f>
        <v>55.33</v>
      </c>
      <c r="W686" s="157">
        <f>'Quantitativos (A)'!U686*$D686*$E686</f>
        <v>55.33</v>
      </c>
      <c r="X686" s="157">
        <f>'Quantitativos (A)'!V686*$D686*$E686</f>
        <v>55.33</v>
      </c>
      <c r="Y686" s="157">
        <f>'Quantitativos (A)'!W686*$D686*$E686</f>
        <v>55.33</v>
      </c>
      <c r="Z686" s="157">
        <f>'Quantitativos (A)'!X686*$D686*$E686</f>
        <v>55.33</v>
      </c>
      <c r="AA686" s="157">
        <f>'Quantitativos (A)'!Y686*$D686*$E686</f>
        <v>55.33</v>
      </c>
      <c r="AB686" s="157">
        <f>'Quantitativos (A)'!Z686*$D686*$E686</f>
        <v>55.33</v>
      </c>
      <c r="AC686" s="157">
        <f>'Quantitativos (A)'!AA686*$D686*$E686</f>
        <v>55.33</v>
      </c>
      <c r="AD686" s="157">
        <f>'Quantitativos (A)'!AB686*$D686*$E686</f>
        <v>55.33</v>
      </c>
      <c r="AE686" s="157">
        <f>'Quantitativos (A)'!AC686*$D686*$E686</f>
        <v>55.33</v>
      </c>
      <c r="AF686" s="157">
        <f>'Quantitativos (A)'!AD686*$D686*$E686</f>
        <v>55.33</v>
      </c>
      <c r="AG686" s="157">
        <f>'Quantitativos (A)'!AE686*$D686*$E686</f>
        <v>55.33</v>
      </c>
      <c r="AH686" s="157">
        <f>'Quantitativos (A)'!AF686*$D686*$E686</f>
        <v>55.33</v>
      </c>
      <c r="AI686" s="158">
        <f>'Quantitativos (A)'!AG686*$D686*$E686</f>
        <v>55.33</v>
      </c>
      <c r="AJ686" s="22"/>
    </row>
    <row r="687" spans="1:36" ht="13.5" thickBot="1" x14ac:dyDescent="0.3">
      <c r="A687" s="21"/>
      <c r="B687" s="142" t="s">
        <v>706</v>
      </c>
      <c r="C687" s="143" t="s">
        <v>60</v>
      </c>
      <c r="D687" s="167">
        <f>'Dados (F)'!$D$467</f>
        <v>202.9</v>
      </c>
      <c r="E687" s="143">
        <f>IF('Dados (F)'!$D$35=1,1,'Dados (F)'!$C$39)</f>
        <v>1</v>
      </c>
      <c r="F687" s="167">
        <f>'Quantitativos (A)'!D687*$D687*$E687</f>
        <v>405.8</v>
      </c>
      <c r="G687" s="167">
        <f>'Quantitativos (A)'!E687*$D687*$E687</f>
        <v>405.8</v>
      </c>
      <c r="H687" s="167">
        <f>'Quantitativos (A)'!F687*$D687*$E687</f>
        <v>405.8</v>
      </c>
      <c r="I687" s="167">
        <f>'Quantitativos (A)'!G687*$D687*$E687</f>
        <v>405.8</v>
      </c>
      <c r="J687" s="167">
        <f>'Quantitativos (A)'!H687*$D687*$E687</f>
        <v>405.8</v>
      </c>
      <c r="K687" s="167">
        <f>'Quantitativos (A)'!I687*$D687*$E687</f>
        <v>405.8</v>
      </c>
      <c r="L687" s="167">
        <f>'Quantitativos (A)'!J687*$D687*$E687</f>
        <v>405.8</v>
      </c>
      <c r="M687" s="167">
        <f>'Quantitativos (A)'!K687*$D687*$E687</f>
        <v>405.8</v>
      </c>
      <c r="N687" s="167">
        <f>'Quantitativos (A)'!L687*$D687*$E687</f>
        <v>405.8</v>
      </c>
      <c r="O687" s="167">
        <f>'Quantitativos (A)'!M687*$D687*$E687</f>
        <v>405.8</v>
      </c>
      <c r="P687" s="167">
        <f>'Quantitativos (A)'!N687*$D687*$E687</f>
        <v>405.8</v>
      </c>
      <c r="Q687" s="167">
        <f>'Quantitativos (A)'!O687*$D687*$E687</f>
        <v>405.8</v>
      </c>
      <c r="R687" s="167">
        <f>'Quantitativos (A)'!P687*$D687*$E687</f>
        <v>405.8</v>
      </c>
      <c r="S687" s="167">
        <f>'Quantitativos (A)'!Q687*$D687*$E687</f>
        <v>405.8</v>
      </c>
      <c r="T687" s="167">
        <f>'Quantitativos (A)'!R687*$D687*$E687</f>
        <v>405.8</v>
      </c>
      <c r="U687" s="167">
        <f>'Quantitativos (A)'!S687*$D687*$E687</f>
        <v>405.8</v>
      </c>
      <c r="V687" s="167">
        <f>'Quantitativos (A)'!T687*$D687*$E687</f>
        <v>405.8</v>
      </c>
      <c r="W687" s="167">
        <f>'Quantitativos (A)'!U687*$D687*$E687</f>
        <v>405.8</v>
      </c>
      <c r="X687" s="167">
        <f>'Quantitativos (A)'!V687*$D687*$E687</f>
        <v>405.8</v>
      </c>
      <c r="Y687" s="167">
        <f>'Quantitativos (A)'!W687*$D687*$E687</f>
        <v>405.8</v>
      </c>
      <c r="Z687" s="167">
        <f>'Quantitativos (A)'!X687*$D687*$E687</f>
        <v>405.8</v>
      </c>
      <c r="AA687" s="167">
        <f>'Quantitativos (A)'!Y687*$D687*$E687</f>
        <v>405.8</v>
      </c>
      <c r="AB687" s="167">
        <f>'Quantitativos (A)'!Z687*$D687*$E687</f>
        <v>405.8</v>
      </c>
      <c r="AC687" s="167">
        <f>'Quantitativos (A)'!AA687*$D687*$E687</f>
        <v>405.8</v>
      </c>
      <c r="AD687" s="167">
        <f>'Quantitativos (A)'!AB687*$D687*$E687</f>
        <v>405.8</v>
      </c>
      <c r="AE687" s="167">
        <f>'Quantitativos (A)'!AC687*$D687*$E687</f>
        <v>405.8</v>
      </c>
      <c r="AF687" s="167">
        <f>'Quantitativos (A)'!AD687*$D687*$E687</f>
        <v>405.8</v>
      </c>
      <c r="AG687" s="167">
        <f>'Quantitativos (A)'!AE687*$D687*$E687</f>
        <v>405.8</v>
      </c>
      <c r="AH687" s="167">
        <f>'Quantitativos (A)'!AF687*$D687*$E687</f>
        <v>405.8</v>
      </c>
      <c r="AI687" s="168">
        <f>'Quantitativos (A)'!AG687*$D687*$E687</f>
        <v>405.8</v>
      </c>
      <c r="AJ687" s="22"/>
    </row>
    <row r="688" spans="1:36" x14ac:dyDescent="0.25">
      <c r="A688" s="145"/>
      <c r="B688" s="145"/>
      <c r="C688" s="145"/>
      <c r="D688" s="145"/>
      <c r="E688" s="145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7"/>
    </row>
    <row r="689" spans="6:35" hidden="1" x14ac:dyDescent="0.25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</row>
    <row r="690" spans="6:35" hidden="1" x14ac:dyDescent="0.25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</row>
    <row r="691" spans="6:35" hidden="1" x14ac:dyDescent="0.25">
      <c r="F691" s="169"/>
    </row>
    <row r="692" spans="6:35" hidden="1" x14ac:dyDescent="0.25"/>
    <row r="693" spans="6:35" hidden="1" x14ac:dyDescent="0.25"/>
    <row r="694" spans="6:35" hidden="1" x14ac:dyDescent="0.25"/>
    <row r="695" spans="6:35" hidden="1" x14ac:dyDescent="0.25"/>
    <row r="696" spans="6:35" hidden="1" x14ac:dyDescent="0.25"/>
    <row r="697" spans="6:35" hidden="1" x14ac:dyDescent="0.25"/>
    <row r="698" spans="6:35" hidden="1" x14ac:dyDescent="0.25"/>
    <row r="699" spans="6:35" hidden="1" x14ac:dyDescent="0.25"/>
    <row r="700" spans="6:35" hidden="1" x14ac:dyDescent="0.25"/>
    <row r="701" spans="6:35" hidden="1" x14ac:dyDescent="0.25"/>
  </sheetData>
  <sheetProtection algorithmName="SHA-512" hashValue="lm7Jn5JFr66PCg2GqxdcqwLkSRX/JuOjIhgBwdLiQ4yII1xFpQYnvvzAd3KEC6MfmkYZKgJCDIBsU/1lGSAXkw==" saltValue="1zeRepgI6x3od5WQ9Rr3yg==" spinCount="100000" sheet="1" objects="1" scenarios="1"/>
  <mergeCells count="8">
    <mergeCell ref="Z8:AI8"/>
    <mergeCell ref="A1:C2"/>
    <mergeCell ref="B8:B9"/>
    <mergeCell ref="C8:C9"/>
    <mergeCell ref="F8:O8"/>
    <mergeCell ref="P8:Y8"/>
    <mergeCell ref="D8:D9"/>
    <mergeCell ref="E8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AG147"/>
  <sheetViews>
    <sheetView workbookViewId="0">
      <pane xSplit="2" ySplit="11" topLeftCell="C12" activePane="bottomRight" state="frozen"/>
      <selection pane="topRight" activeCell="C1" sqref="C1"/>
      <selection pane="bottomLeft" activeCell="A6" sqref="A6"/>
      <selection pane="bottomRight" activeCell="C12" sqref="C12"/>
    </sheetView>
  </sheetViews>
  <sheetFormatPr defaultColWidth="0" defaultRowHeight="12.75" zeroHeight="1" x14ac:dyDescent="0.25"/>
  <cols>
    <col min="1" max="1" width="10.875" style="109" customWidth="1"/>
    <col min="2" max="2" width="48.375" style="109" customWidth="1"/>
    <col min="3" max="32" width="13.875" style="109" customWidth="1"/>
    <col min="33" max="33" width="10.875" style="109" customWidth="1"/>
    <col min="34" max="16384" width="10.875" style="109" hidden="1"/>
  </cols>
  <sheetData>
    <row r="1" spans="1:33" x14ac:dyDescent="0.25">
      <c r="A1" s="384" t="s">
        <v>899</v>
      </c>
      <c r="B1" s="384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1"/>
    </row>
    <row r="2" spans="1:33" x14ac:dyDescent="0.25">
      <c r="A2" s="386"/>
      <c r="B2" s="386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3"/>
    </row>
    <row r="3" spans="1:33" ht="13.5" thickBot="1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74"/>
    </row>
    <row r="4" spans="1:33" x14ac:dyDescent="0.25">
      <c r="A4" s="112"/>
      <c r="B4" s="113" t="s">
        <v>496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22"/>
    </row>
    <row r="5" spans="1:33" ht="13.5" thickBot="1" x14ac:dyDescent="0.3">
      <c r="A5" s="112"/>
      <c r="B5" s="114">
        <f>'Dados (F)'!C14</f>
        <v>10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22"/>
    </row>
    <row r="6" spans="1:33" x14ac:dyDescent="0.25">
      <c r="A6" s="112"/>
      <c r="B6" s="112" t="s">
        <v>497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22"/>
    </row>
    <row r="7" spans="1:33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22"/>
    </row>
    <row r="8" spans="1:33" ht="38.25" x14ac:dyDescent="0.25">
      <c r="A8" s="112"/>
      <c r="B8" s="112" t="s">
        <v>901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22"/>
    </row>
    <row r="9" spans="1:33" ht="13.5" thickBot="1" x14ac:dyDescent="0.3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22"/>
    </row>
    <row r="10" spans="1:33" x14ac:dyDescent="0.25">
      <c r="A10" s="112"/>
      <c r="B10" s="395" t="s">
        <v>52</v>
      </c>
      <c r="C10" s="393" t="s">
        <v>715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 t="s">
        <v>716</v>
      </c>
      <c r="N10" s="393"/>
      <c r="O10" s="393"/>
      <c r="P10" s="393"/>
      <c r="Q10" s="393"/>
      <c r="R10" s="393"/>
      <c r="S10" s="393"/>
      <c r="T10" s="393"/>
      <c r="U10" s="393"/>
      <c r="V10" s="393"/>
      <c r="W10" s="393" t="s">
        <v>717</v>
      </c>
      <c r="X10" s="393"/>
      <c r="Y10" s="393"/>
      <c r="Z10" s="393"/>
      <c r="AA10" s="393"/>
      <c r="AB10" s="393"/>
      <c r="AC10" s="393"/>
      <c r="AD10" s="393"/>
      <c r="AE10" s="393"/>
      <c r="AF10" s="394"/>
      <c r="AG10" s="22"/>
    </row>
    <row r="11" spans="1:33" ht="13.5" thickBot="1" x14ac:dyDescent="0.3">
      <c r="A11" s="112"/>
      <c r="B11" s="396"/>
      <c r="C11" s="115" t="s">
        <v>466</v>
      </c>
      <c r="D11" s="115" t="s">
        <v>467</v>
      </c>
      <c r="E11" s="115" t="s">
        <v>468</v>
      </c>
      <c r="F11" s="115" t="s">
        <v>469</v>
      </c>
      <c r="G11" s="115" t="s">
        <v>470</v>
      </c>
      <c r="H11" s="115" t="s">
        <v>471</v>
      </c>
      <c r="I11" s="115" t="s">
        <v>472</v>
      </c>
      <c r="J11" s="115" t="s">
        <v>473</v>
      </c>
      <c r="K11" s="115" t="s">
        <v>474</v>
      </c>
      <c r="L11" s="115" t="s">
        <v>475</v>
      </c>
      <c r="M11" s="115" t="s">
        <v>476</v>
      </c>
      <c r="N11" s="115" t="s">
        <v>477</v>
      </c>
      <c r="O11" s="115" t="s">
        <v>478</v>
      </c>
      <c r="P11" s="115" t="s">
        <v>479</v>
      </c>
      <c r="Q11" s="115" t="s">
        <v>480</v>
      </c>
      <c r="R11" s="115" t="s">
        <v>481</v>
      </c>
      <c r="S11" s="115" t="s">
        <v>482</v>
      </c>
      <c r="T11" s="115" t="s">
        <v>483</v>
      </c>
      <c r="U11" s="115" t="s">
        <v>484</v>
      </c>
      <c r="V11" s="115" t="s">
        <v>485</v>
      </c>
      <c r="W11" s="115" t="s">
        <v>486</v>
      </c>
      <c r="X11" s="115" t="s">
        <v>487</v>
      </c>
      <c r="Y11" s="115" t="s">
        <v>488</v>
      </c>
      <c r="Z11" s="115" t="s">
        <v>489</v>
      </c>
      <c r="AA11" s="115" t="s">
        <v>490</v>
      </c>
      <c r="AB11" s="115" t="s">
        <v>491</v>
      </c>
      <c r="AC11" s="115" t="s">
        <v>492</v>
      </c>
      <c r="AD11" s="115" t="s">
        <v>493</v>
      </c>
      <c r="AE11" s="115" t="s">
        <v>494</v>
      </c>
      <c r="AF11" s="116" t="s">
        <v>495</v>
      </c>
      <c r="AG11" s="22"/>
    </row>
    <row r="12" spans="1:33" x14ac:dyDescent="0.25">
      <c r="A12" s="112"/>
      <c r="B12" s="117" t="s">
        <v>521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22"/>
    </row>
    <row r="13" spans="1:33" x14ac:dyDescent="0.25">
      <c r="A13" s="112"/>
      <c r="B13" s="120" t="s">
        <v>811</v>
      </c>
      <c r="C13" s="177">
        <f t="shared" ref="C13:AF13" si="0">SUM(C14:C15)</f>
        <v>66366.299999999988</v>
      </c>
      <c r="D13" s="177">
        <f t="shared" si="0"/>
        <v>89008.92</v>
      </c>
      <c r="E13" s="177">
        <f t="shared" si="0"/>
        <v>50861.124599999996</v>
      </c>
      <c r="F13" s="177">
        <f t="shared" si="0"/>
        <v>66366.299999999988</v>
      </c>
      <c r="G13" s="177">
        <f t="shared" si="0"/>
        <v>89008.92</v>
      </c>
      <c r="H13" s="177">
        <f t="shared" si="0"/>
        <v>50862.239999999998</v>
      </c>
      <c r="I13" s="177">
        <f t="shared" si="0"/>
        <v>66366.299999999988</v>
      </c>
      <c r="J13" s="177">
        <f t="shared" si="0"/>
        <v>50862.239999999998</v>
      </c>
      <c r="K13" s="177">
        <f t="shared" si="0"/>
        <v>66366.299999999988</v>
      </c>
      <c r="L13" s="177">
        <f t="shared" si="0"/>
        <v>52275.08</v>
      </c>
      <c r="M13" s="177">
        <f t="shared" si="0"/>
        <v>62462.400000000001</v>
      </c>
      <c r="N13" s="177">
        <f t="shared" si="0"/>
        <v>71534.320000000007</v>
      </c>
      <c r="O13" s="177">
        <f t="shared" si="0"/>
        <v>49449.4</v>
      </c>
      <c r="P13" s="177">
        <f t="shared" si="0"/>
        <v>62462.400000000001</v>
      </c>
      <c r="Q13" s="177">
        <f t="shared" si="0"/>
        <v>73467.679999999993</v>
      </c>
      <c r="R13" s="177">
        <f t="shared" si="0"/>
        <v>49449.4</v>
      </c>
      <c r="S13" s="177">
        <f t="shared" si="0"/>
        <v>62462.400000000001</v>
      </c>
      <c r="T13" s="177">
        <f t="shared" si="0"/>
        <v>49450.515400000004</v>
      </c>
      <c r="U13" s="177">
        <f t="shared" si="0"/>
        <v>62462.400000000001</v>
      </c>
      <c r="V13" s="177">
        <f t="shared" si="0"/>
        <v>49450.515400000004</v>
      </c>
      <c r="W13" s="177">
        <f t="shared" si="0"/>
        <v>61161.1</v>
      </c>
      <c r="X13" s="177">
        <f t="shared" si="0"/>
        <v>70158.66</v>
      </c>
      <c r="Y13" s="177">
        <f t="shared" si="0"/>
        <v>45508.32</v>
      </c>
      <c r="Z13" s="177">
        <f t="shared" si="0"/>
        <v>59413.64</v>
      </c>
      <c r="AA13" s="177">
        <f t="shared" si="0"/>
        <v>72054.84</v>
      </c>
      <c r="AB13" s="177">
        <f t="shared" si="0"/>
        <v>45508.32</v>
      </c>
      <c r="AC13" s="177">
        <f t="shared" si="0"/>
        <v>61161.1</v>
      </c>
      <c r="AD13" s="177">
        <f t="shared" si="0"/>
        <v>45508.32</v>
      </c>
      <c r="AE13" s="177">
        <f t="shared" si="0"/>
        <v>45508.32</v>
      </c>
      <c r="AF13" s="178">
        <f t="shared" si="0"/>
        <v>46846.799999999996</v>
      </c>
      <c r="AG13" s="22"/>
    </row>
    <row r="14" spans="1:33" x14ac:dyDescent="0.25">
      <c r="A14" s="112"/>
      <c r="B14" s="179" t="s">
        <v>808</v>
      </c>
      <c r="C14" s="180">
        <f>SUM('Custos (B1)'!F12)</f>
        <v>37737.699999999997</v>
      </c>
      <c r="D14" s="180">
        <f>SUM('Custos (B1)'!G12)</f>
        <v>45285.24</v>
      </c>
      <c r="E14" s="180">
        <f>SUM('Custos (B1)'!H12)</f>
        <v>45507.204599999997</v>
      </c>
      <c r="F14" s="180">
        <f>SUM('Custos (B1)'!I12)</f>
        <v>37737.699999999997</v>
      </c>
      <c r="G14" s="180">
        <f>SUM('Custos (B1)'!J12)</f>
        <v>45285.24</v>
      </c>
      <c r="H14" s="180">
        <f>SUM('Custos (B1)'!K12)</f>
        <v>45508.32</v>
      </c>
      <c r="I14" s="180">
        <f>SUM('Custos (B1)'!L12)</f>
        <v>37737.699999999997</v>
      </c>
      <c r="J14" s="180">
        <f>SUM('Custos (B1)'!M12)</f>
        <v>45508.32</v>
      </c>
      <c r="K14" s="180">
        <f>SUM('Custos (B1)'!N12)</f>
        <v>37737.699999999997</v>
      </c>
      <c r="L14" s="180">
        <f>SUM('Custos (B1)'!O12)</f>
        <v>46475</v>
      </c>
      <c r="M14" s="180">
        <f>SUM('Custos (B1)'!P12)</f>
        <v>39039</v>
      </c>
      <c r="N14" s="180">
        <f>SUM('Custos (B1)'!Q12)</f>
        <v>39894.14</v>
      </c>
      <c r="O14" s="180">
        <f>SUM('Custos (B1)'!R12)</f>
        <v>43649.32</v>
      </c>
      <c r="P14" s="180">
        <f>SUM('Custos (B1)'!S12)</f>
        <v>39039</v>
      </c>
      <c r="Q14" s="180">
        <f>SUM('Custos (B1)'!T12)</f>
        <v>40972.36</v>
      </c>
      <c r="R14" s="180">
        <f>SUM('Custos (B1)'!U12)</f>
        <v>43649.32</v>
      </c>
      <c r="S14" s="180">
        <f>SUM('Custos (B1)'!V12)</f>
        <v>39039</v>
      </c>
      <c r="T14" s="180">
        <f>SUM('Custos (B1)'!W12)</f>
        <v>43650.435400000002</v>
      </c>
      <c r="U14" s="180">
        <f>SUM('Custos (B1)'!X12)</f>
        <v>39039</v>
      </c>
      <c r="V14" s="180">
        <f>SUM('Custos (B1)'!Y12)</f>
        <v>43650.435400000002</v>
      </c>
      <c r="W14" s="180">
        <f>SUM('Custos (B1)'!Z12)</f>
        <v>37737.699999999997</v>
      </c>
      <c r="X14" s="180">
        <f>SUM('Custos (B1)'!AA12)</f>
        <v>38518.480000000003</v>
      </c>
      <c r="Y14" s="180">
        <f>SUM('Custos (B1)'!AB12)</f>
        <v>40600.559999999998</v>
      </c>
      <c r="Z14" s="180">
        <f>SUM('Custos (B1)'!AC12)</f>
        <v>36659.480000000003</v>
      </c>
      <c r="AA14" s="180">
        <f>SUM('Custos (B1)'!AD12)</f>
        <v>39559.519999999997</v>
      </c>
      <c r="AB14" s="180">
        <f>SUM('Custos (B1)'!AE12)</f>
        <v>40600.559999999998</v>
      </c>
      <c r="AC14" s="180">
        <f>SUM('Custos (B1)'!AF12)</f>
        <v>37737.699999999997</v>
      </c>
      <c r="AD14" s="180">
        <f>SUM('Custos (B1)'!AG12)</f>
        <v>40600.559999999998</v>
      </c>
      <c r="AE14" s="180">
        <f>SUM('Custos (B1)'!AH12)</f>
        <v>40600.559999999998</v>
      </c>
      <c r="AF14" s="181">
        <f>SUM('Custos (B1)'!AI12)</f>
        <v>41492.879999999997</v>
      </c>
      <c r="AG14" s="22"/>
    </row>
    <row r="15" spans="1:33" x14ac:dyDescent="0.25">
      <c r="A15" s="112"/>
      <c r="B15" s="179" t="s">
        <v>809</v>
      </c>
      <c r="C15" s="180">
        <f>SUM('Custos (B1)'!F13)</f>
        <v>28628.6</v>
      </c>
      <c r="D15" s="180">
        <f>SUM('Custos (B1)'!G13)</f>
        <v>43723.68</v>
      </c>
      <c r="E15" s="180">
        <f>SUM('Custos (B1)'!H13)</f>
        <v>5353.92</v>
      </c>
      <c r="F15" s="180">
        <f>SUM('Custos (B1)'!I13)</f>
        <v>28628.6</v>
      </c>
      <c r="G15" s="180">
        <f>SUM('Custos (B1)'!J13)</f>
        <v>43723.68</v>
      </c>
      <c r="H15" s="180">
        <f>SUM('Custos (B1)'!K13)</f>
        <v>5353.92</v>
      </c>
      <c r="I15" s="180">
        <f>SUM('Custos (B1)'!L13)</f>
        <v>28628.6</v>
      </c>
      <c r="J15" s="180">
        <f>SUM('Custos (B1)'!M13)</f>
        <v>5353.92</v>
      </c>
      <c r="K15" s="180">
        <f>SUM('Custos (B1)'!N13)</f>
        <v>28628.6</v>
      </c>
      <c r="L15" s="180">
        <f>SUM('Custos (B1)'!O13)</f>
        <v>5800.08</v>
      </c>
      <c r="M15" s="180">
        <f>SUM('Custos (B1)'!P13)</f>
        <v>23423.4</v>
      </c>
      <c r="N15" s="180">
        <f>SUM('Custos (B1)'!Q13)</f>
        <v>31640.18</v>
      </c>
      <c r="O15" s="180">
        <f>SUM('Custos (B1)'!R13)</f>
        <v>5800.08</v>
      </c>
      <c r="P15" s="180">
        <f>SUM('Custos (B1)'!S13)</f>
        <v>23423.4</v>
      </c>
      <c r="Q15" s="180">
        <f>SUM('Custos (B1)'!T13)</f>
        <v>32495.32</v>
      </c>
      <c r="R15" s="180">
        <f>SUM('Custos (B1)'!U13)</f>
        <v>5800.08</v>
      </c>
      <c r="S15" s="180">
        <f>SUM('Custos (B1)'!V13)</f>
        <v>23423.4</v>
      </c>
      <c r="T15" s="180">
        <f>SUM('Custos (B1)'!W13)</f>
        <v>5800.08</v>
      </c>
      <c r="U15" s="180">
        <f>SUM('Custos (B1)'!X13)</f>
        <v>23423.4</v>
      </c>
      <c r="V15" s="180">
        <f>SUM('Custos (B1)'!Y13)</f>
        <v>5800.08</v>
      </c>
      <c r="W15" s="180">
        <f>SUM('Custos (B1)'!Z13)</f>
        <v>23423.4</v>
      </c>
      <c r="X15" s="180">
        <f>SUM('Custos (B1)'!AA13)</f>
        <v>31640.18</v>
      </c>
      <c r="Y15" s="180">
        <f>SUM('Custos (B1)'!AB13)</f>
        <v>4907.76</v>
      </c>
      <c r="Z15" s="180">
        <f>SUM('Custos (B1)'!AC13)</f>
        <v>22754.16</v>
      </c>
      <c r="AA15" s="180">
        <f>SUM('Custos (B1)'!AD13)</f>
        <v>32495.32</v>
      </c>
      <c r="AB15" s="180">
        <f>SUM('Custos (B1)'!AE13)</f>
        <v>4907.76</v>
      </c>
      <c r="AC15" s="180">
        <f>SUM('Custos (B1)'!AF13)</f>
        <v>23423.4</v>
      </c>
      <c r="AD15" s="180">
        <f>SUM('Custos (B1)'!AG13)</f>
        <v>4907.76</v>
      </c>
      <c r="AE15" s="180">
        <f>SUM('Custos (B1)'!AH13)</f>
        <v>4907.76</v>
      </c>
      <c r="AF15" s="181">
        <f>SUM('Custos (B1)'!AI13)</f>
        <v>5353.92</v>
      </c>
      <c r="AG15" s="22"/>
    </row>
    <row r="16" spans="1:33" x14ac:dyDescent="0.25">
      <c r="A16" s="112"/>
      <c r="B16" s="120" t="s">
        <v>812</v>
      </c>
      <c r="C16" s="177">
        <f t="shared" ref="C16:AF16" si="1">SUM(C17:C18)</f>
        <v>143991.68699999995</v>
      </c>
      <c r="D16" s="177">
        <f t="shared" si="1"/>
        <v>166455.47100000002</v>
      </c>
      <c r="E16" s="177">
        <f t="shared" si="1"/>
        <v>124694.0637</v>
      </c>
      <c r="F16" s="177">
        <f t="shared" si="1"/>
        <v>143991.68700000001</v>
      </c>
      <c r="G16" s="177">
        <f t="shared" si="1"/>
        <v>166455.47100000002</v>
      </c>
      <c r="H16" s="177">
        <f t="shared" si="1"/>
        <v>124694.361</v>
      </c>
      <c r="I16" s="177">
        <f t="shared" si="1"/>
        <v>143991.68699999995</v>
      </c>
      <c r="J16" s="177">
        <f t="shared" si="1"/>
        <v>124694.361</v>
      </c>
      <c r="K16" s="177">
        <f t="shared" si="1"/>
        <v>143991.68700000001</v>
      </c>
      <c r="L16" s="177">
        <f t="shared" si="1"/>
        <v>126334.679</v>
      </c>
      <c r="M16" s="177">
        <f t="shared" si="1"/>
        <v>139159.92299999998</v>
      </c>
      <c r="N16" s="177">
        <f t="shared" si="1"/>
        <v>149160.391</v>
      </c>
      <c r="O16" s="177">
        <f t="shared" si="1"/>
        <v>123054.04299999999</v>
      </c>
      <c r="P16" s="177">
        <f t="shared" si="1"/>
        <v>139159.92299999998</v>
      </c>
      <c r="Q16" s="177">
        <f t="shared" si="1"/>
        <v>150939.44899999994</v>
      </c>
      <c r="R16" s="177">
        <f t="shared" si="1"/>
        <v>123054.04299999999</v>
      </c>
      <c r="S16" s="177">
        <f t="shared" si="1"/>
        <v>139159.92299999998</v>
      </c>
      <c r="T16" s="177">
        <f t="shared" si="1"/>
        <v>123054.34030000001</v>
      </c>
      <c r="U16" s="177">
        <f t="shared" si="1"/>
        <v>139159.92299999998</v>
      </c>
      <c r="V16" s="177">
        <f t="shared" si="1"/>
        <v>123054.34030000001</v>
      </c>
      <c r="W16" s="177">
        <f t="shared" si="1"/>
        <v>137549.33500000011</v>
      </c>
      <c r="X16" s="177">
        <f t="shared" si="1"/>
        <v>147529.98300000001</v>
      </c>
      <c r="Y16" s="177">
        <f t="shared" si="1"/>
        <v>118212.36900000001</v>
      </c>
      <c r="Z16" s="177">
        <f t="shared" si="1"/>
        <v>135819.82699999999</v>
      </c>
      <c r="AA16" s="177">
        <f t="shared" si="1"/>
        <v>149299.13099999999</v>
      </c>
      <c r="AB16" s="177">
        <f t="shared" si="1"/>
        <v>118212.36900000002</v>
      </c>
      <c r="AC16" s="177">
        <f t="shared" si="1"/>
        <v>137549.33500000011</v>
      </c>
      <c r="AD16" s="177">
        <f t="shared" si="1"/>
        <v>118212.36900000002</v>
      </c>
      <c r="AE16" s="177">
        <f t="shared" si="1"/>
        <v>118212.36900000002</v>
      </c>
      <c r="AF16" s="178">
        <f t="shared" si="1"/>
        <v>119832.867</v>
      </c>
      <c r="AG16" s="22"/>
    </row>
    <row r="17" spans="1:33" x14ac:dyDescent="0.25">
      <c r="A17" s="112"/>
      <c r="B17" s="179" t="s">
        <v>813</v>
      </c>
      <c r="C17" s="180">
        <f>SUM('Custos (B1)'!F16:F24)</f>
        <v>80421.026000000013</v>
      </c>
      <c r="D17" s="180">
        <f>SUM('Custos (B1)'!G16:G24)</f>
        <v>86855.839000000007</v>
      </c>
      <c r="E17" s="180">
        <f>SUM('Custos (B1)'!H16:H24)</f>
        <v>102079.85769999999</v>
      </c>
      <c r="F17" s="180">
        <f>SUM('Custos (B1)'!I16:I24)</f>
        <v>80421.025999999998</v>
      </c>
      <c r="G17" s="180">
        <f>SUM('Custos (B1)'!J16:J24)</f>
        <v>86855.839000000007</v>
      </c>
      <c r="H17" s="180">
        <f>SUM('Custos (B1)'!K16:K24)</f>
        <v>102080.155</v>
      </c>
      <c r="I17" s="180">
        <f>SUM('Custos (B1)'!L16:L24)</f>
        <v>80421.026000000013</v>
      </c>
      <c r="J17" s="180">
        <f>SUM('Custos (B1)'!M16:M24)</f>
        <v>102080.155</v>
      </c>
      <c r="K17" s="180">
        <f>SUM('Custos (B1)'!N16:N24)</f>
        <v>80421.025999999998</v>
      </c>
      <c r="L17" s="180">
        <f>SUM('Custos (B1)'!O16:O24)</f>
        <v>102969.68400000001</v>
      </c>
      <c r="M17" s="180">
        <f>SUM('Custos (B1)'!P16:P24)</f>
        <v>82031.614000000001</v>
      </c>
      <c r="N17" s="180">
        <f>SUM('Custos (B1)'!Q16:Q24)</f>
        <v>82259.544000000009</v>
      </c>
      <c r="O17" s="180">
        <f>SUM('Custos (B1)'!R16:R24)</f>
        <v>99689.047999999995</v>
      </c>
      <c r="P17" s="180">
        <f>SUM('Custos (B1)'!S16:S24)</f>
        <v>82031.614000000001</v>
      </c>
      <c r="Q17" s="180">
        <f>SUM('Custos (B1)'!T16:T24)</f>
        <v>83178.802999999942</v>
      </c>
      <c r="R17" s="180">
        <f>SUM('Custos (B1)'!U16:U24)</f>
        <v>99689.047999999995</v>
      </c>
      <c r="S17" s="180">
        <f>SUM('Custos (B1)'!V16:V24)</f>
        <v>82031.614000000001</v>
      </c>
      <c r="T17" s="180">
        <f>SUM('Custos (B1)'!W16:W24)</f>
        <v>99689.345300000015</v>
      </c>
      <c r="U17" s="180">
        <f>SUM('Custos (B1)'!X16:X24)</f>
        <v>82031.614000000001</v>
      </c>
      <c r="V17" s="180">
        <f>SUM('Custos (B1)'!Y16:Y24)</f>
        <v>99689.345300000015</v>
      </c>
      <c r="W17" s="180">
        <f>SUM('Custos (B1)'!Z16:Z24)</f>
        <v>80421.026000000114</v>
      </c>
      <c r="X17" s="180">
        <f>SUM('Custos (B1)'!AA16:AA24)</f>
        <v>80629.135999999999</v>
      </c>
      <c r="Y17" s="180">
        <f>SUM('Custos (B1)'!AB16:AB24)</f>
        <v>96348.952000000005</v>
      </c>
      <c r="Z17" s="180">
        <f>SUM('Custos (B1)'!AC16:AC24)</f>
        <v>79501.766999999993</v>
      </c>
      <c r="AA17" s="180">
        <f>SUM('Custos (B1)'!AD16:AD24)</f>
        <v>81538.485000000015</v>
      </c>
      <c r="AB17" s="180">
        <f>SUM('Custos (B1)'!AE16:AE24)</f>
        <v>96348.952000000019</v>
      </c>
      <c r="AC17" s="180">
        <f>SUM('Custos (B1)'!AF16:AF24)</f>
        <v>80421.026000000114</v>
      </c>
      <c r="AD17" s="180">
        <f>SUM('Custos (B1)'!AG16:AG24)</f>
        <v>96348.952000000019</v>
      </c>
      <c r="AE17" s="180">
        <f>SUM('Custos (B1)'!AH16:AH24)</f>
        <v>96348.952000000019</v>
      </c>
      <c r="AF17" s="181">
        <f>SUM('Custos (B1)'!AI16:AI24)</f>
        <v>97218.661000000007</v>
      </c>
      <c r="AG17" s="22"/>
    </row>
    <row r="18" spans="1:33" x14ac:dyDescent="0.25">
      <c r="A18" s="112"/>
      <c r="B18" s="179" t="s">
        <v>814</v>
      </c>
      <c r="C18" s="180">
        <f>SUM('Custos (B1)'!F26:F31)</f>
        <v>63570.660999999935</v>
      </c>
      <c r="D18" s="180">
        <f>SUM('Custos (B1)'!G26:G31)</f>
        <v>79599.631999999998</v>
      </c>
      <c r="E18" s="180">
        <f>SUM('Custos (B1)'!H26:H31)</f>
        <v>22614.205999999998</v>
      </c>
      <c r="F18" s="180">
        <f>SUM('Custos (B1)'!I26:I31)</f>
        <v>63570.661</v>
      </c>
      <c r="G18" s="180">
        <f>SUM('Custos (B1)'!J26:J31)</f>
        <v>79599.632000000012</v>
      </c>
      <c r="H18" s="180">
        <f>SUM('Custos (B1)'!K26:K31)</f>
        <v>22614.205999999998</v>
      </c>
      <c r="I18" s="180">
        <f>SUM('Custos (B1)'!L26:L31)</f>
        <v>63570.660999999935</v>
      </c>
      <c r="J18" s="180">
        <f>SUM('Custos (B1)'!M26:M31)</f>
        <v>22614.205999999998</v>
      </c>
      <c r="K18" s="180">
        <f>SUM('Custos (B1)'!N26:N31)</f>
        <v>63570.661</v>
      </c>
      <c r="L18" s="180">
        <f>SUM('Custos (B1)'!O26:O31)</f>
        <v>23364.994999999995</v>
      </c>
      <c r="M18" s="180">
        <f>SUM('Custos (B1)'!P26:P31)</f>
        <v>57128.308999999987</v>
      </c>
      <c r="N18" s="180">
        <f>SUM('Custos (B1)'!Q26:Q31)</f>
        <v>66900.846999999994</v>
      </c>
      <c r="O18" s="180">
        <f>SUM('Custos (B1)'!R26:R31)</f>
        <v>23364.994999999995</v>
      </c>
      <c r="P18" s="180">
        <f>SUM('Custos (B1)'!S26:S31)</f>
        <v>57128.308999999987</v>
      </c>
      <c r="Q18" s="180">
        <f>SUM('Custos (B1)'!T26:T31)</f>
        <v>67760.645999999993</v>
      </c>
      <c r="R18" s="180">
        <f>SUM('Custos (B1)'!U26:U31)</f>
        <v>23364.994999999995</v>
      </c>
      <c r="S18" s="180">
        <f>SUM('Custos (B1)'!V26:V31)</f>
        <v>57128.308999999987</v>
      </c>
      <c r="T18" s="180">
        <f>SUM('Custos (B1)'!W26:W31)</f>
        <v>23364.994999999995</v>
      </c>
      <c r="U18" s="180">
        <f>SUM('Custos (B1)'!X26:X31)</f>
        <v>57128.308999999987</v>
      </c>
      <c r="V18" s="180">
        <f>SUM('Custos (B1)'!Y26:Y31)</f>
        <v>23364.994999999995</v>
      </c>
      <c r="W18" s="180">
        <f>SUM('Custos (B1)'!Z26:Z31)</f>
        <v>57128.308999999987</v>
      </c>
      <c r="X18" s="180">
        <f>SUM('Custos (B1)'!AA26:AA31)</f>
        <v>66900.846999999994</v>
      </c>
      <c r="Y18" s="180">
        <f>SUM('Custos (B1)'!AB26:AB31)</f>
        <v>21863.416999999998</v>
      </c>
      <c r="Z18" s="180">
        <f>SUM('Custos (B1)'!AC26:AC31)</f>
        <v>56318.05999999999</v>
      </c>
      <c r="AA18" s="180">
        <f>SUM('Custos (B1)'!AD26:AD31)</f>
        <v>67760.645999999993</v>
      </c>
      <c r="AB18" s="180">
        <f>SUM('Custos (B1)'!AE26:AE31)</f>
        <v>21863.416999999998</v>
      </c>
      <c r="AC18" s="180">
        <f>SUM('Custos (B1)'!AF26:AF31)</f>
        <v>57128.308999999987</v>
      </c>
      <c r="AD18" s="180">
        <f>SUM('Custos (B1)'!AG26:AG31)</f>
        <v>21863.416999999998</v>
      </c>
      <c r="AE18" s="180">
        <f>SUM('Custos (B1)'!AH26:AH31)</f>
        <v>21863.416999999998</v>
      </c>
      <c r="AF18" s="181">
        <f>SUM('Custos (B1)'!AI26:AI31)</f>
        <v>22614.205999999998</v>
      </c>
      <c r="AG18" s="22"/>
    </row>
    <row r="19" spans="1:33" x14ac:dyDescent="0.25">
      <c r="A19" s="112"/>
      <c r="B19" s="120" t="s">
        <v>815</v>
      </c>
      <c r="C19" s="177">
        <f t="shared" ref="C19:AF19" si="2">SUM(C20:C21)</f>
        <v>2989.7075920000007</v>
      </c>
      <c r="D19" s="177">
        <f t="shared" si="2"/>
        <v>7072.4606720000002</v>
      </c>
      <c r="E19" s="177">
        <f t="shared" si="2"/>
        <v>1954.7750839999999</v>
      </c>
      <c r="F19" s="177">
        <f t="shared" si="2"/>
        <v>2989.7075920000007</v>
      </c>
      <c r="G19" s="177">
        <f t="shared" si="2"/>
        <v>7072.4606720000002</v>
      </c>
      <c r="H19" s="177">
        <f t="shared" si="2"/>
        <v>1954.7750839999999</v>
      </c>
      <c r="I19" s="177">
        <f t="shared" si="2"/>
        <v>2989.7075920000007</v>
      </c>
      <c r="J19" s="177">
        <f t="shared" si="2"/>
        <v>1954.7750839999999</v>
      </c>
      <c r="K19" s="177">
        <f t="shared" si="2"/>
        <v>2989.7075920000007</v>
      </c>
      <c r="L19" s="177">
        <f t="shared" si="2"/>
        <v>1954.7750839999999</v>
      </c>
      <c r="M19" s="177">
        <f t="shared" si="2"/>
        <v>1764.8050250000001</v>
      </c>
      <c r="N19" s="177">
        <f t="shared" si="2"/>
        <v>5160.3904840000005</v>
      </c>
      <c r="O19" s="177">
        <f t="shared" si="2"/>
        <v>1147.9467119999999</v>
      </c>
      <c r="P19" s="177">
        <f t="shared" si="2"/>
        <v>1764.8050250000001</v>
      </c>
      <c r="Q19" s="177">
        <f t="shared" si="2"/>
        <v>5160.3904840000005</v>
      </c>
      <c r="R19" s="177">
        <f t="shared" si="2"/>
        <v>1147.9467119999999</v>
      </c>
      <c r="S19" s="177">
        <f t="shared" si="2"/>
        <v>1764.8050250000001</v>
      </c>
      <c r="T19" s="177">
        <f t="shared" si="2"/>
        <v>1764.8050250000001</v>
      </c>
      <c r="U19" s="177">
        <f t="shared" si="2"/>
        <v>1764.8050250000001</v>
      </c>
      <c r="V19" s="177">
        <f t="shared" si="2"/>
        <v>1764.8050250000001</v>
      </c>
      <c r="W19" s="177">
        <f t="shared" si="2"/>
        <v>2361.1794839999998</v>
      </c>
      <c r="X19" s="177">
        <f t="shared" si="2"/>
        <v>5747.1094699999994</v>
      </c>
      <c r="Y19" s="177">
        <f t="shared" si="2"/>
        <v>1717.1605399999999</v>
      </c>
      <c r="Z19" s="177">
        <f t="shared" si="2"/>
        <v>2361.1794839999998</v>
      </c>
      <c r="AA19" s="177">
        <f t="shared" si="2"/>
        <v>5747.1094699999994</v>
      </c>
      <c r="AB19" s="177">
        <f t="shared" si="2"/>
        <v>1717.1605399999999</v>
      </c>
      <c r="AC19" s="177">
        <f t="shared" si="2"/>
        <v>2361.1794839999998</v>
      </c>
      <c r="AD19" s="177">
        <f t="shared" si="2"/>
        <v>2361.1794839999998</v>
      </c>
      <c r="AE19" s="177">
        <f t="shared" si="2"/>
        <v>2361.1794839999998</v>
      </c>
      <c r="AF19" s="178">
        <f t="shared" si="2"/>
        <v>2361.1794839999998</v>
      </c>
      <c r="AG19" s="22"/>
    </row>
    <row r="20" spans="1:33" x14ac:dyDescent="0.25">
      <c r="A20" s="112"/>
      <c r="B20" s="179" t="s">
        <v>816</v>
      </c>
      <c r="C20" s="180">
        <f>SUM('Custos (B1)'!F34:F36)</f>
        <v>2372.8210280000003</v>
      </c>
      <c r="D20" s="180">
        <f>SUM('Custos (B1)'!G34:G36)</f>
        <v>2401.4385419999999</v>
      </c>
      <c r="E20" s="180">
        <f>SUM('Custos (B1)'!H34:H36)</f>
        <v>1954.7750839999999</v>
      </c>
      <c r="F20" s="180">
        <f>SUM('Custos (B1)'!I34:I36)</f>
        <v>2372.8210280000003</v>
      </c>
      <c r="G20" s="180">
        <f>SUM('Custos (B1)'!J34:J36)</f>
        <v>2401.4385419999999</v>
      </c>
      <c r="H20" s="180">
        <f>SUM('Custos (B1)'!K34:K36)</f>
        <v>1954.7750839999999</v>
      </c>
      <c r="I20" s="180">
        <f>SUM('Custos (B1)'!L34:L36)</f>
        <v>2372.8210280000003</v>
      </c>
      <c r="J20" s="180">
        <f>SUM('Custos (B1)'!M34:M36)</f>
        <v>1954.7750839999999</v>
      </c>
      <c r="K20" s="180">
        <f>SUM('Custos (B1)'!N34:N36)</f>
        <v>2372.8210280000003</v>
      </c>
      <c r="L20" s="180">
        <f>SUM('Custos (B1)'!O34:O36)</f>
        <v>1954.7750839999999</v>
      </c>
      <c r="M20" s="180">
        <f>SUM('Custos (B1)'!P34:P36)</f>
        <v>1148.7519440000001</v>
      </c>
      <c r="N20" s="180">
        <f>SUM('Custos (B1)'!Q34:Q36)</f>
        <v>1151.5101800000002</v>
      </c>
      <c r="O20" s="180">
        <f>SUM('Custos (B1)'!R34:R36)</f>
        <v>1147.9467119999999</v>
      </c>
      <c r="P20" s="180">
        <f>SUM('Custos (B1)'!S34:S36)</f>
        <v>1148.7519440000001</v>
      </c>
      <c r="Q20" s="180">
        <f>SUM('Custos (B1)'!T34:T36)</f>
        <v>1151.5101800000002</v>
      </c>
      <c r="R20" s="180">
        <f>SUM('Custos (B1)'!U34:U36)</f>
        <v>1147.9467119999999</v>
      </c>
      <c r="S20" s="180">
        <f>SUM('Custos (B1)'!V34:V36)</f>
        <v>1148.7519440000001</v>
      </c>
      <c r="T20" s="180">
        <f>SUM('Custos (B1)'!W34:W36)</f>
        <v>1148.7519440000001</v>
      </c>
      <c r="U20" s="180">
        <f>SUM('Custos (B1)'!X34:X36)</f>
        <v>1148.7519440000001</v>
      </c>
      <c r="V20" s="180">
        <f>SUM('Custos (B1)'!Y34:Y36)</f>
        <v>1148.7519440000001</v>
      </c>
      <c r="W20" s="180">
        <f>SUM('Custos (B1)'!Z34:Z36)</f>
        <v>1717.1605399999999</v>
      </c>
      <c r="X20" s="180">
        <f>SUM('Custos (B1)'!AA34:AA36)</f>
        <v>1717.1605399999999</v>
      </c>
      <c r="Y20" s="180">
        <f>SUM('Custos (B1)'!AB34:AB36)</f>
        <v>1717.1605399999999</v>
      </c>
      <c r="Z20" s="180">
        <f>SUM('Custos (B1)'!AC34:AC36)</f>
        <v>1717.1605399999999</v>
      </c>
      <c r="AA20" s="180">
        <f>SUM('Custos (B1)'!AD34:AD36)</f>
        <v>1717.1605399999999</v>
      </c>
      <c r="AB20" s="180">
        <f>SUM('Custos (B1)'!AE34:AE36)</f>
        <v>1717.1605399999999</v>
      </c>
      <c r="AC20" s="180">
        <f>SUM('Custos (B1)'!AF34:AF36)</f>
        <v>1717.1605399999999</v>
      </c>
      <c r="AD20" s="180">
        <f>SUM('Custos (B1)'!AG34:AG36)</f>
        <v>1717.1605399999999</v>
      </c>
      <c r="AE20" s="180">
        <f>SUM('Custos (B1)'!AH34:AH36)</f>
        <v>1717.1605399999999</v>
      </c>
      <c r="AF20" s="181">
        <f>SUM('Custos (B1)'!AI34:AI36)</f>
        <v>1717.1605399999999</v>
      </c>
      <c r="AG20" s="22"/>
    </row>
    <row r="21" spans="1:33" x14ac:dyDescent="0.25">
      <c r="A21" s="112"/>
      <c r="B21" s="179" t="s">
        <v>817</v>
      </c>
      <c r="C21" s="180">
        <f>SUM('Custos (B1)'!F38:F40)</f>
        <v>616.88656400000013</v>
      </c>
      <c r="D21" s="180">
        <f>SUM('Custos (B1)'!G38:G40)</f>
        <v>4671.0221300000003</v>
      </c>
      <c r="E21" s="180">
        <f>SUM('Custos (B1)'!H38:H40)</f>
        <v>0</v>
      </c>
      <c r="F21" s="180">
        <f>SUM('Custos (B1)'!I38:I40)</f>
        <v>616.88656400000013</v>
      </c>
      <c r="G21" s="180">
        <f>SUM('Custos (B1)'!J38:J40)</f>
        <v>4671.0221300000003</v>
      </c>
      <c r="H21" s="180">
        <f>SUM('Custos (B1)'!K38:K40)</f>
        <v>0</v>
      </c>
      <c r="I21" s="180">
        <f>SUM('Custos (B1)'!L38:L40)</f>
        <v>616.88656400000013</v>
      </c>
      <c r="J21" s="180">
        <f>SUM('Custos (B1)'!M38:M40)</f>
        <v>0</v>
      </c>
      <c r="K21" s="180">
        <f>SUM('Custos (B1)'!N38:N40)</f>
        <v>616.88656400000013</v>
      </c>
      <c r="L21" s="180">
        <f>SUM('Custos (B1)'!O38:O40)</f>
        <v>0</v>
      </c>
      <c r="M21" s="180">
        <f>SUM('Custos (B1)'!P38:P40)</f>
        <v>616.05308100000002</v>
      </c>
      <c r="N21" s="180">
        <f>SUM('Custos (B1)'!Q38:Q40)</f>
        <v>4008.8803040000003</v>
      </c>
      <c r="O21" s="180">
        <f>SUM('Custos (B1)'!R38:R40)</f>
        <v>0</v>
      </c>
      <c r="P21" s="180">
        <f>SUM('Custos (B1)'!S38:S40)</f>
        <v>616.05308100000002</v>
      </c>
      <c r="Q21" s="180">
        <f>SUM('Custos (B1)'!T38:T40)</f>
        <v>4008.8803040000003</v>
      </c>
      <c r="R21" s="180">
        <f>SUM('Custos (B1)'!U38:U40)</f>
        <v>0</v>
      </c>
      <c r="S21" s="180">
        <f>SUM('Custos (B1)'!V38:V40)</f>
        <v>616.05308100000002</v>
      </c>
      <c r="T21" s="180">
        <f>SUM('Custos (B1)'!W38:W40)</f>
        <v>616.05308100000002</v>
      </c>
      <c r="U21" s="180">
        <f>SUM('Custos (B1)'!X38:X40)</f>
        <v>616.05308100000002</v>
      </c>
      <c r="V21" s="180">
        <f>SUM('Custos (B1)'!Y38:Y40)</f>
        <v>616.05308100000002</v>
      </c>
      <c r="W21" s="180">
        <f>SUM('Custos (B1)'!Z38:Z40)</f>
        <v>644.01894399999992</v>
      </c>
      <c r="X21" s="180">
        <f>SUM('Custos (B1)'!AA38:AA40)</f>
        <v>4029.9489299999996</v>
      </c>
      <c r="Y21" s="180">
        <f>SUM('Custos (B1)'!AB38:AB40)</f>
        <v>0</v>
      </c>
      <c r="Z21" s="180">
        <f>SUM('Custos (B1)'!AC38:AC40)</f>
        <v>644.01894399999992</v>
      </c>
      <c r="AA21" s="180">
        <f>SUM('Custos (B1)'!AD38:AD40)</f>
        <v>4029.9489299999996</v>
      </c>
      <c r="AB21" s="180">
        <f>SUM('Custos (B1)'!AE38:AE40)</f>
        <v>0</v>
      </c>
      <c r="AC21" s="180">
        <f>SUM('Custos (B1)'!AF38:AF40)</f>
        <v>644.01894399999992</v>
      </c>
      <c r="AD21" s="180">
        <f>SUM('Custos (B1)'!AG38:AG40)</f>
        <v>644.01894399999992</v>
      </c>
      <c r="AE21" s="180">
        <f>SUM('Custos (B1)'!AH38:AH40)</f>
        <v>644.01894399999992</v>
      </c>
      <c r="AF21" s="181">
        <f>SUM('Custos (B1)'!AI38:AI40)</f>
        <v>644.01894399999992</v>
      </c>
      <c r="AG21" s="22"/>
    </row>
    <row r="22" spans="1:33" x14ac:dyDescent="0.25">
      <c r="A22" s="112"/>
      <c r="B22" s="120" t="s">
        <v>818</v>
      </c>
      <c r="C22" s="177">
        <f t="shared" ref="C22:AF22" si="3">SUM(C23:C24)</f>
        <v>24266.567900000002</v>
      </c>
      <c r="D22" s="177">
        <f t="shared" si="3"/>
        <v>24818.755770000003</v>
      </c>
      <c r="E22" s="177">
        <f t="shared" si="3"/>
        <v>18033.261136000001</v>
      </c>
      <c r="F22" s="177">
        <f t="shared" si="3"/>
        <v>24337.58109</v>
      </c>
      <c r="G22" s="177">
        <f t="shared" si="3"/>
        <v>24868.766670000005</v>
      </c>
      <c r="H22" s="177">
        <f t="shared" si="3"/>
        <v>18250.794937999999</v>
      </c>
      <c r="I22" s="177">
        <f t="shared" si="3"/>
        <v>24266.567900000002</v>
      </c>
      <c r="J22" s="177">
        <f t="shared" si="3"/>
        <v>18177.536336000001</v>
      </c>
      <c r="K22" s="177">
        <f t="shared" si="3"/>
        <v>24337.58109</v>
      </c>
      <c r="L22" s="177">
        <f t="shared" si="3"/>
        <v>18395.070138000003</v>
      </c>
      <c r="M22" s="177">
        <f t="shared" si="3"/>
        <v>23538.988274000003</v>
      </c>
      <c r="N22" s="177">
        <f t="shared" si="3"/>
        <v>22124.401266000001</v>
      </c>
      <c r="O22" s="177">
        <f t="shared" si="3"/>
        <v>17820.552770000002</v>
      </c>
      <c r="P22" s="177">
        <f t="shared" si="3"/>
        <v>23538.988274000003</v>
      </c>
      <c r="Q22" s="177">
        <f t="shared" si="3"/>
        <v>22337.052532000002</v>
      </c>
      <c r="R22" s="177">
        <f t="shared" si="3"/>
        <v>17820.552770000002</v>
      </c>
      <c r="S22" s="177">
        <f t="shared" si="3"/>
        <v>23538.988274000003</v>
      </c>
      <c r="T22" s="177">
        <f t="shared" si="3"/>
        <v>23613.497110000004</v>
      </c>
      <c r="U22" s="177">
        <f t="shared" si="3"/>
        <v>23538.988274000003</v>
      </c>
      <c r="V22" s="177">
        <f t="shared" si="3"/>
        <v>23613.497110000004</v>
      </c>
      <c r="W22" s="177">
        <f t="shared" si="3"/>
        <v>21765.889860000003</v>
      </c>
      <c r="X22" s="177">
        <f t="shared" si="3"/>
        <v>21724.400412000003</v>
      </c>
      <c r="Y22" s="177">
        <f t="shared" si="3"/>
        <v>16908.069892</v>
      </c>
      <c r="Z22" s="177">
        <f t="shared" si="3"/>
        <v>21838.462950000001</v>
      </c>
      <c r="AA22" s="177">
        <f t="shared" si="3"/>
        <v>21940.813212000001</v>
      </c>
      <c r="AB22" s="177">
        <f t="shared" si="3"/>
        <v>16980.906790000001</v>
      </c>
      <c r="AC22" s="177">
        <f t="shared" si="3"/>
        <v>21765.889860000003</v>
      </c>
      <c r="AD22" s="177">
        <f t="shared" si="3"/>
        <v>21910.165059999999</v>
      </c>
      <c r="AE22" s="177">
        <f t="shared" si="3"/>
        <v>21838.462950000001</v>
      </c>
      <c r="AF22" s="178">
        <f t="shared" si="3"/>
        <v>21982.738149999997</v>
      </c>
      <c r="AG22" s="22"/>
    </row>
    <row r="23" spans="1:33" x14ac:dyDescent="0.25">
      <c r="A23" s="112"/>
      <c r="B23" s="179" t="s">
        <v>819</v>
      </c>
      <c r="C23" s="180">
        <f>SUM('Custos (B1)'!F43:F45)</f>
        <v>12924.070400000002</v>
      </c>
      <c r="D23" s="180">
        <f>SUM('Custos (B1)'!G43:G45)</f>
        <v>13154.993810000002</v>
      </c>
      <c r="E23" s="180">
        <f>SUM('Custos (B1)'!H43:H45)</f>
        <v>15649.238550000002</v>
      </c>
      <c r="F23" s="180">
        <f>SUM('Custos (B1)'!I43:I45)</f>
        <v>12957.928510000002</v>
      </c>
      <c r="G23" s="180">
        <f>SUM('Custos (B1)'!J43:J45)</f>
        <v>13192.452270000002</v>
      </c>
      <c r="H23" s="180">
        <f>SUM('Custos (B1)'!K43:K45)</f>
        <v>15793.51375</v>
      </c>
      <c r="I23" s="180">
        <f>SUM('Custos (B1)'!L43:L45)</f>
        <v>12924.070400000002</v>
      </c>
      <c r="J23" s="180">
        <f>SUM('Custos (B1)'!M43:M45)</f>
        <v>15721.37615</v>
      </c>
      <c r="K23" s="180">
        <f>SUM('Custos (B1)'!N43:N45)</f>
        <v>12957.928510000002</v>
      </c>
      <c r="L23" s="180">
        <f>SUM('Custos (B1)'!O43:O45)</f>
        <v>15865.651350000002</v>
      </c>
      <c r="M23" s="180">
        <f>SUM('Custos (B1)'!P43:P45)</f>
        <v>13563.063599999999</v>
      </c>
      <c r="N23" s="180">
        <f>SUM('Custos (B1)'!Q43:Q45)</f>
        <v>12586.733880000002</v>
      </c>
      <c r="O23" s="180">
        <f>SUM('Custos (B1)'!R43:R45)</f>
        <v>15246.957880000002</v>
      </c>
      <c r="P23" s="180">
        <f>SUM('Custos (B1)'!S43:S45)</f>
        <v>13563.063599999999</v>
      </c>
      <c r="Q23" s="180">
        <f>SUM('Custos (B1)'!T43:T45)</f>
        <v>12693.014640000001</v>
      </c>
      <c r="R23" s="180">
        <f>SUM('Custos (B1)'!U43:U45)</f>
        <v>15246.957880000002</v>
      </c>
      <c r="S23" s="180">
        <f>SUM('Custos (B1)'!V43:V45)</f>
        <v>13563.063599999999</v>
      </c>
      <c r="T23" s="180">
        <f>SUM('Custos (B1)'!W43:W45)</f>
        <v>13600.458860000001</v>
      </c>
      <c r="U23" s="180">
        <f>SUM('Custos (B1)'!X43:X45)</f>
        <v>13563.063599999999</v>
      </c>
      <c r="V23" s="180">
        <f>SUM('Custos (B1)'!Y43:Y45)</f>
        <v>13600.458860000001</v>
      </c>
      <c r="W23" s="180">
        <f>SUM('Custos (B1)'!Z43:Z45)</f>
        <v>11885.599740000001</v>
      </c>
      <c r="X23" s="180">
        <f>SUM('Custos (B1)'!AA43:AA45)</f>
        <v>12203.574550000001</v>
      </c>
      <c r="Y23" s="180">
        <f>SUM('Custos (B1)'!AB43:AB45)</f>
        <v>14542.19326</v>
      </c>
      <c r="Z23" s="180">
        <f>SUM('Custos (B1)'!AC43:AC45)</f>
        <v>11923.530980000001</v>
      </c>
      <c r="AA23" s="180">
        <f>SUM('Custos (B1)'!AD43:AD45)</f>
        <v>12311.78095</v>
      </c>
      <c r="AB23" s="180">
        <f>SUM('Custos (B1)'!AE43:AE45)</f>
        <v>14615.93563</v>
      </c>
      <c r="AC23" s="180">
        <f>SUM('Custos (B1)'!AF43:AF45)</f>
        <v>11885.599740000001</v>
      </c>
      <c r="AD23" s="180">
        <f>SUM('Custos (B1)'!AG43:AG45)</f>
        <v>11957.73734</v>
      </c>
      <c r="AE23" s="180">
        <f>SUM('Custos (B1)'!AH43:AH45)</f>
        <v>11923.530980000001</v>
      </c>
      <c r="AF23" s="181">
        <f>SUM('Custos (B1)'!AI43:AI45)</f>
        <v>12031.737379999999</v>
      </c>
      <c r="AG23" s="22"/>
    </row>
    <row r="24" spans="1:33" x14ac:dyDescent="0.25">
      <c r="A24" s="112"/>
      <c r="B24" s="179" t="s">
        <v>820</v>
      </c>
      <c r="C24" s="180">
        <f>SUM('Custos (B1)'!F47:F49)</f>
        <v>11342.497500000001</v>
      </c>
      <c r="D24" s="180">
        <f>SUM('Custos (B1)'!G47:G49)</f>
        <v>11663.761960000002</v>
      </c>
      <c r="E24" s="180">
        <f>SUM('Custos (B1)'!H47:H49)</f>
        <v>2384.0225860000005</v>
      </c>
      <c r="F24" s="180">
        <f>SUM('Custos (B1)'!I47:I49)</f>
        <v>11379.65258</v>
      </c>
      <c r="G24" s="180">
        <f>SUM('Custos (B1)'!J47:J49)</f>
        <v>11676.314400000001</v>
      </c>
      <c r="H24" s="180">
        <f>SUM('Custos (B1)'!K47:K49)</f>
        <v>2457.2811879999999</v>
      </c>
      <c r="I24" s="180">
        <f>SUM('Custos (B1)'!L47:L49)</f>
        <v>11342.497500000001</v>
      </c>
      <c r="J24" s="180">
        <f>SUM('Custos (B1)'!M47:M49)</f>
        <v>2456.1601860000001</v>
      </c>
      <c r="K24" s="180">
        <f>SUM('Custos (B1)'!N47:N49)</f>
        <v>11379.65258</v>
      </c>
      <c r="L24" s="180">
        <f>SUM('Custos (B1)'!O47:O49)</f>
        <v>2529.4187880000004</v>
      </c>
      <c r="M24" s="180">
        <f>SUM('Custos (B1)'!P47:P49)</f>
        <v>9975.9246740000035</v>
      </c>
      <c r="N24" s="180">
        <f>SUM('Custos (B1)'!Q47:Q49)</f>
        <v>9537.667386000001</v>
      </c>
      <c r="O24" s="180">
        <f>SUM('Custos (B1)'!R47:R49)</f>
        <v>2573.5948900000003</v>
      </c>
      <c r="P24" s="180">
        <f>SUM('Custos (B1)'!S47:S49)</f>
        <v>9975.9246740000035</v>
      </c>
      <c r="Q24" s="180">
        <f>SUM('Custos (B1)'!T47:T49)</f>
        <v>9644.0378920000003</v>
      </c>
      <c r="R24" s="180">
        <f>SUM('Custos (B1)'!U47:U49)</f>
        <v>2573.5948900000003</v>
      </c>
      <c r="S24" s="180">
        <f>SUM('Custos (B1)'!V47:V49)</f>
        <v>9975.9246740000035</v>
      </c>
      <c r="T24" s="180">
        <f>SUM('Custos (B1)'!W47:W49)</f>
        <v>10013.038250000001</v>
      </c>
      <c r="U24" s="180">
        <f>SUM('Custos (B1)'!X47:X49)</f>
        <v>9975.9246740000035</v>
      </c>
      <c r="V24" s="180">
        <f>SUM('Custos (B1)'!Y47:Y49)</f>
        <v>10013.038250000001</v>
      </c>
      <c r="W24" s="180">
        <f>SUM('Custos (B1)'!Z47:Z49)</f>
        <v>9880.2901200000015</v>
      </c>
      <c r="X24" s="180">
        <f>SUM('Custos (B1)'!AA47:AA49)</f>
        <v>9520.8258620000015</v>
      </c>
      <c r="Y24" s="180">
        <f>SUM('Custos (B1)'!AB47:AB49)</f>
        <v>2365.8766320000004</v>
      </c>
      <c r="Z24" s="180">
        <f>SUM('Custos (B1)'!AC47:AC49)</f>
        <v>9914.9319700000015</v>
      </c>
      <c r="AA24" s="180">
        <f>SUM('Custos (B1)'!AD47:AD49)</f>
        <v>9629.0322620000024</v>
      </c>
      <c r="AB24" s="180">
        <f>SUM('Custos (B1)'!AE47:AE49)</f>
        <v>2364.9711600000001</v>
      </c>
      <c r="AC24" s="180">
        <f>SUM('Custos (B1)'!AF47:AF49)</f>
        <v>9880.2901200000015</v>
      </c>
      <c r="AD24" s="180">
        <f>SUM('Custos (B1)'!AG47:AG49)</f>
        <v>9952.4277200000015</v>
      </c>
      <c r="AE24" s="180">
        <f>SUM('Custos (B1)'!AH47:AH49)</f>
        <v>9914.9319700000015</v>
      </c>
      <c r="AF24" s="181">
        <f>SUM('Custos (B1)'!AI47:AI49)</f>
        <v>9951.0007700000006</v>
      </c>
      <c r="AG24" s="22"/>
    </row>
    <row r="25" spans="1:33" x14ac:dyDescent="0.25">
      <c r="A25" s="112"/>
      <c r="B25" s="120" t="s">
        <v>772</v>
      </c>
      <c r="C25" s="177">
        <f>SUM('Custos (B1)'!F51:F73)*1.1</f>
        <v>181903.57807600001</v>
      </c>
      <c r="D25" s="177">
        <f>SUM('Custos (B1)'!G51:G73)*1.1</f>
        <v>181903.57807600001</v>
      </c>
      <c r="E25" s="177">
        <f>SUM('Custos (B1)'!H51:H73)*1.1</f>
        <v>181903.57807600001</v>
      </c>
      <c r="F25" s="177">
        <f>SUM('Custos (B1)'!I51:I73)*1.1</f>
        <v>181903.57807600001</v>
      </c>
      <c r="G25" s="177">
        <f>SUM('Custos (B1)'!J51:J73)*1.1</f>
        <v>181903.57807600001</v>
      </c>
      <c r="H25" s="177">
        <f>SUM('Custos (B1)'!K51:K73)*1.1</f>
        <v>181903.57807600001</v>
      </c>
      <c r="I25" s="177">
        <f>SUM('Custos (B1)'!L51:L73)*1.1</f>
        <v>181903.57807600001</v>
      </c>
      <c r="J25" s="177">
        <f>SUM('Custos (B1)'!M51:M73)*1.1</f>
        <v>181903.57807600001</v>
      </c>
      <c r="K25" s="177">
        <f>SUM('Custos (B1)'!N51:N73)*1.1</f>
        <v>181903.57807600001</v>
      </c>
      <c r="L25" s="177">
        <f>SUM('Custos (B1)'!O51:O73)*1.1</f>
        <v>181903.57807600001</v>
      </c>
      <c r="M25" s="177">
        <f>SUM('Custos (B1)'!P51:P73)*1.1</f>
        <v>182211.05086800005</v>
      </c>
      <c r="N25" s="177">
        <f>SUM('Custos (B1)'!Q51:Q73)*1.1</f>
        <v>182211.05086800005</v>
      </c>
      <c r="O25" s="177">
        <f>SUM('Custos (B1)'!R51:R73)*1.1</f>
        <v>182211.05086800005</v>
      </c>
      <c r="P25" s="177">
        <f>SUM('Custos (B1)'!S51:S73)*1.1</f>
        <v>182211.05086800005</v>
      </c>
      <c r="Q25" s="177">
        <f>SUM('Custos (B1)'!T51:T73)*1.1</f>
        <v>182211.05086800005</v>
      </c>
      <c r="R25" s="177">
        <f>SUM('Custos (B1)'!U51:U73)*1.1</f>
        <v>182211.05086800005</v>
      </c>
      <c r="S25" s="177">
        <f>SUM('Custos (B1)'!V51:V73)*1.1</f>
        <v>182211.05086800005</v>
      </c>
      <c r="T25" s="177">
        <f>SUM('Custos (B1)'!W51:W73)*1.1</f>
        <v>182211.05086800005</v>
      </c>
      <c r="U25" s="177">
        <f>SUM('Custos (B1)'!X51:X73)*1.1</f>
        <v>182211.05086800005</v>
      </c>
      <c r="V25" s="177">
        <f>SUM('Custos (B1)'!Y51:Y73)*1.1</f>
        <v>182211.05086800005</v>
      </c>
      <c r="W25" s="177">
        <f>SUM('Custos (B1)'!Z51:Z73)*1.1</f>
        <v>181641.62654000003</v>
      </c>
      <c r="X25" s="177">
        <f>SUM('Custos (B1)'!AA51:AA73)*1.1</f>
        <v>181641.62654000003</v>
      </c>
      <c r="Y25" s="177">
        <f>SUM('Custos (B1)'!AB51:AB73)*1.1</f>
        <v>181641.62654000003</v>
      </c>
      <c r="Z25" s="177">
        <f>SUM('Custos (B1)'!AC51:AC73)*1.1</f>
        <v>181641.62654000003</v>
      </c>
      <c r="AA25" s="177">
        <f>SUM('Custos (B1)'!AD51:AD73)*1.1</f>
        <v>181641.62654000003</v>
      </c>
      <c r="AB25" s="177">
        <f>SUM('Custos (B1)'!AE51:AE73)*1.1</f>
        <v>181641.62654000003</v>
      </c>
      <c r="AC25" s="177">
        <f>SUM('Custos (B1)'!AF51:AF73)*1.1</f>
        <v>181641.62654000003</v>
      </c>
      <c r="AD25" s="177">
        <f>SUM('Custos (B1)'!AG51:AG73)*1.1</f>
        <v>181641.62654000003</v>
      </c>
      <c r="AE25" s="177">
        <f>SUM('Custos (B1)'!AH51:AH73)*1.1</f>
        <v>181641.62654000003</v>
      </c>
      <c r="AF25" s="178">
        <f>SUM('Custos (B1)'!AI51:AI73)*1.1</f>
        <v>181641.62654000003</v>
      </c>
      <c r="AG25" s="22"/>
    </row>
    <row r="26" spans="1:33" x14ac:dyDescent="0.25">
      <c r="A26" s="112"/>
      <c r="B26" s="120" t="s">
        <v>766</v>
      </c>
      <c r="C26" s="177">
        <f>SUM('Custos (B1)'!F75:F82)</f>
        <v>5742.8179529999998</v>
      </c>
      <c r="D26" s="177">
        <f>SUM('Custos (B1)'!G75:G82)</f>
        <v>5742.8179529999998</v>
      </c>
      <c r="E26" s="177">
        <f>SUM('Custos (B1)'!H75:H82)</f>
        <v>5742.8179529999998</v>
      </c>
      <c r="F26" s="177">
        <f>SUM('Custos (B1)'!I75:I82)</f>
        <v>2205.6635919999999</v>
      </c>
      <c r="G26" s="177">
        <f>SUM('Custos (B1)'!J75:J82)</f>
        <v>2205.6635919999999</v>
      </c>
      <c r="H26" s="177">
        <f>SUM('Custos (B1)'!K75:K82)</f>
        <v>2205.6635919999999</v>
      </c>
      <c r="I26" s="177">
        <f>SUM('Custos (B1)'!L75:L82)</f>
        <v>5742.8179529999998</v>
      </c>
      <c r="J26" s="177">
        <f>SUM('Custos (B1)'!M75:M82)</f>
        <v>5742.8179529999998</v>
      </c>
      <c r="K26" s="177">
        <f>SUM('Custos (B1)'!N75:N82)</f>
        <v>2205.6635919999999</v>
      </c>
      <c r="L26" s="177">
        <f>SUM('Custos (B1)'!O75:O82)</f>
        <v>2205.6635919999999</v>
      </c>
      <c r="M26" s="177">
        <f>SUM('Custos (B1)'!P75:P82)</f>
        <v>7313.9725410000001</v>
      </c>
      <c r="N26" s="177">
        <f>SUM('Custos (B1)'!Q75:Q82)</f>
        <v>7313.9725410000001</v>
      </c>
      <c r="O26" s="177">
        <f>SUM('Custos (B1)'!R75:R82)</f>
        <v>7313.9725410000001</v>
      </c>
      <c r="P26" s="177">
        <f>SUM('Custos (B1)'!S75:S82)</f>
        <v>2047.9420420000001</v>
      </c>
      <c r="Q26" s="177">
        <f>SUM('Custos (B1)'!T75:T82)</f>
        <v>2047.9420420000001</v>
      </c>
      <c r="R26" s="177">
        <f>SUM('Custos (B1)'!U75:U82)</f>
        <v>2047.9420420000001</v>
      </c>
      <c r="S26" s="177">
        <f>SUM('Custos (B1)'!V75:V82)</f>
        <v>7313.9725410000001</v>
      </c>
      <c r="T26" s="177">
        <f>SUM('Custos (B1)'!W75:W82)</f>
        <v>7313.9725410000001</v>
      </c>
      <c r="U26" s="177">
        <f>SUM('Custos (B1)'!X75:X82)</f>
        <v>2047.9420420000001</v>
      </c>
      <c r="V26" s="177">
        <f>SUM('Custos (B1)'!Y75:Y82)</f>
        <v>2047.9420420000001</v>
      </c>
      <c r="W26" s="177">
        <f>SUM('Custos (B1)'!Z75:Z82)</f>
        <v>0</v>
      </c>
      <c r="X26" s="177">
        <f>SUM('Custos (B1)'!AA75:AA82)</f>
        <v>0</v>
      </c>
      <c r="Y26" s="177">
        <f>SUM('Custos (B1)'!AB75:AB82)</f>
        <v>0</v>
      </c>
      <c r="Z26" s="177">
        <f>SUM('Custos (B1)'!AC75:AC82)</f>
        <v>0</v>
      </c>
      <c r="AA26" s="177">
        <f>SUM('Custos (B1)'!AD75:AD82)</f>
        <v>0</v>
      </c>
      <c r="AB26" s="177">
        <f>SUM('Custos (B1)'!AE75:AE82)</f>
        <v>0</v>
      </c>
      <c r="AC26" s="177">
        <f>SUM('Custos (B1)'!AF75:AF82)</f>
        <v>0</v>
      </c>
      <c r="AD26" s="177">
        <f>SUM('Custos (B1)'!AG75:AG82)</f>
        <v>0</v>
      </c>
      <c r="AE26" s="177">
        <f>SUM('Custos (B1)'!AH75:AH82)</f>
        <v>0</v>
      </c>
      <c r="AF26" s="178">
        <f>SUM('Custos (B1)'!AI75:AI82)</f>
        <v>0</v>
      </c>
      <c r="AG26" s="22"/>
    </row>
    <row r="27" spans="1:33" x14ac:dyDescent="0.25">
      <c r="A27" s="112"/>
      <c r="B27" s="120" t="s">
        <v>767</v>
      </c>
      <c r="C27" s="177">
        <f>SUM('Custos (B1)'!F84:F99)</f>
        <v>0</v>
      </c>
      <c r="D27" s="177">
        <f>SUM('Custos (B1)'!G84:G99)</f>
        <v>0</v>
      </c>
      <c r="E27" s="177">
        <f>SUM('Custos (B1)'!H84:H99)</f>
        <v>0</v>
      </c>
      <c r="F27" s="177">
        <f>SUM('Custos (B1)'!I84:I99)</f>
        <v>0</v>
      </c>
      <c r="G27" s="177">
        <f>SUM('Custos (B1)'!J84:J99)</f>
        <v>0</v>
      </c>
      <c r="H27" s="177">
        <f>SUM('Custos (B1)'!K84:K99)</f>
        <v>0</v>
      </c>
      <c r="I27" s="177">
        <f>SUM('Custos (B1)'!L84:L99)</f>
        <v>0</v>
      </c>
      <c r="J27" s="177">
        <f>SUM('Custos (B1)'!M84:M99)</f>
        <v>0</v>
      </c>
      <c r="K27" s="177">
        <f>SUM('Custos (B1)'!N84:N99)</f>
        <v>0</v>
      </c>
      <c r="L27" s="177">
        <f>SUM('Custos (B1)'!O84:O99)</f>
        <v>0</v>
      </c>
      <c r="M27" s="177">
        <f>SUM('Custos (B1)'!P84:P99)</f>
        <v>48704.168240999999</v>
      </c>
      <c r="N27" s="177">
        <f>SUM('Custos (B1)'!Q84:Q99)</f>
        <v>48704.168240999999</v>
      </c>
      <c r="O27" s="177">
        <f>SUM('Custos (B1)'!R84:R99)</f>
        <v>48704.168240999999</v>
      </c>
      <c r="P27" s="177">
        <f>SUM('Custos (B1)'!S84:S99)</f>
        <v>29739.929861999997</v>
      </c>
      <c r="Q27" s="177">
        <f>SUM('Custos (B1)'!T84:T99)</f>
        <v>29739.929861999997</v>
      </c>
      <c r="R27" s="177">
        <f>SUM('Custos (B1)'!U84:U99)</f>
        <v>29739.929861999997</v>
      </c>
      <c r="S27" s="177">
        <f>SUM('Custos (B1)'!V84:V99)</f>
        <v>48704.168240999999</v>
      </c>
      <c r="T27" s="177">
        <f>SUM('Custos (B1)'!W84:W99)</f>
        <v>48704.168240999999</v>
      </c>
      <c r="U27" s="177">
        <f>SUM('Custos (B1)'!X84:X99)</f>
        <v>29739.929861999997</v>
      </c>
      <c r="V27" s="177">
        <f>SUM('Custos (B1)'!Y84:Y99)</f>
        <v>29739.929861999997</v>
      </c>
      <c r="W27" s="177">
        <f>SUM('Custos (B1)'!Z84:Z99)</f>
        <v>0</v>
      </c>
      <c r="X27" s="177">
        <f>SUM('Custos (B1)'!AA84:AA99)</f>
        <v>0</v>
      </c>
      <c r="Y27" s="177">
        <f>SUM('Custos (B1)'!AB84:AB99)</f>
        <v>0</v>
      </c>
      <c r="Z27" s="177">
        <f>SUM('Custos (B1)'!AC84:AC99)</f>
        <v>0</v>
      </c>
      <c r="AA27" s="177">
        <f>SUM('Custos (B1)'!AD84:AD99)</f>
        <v>0</v>
      </c>
      <c r="AB27" s="177">
        <f>SUM('Custos (B1)'!AE84:AE99)</f>
        <v>0</v>
      </c>
      <c r="AC27" s="177">
        <f>SUM('Custos (B1)'!AF84:AF99)</f>
        <v>0</v>
      </c>
      <c r="AD27" s="177">
        <f>SUM('Custos (B1)'!AG84:AG99)</f>
        <v>0</v>
      </c>
      <c r="AE27" s="177">
        <f>SUM('Custos (B1)'!AH84:AH99)</f>
        <v>0</v>
      </c>
      <c r="AF27" s="178">
        <f>SUM('Custos (B1)'!AI84:AI99)</f>
        <v>0</v>
      </c>
      <c r="AG27" s="22"/>
    </row>
    <row r="28" spans="1:33" x14ac:dyDescent="0.25">
      <c r="A28" s="112"/>
      <c r="B28" s="120" t="s">
        <v>768</v>
      </c>
      <c r="C28" s="177">
        <f>SUM('Custos (B1)'!F101:F113)</f>
        <v>44729.342080999995</v>
      </c>
      <c r="D28" s="177">
        <f>SUM('Custos (B1)'!G101:G113)</f>
        <v>44729.342080999995</v>
      </c>
      <c r="E28" s="177">
        <f>SUM('Custos (B1)'!H101:H113)</f>
        <v>44729.342080999995</v>
      </c>
      <c r="F28" s="177">
        <f>SUM('Custos (B1)'!I101:I113)</f>
        <v>28794.822176999998</v>
      </c>
      <c r="G28" s="177">
        <f>SUM('Custos (B1)'!J101:J113)</f>
        <v>28794.822176999998</v>
      </c>
      <c r="H28" s="177">
        <f>SUM('Custos (B1)'!K101:K113)</f>
        <v>28794.822176999998</v>
      </c>
      <c r="I28" s="177">
        <f>SUM('Custos (B1)'!L101:L113)</f>
        <v>44729.342080999995</v>
      </c>
      <c r="J28" s="177">
        <f>SUM('Custos (B1)'!M101:M113)</f>
        <v>44729.342080999995</v>
      </c>
      <c r="K28" s="177">
        <f>SUM('Custos (B1)'!N101:N113)</f>
        <v>28794.822176999998</v>
      </c>
      <c r="L28" s="177">
        <f>SUM('Custos (B1)'!O101:O113)</f>
        <v>28794.822176999998</v>
      </c>
      <c r="M28" s="177">
        <f>SUM('Custos (B1)'!P101:P113)</f>
        <v>0</v>
      </c>
      <c r="N28" s="177">
        <f>SUM('Custos (B1)'!Q101:Q113)</f>
        <v>0</v>
      </c>
      <c r="O28" s="177">
        <f>SUM('Custos (B1)'!R101:R113)</f>
        <v>0</v>
      </c>
      <c r="P28" s="177">
        <f>SUM('Custos (B1)'!S101:S113)</f>
        <v>0</v>
      </c>
      <c r="Q28" s="177">
        <f>SUM('Custos (B1)'!T101:T113)</f>
        <v>0</v>
      </c>
      <c r="R28" s="177">
        <f>SUM('Custos (B1)'!U101:U113)</f>
        <v>0</v>
      </c>
      <c r="S28" s="177">
        <f>SUM('Custos (B1)'!V101:V113)</f>
        <v>0</v>
      </c>
      <c r="T28" s="177">
        <f>SUM('Custos (B1)'!W101:W113)</f>
        <v>0</v>
      </c>
      <c r="U28" s="177">
        <f>SUM('Custos (B1)'!X101:X113)</f>
        <v>0</v>
      </c>
      <c r="V28" s="177">
        <f>SUM('Custos (B1)'!Y101:Y113)</f>
        <v>0</v>
      </c>
      <c r="W28" s="177">
        <f>SUM('Custos (B1)'!Z101:Z113)</f>
        <v>0</v>
      </c>
      <c r="X28" s="177">
        <f>SUM('Custos (B1)'!AA101:AA113)</f>
        <v>0</v>
      </c>
      <c r="Y28" s="177">
        <f>SUM('Custos (B1)'!AB101:AB113)</f>
        <v>0</v>
      </c>
      <c r="Z28" s="177">
        <f>SUM('Custos (B1)'!AC101:AC113)</f>
        <v>0</v>
      </c>
      <c r="AA28" s="177">
        <f>SUM('Custos (B1)'!AD101:AD113)</f>
        <v>0</v>
      </c>
      <c r="AB28" s="177">
        <f>SUM('Custos (B1)'!AE101:AE113)</f>
        <v>0</v>
      </c>
      <c r="AC28" s="177">
        <f>SUM('Custos (B1)'!AF101:AF113)</f>
        <v>0</v>
      </c>
      <c r="AD28" s="177">
        <f>SUM('Custos (B1)'!AG101:AG113)</f>
        <v>0</v>
      </c>
      <c r="AE28" s="177">
        <f>SUM('Custos (B1)'!AH101:AH113)</f>
        <v>0</v>
      </c>
      <c r="AF28" s="178">
        <f>SUM('Custos (B1)'!AI101:AI113)</f>
        <v>0</v>
      </c>
      <c r="AG28" s="22"/>
    </row>
    <row r="29" spans="1:33" x14ac:dyDescent="0.25">
      <c r="A29" s="112"/>
      <c r="B29" s="120" t="s">
        <v>769</v>
      </c>
      <c r="C29" s="177">
        <f>SUM('Custos (B1)'!F115:F127)</f>
        <v>35530.656041999995</v>
      </c>
      <c r="D29" s="177">
        <f>SUM('Custos (B1)'!G115:G127)</f>
        <v>35530.656041999995</v>
      </c>
      <c r="E29" s="177">
        <f>SUM('Custos (B1)'!H115:H127)</f>
        <v>35530.656041999995</v>
      </c>
      <c r="F29" s="177">
        <f>SUM('Custos (B1)'!I115:I127)</f>
        <v>18147.532648999993</v>
      </c>
      <c r="G29" s="177">
        <f>SUM('Custos (B1)'!J115:J127)</f>
        <v>18147.532648999993</v>
      </c>
      <c r="H29" s="177">
        <f>SUM('Custos (B1)'!K115:K127)</f>
        <v>18147.532648999993</v>
      </c>
      <c r="I29" s="177">
        <f>SUM('Custos (B1)'!L115:L127)</f>
        <v>35530.656041999995</v>
      </c>
      <c r="J29" s="177">
        <f>SUM('Custos (B1)'!M115:M127)</f>
        <v>35530.656041999995</v>
      </c>
      <c r="K29" s="177">
        <f>SUM('Custos (B1)'!N115:N127)</f>
        <v>18147.532648999993</v>
      </c>
      <c r="L29" s="177">
        <f>SUM('Custos (B1)'!O115:O127)</f>
        <v>18147.532648999993</v>
      </c>
      <c r="M29" s="177">
        <f>SUM('Custos (B1)'!P115:P127)</f>
        <v>0</v>
      </c>
      <c r="N29" s="177">
        <f>SUM('Custos (B1)'!Q115:Q127)</f>
        <v>0</v>
      </c>
      <c r="O29" s="177">
        <f>SUM('Custos (B1)'!R115:R127)</f>
        <v>0</v>
      </c>
      <c r="P29" s="177">
        <f>SUM('Custos (B1)'!S115:S127)</f>
        <v>0</v>
      </c>
      <c r="Q29" s="177">
        <f>SUM('Custos (B1)'!T115:T127)</f>
        <v>0</v>
      </c>
      <c r="R29" s="177">
        <f>SUM('Custos (B1)'!U115:U127)</f>
        <v>0</v>
      </c>
      <c r="S29" s="177">
        <f>SUM('Custos (B1)'!V115:V127)</f>
        <v>0</v>
      </c>
      <c r="T29" s="177">
        <f>SUM('Custos (B1)'!W115:W127)</f>
        <v>0</v>
      </c>
      <c r="U29" s="177">
        <f>SUM('Custos (B1)'!X115:X127)</f>
        <v>0</v>
      </c>
      <c r="V29" s="177">
        <f>SUM('Custos (B1)'!Y115:Y127)</f>
        <v>0</v>
      </c>
      <c r="W29" s="177">
        <f>SUM('Custos (B1)'!Z115:Z127)</f>
        <v>41514.053501000002</v>
      </c>
      <c r="X29" s="177">
        <f>SUM('Custos (B1)'!AA115:AA127)</f>
        <v>41514.053501000002</v>
      </c>
      <c r="Y29" s="177">
        <f>SUM('Custos (B1)'!AB115:AB127)</f>
        <v>41514.053501000002</v>
      </c>
      <c r="Z29" s="177">
        <f>SUM('Custos (B1)'!AC115:AC127)</f>
        <v>21217.259786999999</v>
      </c>
      <c r="AA29" s="177">
        <f>SUM('Custos (B1)'!AD115:AD127)</f>
        <v>21217.259786999999</v>
      </c>
      <c r="AB29" s="177">
        <f>SUM('Custos (B1)'!AE115:AE127)</f>
        <v>21217.259786999999</v>
      </c>
      <c r="AC29" s="177">
        <f>SUM('Custos (B1)'!AF115:AF127)</f>
        <v>41514.053501000002</v>
      </c>
      <c r="AD29" s="177">
        <f>SUM('Custos (B1)'!AG115:AG127)</f>
        <v>41514.053501000002</v>
      </c>
      <c r="AE29" s="177">
        <f>SUM('Custos (B1)'!AH115:AH127)</f>
        <v>21217.259786999999</v>
      </c>
      <c r="AF29" s="178">
        <f>SUM('Custos (B1)'!AI115:AI127)</f>
        <v>21217.259786999999</v>
      </c>
      <c r="AG29" s="22"/>
    </row>
    <row r="30" spans="1:33" x14ac:dyDescent="0.25">
      <c r="A30" s="112"/>
      <c r="B30" s="120" t="s">
        <v>770</v>
      </c>
      <c r="C30" s="177">
        <f>SUM('Custos (B1)'!F129:F132)</f>
        <v>12000.38229</v>
      </c>
      <c r="D30" s="177">
        <f>SUM('Custos (B1)'!G129:G132)</f>
        <v>12000.38229</v>
      </c>
      <c r="E30" s="177">
        <f>SUM('Custos (B1)'!H129:H132)</f>
        <v>12000.38229</v>
      </c>
      <c r="F30" s="177">
        <f>SUM('Custos (B1)'!I129:I132)</f>
        <v>12827.84159</v>
      </c>
      <c r="G30" s="177">
        <f>SUM('Custos (B1)'!J129:J132)</f>
        <v>12827.84159</v>
      </c>
      <c r="H30" s="177">
        <f>SUM('Custos (B1)'!K129:K132)</f>
        <v>12827.84159</v>
      </c>
      <c r="I30" s="177">
        <f>SUM('Custos (B1)'!L129:L132)</f>
        <v>12000.38229</v>
      </c>
      <c r="J30" s="177">
        <f>SUM('Custos (B1)'!M129:M132)</f>
        <v>12000.38229</v>
      </c>
      <c r="K30" s="177">
        <f>SUM('Custos (B1)'!N129:N132)</f>
        <v>12827.84159</v>
      </c>
      <c r="L30" s="177">
        <f>SUM('Custos (B1)'!O129:O132)</f>
        <v>12827.84159</v>
      </c>
      <c r="M30" s="177">
        <f>SUM('Custos (B1)'!P129:P132)</f>
        <v>8726.7484999999997</v>
      </c>
      <c r="N30" s="177">
        <f>SUM('Custos (B1)'!Q129:Q132)</f>
        <v>8726.7484999999997</v>
      </c>
      <c r="O30" s="177">
        <f>SUM('Custos (B1)'!R129:R132)</f>
        <v>8726.7484999999997</v>
      </c>
      <c r="P30" s="177">
        <f>SUM('Custos (B1)'!S129:S132)</f>
        <v>9141.1317299999992</v>
      </c>
      <c r="Q30" s="177">
        <f>SUM('Custos (B1)'!T129:T132)</f>
        <v>9141.1317299999992</v>
      </c>
      <c r="R30" s="177">
        <f>SUM('Custos (B1)'!U129:U132)</f>
        <v>9141.1317299999992</v>
      </c>
      <c r="S30" s="177">
        <f>SUM('Custos (B1)'!V129:V132)</f>
        <v>8726.7484999999997</v>
      </c>
      <c r="T30" s="177">
        <f>SUM('Custos (B1)'!W129:W132)</f>
        <v>8726.7484999999997</v>
      </c>
      <c r="U30" s="177">
        <f>SUM('Custos (B1)'!X129:X132)</f>
        <v>9141.1317299999992</v>
      </c>
      <c r="V30" s="177">
        <f>SUM('Custos (B1)'!Y129:Y132)</f>
        <v>9141.1317299999992</v>
      </c>
      <c r="W30" s="177">
        <f>SUM('Custos (B1)'!Z129:Z132)</f>
        <v>8271.1319999999996</v>
      </c>
      <c r="X30" s="177">
        <f>SUM('Custos (B1)'!AA129:AA132)</f>
        <v>8271.1319999999996</v>
      </c>
      <c r="Y30" s="177">
        <f>SUM('Custos (B1)'!AB129:AB132)</f>
        <v>8271.1319999999996</v>
      </c>
      <c r="Z30" s="177">
        <f>SUM('Custos (B1)'!AC129:AC132)</f>
        <v>8893.9840000000004</v>
      </c>
      <c r="AA30" s="177">
        <f>SUM('Custos (B1)'!AD129:AD132)</f>
        <v>8893.9840000000004</v>
      </c>
      <c r="AB30" s="177">
        <f>SUM('Custos (B1)'!AE129:AE132)</f>
        <v>8893.9840000000004</v>
      </c>
      <c r="AC30" s="177">
        <f>SUM('Custos (B1)'!AF129:AF132)</f>
        <v>8271.1319999999996</v>
      </c>
      <c r="AD30" s="177">
        <f>SUM('Custos (B1)'!AG129:AG132)</f>
        <v>8271.1319999999996</v>
      </c>
      <c r="AE30" s="177">
        <f>SUM('Custos (B1)'!AH129:AH132)</f>
        <v>8893.9840000000004</v>
      </c>
      <c r="AF30" s="178">
        <f>SUM('Custos (B1)'!AI129:AI132)</f>
        <v>8893.9840000000004</v>
      </c>
      <c r="AG30" s="22"/>
    </row>
    <row r="31" spans="1:33" x14ac:dyDescent="0.25">
      <c r="A31" s="112"/>
      <c r="B31" s="120" t="s">
        <v>771</v>
      </c>
      <c r="C31" s="177">
        <f>SUM('Custos (B1)'!F134:F142)</f>
        <v>102601.768148</v>
      </c>
      <c r="D31" s="177">
        <f>SUM('Custos (B1)'!G134:G142)</f>
        <v>102601.768148</v>
      </c>
      <c r="E31" s="177">
        <f>SUM('Custos (B1)'!H134:H142)</f>
        <v>102601.768148</v>
      </c>
      <c r="F31" s="177">
        <f>SUM('Custos (B1)'!I134:I142)</f>
        <v>24804.119450000006</v>
      </c>
      <c r="G31" s="177">
        <f>SUM('Custos (B1)'!J134:J142)</f>
        <v>24804.119450000006</v>
      </c>
      <c r="H31" s="177">
        <f>SUM('Custos (B1)'!K134:K142)</f>
        <v>24804.119450000006</v>
      </c>
      <c r="I31" s="177">
        <f>SUM('Custos (B1)'!L134:L142)</f>
        <v>102601.768148</v>
      </c>
      <c r="J31" s="177">
        <f>SUM('Custos (B1)'!M134:M142)</f>
        <v>102601.768148</v>
      </c>
      <c r="K31" s="177">
        <f>SUM('Custos (B1)'!N134:N142)</f>
        <v>24804.119450000006</v>
      </c>
      <c r="L31" s="177">
        <f>SUM('Custos (B1)'!O134:O142)</f>
        <v>24804.119450000006</v>
      </c>
      <c r="M31" s="177">
        <f>SUM('Custos (B1)'!P134:P142)</f>
        <v>107408.282328</v>
      </c>
      <c r="N31" s="177">
        <f>SUM('Custos (B1)'!Q134:Q142)</f>
        <v>107408.282328</v>
      </c>
      <c r="O31" s="177">
        <f>SUM('Custos (B1)'!R134:R142)</f>
        <v>107408.282328</v>
      </c>
      <c r="P31" s="177">
        <f>SUM('Custos (B1)'!S134:S142)</f>
        <v>25720.630520000002</v>
      </c>
      <c r="Q31" s="177">
        <f>SUM('Custos (B1)'!T134:T142)</f>
        <v>25720.630520000002</v>
      </c>
      <c r="R31" s="177">
        <f>SUM('Custos (B1)'!U134:U142)</f>
        <v>25720.630520000002</v>
      </c>
      <c r="S31" s="177">
        <f>SUM('Custos (B1)'!V134:V142)</f>
        <v>107408.282328</v>
      </c>
      <c r="T31" s="177">
        <f>SUM('Custos (B1)'!W134:W142)</f>
        <v>107408.282328</v>
      </c>
      <c r="U31" s="177">
        <f>SUM('Custos (B1)'!X134:X142)</f>
        <v>25720.630520000002</v>
      </c>
      <c r="V31" s="177">
        <f>SUM('Custos (B1)'!Y134:Y142)</f>
        <v>25720.630520000002</v>
      </c>
      <c r="W31" s="177">
        <f>SUM('Custos (B1)'!Z134:Z142)</f>
        <v>98784.112138000011</v>
      </c>
      <c r="X31" s="177">
        <f>SUM('Custos (B1)'!AA134:AA142)</f>
        <v>98784.112138000011</v>
      </c>
      <c r="Y31" s="177">
        <f>SUM('Custos (B1)'!AB134:AB142)</f>
        <v>98784.112138000011</v>
      </c>
      <c r="Z31" s="177">
        <f>SUM('Custos (B1)'!AC134:AC142)</f>
        <v>23783.753360000002</v>
      </c>
      <c r="AA31" s="177">
        <f>SUM('Custos (B1)'!AD134:AD142)</f>
        <v>23783.753360000002</v>
      </c>
      <c r="AB31" s="177">
        <f>SUM('Custos (B1)'!AE134:AE142)</f>
        <v>23783.753360000002</v>
      </c>
      <c r="AC31" s="177">
        <f>SUM('Custos (B1)'!AF134:AF142)</f>
        <v>98784.112138000011</v>
      </c>
      <c r="AD31" s="177">
        <f>SUM('Custos (B1)'!AG134:AG142)</f>
        <v>98784.112138000011</v>
      </c>
      <c r="AE31" s="177">
        <f>SUM('Custos (B1)'!AH134:AH142)</f>
        <v>23783.753360000002</v>
      </c>
      <c r="AF31" s="178">
        <f>SUM('Custos (B1)'!AI134:AI142)</f>
        <v>23783.753360000002</v>
      </c>
      <c r="AG31" s="22"/>
    </row>
    <row r="32" spans="1:33" x14ac:dyDescent="0.25">
      <c r="A32" s="112"/>
      <c r="B32" s="120" t="s">
        <v>773</v>
      </c>
      <c r="C32" s="177">
        <f>SUM('Custos (B1)'!F144:F149)</f>
        <v>45788.878500000006</v>
      </c>
      <c r="D32" s="177">
        <f>SUM('Custos (B1)'!G144:G149)</f>
        <v>0</v>
      </c>
      <c r="E32" s="177">
        <f>SUM('Custos (B1)'!H144:H149)</f>
        <v>0</v>
      </c>
      <c r="F32" s="177">
        <f>SUM('Custos (B1)'!I144:I149)</f>
        <v>45788.878500000006</v>
      </c>
      <c r="G32" s="177">
        <f>SUM('Custos (B1)'!J144:J149)</f>
        <v>0</v>
      </c>
      <c r="H32" s="177">
        <f>SUM('Custos (B1)'!K144:K149)</f>
        <v>0</v>
      </c>
      <c r="I32" s="177">
        <f>SUM('Custos (B1)'!L144:L149)</f>
        <v>45788.878500000006</v>
      </c>
      <c r="J32" s="177">
        <f>SUM('Custos (B1)'!M144:M149)</f>
        <v>0</v>
      </c>
      <c r="K32" s="177">
        <f>SUM('Custos (B1)'!N144:N149)</f>
        <v>45788.878500000006</v>
      </c>
      <c r="L32" s="177">
        <f>SUM('Custos (B1)'!O144:O149)</f>
        <v>0</v>
      </c>
      <c r="M32" s="177">
        <f>SUM('Custos (B1)'!P144:P149)</f>
        <v>43635.072498000009</v>
      </c>
      <c r="N32" s="177">
        <f>SUM('Custos (B1)'!Q144:Q149)</f>
        <v>0</v>
      </c>
      <c r="O32" s="177">
        <f>SUM('Custos (B1)'!R144:R149)</f>
        <v>0</v>
      </c>
      <c r="P32" s="177">
        <f>SUM('Custos (B1)'!S144:S149)</f>
        <v>43635.072498000009</v>
      </c>
      <c r="Q32" s="177">
        <f>SUM('Custos (B1)'!T144:T149)</f>
        <v>0</v>
      </c>
      <c r="R32" s="177">
        <f>SUM('Custos (B1)'!U144:U149)</f>
        <v>0</v>
      </c>
      <c r="S32" s="177">
        <f>SUM('Custos (B1)'!V144:V149)</f>
        <v>43635.072498000009</v>
      </c>
      <c r="T32" s="177">
        <f>SUM('Custos (B1)'!W144:W149)</f>
        <v>0</v>
      </c>
      <c r="U32" s="177">
        <f>SUM('Custos (B1)'!X144:X149)</f>
        <v>43635.072498000009</v>
      </c>
      <c r="V32" s="177">
        <f>SUM('Custos (B1)'!Y144:Y149)</f>
        <v>0</v>
      </c>
      <c r="W32" s="177">
        <f>SUM('Custos (B1)'!Z144:Z149)</f>
        <v>40401.897328000006</v>
      </c>
      <c r="X32" s="177">
        <f>SUM('Custos (B1)'!AA144:AA149)</f>
        <v>0</v>
      </c>
      <c r="Y32" s="177">
        <f>SUM('Custos (B1)'!AB144:AB149)</f>
        <v>0</v>
      </c>
      <c r="Z32" s="177">
        <f>SUM('Custos (B1)'!AC144:AC149)</f>
        <v>40401.897328000006</v>
      </c>
      <c r="AA32" s="177">
        <f>SUM('Custos (B1)'!AD144:AD149)</f>
        <v>0</v>
      </c>
      <c r="AB32" s="177">
        <f>SUM('Custos (B1)'!AE144:AE149)</f>
        <v>0</v>
      </c>
      <c r="AC32" s="177">
        <f>SUM('Custos (B1)'!AF144:AF149)</f>
        <v>40401.897328000006</v>
      </c>
      <c r="AD32" s="177">
        <f>SUM('Custos (B1)'!AG144:AG149)</f>
        <v>0</v>
      </c>
      <c r="AE32" s="177">
        <f>SUM('Custos (B1)'!AH144:AH149)</f>
        <v>40401.897328000006</v>
      </c>
      <c r="AF32" s="178">
        <f>SUM('Custos (B1)'!AI144:AI149)</f>
        <v>0</v>
      </c>
      <c r="AG32" s="22"/>
    </row>
    <row r="33" spans="1:33" x14ac:dyDescent="0.25">
      <c r="A33" s="112"/>
      <c r="B33" s="120" t="s">
        <v>774</v>
      </c>
      <c r="C33" s="177">
        <f>SUM('Custos (B1)'!F151:F171)</f>
        <v>51215.079360000003</v>
      </c>
      <c r="D33" s="177">
        <f>SUM('Custos (B1)'!G151:G171)</f>
        <v>0</v>
      </c>
      <c r="E33" s="177">
        <f>SUM('Custos (B1)'!H151:H171)</f>
        <v>0</v>
      </c>
      <c r="F33" s="177">
        <f>SUM('Custos (B1)'!I151:I171)</f>
        <v>51215.079360000003</v>
      </c>
      <c r="G33" s="177">
        <f>SUM('Custos (B1)'!J151:J171)</f>
        <v>0</v>
      </c>
      <c r="H33" s="177">
        <f>SUM('Custos (B1)'!K151:K171)</f>
        <v>0</v>
      </c>
      <c r="I33" s="177">
        <f>SUM('Custos (B1)'!L151:L171)</f>
        <v>51215.079360000003</v>
      </c>
      <c r="J33" s="177">
        <f>SUM('Custos (B1)'!M151:M171)</f>
        <v>0</v>
      </c>
      <c r="K33" s="177">
        <f>SUM('Custos (B1)'!N151:N171)</f>
        <v>51215.079360000003</v>
      </c>
      <c r="L33" s="177">
        <f>SUM('Custos (B1)'!O151:O171)</f>
        <v>0</v>
      </c>
      <c r="M33" s="177">
        <f>SUM('Custos (B1)'!P151:P171)</f>
        <v>49959.572329999995</v>
      </c>
      <c r="N33" s="177">
        <f>SUM('Custos (B1)'!Q151:Q171)</f>
        <v>0</v>
      </c>
      <c r="O33" s="177">
        <f>SUM('Custos (B1)'!R151:R171)</f>
        <v>0</v>
      </c>
      <c r="P33" s="177">
        <f>SUM('Custos (B1)'!S151:S171)</f>
        <v>49959.572329999995</v>
      </c>
      <c r="Q33" s="177">
        <f>SUM('Custos (B1)'!T151:T171)</f>
        <v>0</v>
      </c>
      <c r="R33" s="177">
        <f>SUM('Custos (B1)'!U151:U171)</f>
        <v>0</v>
      </c>
      <c r="S33" s="177">
        <f>SUM('Custos (B1)'!V151:V171)</f>
        <v>49959.572329999995</v>
      </c>
      <c r="T33" s="177">
        <f>SUM('Custos (B1)'!W151:W171)</f>
        <v>0</v>
      </c>
      <c r="U33" s="177">
        <f>SUM('Custos (B1)'!X151:X171)</f>
        <v>49959.572329999995</v>
      </c>
      <c r="V33" s="177">
        <f>SUM('Custos (B1)'!Y151:Y171)</f>
        <v>0</v>
      </c>
      <c r="W33" s="177">
        <f>SUM('Custos (B1)'!Z151:Z171)</f>
        <v>48282.74431799999</v>
      </c>
      <c r="X33" s="177">
        <f>SUM('Custos (B1)'!AA151:AA171)</f>
        <v>0</v>
      </c>
      <c r="Y33" s="177">
        <f>SUM('Custos (B1)'!AB151:AB171)</f>
        <v>0</v>
      </c>
      <c r="Z33" s="177">
        <f>SUM('Custos (B1)'!AC151:AC171)</f>
        <v>48282.74431799999</v>
      </c>
      <c r="AA33" s="177">
        <f>SUM('Custos (B1)'!AD151:AD171)</f>
        <v>0</v>
      </c>
      <c r="AB33" s="177">
        <f>SUM('Custos (B1)'!AE151:AE171)</f>
        <v>0</v>
      </c>
      <c r="AC33" s="177">
        <f>SUM('Custos (B1)'!AF151:AF171)</f>
        <v>48282.74431799999</v>
      </c>
      <c r="AD33" s="177">
        <f>SUM('Custos (B1)'!AG151:AG171)</f>
        <v>0</v>
      </c>
      <c r="AE33" s="177">
        <f>SUM('Custos (B1)'!AH151:AH171)</f>
        <v>48282.74431799999</v>
      </c>
      <c r="AF33" s="178">
        <f>SUM('Custos (B1)'!AI151:AI171)</f>
        <v>0</v>
      </c>
      <c r="AG33" s="22"/>
    </row>
    <row r="34" spans="1:33" x14ac:dyDescent="0.25">
      <c r="A34" s="112"/>
      <c r="B34" s="120" t="s">
        <v>775</v>
      </c>
      <c r="C34" s="177">
        <f>SUM('Custos (B1)'!F173:F185)</f>
        <v>18456.830969999999</v>
      </c>
      <c r="D34" s="177">
        <f>SUM('Custos (B1)'!G173:G185)</f>
        <v>0</v>
      </c>
      <c r="E34" s="177">
        <f>SUM('Custos (B1)'!H173:H185)</f>
        <v>0</v>
      </c>
      <c r="F34" s="177">
        <f>SUM('Custos (B1)'!I173:I185)</f>
        <v>18456.830969999999</v>
      </c>
      <c r="G34" s="177">
        <f>SUM('Custos (B1)'!J173:J185)</f>
        <v>0</v>
      </c>
      <c r="H34" s="177">
        <f>SUM('Custos (B1)'!K173:K185)</f>
        <v>0</v>
      </c>
      <c r="I34" s="177">
        <f>SUM('Custos (B1)'!L173:L185)</f>
        <v>21267.694719999996</v>
      </c>
      <c r="J34" s="177">
        <f>SUM('Custos (B1)'!M173:M185)</f>
        <v>0</v>
      </c>
      <c r="K34" s="177">
        <f>SUM('Custos (B1)'!N173:N185)</f>
        <v>21267.694719999996</v>
      </c>
      <c r="L34" s="177">
        <f>SUM('Custos (B1)'!O173:O185)</f>
        <v>0</v>
      </c>
      <c r="M34" s="177">
        <f>SUM('Custos (B1)'!P173:P185)</f>
        <v>11586.841969999998</v>
      </c>
      <c r="N34" s="177">
        <f>SUM('Custos (B1)'!Q173:Q185)</f>
        <v>0</v>
      </c>
      <c r="O34" s="177">
        <f>SUM('Custos (B1)'!R173:R185)</f>
        <v>0</v>
      </c>
      <c r="P34" s="177">
        <f>SUM('Custos (B1)'!S173:S185)</f>
        <v>11586.841969999998</v>
      </c>
      <c r="Q34" s="177">
        <f>SUM('Custos (B1)'!T173:T185)</f>
        <v>0</v>
      </c>
      <c r="R34" s="177">
        <f>SUM('Custos (B1)'!U173:U185)</f>
        <v>0</v>
      </c>
      <c r="S34" s="177">
        <f>SUM('Custos (B1)'!V173:V185)</f>
        <v>13053.852359999999</v>
      </c>
      <c r="T34" s="177">
        <f>SUM('Custos (B1)'!W173:W185)</f>
        <v>0</v>
      </c>
      <c r="U34" s="177">
        <f>SUM('Custos (B1)'!X173:X185)</f>
        <v>13053.852359999999</v>
      </c>
      <c r="V34" s="177">
        <f>SUM('Custos (B1)'!Y173:Y185)</f>
        <v>0</v>
      </c>
      <c r="W34" s="177">
        <f>SUM('Custos (B1)'!Z173:Z185)</f>
        <v>11590.437077999999</v>
      </c>
      <c r="X34" s="177">
        <f>SUM('Custos (B1)'!AA173:AA185)</f>
        <v>0</v>
      </c>
      <c r="Y34" s="177">
        <f>SUM('Custos (B1)'!AB173:AB185)</f>
        <v>0</v>
      </c>
      <c r="Z34" s="177">
        <f>SUM('Custos (B1)'!AC173:AC185)</f>
        <v>11590.437077999999</v>
      </c>
      <c r="AA34" s="177">
        <f>SUM('Custos (B1)'!AD173:AD185)</f>
        <v>0</v>
      </c>
      <c r="AB34" s="177">
        <f>SUM('Custos (B1)'!AE173:AE185)</f>
        <v>0</v>
      </c>
      <c r="AC34" s="177">
        <f>SUM('Custos (B1)'!AF173:AF185)</f>
        <v>13060.424875999999</v>
      </c>
      <c r="AD34" s="177">
        <f>SUM('Custos (B1)'!AG173:AG185)</f>
        <v>0</v>
      </c>
      <c r="AE34" s="177">
        <f>SUM('Custos (B1)'!AH173:AH185)</f>
        <v>13060.424875999999</v>
      </c>
      <c r="AF34" s="178">
        <f>SUM('Custos (B1)'!AI173:AI185)</f>
        <v>0</v>
      </c>
      <c r="AG34" s="22"/>
    </row>
    <row r="35" spans="1:33" x14ac:dyDescent="0.25">
      <c r="A35" s="112"/>
      <c r="B35" s="120" t="s">
        <v>430</v>
      </c>
      <c r="C35" s="177">
        <f>SUM('Custos (B1)'!F187:F193)</f>
        <v>0</v>
      </c>
      <c r="D35" s="177">
        <f>SUM('Custos (B1)'!G187:G193)</f>
        <v>37296.411809999998</v>
      </c>
      <c r="E35" s="177">
        <f>SUM('Custos (B1)'!H187:H193)</f>
        <v>0</v>
      </c>
      <c r="F35" s="177">
        <f>SUM('Custos (B1)'!I187:I193)</f>
        <v>0</v>
      </c>
      <c r="G35" s="177">
        <f>SUM('Custos (B1)'!J187:J193)</f>
        <v>37296.411809999998</v>
      </c>
      <c r="H35" s="177">
        <f>SUM('Custos (B1)'!K187:K193)</f>
        <v>0</v>
      </c>
      <c r="I35" s="177">
        <f>SUM('Custos (B1)'!L187:L193)</f>
        <v>0</v>
      </c>
      <c r="J35" s="177">
        <f>SUM('Custos (B1)'!M187:M193)</f>
        <v>0</v>
      </c>
      <c r="K35" s="177">
        <f>SUM('Custos (B1)'!N187:N193)</f>
        <v>0</v>
      </c>
      <c r="L35" s="177">
        <f>SUM('Custos (B1)'!O187:O193)</f>
        <v>0</v>
      </c>
      <c r="M35" s="177">
        <f>SUM('Custos (B1)'!P187:P193)</f>
        <v>0</v>
      </c>
      <c r="N35" s="177">
        <f>SUM('Custos (B1)'!Q187:Q193)</f>
        <v>28323.474724</v>
      </c>
      <c r="O35" s="177">
        <f>SUM('Custos (B1)'!R187:R193)</f>
        <v>0</v>
      </c>
      <c r="P35" s="177">
        <f>SUM('Custos (B1)'!S187:S193)</f>
        <v>0</v>
      </c>
      <c r="Q35" s="177">
        <f>SUM('Custos (B1)'!T187:T193)</f>
        <v>28323.474724</v>
      </c>
      <c r="R35" s="177">
        <f>SUM('Custos (B1)'!U187:U193)</f>
        <v>0</v>
      </c>
      <c r="S35" s="177">
        <f>SUM('Custos (B1)'!V187:V193)</f>
        <v>0</v>
      </c>
      <c r="T35" s="177">
        <f>SUM('Custos (B1)'!W187:W193)</f>
        <v>0</v>
      </c>
      <c r="U35" s="177">
        <f>SUM('Custos (B1)'!X187:X193)</f>
        <v>0</v>
      </c>
      <c r="V35" s="177">
        <f>SUM('Custos (B1)'!Y187:Y193)</f>
        <v>0</v>
      </c>
      <c r="W35" s="177">
        <f>SUM('Custos (B1)'!Z187:Z193)</f>
        <v>0</v>
      </c>
      <c r="X35" s="177">
        <f>SUM('Custos (B1)'!AA187:AA193)</f>
        <v>28325.122040000002</v>
      </c>
      <c r="Y35" s="177">
        <f>SUM('Custos (B1)'!AB187:AB193)</f>
        <v>0</v>
      </c>
      <c r="Z35" s="177">
        <f>SUM('Custos (B1)'!AC187:AC193)</f>
        <v>0</v>
      </c>
      <c r="AA35" s="177">
        <f>SUM('Custos (B1)'!AD187:AD193)</f>
        <v>28325.122040000002</v>
      </c>
      <c r="AB35" s="177">
        <f>SUM('Custos (B1)'!AE187:AE193)</f>
        <v>0</v>
      </c>
      <c r="AC35" s="177">
        <f>SUM('Custos (B1)'!AF187:AF193)</f>
        <v>0</v>
      </c>
      <c r="AD35" s="177">
        <f>SUM('Custos (B1)'!AG187:AG193)</f>
        <v>0</v>
      </c>
      <c r="AE35" s="177">
        <f>SUM('Custos (B1)'!AH187:AH193)</f>
        <v>0</v>
      </c>
      <c r="AF35" s="178">
        <f>SUM('Custos (B1)'!AI187:AI193)</f>
        <v>0</v>
      </c>
      <c r="AG35" s="22"/>
    </row>
    <row r="36" spans="1:33" x14ac:dyDescent="0.25">
      <c r="A36" s="112"/>
      <c r="B36" s="120" t="s">
        <v>776</v>
      </c>
      <c r="C36" s="177">
        <f>SUM('Custos (B1)'!F195:F205)</f>
        <v>0</v>
      </c>
      <c r="D36" s="177">
        <f>SUM('Custos (B1)'!G195:G205)</f>
        <v>0</v>
      </c>
      <c r="E36" s="177">
        <f>SUM('Custos (B1)'!H195:H205)</f>
        <v>34204.159116999996</v>
      </c>
      <c r="F36" s="177">
        <f>SUM('Custos (B1)'!I195:I205)</f>
        <v>0</v>
      </c>
      <c r="G36" s="177">
        <f>SUM('Custos (B1)'!J195:J205)</f>
        <v>0</v>
      </c>
      <c r="H36" s="177">
        <f>SUM('Custos (B1)'!K195:K205)</f>
        <v>34204.159116999996</v>
      </c>
      <c r="I36" s="177">
        <f>SUM('Custos (B1)'!L195:L205)</f>
        <v>0</v>
      </c>
      <c r="J36" s="177">
        <f>SUM('Custos (B1)'!M195:M205)</f>
        <v>20349.615290000002</v>
      </c>
      <c r="K36" s="177">
        <f>SUM('Custos (B1)'!N195:N205)</f>
        <v>0</v>
      </c>
      <c r="L36" s="177">
        <f>SUM('Custos (B1)'!O195:O205)</f>
        <v>20349.615290000002</v>
      </c>
      <c r="M36" s="177">
        <f>SUM('Custos (B1)'!P195:P205)</f>
        <v>0</v>
      </c>
      <c r="N36" s="177">
        <f>SUM('Custos (B1)'!Q195:Q205)</f>
        <v>0</v>
      </c>
      <c r="O36" s="177">
        <f>SUM('Custos (B1)'!R195:R205)</f>
        <v>32826.818632000002</v>
      </c>
      <c r="P36" s="177">
        <f>SUM('Custos (B1)'!S195:S205)</f>
        <v>0</v>
      </c>
      <c r="Q36" s="177">
        <f>SUM('Custos (B1)'!T195:T205)</f>
        <v>0</v>
      </c>
      <c r="R36" s="177">
        <f>SUM('Custos (B1)'!U195:U205)</f>
        <v>32826.818632000002</v>
      </c>
      <c r="S36" s="177">
        <f>SUM('Custos (B1)'!V195:V205)</f>
        <v>0</v>
      </c>
      <c r="T36" s="177">
        <f>SUM('Custos (B1)'!W195:W205)</f>
        <v>19643.735070000002</v>
      </c>
      <c r="U36" s="177">
        <f>SUM('Custos (B1)'!X195:X205)</f>
        <v>0</v>
      </c>
      <c r="V36" s="177">
        <f>SUM('Custos (B1)'!Y195:Y205)</f>
        <v>19643.735070000002</v>
      </c>
      <c r="W36" s="177">
        <f>SUM('Custos (B1)'!Z195:Z205)</f>
        <v>0</v>
      </c>
      <c r="X36" s="177">
        <f>SUM('Custos (B1)'!AA195:AA205)</f>
        <v>0</v>
      </c>
      <c r="Y36" s="177">
        <f>SUM('Custos (B1)'!AB195:AB205)</f>
        <v>29401.718268000001</v>
      </c>
      <c r="Z36" s="177">
        <f>SUM('Custos (B1)'!AC195:AC205)</f>
        <v>0</v>
      </c>
      <c r="AA36" s="177">
        <f>SUM('Custos (B1)'!AD195:AD205)</f>
        <v>0</v>
      </c>
      <c r="AB36" s="177">
        <f>SUM('Custos (B1)'!AE195:AE205)</f>
        <v>29401.718268000001</v>
      </c>
      <c r="AC36" s="177">
        <f>SUM('Custos (B1)'!AF195:AF205)</f>
        <v>0</v>
      </c>
      <c r="AD36" s="177">
        <f>SUM('Custos (B1)'!AG195:AG205)</f>
        <v>17854.816456</v>
      </c>
      <c r="AE36" s="177">
        <f>SUM('Custos (B1)'!AH195:AH205)</f>
        <v>0</v>
      </c>
      <c r="AF36" s="178">
        <f>SUM('Custos (B1)'!AI195:AI205)</f>
        <v>17854.816456</v>
      </c>
      <c r="AG36" s="22"/>
    </row>
    <row r="37" spans="1:33" x14ac:dyDescent="0.25">
      <c r="A37" s="112"/>
      <c r="B37" s="120" t="s">
        <v>821</v>
      </c>
      <c r="C37" s="177">
        <f t="shared" ref="C37:AF37" si="4">SUM(C38,C39)</f>
        <v>131604.34</v>
      </c>
      <c r="D37" s="177">
        <f t="shared" si="4"/>
        <v>112717.42000000001</v>
      </c>
      <c r="E37" s="177">
        <f t="shared" si="4"/>
        <v>86802.760000000009</v>
      </c>
      <c r="F37" s="177">
        <f t="shared" si="4"/>
        <v>131604.34</v>
      </c>
      <c r="G37" s="177">
        <f t="shared" si="4"/>
        <v>112717.42000000001</v>
      </c>
      <c r="H37" s="177">
        <f t="shared" si="4"/>
        <v>86802.760000000009</v>
      </c>
      <c r="I37" s="177">
        <f t="shared" si="4"/>
        <v>131604.34</v>
      </c>
      <c r="J37" s="177">
        <f t="shared" si="4"/>
        <v>86802.760000000009</v>
      </c>
      <c r="K37" s="177">
        <f t="shared" si="4"/>
        <v>131604.34</v>
      </c>
      <c r="L37" s="177">
        <f t="shared" si="4"/>
        <v>86802.760000000009</v>
      </c>
      <c r="M37" s="177">
        <f t="shared" si="4"/>
        <v>145309.85000000003</v>
      </c>
      <c r="N37" s="177">
        <f t="shared" si="4"/>
        <v>125868.29000000004</v>
      </c>
      <c r="O37" s="177">
        <f t="shared" si="4"/>
        <v>109638.07000000002</v>
      </c>
      <c r="P37" s="177">
        <f t="shared" si="4"/>
        <v>145309.85000000003</v>
      </c>
      <c r="Q37" s="177">
        <f t="shared" si="4"/>
        <v>128554.07000000004</v>
      </c>
      <c r="R37" s="177">
        <f t="shared" si="4"/>
        <v>109638.07000000002</v>
      </c>
      <c r="S37" s="177">
        <f t="shared" si="4"/>
        <v>145309.85000000003</v>
      </c>
      <c r="T37" s="177">
        <f t="shared" si="4"/>
        <v>109638.07000000002</v>
      </c>
      <c r="U37" s="177">
        <f t="shared" si="4"/>
        <v>145309.85000000003</v>
      </c>
      <c r="V37" s="177">
        <f t="shared" si="4"/>
        <v>109638.07000000002</v>
      </c>
      <c r="W37" s="177">
        <f t="shared" si="4"/>
        <v>114504.85000000003</v>
      </c>
      <c r="X37" s="177">
        <f t="shared" si="4"/>
        <v>95319.760000000009</v>
      </c>
      <c r="Y37" s="177">
        <f t="shared" si="4"/>
        <v>78930.280000000013</v>
      </c>
      <c r="Z37" s="177">
        <f t="shared" si="4"/>
        <v>114504.85000000003</v>
      </c>
      <c r="AA37" s="177">
        <f t="shared" si="4"/>
        <v>95319.760000000009</v>
      </c>
      <c r="AB37" s="177">
        <f t="shared" si="4"/>
        <v>78930.280000000013</v>
      </c>
      <c r="AC37" s="177">
        <f t="shared" si="4"/>
        <v>114504.85000000003</v>
      </c>
      <c r="AD37" s="177">
        <f t="shared" si="4"/>
        <v>78930.280000000013</v>
      </c>
      <c r="AE37" s="177">
        <f t="shared" si="4"/>
        <v>114504.85000000003</v>
      </c>
      <c r="AF37" s="178">
        <f t="shared" si="4"/>
        <v>78930.280000000013</v>
      </c>
      <c r="AG37" s="22"/>
    </row>
    <row r="38" spans="1:33" x14ac:dyDescent="0.25">
      <c r="A38" s="112"/>
      <c r="B38" s="179" t="s">
        <v>822</v>
      </c>
      <c r="C38" s="180">
        <f>SUM('Custos (B1)'!F208:F292)</f>
        <v>69027.240000000005</v>
      </c>
      <c r="D38" s="180">
        <f>SUM('Custos (B1)'!G208:G292)</f>
        <v>70756.44</v>
      </c>
      <c r="E38" s="180">
        <f>SUM('Custos (B1)'!H208:H292)</f>
        <v>69027.240000000005</v>
      </c>
      <c r="F38" s="180">
        <f>SUM('Custos (B1)'!I208:I292)</f>
        <v>69027.240000000005</v>
      </c>
      <c r="G38" s="180">
        <f>SUM('Custos (B1)'!J208:J292)</f>
        <v>70756.44</v>
      </c>
      <c r="H38" s="180">
        <f>SUM('Custos (B1)'!K208:K292)</f>
        <v>69027.240000000005</v>
      </c>
      <c r="I38" s="180">
        <f>SUM('Custos (B1)'!L208:L292)</f>
        <v>69027.240000000005</v>
      </c>
      <c r="J38" s="180">
        <f>SUM('Custos (B1)'!M208:M292)</f>
        <v>69027.240000000005</v>
      </c>
      <c r="K38" s="180">
        <f>SUM('Custos (B1)'!N208:N292)</f>
        <v>69027.240000000005</v>
      </c>
      <c r="L38" s="180">
        <f>SUM('Custos (B1)'!O208:O292)</f>
        <v>69027.240000000005</v>
      </c>
      <c r="M38" s="180">
        <f>SUM('Custos (B1)'!P208:P292)</f>
        <v>89842.570000000022</v>
      </c>
      <c r="N38" s="180">
        <f>SUM('Custos (B1)'!Q208:Q292)</f>
        <v>89842.570000000022</v>
      </c>
      <c r="O38" s="180">
        <f>SUM('Custos (B1)'!R208:R292)</f>
        <v>89842.570000000022</v>
      </c>
      <c r="P38" s="180">
        <f>SUM('Custos (B1)'!S208:S292)</f>
        <v>89842.570000000022</v>
      </c>
      <c r="Q38" s="180">
        <f>SUM('Custos (B1)'!T208:T292)</f>
        <v>89842.570000000022</v>
      </c>
      <c r="R38" s="180">
        <f>SUM('Custos (B1)'!U208:U292)</f>
        <v>89842.570000000022</v>
      </c>
      <c r="S38" s="180">
        <f>SUM('Custos (B1)'!V208:V292)</f>
        <v>89842.570000000022</v>
      </c>
      <c r="T38" s="180">
        <f>SUM('Custos (B1)'!W208:W292)</f>
        <v>89842.570000000022</v>
      </c>
      <c r="U38" s="180">
        <f>SUM('Custos (B1)'!X208:X292)</f>
        <v>89842.570000000022</v>
      </c>
      <c r="V38" s="180">
        <f>SUM('Custos (B1)'!Y208:Y292)</f>
        <v>89842.570000000022</v>
      </c>
      <c r="W38" s="180">
        <f>SUM('Custos (B1)'!Z208:Z292)</f>
        <v>64180.310000000012</v>
      </c>
      <c r="X38" s="180">
        <f>SUM('Custos (B1)'!AA208:AA292)</f>
        <v>65909.510000000009</v>
      </c>
      <c r="Y38" s="180">
        <f>SUM('Custos (B1)'!AB208:AB292)</f>
        <v>64180.310000000012</v>
      </c>
      <c r="Z38" s="180">
        <f>SUM('Custos (B1)'!AC208:AC292)</f>
        <v>64180.310000000012</v>
      </c>
      <c r="AA38" s="180">
        <f>SUM('Custos (B1)'!AD208:AD292)</f>
        <v>65909.510000000009</v>
      </c>
      <c r="AB38" s="180">
        <f>SUM('Custos (B1)'!AE208:AE292)</f>
        <v>64180.310000000012</v>
      </c>
      <c r="AC38" s="180">
        <f>SUM('Custos (B1)'!AF208:AF292)</f>
        <v>64180.310000000012</v>
      </c>
      <c r="AD38" s="180">
        <f>SUM('Custos (B1)'!AG208:AG292)</f>
        <v>64180.310000000012</v>
      </c>
      <c r="AE38" s="180">
        <f>SUM('Custos (B1)'!AH208:AH292)</f>
        <v>64180.310000000012</v>
      </c>
      <c r="AF38" s="181">
        <f>SUM('Custos (B1)'!AI208:AI292)</f>
        <v>64180.310000000012</v>
      </c>
      <c r="AG38" s="22"/>
    </row>
    <row r="39" spans="1:33" x14ac:dyDescent="0.25">
      <c r="A39" s="112"/>
      <c r="B39" s="179" t="s">
        <v>823</v>
      </c>
      <c r="C39" s="180">
        <f>SUM('Custos (B1)'!F295:F354)</f>
        <v>62577.1</v>
      </c>
      <c r="D39" s="180">
        <f>SUM('Custos (B1)'!G295:G354)</f>
        <v>41960.98</v>
      </c>
      <c r="E39" s="180">
        <f>SUM('Custos (B1)'!H295:H354)</f>
        <v>17775.52</v>
      </c>
      <c r="F39" s="180">
        <f>SUM('Custos (B1)'!I295:I354)</f>
        <v>62577.1</v>
      </c>
      <c r="G39" s="180">
        <f>SUM('Custos (B1)'!J295:J354)</f>
        <v>41960.98</v>
      </c>
      <c r="H39" s="180">
        <f>SUM('Custos (B1)'!K295:K354)</f>
        <v>17775.52</v>
      </c>
      <c r="I39" s="180">
        <f>SUM('Custos (B1)'!L295:L354)</f>
        <v>62577.1</v>
      </c>
      <c r="J39" s="180">
        <f>SUM('Custos (B1)'!M295:M354)</f>
        <v>17775.52</v>
      </c>
      <c r="K39" s="180">
        <f>SUM('Custos (B1)'!N295:N354)</f>
        <v>62577.1</v>
      </c>
      <c r="L39" s="180">
        <f>SUM('Custos (B1)'!O295:O354)</f>
        <v>17775.52</v>
      </c>
      <c r="M39" s="180">
        <f>SUM('Custos (B1)'!P295:P354)</f>
        <v>55467.280000000006</v>
      </c>
      <c r="N39" s="180">
        <f>SUM('Custos (B1)'!Q295:Q354)</f>
        <v>36025.720000000008</v>
      </c>
      <c r="O39" s="180">
        <f>SUM('Custos (B1)'!R295:R354)</f>
        <v>19795.5</v>
      </c>
      <c r="P39" s="180">
        <f>SUM('Custos (B1)'!S295:S354)</f>
        <v>55467.280000000006</v>
      </c>
      <c r="Q39" s="180">
        <f>SUM('Custos (B1)'!T295:T354)</f>
        <v>38711.500000000007</v>
      </c>
      <c r="R39" s="180">
        <f>SUM('Custos (B1)'!U295:U354)</f>
        <v>19795.5</v>
      </c>
      <c r="S39" s="180">
        <f>SUM('Custos (B1)'!V295:V354)</f>
        <v>55467.280000000006</v>
      </c>
      <c r="T39" s="180">
        <f>SUM('Custos (B1)'!W295:W354)</f>
        <v>19795.5</v>
      </c>
      <c r="U39" s="180">
        <f>SUM('Custos (B1)'!X295:X354)</f>
        <v>55467.280000000006</v>
      </c>
      <c r="V39" s="180">
        <f>SUM('Custos (B1)'!Y295:Y354)</f>
        <v>19795.5</v>
      </c>
      <c r="W39" s="180">
        <f>SUM('Custos (B1)'!Z295:Z354)</f>
        <v>50324.540000000015</v>
      </c>
      <c r="X39" s="180">
        <f>SUM('Custos (B1)'!AA295:AA354)</f>
        <v>29410.250000000004</v>
      </c>
      <c r="Y39" s="180">
        <f>SUM('Custos (B1)'!AB295:AB354)</f>
        <v>14749.97</v>
      </c>
      <c r="Z39" s="180">
        <f>SUM('Custos (B1)'!AC295:AC354)</f>
        <v>50324.540000000015</v>
      </c>
      <c r="AA39" s="180">
        <f>SUM('Custos (B1)'!AD295:AD354)</f>
        <v>29410.250000000004</v>
      </c>
      <c r="AB39" s="180">
        <f>SUM('Custos (B1)'!AE295:AE354)</f>
        <v>14749.97</v>
      </c>
      <c r="AC39" s="180">
        <f>SUM('Custos (B1)'!AF295:AF354)</f>
        <v>50324.540000000015</v>
      </c>
      <c r="AD39" s="180">
        <f>SUM('Custos (B1)'!AG295:AG354)</f>
        <v>14749.97</v>
      </c>
      <c r="AE39" s="180">
        <f>SUM('Custos (B1)'!AH295:AH354)</f>
        <v>50324.540000000015</v>
      </c>
      <c r="AF39" s="181">
        <f>SUM('Custos (B1)'!AI295:AI354)</f>
        <v>14749.97</v>
      </c>
      <c r="AG39" s="22"/>
    </row>
    <row r="40" spans="1:33" x14ac:dyDescent="0.25">
      <c r="A40" s="112"/>
      <c r="B40" s="120" t="s">
        <v>778</v>
      </c>
      <c r="C40" s="177">
        <f>SUM('Custos (B1)'!F357:F385)</f>
        <v>194904.92999999993</v>
      </c>
      <c r="D40" s="177">
        <f>SUM('Custos (B1)'!G357:G385)</f>
        <v>194904.92999999993</v>
      </c>
      <c r="E40" s="177">
        <f>SUM('Custos (B1)'!H357:H385)</f>
        <v>194904.92999999993</v>
      </c>
      <c r="F40" s="177">
        <f>SUM('Custos (B1)'!I357:I385)</f>
        <v>194904.92999999993</v>
      </c>
      <c r="G40" s="177">
        <f>SUM('Custos (B1)'!J357:J385)</f>
        <v>194904.92999999993</v>
      </c>
      <c r="H40" s="177">
        <f>SUM('Custos (B1)'!K357:K385)</f>
        <v>194904.92999999993</v>
      </c>
      <c r="I40" s="177">
        <f>SUM('Custos (B1)'!L357:L385)</f>
        <v>194904.92999999993</v>
      </c>
      <c r="J40" s="177">
        <f>SUM('Custos (B1)'!M357:M385)</f>
        <v>194904.92999999993</v>
      </c>
      <c r="K40" s="177">
        <f>SUM('Custos (B1)'!N357:N385)</f>
        <v>194904.92999999993</v>
      </c>
      <c r="L40" s="177">
        <f>SUM('Custos (B1)'!O357:O385)</f>
        <v>194904.92999999993</v>
      </c>
      <c r="M40" s="177">
        <f>SUM('Custos (B1)'!P357:P385)</f>
        <v>194904.92999999993</v>
      </c>
      <c r="N40" s="177">
        <f>SUM('Custos (B1)'!Q357:Q385)</f>
        <v>194904.92999999993</v>
      </c>
      <c r="O40" s="177">
        <f>SUM('Custos (B1)'!R357:R385)</f>
        <v>194904.92999999993</v>
      </c>
      <c r="P40" s="177">
        <f>SUM('Custos (B1)'!S357:S385)</f>
        <v>194904.92999999993</v>
      </c>
      <c r="Q40" s="177">
        <f>SUM('Custos (B1)'!T357:T385)</f>
        <v>194904.92999999993</v>
      </c>
      <c r="R40" s="177">
        <f>SUM('Custos (B1)'!U357:U385)</f>
        <v>194904.92999999993</v>
      </c>
      <c r="S40" s="177">
        <f>SUM('Custos (B1)'!V357:V385)</f>
        <v>194904.92999999993</v>
      </c>
      <c r="T40" s="177">
        <f>SUM('Custos (B1)'!W357:W385)</f>
        <v>194904.92999999993</v>
      </c>
      <c r="U40" s="177">
        <f>SUM('Custos (B1)'!X357:X385)</f>
        <v>194904.92999999993</v>
      </c>
      <c r="V40" s="177">
        <f>SUM('Custos (B1)'!Y357:Y385)</f>
        <v>194904.92999999993</v>
      </c>
      <c r="W40" s="177">
        <f>SUM('Custos (B1)'!Z357:Z385)</f>
        <v>194904.92999999993</v>
      </c>
      <c r="X40" s="177">
        <f>SUM('Custos (B1)'!AA357:AA385)</f>
        <v>194904.92999999993</v>
      </c>
      <c r="Y40" s="177">
        <f>SUM('Custos (B1)'!AB357:AB385)</f>
        <v>194904.92999999993</v>
      </c>
      <c r="Z40" s="177">
        <f>SUM('Custos (B1)'!AC357:AC385)</f>
        <v>194904.92999999993</v>
      </c>
      <c r="AA40" s="177">
        <f>SUM('Custos (B1)'!AD357:AD385)</f>
        <v>194904.92999999993</v>
      </c>
      <c r="AB40" s="177">
        <f>SUM('Custos (B1)'!AE357:AE385)</f>
        <v>194904.92999999993</v>
      </c>
      <c r="AC40" s="177">
        <f>SUM('Custos (B1)'!AF357:AF385)</f>
        <v>194904.92999999993</v>
      </c>
      <c r="AD40" s="177">
        <f>SUM('Custos (B1)'!AG357:AG385)</f>
        <v>194904.92999999993</v>
      </c>
      <c r="AE40" s="177">
        <f>SUM('Custos (B1)'!AH357:AH385)</f>
        <v>194904.92999999993</v>
      </c>
      <c r="AF40" s="178">
        <f>SUM('Custos (B1)'!AI357:AI385)</f>
        <v>194904.92999999993</v>
      </c>
      <c r="AG40" s="22"/>
    </row>
    <row r="41" spans="1:33" x14ac:dyDescent="0.25">
      <c r="A41" s="112"/>
      <c r="B41" s="120" t="s">
        <v>779</v>
      </c>
      <c r="C41" s="177">
        <f>SUM('Custos (B1)'!F388:F545)</f>
        <v>10067.740000000005</v>
      </c>
      <c r="D41" s="177">
        <f>SUM('Custos (B1)'!G388:G545)</f>
        <v>10067.740000000005</v>
      </c>
      <c r="E41" s="177">
        <f>SUM('Custos (B1)'!H388:H545)</f>
        <v>10067.740000000005</v>
      </c>
      <c r="F41" s="177">
        <f>SUM('Custos (B1)'!I388:I545)</f>
        <v>10067.740000000005</v>
      </c>
      <c r="G41" s="177">
        <f>SUM('Custos (B1)'!J388:J545)</f>
        <v>10067.740000000005</v>
      </c>
      <c r="H41" s="177">
        <f>SUM('Custos (B1)'!K388:K545)</f>
        <v>10067.740000000005</v>
      </c>
      <c r="I41" s="177">
        <f>SUM('Custos (B1)'!L388:L545)</f>
        <v>10067.740000000005</v>
      </c>
      <c r="J41" s="177">
        <f>SUM('Custos (B1)'!M388:M545)</f>
        <v>10067.740000000005</v>
      </c>
      <c r="K41" s="177">
        <f>SUM('Custos (B1)'!N388:N545)</f>
        <v>10067.740000000005</v>
      </c>
      <c r="L41" s="177">
        <f>SUM('Custos (B1)'!O388:O545)</f>
        <v>10067.740000000005</v>
      </c>
      <c r="M41" s="177">
        <f>SUM('Custos (B1)'!P388:P545)</f>
        <v>10067.740000000005</v>
      </c>
      <c r="N41" s="177">
        <f>SUM('Custos (B1)'!Q388:Q545)</f>
        <v>10067.740000000005</v>
      </c>
      <c r="O41" s="177">
        <f>SUM('Custos (B1)'!R388:R545)</f>
        <v>10067.740000000005</v>
      </c>
      <c r="P41" s="177">
        <f>SUM('Custos (B1)'!S388:S545)</f>
        <v>10067.740000000005</v>
      </c>
      <c r="Q41" s="177">
        <f>SUM('Custos (B1)'!T388:T545)</f>
        <v>10067.740000000005</v>
      </c>
      <c r="R41" s="177">
        <f>SUM('Custos (B1)'!U388:U545)</f>
        <v>10067.740000000005</v>
      </c>
      <c r="S41" s="177">
        <f>SUM('Custos (B1)'!V388:V545)</f>
        <v>10067.740000000005</v>
      </c>
      <c r="T41" s="177">
        <f>SUM('Custos (B1)'!W388:W545)</f>
        <v>10067.740000000005</v>
      </c>
      <c r="U41" s="177">
        <f>SUM('Custos (B1)'!X388:X545)</f>
        <v>10067.740000000005</v>
      </c>
      <c r="V41" s="177">
        <f>SUM('Custos (B1)'!Y388:Y545)</f>
        <v>10067.740000000005</v>
      </c>
      <c r="W41" s="177">
        <f>SUM('Custos (B1)'!Z388:Z545)</f>
        <v>10067.740000000005</v>
      </c>
      <c r="X41" s="177">
        <f>SUM('Custos (B1)'!AA388:AA545)</f>
        <v>10067.740000000005</v>
      </c>
      <c r="Y41" s="177">
        <f>SUM('Custos (B1)'!AB388:AB545)</f>
        <v>10067.740000000005</v>
      </c>
      <c r="Z41" s="177">
        <f>SUM('Custos (B1)'!AC388:AC545)</f>
        <v>10067.740000000005</v>
      </c>
      <c r="AA41" s="177">
        <f>SUM('Custos (B1)'!AD388:AD545)</f>
        <v>10067.740000000005</v>
      </c>
      <c r="AB41" s="177">
        <f>SUM('Custos (B1)'!AE388:AE545)</f>
        <v>10067.740000000005</v>
      </c>
      <c r="AC41" s="177">
        <f>SUM('Custos (B1)'!AF388:AF545)</f>
        <v>10067.740000000005</v>
      </c>
      <c r="AD41" s="177">
        <f>SUM('Custos (B1)'!AG388:AG545)</f>
        <v>10067.740000000005</v>
      </c>
      <c r="AE41" s="177">
        <f>SUM('Custos (B1)'!AH388:AH545)</f>
        <v>10067.740000000005</v>
      </c>
      <c r="AF41" s="178">
        <f>SUM('Custos (B1)'!AI388:AI545)</f>
        <v>10067.740000000005</v>
      </c>
      <c r="AG41" s="22"/>
    </row>
    <row r="42" spans="1:33" x14ac:dyDescent="0.25">
      <c r="A42" s="182"/>
      <c r="B42" s="120" t="s">
        <v>824</v>
      </c>
      <c r="C42" s="177">
        <f t="shared" ref="C42:AF42" si="5">SUM(C43:C44)</f>
        <v>78371.680000000008</v>
      </c>
      <c r="D42" s="177">
        <f t="shared" si="5"/>
        <v>52115.450000000004</v>
      </c>
      <c r="E42" s="177">
        <f t="shared" si="5"/>
        <v>77093.38</v>
      </c>
      <c r="F42" s="177">
        <f t="shared" si="5"/>
        <v>78371.680000000008</v>
      </c>
      <c r="G42" s="177">
        <f t="shared" si="5"/>
        <v>52115.450000000004</v>
      </c>
      <c r="H42" s="177">
        <f t="shared" si="5"/>
        <v>77093.38</v>
      </c>
      <c r="I42" s="177">
        <f t="shared" si="5"/>
        <v>78371.680000000008</v>
      </c>
      <c r="J42" s="177">
        <f t="shared" si="5"/>
        <v>77093.38</v>
      </c>
      <c r="K42" s="177">
        <f t="shared" si="5"/>
        <v>78371.680000000008</v>
      </c>
      <c r="L42" s="177">
        <f t="shared" si="5"/>
        <v>77093.38</v>
      </c>
      <c r="M42" s="177">
        <f t="shared" si="5"/>
        <v>87735.860000000015</v>
      </c>
      <c r="N42" s="177">
        <f t="shared" si="5"/>
        <v>61479.630000000012</v>
      </c>
      <c r="O42" s="177">
        <f t="shared" si="5"/>
        <v>86457.560000000012</v>
      </c>
      <c r="P42" s="177">
        <f t="shared" si="5"/>
        <v>87735.860000000015</v>
      </c>
      <c r="Q42" s="177">
        <f t="shared" si="5"/>
        <v>61479.630000000012</v>
      </c>
      <c r="R42" s="177">
        <f t="shared" si="5"/>
        <v>86457.560000000012</v>
      </c>
      <c r="S42" s="177">
        <f t="shared" si="5"/>
        <v>87735.860000000015</v>
      </c>
      <c r="T42" s="177">
        <f t="shared" si="5"/>
        <v>86457.560000000012</v>
      </c>
      <c r="U42" s="177">
        <f t="shared" si="5"/>
        <v>87735.860000000015</v>
      </c>
      <c r="V42" s="177">
        <f t="shared" si="5"/>
        <v>86457.560000000012</v>
      </c>
      <c r="W42" s="177">
        <f t="shared" si="5"/>
        <v>78371.680000000008</v>
      </c>
      <c r="X42" s="177">
        <f t="shared" si="5"/>
        <v>52115.450000000004</v>
      </c>
      <c r="Y42" s="177">
        <f t="shared" si="5"/>
        <v>77093.38</v>
      </c>
      <c r="Z42" s="177">
        <f t="shared" si="5"/>
        <v>78371.680000000008</v>
      </c>
      <c r="AA42" s="177">
        <f t="shared" si="5"/>
        <v>52115.450000000004</v>
      </c>
      <c r="AB42" s="177">
        <f t="shared" si="5"/>
        <v>77093.38</v>
      </c>
      <c r="AC42" s="177">
        <f t="shared" si="5"/>
        <v>78371.680000000008</v>
      </c>
      <c r="AD42" s="177">
        <f t="shared" si="5"/>
        <v>77093.38</v>
      </c>
      <c r="AE42" s="177">
        <f t="shared" si="5"/>
        <v>78371.680000000008</v>
      </c>
      <c r="AF42" s="178">
        <f t="shared" si="5"/>
        <v>77093.38</v>
      </c>
      <c r="AG42" s="22"/>
    </row>
    <row r="43" spans="1:33" x14ac:dyDescent="0.25">
      <c r="A43" s="112"/>
      <c r="B43" s="183" t="s">
        <v>825</v>
      </c>
      <c r="C43" s="184">
        <f>SUM('Custos (B1)'!F548:F562)</f>
        <v>52115.450000000004</v>
      </c>
      <c r="D43" s="184">
        <f>SUM('Custos (B1)'!G548:G562)</f>
        <v>52115.450000000004</v>
      </c>
      <c r="E43" s="184">
        <f>SUM('Custos (B1)'!H548:H562)</f>
        <v>52115.450000000004</v>
      </c>
      <c r="F43" s="184">
        <f>SUM('Custos (B1)'!I548:I562)</f>
        <v>52115.450000000004</v>
      </c>
      <c r="G43" s="184">
        <f>SUM('Custos (B1)'!J548:J562)</f>
        <v>52115.450000000004</v>
      </c>
      <c r="H43" s="184">
        <f>SUM('Custos (B1)'!K548:K562)</f>
        <v>52115.450000000004</v>
      </c>
      <c r="I43" s="184">
        <f>SUM('Custos (B1)'!L548:L562)</f>
        <v>52115.450000000004</v>
      </c>
      <c r="J43" s="184">
        <f>SUM('Custos (B1)'!M548:M562)</f>
        <v>52115.450000000004</v>
      </c>
      <c r="K43" s="184">
        <f>SUM('Custos (B1)'!N548:N562)</f>
        <v>52115.450000000004</v>
      </c>
      <c r="L43" s="184">
        <f>SUM('Custos (B1)'!O548:O562)</f>
        <v>52115.450000000004</v>
      </c>
      <c r="M43" s="184">
        <f>SUM('Custos (B1)'!P548:P562)</f>
        <v>61479.630000000012</v>
      </c>
      <c r="N43" s="184">
        <f>SUM('Custos (B1)'!Q548:Q562)</f>
        <v>61479.630000000012</v>
      </c>
      <c r="O43" s="184">
        <f>SUM('Custos (B1)'!R548:R562)</f>
        <v>61479.630000000012</v>
      </c>
      <c r="P43" s="184">
        <f>SUM('Custos (B1)'!S548:S562)</f>
        <v>61479.630000000012</v>
      </c>
      <c r="Q43" s="184">
        <f>SUM('Custos (B1)'!T548:T562)</f>
        <v>61479.630000000012</v>
      </c>
      <c r="R43" s="184">
        <f>SUM('Custos (B1)'!U548:U562)</f>
        <v>61479.630000000012</v>
      </c>
      <c r="S43" s="184">
        <f>SUM('Custos (B1)'!V548:V562)</f>
        <v>61479.630000000012</v>
      </c>
      <c r="T43" s="184">
        <f>SUM('Custos (B1)'!W548:W562)</f>
        <v>61479.630000000012</v>
      </c>
      <c r="U43" s="184">
        <f>SUM('Custos (B1)'!X548:X562)</f>
        <v>61479.630000000012</v>
      </c>
      <c r="V43" s="184">
        <f>SUM('Custos (B1)'!Y548:Y562)</f>
        <v>61479.630000000012</v>
      </c>
      <c r="W43" s="184">
        <f>SUM('Custos (B1)'!Z548:Z562)</f>
        <v>52115.450000000004</v>
      </c>
      <c r="X43" s="184">
        <f>SUM('Custos (B1)'!AA548:AA562)</f>
        <v>52115.450000000004</v>
      </c>
      <c r="Y43" s="184">
        <f>SUM('Custos (B1)'!AB548:AB562)</f>
        <v>52115.450000000004</v>
      </c>
      <c r="Z43" s="184">
        <f>SUM('Custos (B1)'!AC548:AC562)</f>
        <v>52115.450000000004</v>
      </c>
      <c r="AA43" s="184">
        <f>SUM('Custos (B1)'!AD548:AD562)</f>
        <v>52115.450000000004</v>
      </c>
      <c r="AB43" s="184">
        <f>SUM('Custos (B1)'!AE548:AE562)</f>
        <v>52115.450000000004</v>
      </c>
      <c r="AC43" s="184">
        <f>SUM('Custos (B1)'!AF548:AF562)</f>
        <v>52115.450000000004</v>
      </c>
      <c r="AD43" s="184">
        <f>SUM('Custos (B1)'!AG548:AG562)</f>
        <v>52115.450000000004</v>
      </c>
      <c r="AE43" s="184">
        <f>SUM('Custos (B1)'!AH548:AH562)</f>
        <v>52115.450000000004</v>
      </c>
      <c r="AF43" s="185">
        <f>SUM('Custos (B1)'!AI548:AI562)</f>
        <v>52115.450000000004</v>
      </c>
      <c r="AG43" s="22"/>
    </row>
    <row r="44" spans="1:33" x14ac:dyDescent="0.25">
      <c r="A44" s="112"/>
      <c r="B44" s="183" t="s">
        <v>826</v>
      </c>
      <c r="C44" s="180">
        <f>SUM('Custos (B1)'!F564:F569)</f>
        <v>26256.23</v>
      </c>
      <c r="D44" s="180">
        <f>SUM('Custos (B1)'!G564:G569)</f>
        <v>0</v>
      </c>
      <c r="E44" s="180">
        <f>SUM('Custos (B1)'!H564:H569)</f>
        <v>24977.93</v>
      </c>
      <c r="F44" s="180">
        <f>SUM('Custos (B1)'!I564:I569)</f>
        <v>26256.23</v>
      </c>
      <c r="G44" s="180">
        <f>SUM('Custos (B1)'!J564:J569)</f>
        <v>0</v>
      </c>
      <c r="H44" s="180">
        <f>SUM('Custos (B1)'!K564:K569)</f>
        <v>24977.93</v>
      </c>
      <c r="I44" s="180">
        <f>SUM('Custos (B1)'!L564:L569)</f>
        <v>26256.23</v>
      </c>
      <c r="J44" s="180">
        <f>SUM('Custos (B1)'!M564:M569)</f>
        <v>24977.93</v>
      </c>
      <c r="K44" s="180">
        <f>SUM('Custos (B1)'!N564:N569)</f>
        <v>26256.23</v>
      </c>
      <c r="L44" s="180">
        <f>SUM('Custos (B1)'!O564:O569)</f>
        <v>24977.93</v>
      </c>
      <c r="M44" s="180">
        <f>SUM('Custos (B1)'!P564:P569)</f>
        <v>26256.23</v>
      </c>
      <c r="N44" s="180">
        <f>SUM('Custos (B1)'!Q564:Q569)</f>
        <v>0</v>
      </c>
      <c r="O44" s="180">
        <f>SUM('Custos (B1)'!R564:R569)</f>
        <v>24977.93</v>
      </c>
      <c r="P44" s="180">
        <f>SUM('Custos (B1)'!S564:S569)</f>
        <v>26256.23</v>
      </c>
      <c r="Q44" s="180">
        <f>SUM('Custos (B1)'!T564:T569)</f>
        <v>0</v>
      </c>
      <c r="R44" s="180">
        <f>SUM('Custos (B1)'!U564:U569)</f>
        <v>24977.93</v>
      </c>
      <c r="S44" s="180">
        <f>SUM('Custos (B1)'!V564:V569)</f>
        <v>26256.23</v>
      </c>
      <c r="T44" s="180">
        <f>SUM('Custos (B1)'!W564:W569)</f>
        <v>24977.93</v>
      </c>
      <c r="U44" s="180">
        <f>SUM('Custos (B1)'!X564:X569)</f>
        <v>26256.23</v>
      </c>
      <c r="V44" s="180">
        <f>SUM('Custos (B1)'!Y564:Y569)</f>
        <v>24977.93</v>
      </c>
      <c r="W44" s="180">
        <f>SUM('Custos (B1)'!Z564:Z569)</f>
        <v>26256.23</v>
      </c>
      <c r="X44" s="180">
        <f>SUM('Custos (B1)'!AA564:AA569)</f>
        <v>0</v>
      </c>
      <c r="Y44" s="180">
        <f>SUM('Custos (B1)'!AB564:AB569)</f>
        <v>24977.93</v>
      </c>
      <c r="Z44" s="180">
        <f>SUM('Custos (B1)'!AC564:AC569)</f>
        <v>26256.23</v>
      </c>
      <c r="AA44" s="180">
        <f>SUM('Custos (B1)'!AD564:AD569)</f>
        <v>0</v>
      </c>
      <c r="AB44" s="180">
        <f>SUM('Custos (B1)'!AE564:AE569)</f>
        <v>24977.93</v>
      </c>
      <c r="AC44" s="180">
        <f>SUM('Custos (B1)'!AF564:AF569)</f>
        <v>26256.23</v>
      </c>
      <c r="AD44" s="180">
        <f>SUM('Custos (B1)'!AG564:AG569)</f>
        <v>24977.93</v>
      </c>
      <c r="AE44" s="180">
        <f>SUM('Custos (B1)'!AH564:AH569)</f>
        <v>26256.23</v>
      </c>
      <c r="AF44" s="181">
        <f>SUM('Custos (B1)'!AI564:AI569)</f>
        <v>24977.93</v>
      </c>
      <c r="AG44" s="22"/>
    </row>
    <row r="45" spans="1:33" x14ac:dyDescent="0.25">
      <c r="A45" s="182"/>
      <c r="B45" s="186" t="s">
        <v>741</v>
      </c>
      <c r="C45" s="187">
        <f>SUM(C14,C17,C20,C23,C25:C31,C38,C40,C41,C43)*(1+'Dados (F)'!$C$17)</f>
        <v>1045694.3504419522</v>
      </c>
      <c r="D45" s="187">
        <f>SUM(D14,D17,D20,D23,D25:D31,D38,D40,D41,D43)*(1+'Dados (F)'!$C$17)</f>
        <v>1065527.2548767754</v>
      </c>
      <c r="E45" s="187">
        <f>SUM(E14,E17,E20,E23,E25:E31,E38,E40,E41,E43)*(1+'Dados (F)'!$C$17)</f>
        <v>1085103.4428147029</v>
      </c>
      <c r="F45" s="187">
        <f>SUM(F14,F17,F20,F23,F25:F31,F38,F40,F41,F43)*(1+'Dados (F)'!$C$17)</f>
        <v>904388.52651680948</v>
      </c>
      <c r="G45" s="187">
        <f>SUM(G14,G17,G20,G23,G25:G31,G38,G40,G41,G43)*(1+'Dados (F)'!$C$17)</f>
        <v>924225.90186626266</v>
      </c>
      <c r="H45" s="187">
        <f>SUM(H14,H17,H20,H23,H25:H31,H38,H40,H41,H43)*(1+'Dados (F)'!$C$17)</f>
        <v>943936.48912278225</v>
      </c>
      <c r="I45" s="187">
        <f>SUM(I14,I17,I20,I23,I25:I31,I38,I40,I41,I43)*(1+'Dados (F)'!$C$17)</f>
        <v>1045694.3504419522</v>
      </c>
      <c r="J45" s="187">
        <f>SUM(J14,J17,J20,J23,J25:J31,J38,J40,J41,J43)*(1+'Dados (F)'!$C$17)</f>
        <v>1085194.777577243</v>
      </c>
      <c r="K45" s="187">
        <f>SUM(K14,K17,K20,K23,K25:K31,K38,K40,K41,K43)*(1+'Dados (F)'!$C$17)</f>
        <v>904388.52651680948</v>
      </c>
      <c r="L45" s="187">
        <f>SUM(L14,L17,L20,L23,L25:L31,L38,L40,L41,L43)*(1+'Dados (F)'!$C$17)</f>
        <v>946331.10993066232</v>
      </c>
      <c r="M45" s="187">
        <f>SUM(M14,M17,M20,M23,M25:M31,M38,M40,M41,M43)*(1+'Dados (F)'!$C$17)</f>
        <v>1051111.0820469197</v>
      </c>
      <c r="N45" s="187">
        <f>SUM(N14,N17,N20,N23,N25:N31,N38,N40,N41,N43)*(1+'Dados (F)'!$C$17)</f>
        <v>1051247.0573040885</v>
      </c>
      <c r="O45" s="187">
        <f>SUM(O14,O17,O20,O23,O25:O31,O38,O40,O41,O43)*(1+'Dados (F)'!$C$17)</f>
        <v>1080853.2389439258</v>
      </c>
      <c r="P45" s="187">
        <f>SUM(P14,P17,P20,P23,P25:P31,P38,P40,P41,P43)*(1+'Dados (F)'!$C$17)</f>
        <v>920096.78923405893</v>
      </c>
      <c r="Q45" s="187">
        <f>SUM(Q14,Q17,Q20,Q23,Q25:Q31,Q38,Q40,Q41,Q43)*(1+'Dados (F)'!$C$17)</f>
        <v>922845.21336119564</v>
      </c>
      <c r="R45" s="187">
        <f>SUM(R14,R17,R20,R23,R25:R31,R38,R40,R41,R43)*(1+'Dados (F)'!$C$17)</f>
        <v>949838.94613106514</v>
      </c>
      <c r="S45" s="187">
        <f>SUM(S14,S17,S20,S23,S25:S31,S38,S40,S41,S43)*(1+'Dados (F)'!$C$17)</f>
        <v>1051111.0820469197</v>
      </c>
      <c r="T45" s="187">
        <f>SUM(T14,T17,T20,T23,T25:T31,T38,T40,T41,T43)*(1+'Dados (F)'!$C$17)</f>
        <v>1078811.3706888477</v>
      </c>
      <c r="U45" s="187">
        <f>SUM(U14,U17,U20,U23,U25:U31,U38,U40,U41,U43)*(1+'Dados (F)'!$C$17)</f>
        <v>920096.78923405893</v>
      </c>
      <c r="V45" s="187">
        <f>SUM(V14,V17,V20,V23,V25:V31,V38,V40,V41,V43)*(1+'Dados (F)'!$C$17)</f>
        <v>947797.07787598681</v>
      </c>
      <c r="W45" s="187">
        <f>SUM(W14,W17,W20,W23,W25:W31,W38,W40,W41,W43)*(1+'Dados (F)'!$C$17)</f>
        <v>972628.47568198631</v>
      </c>
      <c r="X45" s="187">
        <f>SUM(X14,X17,X20,X23,X25:X31,X38,X40,X41,X43)*(1+'Dados (F)'!$C$17)</f>
        <v>976398.66096304415</v>
      </c>
      <c r="Y45" s="187">
        <f>SUM(Y14,Y17,Y20,Y23,Y25:Y31,Y38,Y40,Y41,Y43)*(1+'Dados (F)'!$C$17)</f>
        <v>999261.83156992216</v>
      </c>
      <c r="Z45" s="187">
        <f>SUM(Z14,Z17,Z20,Z23,Z25:Z31,Z38,Z40,Z41,Z43)*(1+'Dados (F)'!$C$17)</f>
        <v>852628.56292265269</v>
      </c>
      <c r="AA45" s="187">
        <f>SUM(AA14,AA17,AA20,AA23,AA25:AA31,AA38,AA40,AA41,AA43)*(1+'Dados (F)'!$C$17)</f>
        <v>861388.47837979847</v>
      </c>
      <c r="AB45" s="187">
        <f>SUM(AB14,AB17,AB20,AB23,AB25:AB31,AB38,AB40,AB41,AB43)*(1+'Dados (F)'!$C$17)</f>
        <v>881786.8584940224</v>
      </c>
      <c r="AC45" s="187">
        <f>SUM(AC14,AC17,AC20,AC23,AC25:AC31,AC38,AC40,AC41,AC43)*(1+'Dados (F)'!$C$17)</f>
        <v>972628.47568198631</v>
      </c>
      <c r="AD45" s="187">
        <f>SUM(AD14,AD17,AD20,AD23,AD25:AD31,AD38,AD40,AD41,AD43)*(1+'Dados (F)'!$C$17)</f>
        <v>996052.45420846611</v>
      </c>
      <c r="AE45" s="187">
        <f>SUM(AE14,AE17,AE20,AE23,AE25:AE31,AE38,AE40,AE41,AE43)*(1+'Dados (F)'!$C$17)</f>
        <v>878443.43039965257</v>
      </c>
      <c r="AF45" s="188">
        <f>SUM(AF14,AF17,AF20,AF23,AF25:AF31,AF38,AF40,AF41,AF43)*(1+'Dados (F)'!$C$17)</f>
        <v>880765.88871937268</v>
      </c>
      <c r="AG45" s="22"/>
    </row>
    <row r="46" spans="1:33" x14ac:dyDescent="0.25">
      <c r="A46" s="112"/>
      <c r="B46" s="186" t="s">
        <v>742</v>
      </c>
      <c r="C46" s="187">
        <f>SUM(C15,C18,C21,C24,C32:C36,C39,C44)*(1+'Dados (F)'!$C$17)</f>
        <v>383036.64220356912</v>
      </c>
      <c r="D46" s="187">
        <f>SUM(D15,D18,D21,D24,D32:D36,D39,D44)*(1+'Dados (F)'!$C$17)</f>
        <v>271849.25287422002</v>
      </c>
      <c r="E46" s="187">
        <f>SUM(E15,E18,E21,E24,E32:E36,E39,E44)*(1+'Dados (F)'!$C$17)</f>
        <v>133257.25711558538</v>
      </c>
      <c r="F46" s="187">
        <f>SUM(F15,F18,F21,F24,F32:F36,F39,F44)*(1+'Dados (F)'!$C$17)</f>
        <v>383082.78138191317</v>
      </c>
      <c r="G46" s="187">
        <f>SUM(G15,G18,G21,G24,G32:G36,G39,G44)*(1+'Dados (F)'!$C$17)</f>
        <v>271864.840494212</v>
      </c>
      <c r="H46" s="187">
        <f>SUM(H15,H18,H21,H24,H32:H36,H39,H44)*(1+'Dados (F)'!$C$17)</f>
        <v>133348.22964754899</v>
      </c>
      <c r="I46" s="187">
        <f>SUM(I15,I18,I21,I24,I32:I36,I39,I44)*(1+'Dados (F)'!$C$17)</f>
        <v>386527.1728083191</v>
      </c>
      <c r="J46" s="187">
        <f>SUM(J15,J18,J21,J24,J32:J36,J39,J44)*(1+'Dados (F)'!$C$17)</f>
        <v>116142.26506289681</v>
      </c>
      <c r="K46" s="187">
        <f>SUM(K15,K18,K21,K24,K32:K36,K39,K44)*(1+'Dados (F)'!$C$17)</f>
        <v>386573.3119866632</v>
      </c>
      <c r="L46" s="187">
        <f>SUM(L15,L18,L21,L24,L32:L36,L39,L44)*(1+'Dados (F)'!$C$17)</f>
        <v>117719.60886306039</v>
      </c>
      <c r="M46" s="187">
        <f>SUM(M15,M18,M21,M24,M32:M36,M39,M44)*(1+'Dados (F)'!$C$17)</f>
        <v>345280.85523611546</v>
      </c>
      <c r="N46" s="187">
        <f>SUM(N15,N18,N21,N24,N32:N36,N39,N44)*(1+'Dados (F)'!$C$17)</f>
        <v>219099.18025830522</v>
      </c>
      <c r="O46" s="187">
        <f>SUM(O15,O18,O21,O24,O32:O36,O39,O44)*(1+'Dados (F)'!$C$17)</f>
        <v>135777.06902061959</v>
      </c>
      <c r="P46" s="187">
        <f>SUM(P15,P18,P21,P24,P32:P36,P39,P44)*(1+'Dados (F)'!$C$17)</f>
        <v>345280.85523611546</v>
      </c>
      <c r="Q46" s="187">
        <f>SUM(Q15,Q18,Q21,Q24,Q32:Q36,Q39,Q44)*(1+'Dados (F)'!$C$17)</f>
        <v>224696.08400685599</v>
      </c>
      <c r="R46" s="187">
        <f>SUM(R15,R18,R21,R24,R32:R36,R39,R44)*(1+'Dados (F)'!$C$17)</f>
        <v>135777.06902061959</v>
      </c>
      <c r="S46" s="187">
        <f>SUM(S15,S18,S21,S24,S32:S36,S39,S44)*(1+'Dados (F)'!$C$17)</f>
        <v>347102.58873841737</v>
      </c>
      <c r="T46" s="187">
        <f>SUM(T15,T18,T21,T24,T32:T36,T39,T44)*(1+'Dados (F)'!$C$17)</f>
        <v>129409.6313337618</v>
      </c>
      <c r="U46" s="187">
        <f>SUM(U15,U18,U21,U24,U32:U36,U39,U44)*(1+'Dados (F)'!$C$17)</f>
        <v>347102.58873841737</v>
      </c>
      <c r="V46" s="187">
        <f>SUM(V15,V18,V21,V24,V32:V36,V39,V44)*(1+'Dados (F)'!$C$17)</f>
        <v>129409.6313337618</v>
      </c>
      <c r="W46" s="187">
        <f>SUM(W15,W18,W21,W24,W32:W36,W39,W44)*(1+'Dados (F)'!$C$17)</f>
        <v>332717.79217733839</v>
      </c>
      <c r="X46" s="187">
        <f>SUM(X15,X18,X21,X24,X32:X36,X39,X44)*(1+'Dados (F)'!$C$17)</f>
        <v>210891.3844645776</v>
      </c>
      <c r="Y46" s="187">
        <f>SUM(Y15,Y18,Y21,Y24,Y32:Y36,Y39,Y44)*(1+'Dados (F)'!$C$17)</f>
        <v>122027.55316541999</v>
      </c>
      <c r="Z46" s="187">
        <f>SUM(Z15,Z18,Z21,Z24,Z32:Z36,Z39,Z44)*(1+'Dados (F)'!$C$17)</f>
        <v>330923.58098646841</v>
      </c>
      <c r="AA46" s="187">
        <f>SUM(AA15,AA18,AA21,AA24,AA32:AA36,AA39,AA44)*(1+'Dados (F)'!$C$17)</f>
        <v>213155.36642229758</v>
      </c>
      <c r="AB46" s="187">
        <f>SUM(AB15,AB18,AB21,AB24,AB32:AB36,AB39,AB44)*(1+'Dados (F)'!$C$17)</f>
        <v>122026.4287502904</v>
      </c>
      <c r="AC46" s="187">
        <f>SUM(AC15,AC18,AC21,AC24,AC32:AC36,AC39,AC44)*(1+'Dados (F)'!$C$17)</f>
        <v>334543.22302489477</v>
      </c>
      <c r="AD46" s="187">
        <f>SUM(AD15,AD18,AD21,AD24,AD32:AD36,AD39,AD44)*(1+'Dados (F)'!$C$17)</f>
        <v>117909.33236101602</v>
      </c>
      <c r="AE46" s="187">
        <f>SUM(AE15,AE18,AE21,AE24,AE32:AE36,AE39,AE44)*(1+'Dados (F)'!$C$17)</f>
        <v>267801.57663662481</v>
      </c>
      <c r="AF46" s="188">
        <f>SUM(AF15,AF18,AF21,AF24,AF32:AF36,AF39,AF44)*(1+'Dados (F)'!$C$17)</f>
        <v>119393.93164270601</v>
      </c>
      <c r="AG46" s="22"/>
    </row>
    <row r="47" spans="1:33" x14ac:dyDescent="0.25">
      <c r="A47" s="112"/>
      <c r="B47" s="189" t="s">
        <v>743</v>
      </c>
      <c r="C47" s="190">
        <f>SUM(C45:C46)</f>
        <v>1428730.9926455214</v>
      </c>
      <c r="D47" s="190">
        <f t="shared" ref="D47:AF47" si="6">SUM(D45:D46)</f>
        <v>1337376.5077509955</v>
      </c>
      <c r="E47" s="190">
        <f t="shared" si="6"/>
        <v>1218360.6999302884</v>
      </c>
      <c r="F47" s="190">
        <f t="shared" si="6"/>
        <v>1287471.3078987226</v>
      </c>
      <c r="G47" s="190">
        <f t="shared" si="6"/>
        <v>1196090.7423604745</v>
      </c>
      <c r="H47" s="190">
        <f t="shared" si="6"/>
        <v>1077284.7187703312</v>
      </c>
      <c r="I47" s="190">
        <f t="shared" si="6"/>
        <v>1432221.5232502713</v>
      </c>
      <c r="J47" s="190">
        <f t="shared" si="6"/>
        <v>1201337.0426401398</v>
      </c>
      <c r="K47" s="190">
        <f t="shared" si="6"/>
        <v>1290961.8385034727</v>
      </c>
      <c r="L47" s="190">
        <f t="shared" si="6"/>
        <v>1064050.7187937228</v>
      </c>
      <c r="M47" s="190">
        <f t="shared" si="6"/>
        <v>1396391.9372830351</v>
      </c>
      <c r="N47" s="190">
        <f t="shared" si="6"/>
        <v>1270346.2375623938</v>
      </c>
      <c r="O47" s="190">
        <f t="shared" si="6"/>
        <v>1216630.3079645454</v>
      </c>
      <c r="P47" s="190">
        <f t="shared" si="6"/>
        <v>1265377.6444701743</v>
      </c>
      <c r="Q47" s="190">
        <f t="shared" si="6"/>
        <v>1147541.2973680517</v>
      </c>
      <c r="R47" s="190">
        <f t="shared" si="6"/>
        <v>1085616.0151516846</v>
      </c>
      <c r="S47" s="190">
        <f t="shared" si="6"/>
        <v>1398213.6707853372</v>
      </c>
      <c r="T47" s="190">
        <f t="shared" si="6"/>
        <v>1208221.0020226096</v>
      </c>
      <c r="U47" s="190">
        <f t="shared" si="6"/>
        <v>1267199.3779724762</v>
      </c>
      <c r="V47" s="190">
        <f t="shared" si="6"/>
        <v>1077206.7092097485</v>
      </c>
      <c r="W47" s="190">
        <f t="shared" si="6"/>
        <v>1305346.2678593248</v>
      </c>
      <c r="X47" s="190">
        <f t="shared" si="6"/>
        <v>1187290.0454276218</v>
      </c>
      <c r="Y47" s="190">
        <f t="shared" si="6"/>
        <v>1121289.3847353421</v>
      </c>
      <c r="Z47" s="190">
        <f t="shared" si="6"/>
        <v>1183552.1439091212</v>
      </c>
      <c r="AA47" s="190">
        <f t="shared" si="6"/>
        <v>1074543.844802096</v>
      </c>
      <c r="AB47" s="190">
        <f t="shared" si="6"/>
        <v>1003813.2872443128</v>
      </c>
      <c r="AC47" s="190">
        <f t="shared" si="6"/>
        <v>1307171.6987068811</v>
      </c>
      <c r="AD47" s="190">
        <f t="shared" si="6"/>
        <v>1113961.7865694822</v>
      </c>
      <c r="AE47" s="190">
        <f t="shared" si="6"/>
        <v>1146245.0070362773</v>
      </c>
      <c r="AF47" s="191">
        <f t="shared" si="6"/>
        <v>1000159.8203620787</v>
      </c>
      <c r="AG47" s="22"/>
    </row>
    <row r="48" spans="1:33" x14ac:dyDescent="0.25">
      <c r="A48" s="112"/>
      <c r="B48" s="137" t="s">
        <v>582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3"/>
      <c r="AG48" s="22"/>
    </row>
    <row r="49" spans="1:33" x14ac:dyDescent="0.25">
      <c r="A49" s="112"/>
      <c r="B49" s="120" t="s">
        <v>784</v>
      </c>
      <c r="C49" s="177">
        <f>SUM('Custos (B1)'!F572)*12</f>
        <v>43545.600000000006</v>
      </c>
      <c r="D49" s="177">
        <f>SUM('Custos (B1)'!G572)*12</f>
        <v>43545.600000000006</v>
      </c>
      <c r="E49" s="177">
        <f>SUM('Custos (B1)'!H572)*12</f>
        <v>43545.600000000006</v>
      </c>
      <c r="F49" s="177">
        <f>SUM('Custos (B1)'!I572)*12</f>
        <v>43545.600000000006</v>
      </c>
      <c r="G49" s="177">
        <f>SUM('Custos (B1)'!J572)*12</f>
        <v>43545.600000000006</v>
      </c>
      <c r="H49" s="177">
        <f>SUM('Custos (B1)'!K572)*12</f>
        <v>43545.600000000006</v>
      </c>
      <c r="I49" s="177">
        <f>SUM('Custos (B1)'!L572)*12</f>
        <v>43545.600000000006</v>
      </c>
      <c r="J49" s="177">
        <f>SUM('Custos (B1)'!M572)*12</f>
        <v>43545.600000000006</v>
      </c>
      <c r="K49" s="177">
        <f>SUM('Custos (B1)'!N572)*12</f>
        <v>43545.600000000006</v>
      </c>
      <c r="L49" s="177">
        <f>SUM('Custos (B1)'!O572)*12</f>
        <v>43545.600000000006</v>
      </c>
      <c r="M49" s="177">
        <f>SUM('Custos (B1)'!P572)*12</f>
        <v>43545.600000000006</v>
      </c>
      <c r="N49" s="177">
        <f>SUM('Custos (B1)'!Q572)*12</f>
        <v>43545.600000000006</v>
      </c>
      <c r="O49" s="177">
        <f>SUM('Custos (B1)'!R572)*12</f>
        <v>43545.600000000006</v>
      </c>
      <c r="P49" s="177">
        <f>SUM('Custos (B1)'!S572)*12</f>
        <v>43545.600000000006</v>
      </c>
      <c r="Q49" s="177">
        <f>SUM('Custos (B1)'!T572)*12</f>
        <v>43545.600000000006</v>
      </c>
      <c r="R49" s="177">
        <f>SUM('Custos (B1)'!U572)*12</f>
        <v>43545.600000000006</v>
      </c>
      <c r="S49" s="177">
        <f>SUM('Custos (B1)'!V572)*12</f>
        <v>43545.600000000006</v>
      </c>
      <c r="T49" s="177">
        <f>SUM('Custos (B1)'!W572)*12</f>
        <v>43545.600000000006</v>
      </c>
      <c r="U49" s="177">
        <f>SUM('Custos (B1)'!X572)*12</f>
        <v>43545.600000000006</v>
      </c>
      <c r="V49" s="177">
        <f>SUM('Custos (B1)'!Y572)*12</f>
        <v>43545.600000000006</v>
      </c>
      <c r="W49" s="177">
        <f>SUM('Custos (B1)'!Z572)*12</f>
        <v>43545.600000000006</v>
      </c>
      <c r="X49" s="177">
        <f>SUM('Custos (B1)'!AA572)*12</f>
        <v>43545.600000000006</v>
      </c>
      <c r="Y49" s="177">
        <f>SUM('Custos (B1)'!AB572)*12</f>
        <v>43545.600000000006</v>
      </c>
      <c r="Z49" s="177">
        <f>SUM('Custos (B1)'!AC572)*12</f>
        <v>43545.600000000006</v>
      </c>
      <c r="AA49" s="177">
        <f>SUM('Custos (B1)'!AD572)*12</f>
        <v>43545.600000000006</v>
      </c>
      <c r="AB49" s="177">
        <f>SUM('Custos (B1)'!AE572)*12</f>
        <v>43545.600000000006</v>
      </c>
      <c r="AC49" s="177">
        <f>SUM('Custos (B1)'!AF572)*12</f>
        <v>43545.600000000006</v>
      </c>
      <c r="AD49" s="177">
        <f>SUM('Custos (B1)'!AG572)*12</f>
        <v>43545.600000000006</v>
      </c>
      <c r="AE49" s="177">
        <f>SUM('Custos (B1)'!AH572)*12</f>
        <v>43545.600000000006</v>
      </c>
      <c r="AF49" s="178">
        <f>SUM('Custos (B1)'!AI572)*12</f>
        <v>43545.600000000006</v>
      </c>
      <c r="AG49" s="22"/>
    </row>
    <row r="50" spans="1:33" x14ac:dyDescent="0.25">
      <c r="A50" s="112"/>
      <c r="B50" s="120" t="s">
        <v>785</v>
      </c>
      <c r="C50" s="177">
        <f>SUM('Custos (B1)'!F574,'Custos (B1)'!F576)*12+'Custos (B1)'!F575</f>
        <v>12588.01584</v>
      </c>
      <c r="D50" s="177">
        <f>SUM('Custos (B1)'!G574,'Custos (B1)'!G576)*12+'Custos (B1)'!G575</f>
        <v>12588.01584</v>
      </c>
      <c r="E50" s="177">
        <f>SUM('Custos (B1)'!H574,'Custos (B1)'!H576)*12+'Custos (B1)'!H575</f>
        <v>9478.0030799999986</v>
      </c>
      <c r="F50" s="177">
        <f>SUM('Custos (B1)'!I574,'Custos (B1)'!I576)*12+'Custos (B1)'!I575</f>
        <v>12588.01584</v>
      </c>
      <c r="G50" s="177">
        <f>SUM('Custos (B1)'!J574,'Custos (B1)'!J576)*12+'Custos (B1)'!J575</f>
        <v>12588.01584</v>
      </c>
      <c r="H50" s="177">
        <f>SUM('Custos (B1)'!K574,'Custos (B1)'!K576)*12+'Custos (B1)'!K575</f>
        <v>9478.0030799999986</v>
      </c>
      <c r="I50" s="177">
        <f>SUM('Custos (B1)'!L574,'Custos (B1)'!L576)*12+'Custos (B1)'!L575</f>
        <v>12588.01584</v>
      </c>
      <c r="J50" s="177">
        <f>SUM('Custos (B1)'!M574,'Custos (B1)'!M576)*12+'Custos (B1)'!M575</f>
        <v>9478.0030799999986</v>
      </c>
      <c r="K50" s="177">
        <f>SUM('Custos (B1)'!N574,'Custos (B1)'!N576)*12+'Custos (B1)'!N575</f>
        <v>12588.01584</v>
      </c>
      <c r="L50" s="177">
        <f>SUM('Custos (B1)'!O574,'Custos (B1)'!O576)*12+'Custos (B1)'!O575</f>
        <v>9478.0030799999986</v>
      </c>
      <c r="M50" s="177">
        <f>SUM('Custos (B1)'!P574,'Custos (B1)'!P576)*12+'Custos (B1)'!P575</f>
        <v>7649.9668709999996</v>
      </c>
      <c r="N50" s="177">
        <f>SUM('Custos (B1)'!Q574,'Custos (B1)'!Q576)*12+'Custos (B1)'!Q575</f>
        <v>9346.1008709999987</v>
      </c>
      <c r="O50" s="177">
        <f>SUM('Custos (B1)'!R574,'Custos (B1)'!R576)*12+'Custos (B1)'!R575</f>
        <v>11031.84</v>
      </c>
      <c r="P50" s="177">
        <f>SUM('Custos (B1)'!S574,'Custos (B1)'!S576)*12+'Custos (B1)'!S575</f>
        <v>7649.9668709999996</v>
      </c>
      <c r="Q50" s="177">
        <f>SUM('Custos (B1)'!T574,'Custos (B1)'!T576)*12+'Custos (B1)'!T575</f>
        <v>9346.1008709999987</v>
      </c>
      <c r="R50" s="177">
        <f>SUM('Custos (B1)'!U574,'Custos (B1)'!U576)*12+'Custos (B1)'!U575</f>
        <v>11031.84</v>
      </c>
      <c r="S50" s="177">
        <f>SUM('Custos (B1)'!V574,'Custos (B1)'!V576)*12+'Custos (B1)'!V575</f>
        <v>7649.9668709999996</v>
      </c>
      <c r="T50" s="177">
        <f>SUM('Custos (B1)'!W574,'Custos (B1)'!W576)*12+'Custos (B1)'!W575</f>
        <v>11031.84</v>
      </c>
      <c r="U50" s="177">
        <f>SUM('Custos (B1)'!X574,'Custos (B1)'!X576)*12+'Custos (B1)'!X575</f>
        <v>7649.9668709999996</v>
      </c>
      <c r="V50" s="177">
        <f>SUM('Custos (B1)'!Y574,'Custos (B1)'!Y576)*12+'Custos (B1)'!Y575</f>
        <v>11031.84</v>
      </c>
      <c r="W50" s="177">
        <f>SUM('Custos (B1)'!Z574,'Custos (B1)'!Z576)*12+'Custos (B1)'!Z575</f>
        <v>7615.8991289999994</v>
      </c>
      <c r="X50" s="177">
        <f>SUM('Custos (B1)'!AA574,'Custos (B1)'!AA576)*12+'Custos (B1)'!AA575</f>
        <v>7615.8991289999994</v>
      </c>
      <c r="Y50" s="177">
        <f>SUM('Custos (B1)'!AB574,'Custos (B1)'!AB576)*12+'Custos (B1)'!AB575</f>
        <v>8409.24</v>
      </c>
      <c r="Z50" s="177">
        <f>SUM('Custos (B1)'!AC574,'Custos (B1)'!AC576)*12+'Custos (B1)'!AC575</f>
        <v>7615.8991289999994</v>
      </c>
      <c r="AA50" s="177">
        <f>SUM('Custos (B1)'!AD574,'Custos (B1)'!AD576)*12+'Custos (B1)'!AD575</f>
        <v>7615.8991289999994</v>
      </c>
      <c r="AB50" s="177">
        <f>SUM('Custos (B1)'!AE574,'Custos (B1)'!AE576)*12+'Custos (B1)'!AE575</f>
        <v>8409.24</v>
      </c>
      <c r="AC50" s="177">
        <f>SUM('Custos (B1)'!AF574,'Custos (B1)'!AF576)*12+'Custos (B1)'!AF575</f>
        <v>7615.8991289999994</v>
      </c>
      <c r="AD50" s="177">
        <f>SUM('Custos (B1)'!AG574,'Custos (B1)'!AG576)*12+'Custos (B1)'!AG575</f>
        <v>8409.24</v>
      </c>
      <c r="AE50" s="177">
        <f>SUM('Custos (B1)'!AH574,'Custos (B1)'!AH576)*12+'Custos (B1)'!AH575</f>
        <v>7615.8991289999994</v>
      </c>
      <c r="AF50" s="178">
        <f>SUM('Custos (B1)'!AI574,'Custos (B1)'!AI576)*12+'Custos (B1)'!AI575</f>
        <v>8409.24</v>
      </c>
      <c r="AG50" s="22"/>
    </row>
    <row r="51" spans="1:33" x14ac:dyDescent="0.25">
      <c r="A51" s="112"/>
      <c r="B51" s="120" t="s">
        <v>786</v>
      </c>
      <c r="C51" s="177">
        <f>SUM('Custos (B1)'!F578:F581)*12</f>
        <v>49679.999999999585</v>
      </c>
      <c r="D51" s="177">
        <f>SUM('Custos (B1)'!G578:G581)*12</f>
        <v>49680</v>
      </c>
      <c r="E51" s="177">
        <f>SUM('Custos (B1)'!H578:H581)*12</f>
        <v>41371.200000000004</v>
      </c>
      <c r="F51" s="177">
        <f>SUM('Custos (B1)'!I578:I581)*12</f>
        <v>49679.999999999585</v>
      </c>
      <c r="G51" s="177">
        <f>SUM('Custos (B1)'!J578:J581)*12</f>
        <v>49680</v>
      </c>
      <c r="H51" s="177">
        <f>SUM('Custos (B1)'!K578:K581)*12</f>
        <v>41371.200000000004</v>
      </c>
      <c r="I51" s="177">
        <f>SUM('Custos (B1)'!L578:L581)*12</f>
        <v>49679.999999999585</v>
      </c>
      <c r="J51" s="177">
        <f>SUM('Custos (B1)'!M578:M581)*12</f>
        <v>41371.200000000004</v>
      </c>
      <c r="K51" s="177">
        <f>SUM('Custos (B1)'!N578:N581)*12</f>
        <v>49679.999999999585</v>
      </c>
      <c r="L51" s="177">
        <f>SUM('Custos (B1)'!O578:O581)*12</f>
        <v>41371.200000000004</v>
      </c>
      <c r="M51" s="177">
        <f>SUM('Custos (B1)'!P578:P581)*12</f>
        <v>41371.200000000004</v>
      </c>
      <c r="N51" s="177">
        <f>SUM('Custos (B1)'!Q578:Q581)*12</f>
        <v>41371.200000000004</v>
      </c>
      <c r="O51" s="177">
        <f>SUM('Custos (B1)'!R578:R581)*12</f>
        <v>41371.200000000004</v>
      </c>
      <c r="P51" s="177">
        <f>SUM('Custos (B1)'!S578:S581)*12</f>
        <v>41371.200000000004</v>
      </c>
      <c r="Q51" s="177">
        <f>SUM('Custos (B1)'!T578:T581)*12</f>
        <v>41371.200000000004</v>
      </c>
      <c r="R51" s="177">
        <f>SUM('Custos (B1)'!U578:U581)*12</f>
        <v>41371.200000000004</v>
      </c>
      <c r="S51" s="177">
        <f>SUM('Custos (B1)'!V578:V581)*12</f>
        <v>41371.200000000004</v>
      </c>
      <c r="T51" s="177">
        <f>SUM('Custos (B1)'!W578:W581)*12</f>
        <v>41371.200000000004</v>
      </c>
      <c r="U51" s="177">
        <f>SUM('Custos (B1)'!X578:X581)*12</f>
        <v>41371.200000000004</v>
      </c>
      <c r="V51" s="177">
        <f>SUM('Custos (B1)'!Y578:Y581)*12</f>
        <v>41371.200000000004</v>
      </c>
      <c r="W51" s="177">
        <f>SUM('Custos (B1)'!Z578:Z581)*12</f>
        <v>41371.200000000004</v>
      </c>
      <c r="X51" s="177">
        <f>SUM('Custos (B1)'!AA578:AA581)*12</f>
        <v>41371.200000000004</v>
      </c>
      <c r="Y51" s="177">
        <f>SUM('Custos (B1)'!AB578:AB581)*12</f>
        <v>41371.200000000004</v>
      </c>
      <c r="Z51" s="177">
        <f>SUM('Custos (B1)'!AC578:AC581)*12</f>
        <v>41371.200000000004</v>
      </c>
      <c r="AA51" s="177">
        <f>SUM('Custos (B1)'!AD578:AD581)*12</f>
        <v>41371.200000000004</v>
      </c>
      <c r="AB51" s="177">
        <f>SUM('Custos (B1)'!AE578:AE581)*12</f>
        <v>41371.200000000004</v>
      </c>
      <c r="AC51" s="177">
        <f>SUM('Custos (B1)'!AF578:AF581)*12</f>
        <v>41371.200000000004</v>
      </c>
      <c r="AD51" s="177">
        <f>SUM('Custos (B1)'!AG578:AG581)*12</f>
        <v>41371.200000000004</v>
      </c>
      <c r="AE51" s="177">
        <f>SUM('Custos (B1)'!AH578:AH581)*12</f>
        <v>41371.200000000004</v>
      </c>
      <c r="AF51" s="178">
        <f>SUM('Custos (B1)'!AI578:AI581)*12</f>
        <v>41371.200000000004</v>
      </c>
      <c r="AG51" s="22"/>
    </row>
    <row r="52" spans="1:33" x14ac:dyDescent="0.25">
      <c r="A52" s="112"/>
      <c r="B52" s="120" t="s">
        <v>827</v>
      </c>
      <c r="C52" s="177">
        <f>SUM(C53:C54)</f>
        <v>6220.5494400000007</v>
      </c>
      <c r="D52" s="177">
        <f t="shared" ref="D52:AF52" si="7">SUM(D53:D54)</f>
        <v>5521.0512000000008</v>
      </c>
      <c r="E52" s="177">
        <f t="shared" si="7"/>
        <v>10327.195200000002</v>
      </c>
      <c r="F52" s="177">
        <f t="shared" si="7"/>
        <v>6220.5494400000007</v>
      </c>
      <c r="G52" s="177">
        <f t="shared" si="7"/>
        <v>5521.0512000000008</v>
      </c>
      <c r="H52" s="177">
        <f t="shared" si="7"/>
        <v>10327.195200000002</v>
      </c>
      <c r="I52" s="177">
        <f t="shared" si="7"/>
        <v>6220.5494400000007</v>
      </c>
      <c r="J52" s="177">
        <f t="shared" si="7"/>
        <v>10327.195200000002</v>
      </c>
      <c r="K52" s="177">
        <f t="shared" si="7"/>
        <v>6220.5494400000007</v>
      </c>
      <c r="L52" s="177">
        <f t="shared" si="7"/>
        <v>10327.195200000002</v>
      </c>
      <c r="M52" s="177">
        <f t="shared" si="7"/>
        <v>6835.9200000000019</v>
      </c>
      <c r="N52" s="177">
        <f t="shared" si="7"/>
        <v>6136.4352000000017</v>
      </c>
      <c r="O52" s="177">
        <f t="shared" si="7"/>
        <v>10942.579200000002</v>
      </c>
      <c r="P52" s="177">
        <f t="shared" si="7"/>
        <v>6835.9200000000019</v>
      </c>
      <c r="Q52" s="177">
        <f t="shared" si="7"/>
        <v>6136.4352000000017</v>
      </c>
      <c r="R52" s="177">
        <f t="shared" si="7"/>
        <v>10942.579200000002</v>
      </c>
      <c r="S52" s="177">
        <f t="shared" si="7"/>
        <v>6835.9200000000019</v>
      </c>
      <c r="T52" s="177">
        <f t="shared" si="7"/>
        <v>10942.579200000002</v>
      </c>
      <c r="U52" s="177">
        <f t="shared" si="7"/>
        <v>6835.9200000000019</v>
      </c>
      <c r="V52" s="177">
        <f t="shared" si="7"/>
        <v>10942.579200000002</v>
      </c>
      <c r="W52" s="177">
        <f t="shared" si="7"/>
        <v>6835.8863999999994</v>
      </c>
      <c r="X52" s="177">
        <f t="shared" si="7"/>
        <v>6136.4016000000001</v>
      </c>
      <c r="Y52" s="177">
        <f t="shared" si="7"/>
        <v>9652.3055999999997</v>
      </c>
      <c r="Z52" s="177">
        <f t="shared" si="7"/>
        <v>6835.8863999999994</v>
      </c>
      <c r="AA52" s="177">
        <f t="shared" si="7"/>
        <v>6136.4016000000001</v>
      </c>
      <c r="AB52" s="177">
        <f t="shared" si="7"/>
        <v>9652.3055999999997</v>
      </c>
      <c r="AC52" s="177">
        <f t="shared" si="7"/>
        <v>6835.8863999999994</v>
      </c>
      <c r="AD52" s="177">
        <f t="shared" si="7"/>
        <v>9652.3055999999997</v>
      </c>
      <c r="AE52" s="177">
        <f t="shared" si="7"/>
        <v>6835.8863999999994</v>
      </c>
      <c r="AF52" s="178">
        <f t="shared" si="7"/>
        <v>9652.3055999999997</v>
      </c>
      <c r="AG52" s="22"/>
    </row>
    <row r="53" spans="1:33" x14ac:dyDescent="0.25">
      <c r="A53" s="112"/>
      <c r="B53" s="179" t="s">
        <v>828</v>
      </c>
      <c r="C53" s="180">
        <f>SUM('Custos (B1)'!F584:F589)*12</f>
        <v>4359.8486400000002</v>
      </c>
      <c r="D53" s="180">
        <f>SUM('Custos (B1)'!G584:G589)*12</f>
        <v>5521.0512000000008</v>
      </c>
      <c r="E53" s="180">
        <f>SUM('Custos (B1)'!H584:H589)*12</f>
        <v>4359.8352000000004</v>
      </c>
      <c r="F53" s="180">
        <f>SUM('Custos (B1)'!I584:I589)*12</f>
        <v>4359.8486400000002</v>
      </c>
      <c r="G53" s="180">
        <f>SUM('Custos (B1)'!J584:J589)*12</f>
        <v>5521.0512000000008</v>
      </c>
      <c r="H53" s="180">
        <f>SUM('Custos (B1)'!K584:K589)*12</f>
        <v>4359.8352000000004</v>
      </c>
      <c r="I53" s="180">
        <f>SUM('Custos (B1)'!L584:L589)*12</f>
        <v>4359.8486400000002</v>
      </c>
      <c r="J53" s="180">
        <f>SUM('Custos (B1)'!M584:M589)*12</f>
        <v>4359.8352000000004</v>
      </c>
      <c r="K53" s="180">
        <f>SUM('Custos (B1)'!N584:N589)*12</f>
        <v>4359.8486400000002</v>
      </c>
      <c r="L53" s="180">
        <f>SUM('Custos (B1)'!O584:O589)*12</f>
        <v>4359.8352000000004</v>
      </c>
      <c r="M53" s="180">
        <f>SUM('Custos (B1)'!P584:P589)*12</f>
        <v>4975.2192000000014</v>
      </c>
      <c r="N53" s="180">
        <f>SUM('Custos (B1)'!Q584:Q589)*12</f>
        <v>6136.4352000000017</v>
      </c>
      <c r="O53" s="180">
        <f>SUM('Custos (B1)'!R584:R589)*12</f>
        <v>4975.2192000000014</v>
      </c>
      <c r="P53" s="180">
        <f>SUM('Custos (B1)'!S584:S589)*12</f>
        <v>4975.2192000000014</v>
      </c>
      <c r="Q53" s="180">
        <f>SUM('Custos (B1)'!T584:T589)*12</f>
        <v>6136.4352000000017</v>
      </c>
      <c r="R53" s="180">
        <f>SUM('Custos (B1)'!U584:U589)*12</f>
        <v>4975.2192000000014</v>
      </c>
      <c r="S53" s="180">
        <f>SUM('Custos (B1)'!V584:V589)*12</f>
        <v>4975.2192000000014</v>
      </c>
      <c r="T53" s="180">
        <f>SUM('Custos (B1)'!W584:W589)*12</f>
        <v>4975.2192000000014</v>
      </c>
      <c r="U53" s="180">
        <f>SUM('Custos (B1)'!X584:X589)*12</f>
        <v>4975.2192000000014</v>
      </c>
      <c r="V53" s="180">
        <f>SUM('Custos (B1)'!Y584:Y589)*12</f>
        <v>4975.2192000000014</v>
      </c>
      <c r="W53" s="180">
        <f>SUM('Custos (B1)'!Z584:Z589)*12</f>
        <v>4975.1855999999998</v>
      </c>
      <c r="X53" s="180">
        <f>SUM('Custos (B1)'!AA584:AA589)*12</f>
        <v>6136.4016000000001</v>
      </c>
      <c r="Y53" s="180">
        <f>SUM('Custos (B1)'!AB584:AB589)*12</f>
        <v>4975.1855999999998</v>
      </c>
      <c r="Z53" s="180">
        <f>SUM('Custos (B1)'!AC584:AC589)*12</f>
        <v>4975.1855999999998</v>
      </c>
      <c r="AA53" s="180">
        <f>SUM('Custos (B1)'!AD584:AD589)*12</f>
        <v>6136.4016000000001</v>
      </c>
      <c r="AB53" s="180">
        <f>SUM('Custos (B1)'!AE584:AE589)*12</f>
        <v>4975.1855999999998</v>
      </c>
      <c r="AC53" s="180">
        <f>SUM('Custos (B1)'!AF584:AF589)*12</f>
        <v>4975.1855999999998</v>
      </c>
      <c r="AD53" s="180">
        <f>SUM('Custos (B1)'!AG584:AG589)*12</f>
        <v>4975.1855999999998</v>
      </c>
      <c r="AE53" s="180">
        <f>SUM('Custos (B1)'!AH584:AH589)*12</f>
        <v>4975.1855999999998</v>
      </c>
      <c r="AF53" s="181">
        <f>SUM('Custos (B1)'!AI584:AI589)*12</f>
        <v>4975.1855999999998</v>
      </c>
      <c r="AG53" s="22"/>
    </row>
    <row r="54" spans="1:33" x14ac:dyDescent="0.25">
      <c r="A54" s="112"/>
      <c r="B54" s="179" t="s">
        <v>829</v>
      </c>
      <c r="C54" s="180">
        <f>SUM('Custos (B1)'!F591:F595)*12</f>
        <v>1860.7008000000001</v>
      </c>
      <c r="D54" s="180">
        <f>SUM('Custos (B1)'!G591:G595)*12</f>
        <v>0</v>
      </c>
      <c r="E54" s="180">
        <f>SUM('Custos (B1)'!H591:H595)*12</f>
        <v>5967.3600000000006</v>
      </c>
      <c r="F54" s="180">
        <f>SUM('Custos (B1)'!I591:I595)*12</f>
        <v>1860.7008000000001</v>
      </c>
      <c r="G54" s="180">
        <f>SUM('Custos (B1)'!J591:J595)*12</f>
        <v>0</v>
      </c>
      <c r="H54" s="180">
        <f>SUM('Custos (B1)'!K591:K595)*12</f>
        <v>5967.3600000000006</v>
      </c>
      <c r="I54" s="180">
        <f>SUM('Custos (B1)'!L591:L595)*12</f>
        <v>1860.7008000000001</v>
      </c>
      <c r="J54" s="180">
        <f>SUM('Custos (B1)'!M591:M595)*12</f>
        <v>5967.3600000000006</v>
      </c>
      <c r="K54" s="180">
        <f>SUM('Custos (B1)'!N591:N595)*12</f>
        <v>1860.7008000000001</v>
      </c>
      <c r="L54" s="180">
        <f>SUM('Custos (B1)'!O591:O595)*12</f>
        <v>5967.3600000000006</v>
      </c>
      <c r="M54" s="180">
        <f>SUM('Custos (B1)'!P591:P595)*12</f>
        <v>1860.7008000000001</v>
      </c>
      <c r="N54" s="180">
        <f>SUM('Custos (B1)'!Q591:Q595)*12</f>
        <v>0</v>
      </c>
      <c r="O54" s="180">
        <f>SUM('Custos (B1)'!R591:R595)*12</f>
        <v>5967.3600000000006</v>
      </c>
      <c r="P54" s="180">
        <f>SUM('Custos (B1)'!S591:S595)*12</f>
        <v>1860.7008000000001</v>
      </c>
      <c r="Q54" s="180">
        <f>SUM('Custos (B1)'!T591:T595)*12</f>
        <v>0</v>
      </c>
      <c r="R54" s="180">
        <f>SUM('Custos (B1)'!U591:U595)*12</f>
        <v>5967.3600000000006</v>
      </c>
      <c r="S54" s="180">
        <f>SUM('Custos (B1)'!V591:V595)*12</f>
        <v>1860.7008000000001</v>
      </c>
      <c r="T54" s="180">
        <f>SUM('Custos (B1)'!W591:W595)*12</f>
        <v>5967.3600000000006</v>
      </c>
      <c r="U54" s="180">
        <f>SUM('Custos (B1)'!X591:X595)*12</f>
        <v>1860.7008000000001</v>
      </c>
      <c r="V54" s="180">
        <f>SUM('Custos (B1)'!Y591:Y595)*12</f>
        <v>5967.3600000000006</v>
      </c>
      <c r="W54" s="180">
        <f>SUM('Custos (B1)'!Z591:Z595)*12</f>
        <v>1860.7008000000001</v>
      </c>
      <c r="X54" s="180">
        <f>SUM('Custos (B1)'!AA591:AA595)*12</f>
        <v>0</v>
      </c>
      <c r="Y54" s="180">
        <f>SUM('Custos (B1)'!AB591:AB595)*12</f>
        <v>4677.12</v>
      </c>
      <c r="Z54" s="180">
        <f>SUM('Custos (B1)'!AC591:AC595)*12</f>
        <v>1860.7008000000001</v>
      </c>
      <c r="AA54" s="180">
        <f>SUM('Custos (B1)'!AD591:AD595)*12</f>
        <v>0</v>
      </c>
      <c r="AB54" s="180">
        <f>SUM('Custos (B1)'!AE591:AE595)*12</f>
        <v>4677.12</v>
      </c>
      <c r="AC54" s="180">
        <f>SUM('Custos (B1)'!AF591:AF595)*12</f>
        <v>1860.7008000000001</v>
      </c>
      <c r="AD54" s="180">
        <f>SUM('Custos (B1)'!AG591:AG595)*12</f>
        <v>4677.12</v>
      </c>
      <c r="AE54" s="180">
        <f>SUM('Custos (B1)'!AH591:AH595)*12</f>
        <v>1860.7008000000001</v>
      </c>
      <c r="AF54" s="181">
        <f>SUM('Custos (B1)'!AI591:AI595)*12</f>
        <v>4677.12</v>
      </c>
      <c r="AG54" s="22"/>
    </row>
    <row r="55" spans="1:33" x14ac:dyDescent="0.25">
      <c r="A55" s="112"/>
      <c r="B55" s="120" t="s">
        <v>830</v>
      </c>
      <c r="C55" s="177">
        <f>SUM('Custos (B1)'!F597:F602)*12*(1+'Dados (F)'!$C$18)</f>
        <v>477355.10111999995</v>
      </c>
      <c r="D55" s="177">
        <f>SUM('Custos (B1)'!G597:G602)*12*(1+'Dados (F)'!$C$18)</f>
        <v>477355.10111999995</v>
      </c>
      <c r="E55" s="177">
        <f>SUM('Custos (B1)'!H597:H602)*12*(1+'Dados (F)'!$C$18)</f>
        <v>477355.10111999995</v>
      </c>
      <c r="F55" s="177">
        <f>SUM('Custos (B1)'!I597:I602)*12*(1+'Dados (F)'!$C$18)</f>
        <v>477355.10111999995</v>
      </c>
      <c r="G55" s="177">
        <f>SUM('Custos (B1)'!J597:J602)*12*(1+'Dados (F)'!$C$18)</f>
        <v>477355.10111999995</v>
      </c>
      <c r="H55" s="177">
        <f>SUM('Custos (B1)'!K597:K602)*12*(1+'Dados (F)'!$C$18)</f>
        <v>477355.10111999995</v>
      </c>
      <c r="I55" s="177">
        <f>SUM('Custos (B1)'!L597:L602)*12*(1+'Dados (F)'!$C$18)</f>
        <v>477355.10111999995</v>
      </c>
      <c r="J55" s="177">
        <f>SUM('Custos (B1)'!M597:M602)*12*(1+'Dados (F)'!$C$18)</f>
        <v>477355.10111999995</v>
      </c>
      <c r="K55" s="177">
        <f>SUM('Custos (B1)'!N597:N602)*12*(1+'Dados (F)'!$C$18)</f>
        <v>477355.10111999995</v>
      </c>
      <c r="L55" s="177">
        <f>SUM('Custos (B1)'!O597:O602)*12*(1+'Dados (F)'!$C$18)</f>
        <v>477355.10111999995</v>
      </c>
      <c r="M55" s="177">
        <f>SUM('Custos (B1)'!P597:P602)*12*(1+'Dados (F)'!$C$18)</f>
        <v>477355.10111999995</v>
      </c>
      <c r="N55" s="177">
        <f>SUM('Custos (B1)'!Q597:Q602)*12*(1+'Dados (F)'!$C$18)</f>
        <v>477355.10111999995</v>
      </c>
      <c r="O55" s="177">
        <f>SUM('Custos (B1)'!R597:R602)*12*(1+'Dados (F)'!$C$18)</f>
        <v>477355.10111999995</v>
      </c>
      <c r="P55" s="177">
        <f>SUM('Custos (B1)'!S597:S602)*12*(1+'Dados (F)'!$C$18)</f>
        <v>477355.10111999995</v>
      </c>
      <c r="Q55" s="177">
        <f>SUM('Custos (B1)'!T597:T602)*12*(1+'Dados (F)'!$C$18)</f>
        <v>477355.10111999995</v>
      </c>
      <c r="R55" s="177">
        <f>SUM('Custos (B1)'!U597:U602)*12*(1+'Dados (F)'!$C$18)</f>
        <v>477355.10111999995</v>
      </c>
      <c r="S55" s="177">
        <f>SUM('Custos (B1)'!V597:V602)*12*(1+'Dados (F)'!$C$18)</f>
        <v>477355.10111999995</v>
      </c>
      <c r="T55" s="177">
        <f>SUM('Custos (B1)'!W597:W602)*12*(1+'Dados (F)'!$C$18)</f>
        <v>477355.10111999995</v>
      </c>
      <c r="U55" s="177">
        <f>SUM('Custos (B1)'!X597:X602)*12*(1+'Dados (F)'!$C$18)</f>
        <v>477355.10111999995</v>
      </c>
      <c r="V55" s="177">
        <f>SUM('Custos (B1)'!Y597:Y602)*12*(1+'Dados (F)'!$C$18)</f>
        <v>477355.10111999995</v>
      </c>
      <c r="W55" s="177">
        <f>SUM('Custos (B1)'!Z597:Z602)*12*(1+'Dados (F)'!$C$18)</f>
        <v>477355.10111999995</v>
      </c>
      <c r="X55" s="177">
        <f>SUM('Custos (B1)'!AA597:AA602)*12*(1+'Dados (F)'!$C$18)</f>
        <v>477355.10111999995</v>
      </c>
      <c r="Y55" s="177">
        <f>SUM('Custos (B1)'!AB597:AB602)*12*(1+'Dados (F)'!$C$18)</f>
        <v>477355.10111999995</v>
      </c>
      <c r="Z55" s="177">
        <f>SUM('Custos (B1)'!AC597:AC602)*12*(1+'Dados (F)'!$C$18)</f>
        <v>477355.10111999995</v>
      </c>
      <c r="AA55" s="177">
        <f>SUM('Custos (B1)'!AD597:AD602)*12*(1+'Dados (F)'!$C$18)</f>
        <v>477355.10111999995</v>
      </c>
      <c r="AB55" s="177">
        <f>SUM('Custos (B1)'!AE597:AE602)*12*(1+'Dados (F)'!$C$18)</f>
        <v>477355.10111999995</v>
      </c>
      <c r="AC55" s="177">
        <f>SUM('Custos (B1)'!AF597:AF602)*12*(1+'Dados (F)'!$C$18)</f>
        <v>477355.10111999995</v>
      </c>
      <c r="AD55" s="177">
        <f>SUM('Custos (B1)'!AG597:AG602)*12*(1+'Dados (F)'!$C$18)</f>
        <v>477355.10111999995</v>
      </c>
      <c r="AE55" s="177">
        <f>SUM('Custos (B1)'!AH597:AH602)*12*(1+'Dados (F)'!$C$18)</f>
        <v>477355.10111999995</v>
      </c>
      <c r="AF55" s="178">
        <f>SUM('Custos (B1)'!AI597:AI602)*12*(1+'Dados (F)'!$C$18)</f>
        <v>477355.10111999995</v>
      </c>
      <c r="AG55" s="22"/>
    </row>
    <row r="56" spans="1:33" x14ac:dyDescent="0.25">
      <c r="A56" s="112"/>
      <c r="B56" s="120" t="s">
        <v>831</v>
      </c>
      <c r="C56" s="177">
        <f>SUM('Custos (B1)'!F604:F687)</f>
        <v>10994.290000000008</v>
      </c>
      <c r="D56" s="177">
        <f>SUM('Custos (B1)'!G604:G687)</f>
        <v>10994.290000000008</v>
      </c>
      <c r="E56" s="177">
        <f>SUM('Custos (B1)'!H604:H687)</f>
        <v>10994.290000000008</v>
      </c>
      <c r="F56" s="177">
        <f>SUM('Custos (B1)'!I604:I687)</f>
        <v>10994.290000000008</v>
      </c>
      <c r="G56" s="177">
        <f>SUM('Custos (B1)'!J604:J687)</f>
        <v>10994.290000000008</v>
      </c>
      <c r="H56" s="177">
        <f>SUM('Custos (B1)'!K604:K687)</f>
        <v>10994.290000000008</v>
      </c>
      <c r="I56" s="177">
        <f>SUM('Custos (B1)'!L604:L687)</f>
        <v>10994.290000000008</v>
      </c>
      <c r="J56" s="177">
        <f>SUM('Custos (B1)'!M604:M687)</f>
        <v>10994.290000000008</v>
      </c>
      <c r="K56" s="177">
        <f>SUM('Custos (B1)'!N604:N687)</f>
        <v>10994.290000000008</v>
      </c>
      <c r="L56" s="177">
        <f>SUM('Custos (B1)'!O604:O687)</f>
        <v>10994.290000000008</v>
      </c>
      <c r="M56" s="177">
        <f>SUM('Custos (B1)'!P604:P687)</f>
        <v>10994.290000000008</v>
      </c>
      <c r="N56" s="177">
        <f>SUM('Custos (B1)'!Q604:Q687)</f>
        <v>10994.290000000008</v>
      </c>
      <c r="O56" s="177">
        <f>SUM('Custos (B1)'!R604:R687)</f>
        <v>10994.290000000008</v>
      </c>
      <c r="P56" s="177">
        <f>SUM('Custos (B1)'!S604:S687)</f>
        <v>10994.290000000008</v>
      </c>
      <c r="Q56" s="177">
        <f>SUM('Custos (B1)'!T604:T687)</f>
        <v>10994.290000000008</v>
      </c>
      <c r="R56" s="177">
        <f>SUM('Custos (B1)'!U604:U687)</f>
        <v>10994.290000000008</v>
      </c>
      <c r="S56" s="177">
        <f>SUM('Custos (B1)'!V604:V687)</f>
        <v>10994.290000000008</v>
      </c>
      <c r="T56" s="177">
        <f>SUM('Custos (B1)'!W604:W687)</f>
        <v>10994.290000000008</v>
      </c>
      <c r="U56" s="177">
        <f>SUM('Custos (B1)'!X604:X687)</f>
        <v>10994.290000000008</v>
      </c>
      <c r="V56" s="177">
        <f>SUM('Custos (B1)'!Y604:Y687)</f>
        <v>10994.290000000008</v>
      </c>
      <c r="W56" s="177">
        <f>SUM('Custos (B1)'!Z604:Z687)</f>
        <v>10994.290000000008</v>
      </c>
      <c r="X56" s="177">
        <f>SUM('Custos (B1)'!AA604:AA687)</f>
        <v>10994.290000000008</v>
      </c>
      <c r="Y56" s="177">
        <f>SUM('Custos (B1)'!AB604:AB687)</f>
        <v>10994.290000000008</v>
      </c>
      <c r="Z56" s="177">
        <f>SUM('Custos (B1)'!AC604:AC687)</f>
        <v>10994.290000000008</v>
      </c>
      <c r="AA56" s="177">
        <f>SUM('Custos (B1)'!AD604:AD687)</f>
        <v>10994.290000000008</v>
      </c>
      <c r="AB56" s="177">
        <f>SUM('Custos (B1)'!AE604:AE687)</f>
        <v>10994.290000000008</v>
      </c>
      <c r="AC56" s="177">
        <f>SUM('Custos (B1)'!AF604:AF687)</f>
        <v>10994.290000000008</v>
      </c>
      <c r="AD56" s="177">
        <f>SUM('Custos (B1)'!AG604:AG687)</f>
        <v>10994.290000000008</v>
      </c>
      <c r="AE56" s="177">
        <f>SUM('Custos (B1)'!AH604:AH687)</f>
        <v>10994.290000000008</v>
      </c>
      <c r="AF56" s="178">
        <f>SUM('Custos (B1)'!AI604:AI687)</f>
        <v>10994.290000000008</v>
      </c>
      <c r="AG56" s="22"/>
    </row>
    <row r="57" spans="1:33" x14ac:dyDescent="0.25">
      <c r="A57" s="112"/>
      <c r="B57" s="186" t="s">
        <v>744</v>
      </c>
      <c r="C57" s="187">
        <f>SUM(C49,C51,C53,C55:C56)</f>
        <v>585934.83975999954</v>
      </c>
      <c r="D57" s="187">
        <f t="shared" ref="D57:AF57" si="8">SUM(D49,D51,D53,D55:D56)</f>
        <v>587096.04232000001</v>
      </c>
      <c r="E57" s="187">
        <f t="shared" si="8"/>
        <v>577626.02631999995</v>
      </c>
      <c r="F57" s="187">
        <f t="shared" si="8"/>
        <v>585934.83975999954</v>
      </c>
      <c r="G57" s="187">
        <f t="shared" si="8"/>
        <v>587096.04232000001</v>
      </c>
      <c r="H57" s="187">
        <f t="shared" si="8"/>
        <v>577626.02631999995</v>
      </c>
      <c r="I57" s="187">
        <f t="shared" si="8"/>
        <v>585934.83975999954</v>
      </c>
      <c r="J57" s="187">
        <f t="shared" si="8"/>
        <v>577626.02631999995</v>
      </c>
      <c r="K57" s="187">
        <f t="shared" si="8"/>
        <v>585934.83975999954</v>
      </c>
      <c r="L57" s="187">
        <f t="shared" si="8"/>
        <v>577626.02631999995</v>
      </c>
      <c r="M57" s="187">
        <f t="shared" si="8"/>
        <v>578241.41032000002</v>
      </c>
      <c r="N57" s="187">
        <f t="shared" si="8"/>
        <v>579402.62632000004</v>
      </c>
      <c r="O57" s="187">
        <f t="shared" si="8"/>
        <v>578241.41032000002</v>
      </c>
      <c r="P57" s="187">
        <f t="shared" si="8"/>
        <v>578241.41032000002</v>
      </c>
      <c r="Q57" s="187">
        <f t="shared" si="8"/>
        <v>579402.62632000004</v>
      </c>
      <c r="R57" s="187">
        <f t="shared" si="8"/>
        <v>578241.41032000002</v>
      </c>
      <c r="S57" s="187">
        <f t="shared" si="8"/>
        <v>578241.41032000002</v>
      </c>
      <c r="T57" s="187">
        <f t="shared" si="8"/>
        <v>578241.41032000002</v>
      </c>
      <c r="U57" s="187">
        <f t="shared" si="8"/>
        <v>578241.41032000002</v>
      </c>
      <c r="V57" s="187">
        <f t="shared" si="8"/>
        <v>578241.41032000002</v>
      </c>
      <c r="W57" s="187">
        <f t="shared" si="8"/>
        <v>578241.37672000006</v>
      </c>
      <c r="X57" s="187">
        <f t="shared" si="8"/>
        <v>579402.59271999996</v>
      </c>
      <c r="Y57" s="187">
        <f t="shared" si="8"/>
        <v>578241.37672000006</v>
      </c>
      <c r="Z57" s="187">
        <f t="shared" si="8"/>
        <v>578241.37672000006</v>
      </c>
      <c r="AA57" s="187">
        <f t="shared" si="8"/>
        <v>579402.59271999996</v>
      </c>
      <c r="AB57" s="187">
        <f t="shared" si="8"/>
        <v>578241.37672000006</v>
      </c>
      <c r="AC57" s="187">
        <f t="shared" si="8"/>
        <v>578241.37672000006</v>
      </c>
      <c r="AD57" s="187">
        <f t="shared" si="8"/>
        <v>578241.37672000006</v>
      </c>
      <c r="AE57" s="187">
        <f t="shared" si="8"/>
        <v>578241.37672000006</v>
      </c>
      <c r="AF57" s="188">
        <f t="shared" si="8"/>
        <v>578241.37672000006</v>
      </c>
      <c r="AG57" s="22"/>
    </row>
    <row r="58" spans="1:33" x14ac:dyDescent="0.25">
      <c r="A58" s="112"/>
      <c r="B58" s="186" t="s">
        <v>718</v>
      </c>
      <c r="C58" s="187">
        <f>SUM(C50,C54)</f>
        <v>14448.716640000001</v>
      </c>
      <c r="D58" s="187">
        <f t="shared" ref="D58:AF58" si="9">SUM(D50,D54)</f>
        <v>12588.01584</v>
      </c>
      <c r="E58" s="187">
        <f t="shared" si="9"/>
        <v>15445.363079999999</v>
      </c>
      <c r="F58" s="187">
        <f t="shared" si="9"/>
        <v>14448.716640000001</v>
      </c>
      <c r="G58" s="187">
        <f t="shared" si="9"/>
        <v>12588.01584</v>
      </c>
      <c r="H58" s="187">
        <f t="shared" si="9"/>
        <v>15445.363079999999</v>
      </c>
      <c r="I58" s="187">
        <f t="shared" si="9"/>
        <v>14448.716640000001</v>
      </c>
      <c r="J58" s="187">
        <f t="shared" si="9"/>
        <v>15445.363079999999</v>
      </c>
      <c r="K58" s="187">
        <f t="shared" si="9"/>
        <v>14448.716640000001</v>
      </c>
      <c r="L58" s="187">
        <f t="shared" si="9"/>
        <v>15445.363079999999</v>
      </c>
      <c r="M58" s="187">
        <f t="shared" si="9"/>
        <v>9510.6676709999992</v>
      </c>
      <c r="N58" s="187">
        <f t="shared" si="9"/>
        <v>9346.1008709999987</v>
      </c>
      <c r="O58" s="187">
        <f t="shared" si="9"/>
        <v>16999.2</v>
      </c>
      <c r="P58" s="187">
        <f t="shared" si="9"/>
        <v>9510.6676709999992</v>
      </c>
      <c r="Q58" s="187">
        <f t="shared" si="9"/>
        <v>9346.1008709999987</v>
      </c>
      <c r="R58" s="187">
        <f t="shared" si="9"/>
        <v>16999.2</v>
      </c>
      <c r="S58" s="187">
        <f t="shared" si="9"/>
        <v>9510.6676709999992</v>
      </c>
      <c r="T58" s="187">
        <f t="shared" si="9"/>
        <v>16999.2</v>
      </c>
      <c r="U58" s="187">
        <f t="shared" si="9"/>
        <v>9510.6676709999992</v>
      </c>
      <c r="V58" s="187">
        <f t="shared" si="9"/>
        <v>16999.2</v>
      </c>
      <c r="W58" s="187">
        <f t="shared" si="9"/>
        <v>9476.599929</v>
      </c>
      <c r="X58" s="187">
        <f t="shared" si="9"/>
        <v>7615.8991289999994</v>
      </c>
      <c r="Y58" s="187">
        <f t="shared" si="9"/>
        <v>13086.36</v>
      </c>
      <c r="Z58" s="187">
        <f t="shared" si="9"/>
        <v>9476.599929</v>
      </c>
      <c r="AA58" s="187">
        <f t="shared" si="9"/>
        <v>7615.8991289999994</v>
      </c>
      <c r="AB58" s="187">
        <f t="shared" si="9"/>
        <v>13086.36</v>
      </c>
      <c r="AC58" s="187">
        <f t="shared" si="9"/>
        <v>9476.599929</v>
      </c>
      <c r="AD58" s="187">
        <f t="shared" si="9"/>
        <v>13086.36</v>
      </c>
      <c r="AE58" s="187">
        <f t="shared" si="9"/>
        <v>9476.599929</v>
      </c>
      <c r="AF58" s="188">
        <f t="shared" si="9"/>
        <v>13086.36</v>
      </c>
      <c r="AG58" s="22"/>
    </row>
    <row r="59" spans="1:33" ht="13.5" thickBot="1" x14ac:dyDescent="0.3">
      <c r="A59" s="112"/>
      <c r="B59" s="194" t="s">
        <v>745</v>
      </c>
      <c r="C59" s="195">
        <f>SUM(C57:C58)</f>
        <v>600383.55639999954</v>
      </c>
      <c r="D59" s="195">
        <f t="shared" ref="D59:AF59" si="10">SUM(D57:D58)</f>
        <v>599684.05816000002</v>
      </c>
      <c r="E59" s="195">
        <f t="shared" si="10"/>
        <v>593071.38939999999</v>
      </c>
      <c r="F59" s="195">
        <f t="shared" si="10"/>
        <v>600383.55639999954</v>
      </c>
      <c r="G59" s="195">
        <f t="shared" si="10"/>
        <v>599684.05816000002</v>
      </c>
      <c r="H59" s="195">
        <f t="shared" si="10"/>
        <v>593071.38939999999</v>
      </c>
      <c r="I59" s="195">
        <f t="shared" si="10"/>
        <v>600383.55639999954</v>
      </c>
      <c r="J59" s="195">
        <f t="shared" si="10"/>
        <v>593071.38939999999</v>
      </c>
      <c r="K59" s="195">
        <f t="shared" si="10"/>
        <v>600383.55639999954</v>
      </c>
      <c r="L59" s="195">
        <f t="shared" si="10"/>
        <v>593071.38939999999</v>
      </c>
      <c r="M59" s="195">
        <f t="shared" si="10"/>
        <v>587752.07799100003</v>
      </c>
      <c r="N59" s="195">
        <f t="shared" si="10"/>
        <v>588748.72719100001</v>
      </c>
      <c r="O59" s="195">
        <f t="shared" si="10"/>
        <v>595240.61031999998</v>
      </c>
      <c r="P59" s="195">
        <f t="shared" si="10"/>
        <v>587752.07799100003</v>
      </c>
      <c r="Q59" s="195">
        <f t="shared" si="10"/>
        <v>588748.72719100001</v>
      </c>
      <c r="R59" s="195">
        <f t="shared" si="10"/>
        <v>595240.61031999998</v>
      </c>
      <c r="S59" s="195">
        <f t="shared" si="10"/>
        <v>587752.07799100003</v>
      </c>
      <c r="T59" s="195">
        <f t="shared" si="10"/>
        <v>595240.61031999998</v>
      </c>
      <c r="U59" s="195">
        <f t="shared" si="10"/>
        <v>587752.07799100003</v>
      </c>
      <c r="V59" s="195">
        <f t="shared" si="10"/>
        <v>595240.61031999998</v>
      </c>
      <c r="W59" s="195">
        <f t="shared" si="10"/>
        <v>587717.97664900008</v>
      </c>
      <c r="X59" s="195">
        <f t="shared" si="10"/>
        <v>587018.49184899998</v>
      </c>
      <c r="Y59" s="195">
        <f t="shared" si="10"/>
        <v>591327.73672000004</v>
      </c>
      <c r="Z59" s="195">
        <f t="shared" si="10"/>
        <v>587717.97664900008</v>
      </c>
      <c r="AA59" s="195">
        <f t="shared" si="10"/>
        <v>587018.49184899998</v>
      </c>
      <c r="AB59" s="195">
        <f t="shared" si="10"/>
        <v>591327.73672000004</v>
      </c>
      <c r="AC59" s="195">
        <f t="shared" si="10"/>
        <v>587717.97664900008</v>
      </c>
      <c r="AD59" s="195">
        <f t="shared" si="10"/>
        <v>591327.73672000004</v>
      </c>
      <c r="AE59" s="195">
        <f t="shared" si="10"/>
        <v>587717.97664900008</v>
      </c>
      <c r="AF59" s="196">
        <f t="shared" si="10"/>
        <v>591327.73672000004</v>
      </c>
      <c r="AG59" s="22"/>
    </row>
    <row r="60" spans="1:33" x14ac:dyDescent="0.2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7"/>
    </row>
    <row r="61" spans="1:33" hidden="1" x14ac:dyDescent="0.25"/>
    <row r="62" spans="1:33" hidden="1" x14ac:dyDescent="0.25"/>
    <row r="63" spans="1:33" hidden="1" x14ac:dyDescent="0.25">
      <c r="B63" s="197" t="s">
        <v>832</v>
      </c>
    </row>
    <row r="64" spans="1:33" hidden="1" x14ac:dyDescent="0.25">
      <c r="B64" s="197" t="s">
        <v>810</v>
      </c>
    </row>
    <row r="65" spans="2:2" hidden="1" x14ac:dyDescent="0.25">
      <c r="B65" s="197" t="s">
        <v>764</v>
      </c>
    </row>
    <row r="66" spans="2:2" hidden="1" x14ac:dyDescent="0.25">
      <c r="B66" s="197" t="s">
        <v>765</v>
      </c>
    </row>
    <row r="67" spans="2:2" hidden="1" x14ac:dyDescent="0.25">
      <c r="B67" s="197" t="s">
        <v>772</v>
      </c>
    </row>
    <row r="68" spans="2:2" hidden="1" x14ac:dyDescent="0.25">
      <c r="B68" s="197" t="s">
        <v>766</v>
      </c>
    </row>
    <row r="69" spans="2:2" hidden="1" x14ac:dyDescent="0.25">
      <c r="B69" s="197" t="s">
        <v>767</v>
      </c>
    </row>
    <row r="70" spans="2:2" hidden="1" x14ac:dyDescent="0.25">
      <c r="B70" s="197" t="s">
        <v>768</v>
      </c>
    </row>
    <row r="71" spans="2:2" hidden="1" x14ac:dyDescent="0.25">
      <c r="B71" s="197" t="s">
        <v>769</v>
      </c>
    </row>
    <row r="72" spans="2:2" hidden="1" x14ac:dyDescent="0.25">
      <c r="B72" s="197" t="s">
        <v>770</v>
      </c>
    </row>
    <row r="73" spans="2:2" hidden="1" x14ac:dyDescent="0.25">
      <c r="B73" s="197" t="s">
        <v>771</v>
      </c>
    </row>
    <row r="74" spans="2:2" hidden="1" x14ac:dyDescent="0.25">
      <c r="B74" s="197" t="s">
        <v>773</v>
      </c>
    </row>
    <row r="75" spans="2:2" hidden="1" x14ac:dyDescent="0.25">
      <c r="B75" s="197" t="s">
        <v>774</v>
      </c>
    </row>
    <row r="76" spans="2:2" hidden="1" x14ac:dyDescent="0.25">
      <c r="B76" s="197" t="s">
        <v>775</v>
      </c>
    </row>
    <row r="77" spans="2:2" hidden="1" x14ac:dyDescent="0.25">
      <c r="B77" s="197" t="s">
        <v>430</v>
      </c>
    </row>
    <row r="78" spans="2:2" hidden="1" x14ac:dyDescent="0.25">
      <c r="B78" s="197" t="s">
        <v>776</v>
      </c>
    </row>
    <row r="79" spans="2:2" hidden="1" x14ac:dyDescent="0.25">
      <c r="B79" s="197" t="s">
        <v>777</v>
      </c>
    </row>
    <row r="80" spans="2:2" hidden="1" x14ac:dyDescent="0.25">
      <c r="B80" s="197" t="s">
        <v>778</v>
      </c>
    </row>
    <row r="81" spans="2:32" hidden="1" x14ac:dyDescent="0.25">
      <c r="B81" s="197" t="s">
        <v>779</v>
      </c>
    </row>
    <row r="82" spans="2:32" hidden="1" x14ac:dyDescent="0.25">
      <c r="B82" s="197" t="s">
        <v>783</v>
      </c>
    </row>
    <row r="83" spans="2:32" hidden="1" x14ac:dyDescent="0.25">
      <c r="B83" s="197" t="s">
        <v>784</v>
      </c>
    </row>
    <row r="84" spans="2:32" hidden="1" x14ac:dyDescent="0.25">
      <c r="B84" s="197" t="s">
        <v>785</v>
      </c>
    </row>
    <row r="85" spans="2:32" hidden="1" x14ac:dyDescent="0.25">
      <c r="B85" s="197" t="s">
        <v>786</v>
      </c>
    </row>
    <row r="86" spans="2:32" hidden="1" x14ac:dyDescent="0.25">
      <c r="B86" s="197" t="s">
        <v>787</v>
      </c>
    </row>
    <row r="87" spans="2:32" hidden="1" x14ac:dyDescent="0.25">
      <c r="B87" s="197" t="s">
        <v>830</v>
      </c>
    </row>
    <row r="88" spans="2:32" hidden="1" x14ac:dyDescent="0.25">
      <c r="B88" s="197" t="s">
        <v>831</v>
      </c>
    </row>
    <row r="89" spans="2:32" hidden="1" x14ac:dyDescent="0.25"/>
    <row r="90" spans="2:32" hidden="1" x14ac:dyDescent="0.25">
      <c r="B90" s="198"/>
      <c r="C90" s="199" t="s">
        <v>466</v>
      </c>
      <c r="D90" s="199" t="s">
        <v>467</v>
      </c>
      <c r="E90" s="199" t="s">
        <v>468</v>
      </c>
      <c r="F90" s="199" t="s">
        <v>469</v>
      </c>
      <c r="G90" s="199" t="s">
        <v>470</v>
      </c>
      <c r="H90" s="199" t="s">
        <v>471</v>
      </c>
      <c r="I90" s="199" t="s">
        <v>472</v>
      </c>
      <c r="J90" s="199" t="s">
        <v>473</v>
      </c>
      <c r="K90" s="199" t="s">
        <v>474</v>
      </c>
      <c r="L90" s="199" t="s">
        <v>475</v>
      </c>
      <c r="M90" s="199" t="s">
        <v>476</v>
      </c>
      <c r="N90" s="199" t="s">
        <v>477</v>
      </c>
      <c r="O90" s="199" t="s">
        <v>478</v>
      </c>
      <c r="P90" s="199" t="s">
        <v>479</v>
      </c>
      <c r="Q90" s="199" t="s">
        <v>480</v>
      </c>
      <c r="R90" s="199" t="s">
        <v>481</v>
      </c>
      <c r="S90" s="199" t="s">
        <v>482</v>
      </c>
      <c r="T90" s="199" t="s">
        <v>483</v>
      </c>
      <c r="U90" s="199" t="s">
        <v>484</v>
      </c>
      <c r="V90" s="199" t="s">
        <v>485</v>
      </c>
      <c r="W90" s="199" t="s">
        <v>486</v>
      </c>
      <c r="X90" s="199" t="s">
        <v>487</v>
      </c>
      <c r="Y90" s="199" t="s">
        <v>488</v>
      </c>
      <c r="Z90" s="199" t="s">
        <v>489</v>
      </c>
      <c r="AA90" s="199" t="s">
        <v>490</v>
      </c>
      <c r="AB90" s="199" t="s">
        <v>491</v>
      </c>
      <c r="AC90" s="199" t="s">
        <v>492</v>
      </c>
      <c r="AD90" s="199" t="s">
        <v>493</v>
      </c>
      <c r="AE90" s="199" t="s">
        <v>494</v>
      </c>
      <c r="AF90" s="199" t="s">
        <v>495</v>
      </c>
    </row>
    <row r="91" spans="2:32" hidden="1" x14ac:dyDescent="0.25">
      <c r="B91" s="200" t="s">
        <v>832</v>
      </c>
      <c r="C91" s="201">
        <f>$C$13</f>
        <v>66366.299999999988</v>
      </c>
      <c r="D91" s="201">
        <f t="shared" ref="D91:AF91" si="11">D13</f>
        <v>89008.92</v>
      </c>
      <c r="E91" s="201">
        <f t="shared" si="11"/>
        <v>50861.124599999996</v>
      </c>
      <c r="F91" s="201">
        <f t="shared" si="11"/>
        <v>66366.299999999988</v>
      </c>
      <c r="G91" s="201">
        <f t="shared" si="11"/>
        <v>89008.92</v>
      </c>
      <c r="H91" s="201">
        <f t="shared" si="11"/>
        <v>50862.239999999998</v>
      </c>
      <c r="I91" s="201">
        <f t="shared" si="11"/>
        <v>66366.299999999988</v>
      </c>
      <c r="J91" s="201">
        <f t="shared" si="11"/>
        <v>50862.239999999998</v>
      </c>
      <c r="K91" s="201">
        <f t="shared" si="11"/>
        <v>66366.299999999988</v>
      </c>
      <c r="L91" s="201">
        <f t="shared" si="11"/>
        <v>52275.08</v>
      </c>
      <c r="M91" s="201">
        <f t="shared" si="11"/>
        <v>62462.400000000001</v>
      </c>
      <c r="N91" s="201">
        <f t="shared" si="11"/>
        <v>71534.320000000007</v>
      </c>
      <c r="O91" s="201">
        <f t="shared" si="11"/>
        <v>49449.4</v>
      </c>
      <c r="P91" s="201">
        <f t="shared" si="11"/>
        <v>62462.400000000001</v>
      </c>
      <c r="Q91" s="201">
        <f t="shared" si="11"/>
        <v>73467.679999999993</v>
      </c>
      <c r="R91" s="201">
        <f t="shared" si="11"/>
        <v>49449.4</v>
      </c>
      <c r="S91" s="201">
        <f t="shared" si="11"/>
        <v>62462.400000000001</v>
      </c>
      <c r="T91" s="201">
        <f t="shared" si="11"/>
        <v>49450.515400000004</v>
      </c>
      <c r="U91" s="201">
        <f t="shared" si="11"/>
        <v>62462.400000000001</v>
      </c>
      <c r="V91" s="201">
        <f t="shared" si="11"/>
        <v>49450.515400000004</v>
      </c>
      <c r="W91" s="201">
        <f t="shared" si="11"/>
        <v>61161.1</v>
      </c>
      <c r="X91" s="201">
        <f t="shared" si="11"/>
        <v>70158.66</v>
      </c>
      <c r="Y91" s="201">
        <f t="shared" si="11"/>
        <v>45508.32</v>
      </c>
      <c r="Z91" s="201">
        <f t="shared" si="11"/>
        <v>59413.64</v>
      </c>
      <c r="AA91" s="201">
        <f t="shared" si="11"/>
        <v>72054.84</v>
      </c>
      <c r="AB91" s="201">
        <f t="shared" si="11"/>
        <v>45508.32</v>
      </c>
      <c r="AC91" s="201">
        <f t="shared" si="11"/>
        <v>61161.1</v>
      </c>
      <c r="AD91" s="201">
        <f t="shared" si="11"/>
        <v>45508.32</v>
      </c>
      <c r="AE91" s="201">
        <f t="shared" si="11"/>
        <v>45508.32</v>
      </c>
      <c r="AF91" s="201">
        <f t="shared" si="11"/>
        <v>46846.799999999996</v>
      </c>
    </row>
    <row r="92" spans="2:32" hidden="1" x14ac:dyDescent="0.25">
      <c r="B92" s="200" t="s">
        <v>810</v>
      </c>
      <c r="C92" s="201">
        <f>C16</f>
        <v>143991.68699999995</v>
      </c>
      <c r="D92" s="201">
        <f t="shared" ref="D92:AF92" si="12">D16</f>
        <v>166455.47100000002</v>
      </c>
      <c r="E92" s="201">
        <f t="shared" si="12"/>
        <v>124694.0637</v>
      </c>
      <c r="F92" s="201">
        <f t="shared" si="12"/>
        <v>143991.68700000001</v>
      </c>
      <c r="G92" s="201">
        <f t="shared" si="12"/>
        <v>166455.47100000002</v>
      </c>
      <c r="H92" s="201">
        <f t="shared" si="12"/>
        <v>124694.361</v>
      </c>
      <c r="I92" s="201">
        <f t="shared" si="12"/>
        <v>143991.68699999995</v>
      </c>
      <c r="J92" s="201">
        <f t="shared" si="12"/>
        <v>124694.361</v>
      </c>
      <c r="K92" s="201">
        <f t="shared" si="12"/>
        <v>143991.68700000001</v>
      </c>
      <c r="L92" s="201">
        <f t="shared" si="12"/>
        <v>126334.679</v>
      </c>
      <c r="M92" s="201">
        <f t="shared" si="12"/>
        <v>139159.92299999998</v>
      </c>
      <c r="N92" s="201">
        <f t="shared" si="12"/>
        <v>149160.391</v>
      </c>
      <c r="O92" s="201">
        <f t="shared" si="12"/>
        <v>123054.04299999999</v>
      </c>
      <c r="P92" s="201">
        <f t="shared" si="12"/>
        <v>139159.92299999998</v>
      </c>
      <c r="Q92" s="201">
        <f t="shared" si="12"/>
        <v>150939.44899999994</v>
      </c>
      <c r="R92" s="201">
        <f t="shared" si="12"/>
        <v>123054.04299999999</v>
      </c>
      <c r="S92" s="201">
        <f t="shared" si="12"/>
        <v>139159.92299999998</v>
      </c>
      <c r="T92" s="201">
        <f t="shared" si="12"/>
        <v>123054.34030000001</v>
      </c>
      <c r="U92" s="201">
        <f t="shared" si="12"/>
        <v>139159.92299999998</v>
      </c>
      <c r="V92" s="201">
        <f t="shared" si="12"/>
        <v>123054.34030000001</v>
      </c>
      <c r="W92" s="201">
        <f t="shared" si="12"/>
        <v>137549.33500000011</v>
      </c>
      <c r="X92" s="201">
        <f t="shared" si="12"/>
        <v>147529.98300000001</v>
      </c>
      <c r="Y92" s="201">
        <f t="shared" si="12"/>
        <v>118212.36900000001</v>
      </c>
      <c r="Z92" s="201">
        <f t="shared" si="12"/>
        <v>135819.82699999999</v>
      </c>
      <c r="AA92" s="201">
        <f t="shared" si="12"/>
        <v>149299.13099999999</v>
      </c>
      <c r="AB92" s="201">
        <f t="shared" si="12"/>
        <v>118212.36900000002</v>
      </c>
      <c r="AC92" s="201">
        <f t="shared" si="12"/>
        <v>137549.33500000011</v>
      </c>
      <c r="AD92" s="201">
        <f t="shared" si="12"/>
        <v>118212.36900000002</v>
      </c>
      <c r="AE92" s="201">
        <f t="shared" si="12"/>
        <v>118212.36900000002</v>
      </c>
      <c r="AF92" s="201">
        <f t="shared" si="12"/>
        <v>119832.867</v>
      </c>
    </row>
    <row r="93" spans="2:32" hidden="1" x14ac:dyDescent="0.25">
      <c r="B93" s="200" t="s">
        <v>764</v>
      </c>
      <c r="C93" s="201">
        <f>C19</f>
        <v>2989.7075920000007</v>
      </c>
      <c r="D93" s="201">
        <f t="shared" ref="D93:AF93" si="13">D19</f>
        <v>7072.4606720000002</v>
      </c>
      <c r="E93" s="201">
        <f t="shared" si="13"/>
        <v>1954.7750839999999</v>
      </c>
      <c r="F93" s="201">
        <f t="shared" si="13"/>
        <v>2989.7075920000007</v>
      </c>
      <c r="G93" s="201">
        <f t="shared" si="13"/>
        <v>7072.4606720000002</v>
      </c>
      <c r="H93" s="201">
        <f t="shared" si="13"/>
        <v>1954.7750839999999</v>
      </c>
      <c r="I93" s="201">
        <f t="shared" si="13"/>
        <v>2989.7075920000007</v>
      </c>
      <c r="J93" s="201">
        <f t="shared" si="13"/>
        <v>1954.7750839999999</v>
      </c>
      <c r="K93" s="201">
        <f t="shared" si="13"/>
        <v>2989.7075920000007</v>
      </c>
      <c r="L93" s="201">
        <f t="shared" si="13"/>
        <v>1954.7750839999999</v>
      </c>
      <c r="M93" s="201">
        <f t="shared" si="13"/>
        <v>1764.8050250000001</v>
      </c>
      <c r="N93" s="201">
        <f t="shared" si="13"/>
        <v>5160.3904840000005</v>
      </c>
      <c r="O93" s="201">
        <f t="shared" si="13"/>
        <v>1147.9467119999999</v>
      </c>
      <c r="P93" s="201">
        <f t="shared" si="13"/>
        <v>1764.8050250000001</v>
      </c>
      <c r="Q93" s="201">
        <f t="shared" si="13"/>
        <v>5160.3904840000005</v>
      </c>
      <c r="R93" s="201">
        <f t="shared" si="13"/>
        <v>1147.9467119999999</v>
      </c>
      <c r="S93" s="201">
        <f t="shared" si="13"/>
        <v>1764.8050250000001</v>
      </c>
      <c r="T93" s="201">
        <f t="shared" si="13"/>
        <v>1764.8050250000001</v>
      </c>
      <c r="U93" s="201">
        <f t="shared" si="13"/>
        <v>1764.8050250000001</v>
      </c>
      <c r="V93" s="201">
        <f t="shared" si="13"/>
        <v>1764.8050250000001</v>
      </c>
      <c r="W93" s="201">
        <f t="shared" si="13"/>
        <v>2361.1794839999998</v>
      </c>
      <c r="X93" s="201">
        <f t="shared" si="13"/>
        <v>5747.1094699999994</v>
      </c>
      <c r="Y93" s="201">
        <f t="shared" si="13"/>
        <v>1717.1605399999999</v>
      </c>
      <c r="Z93" s="201">
        <f t="shared" si="13"/>
        <v>2361.1794839999998</v>
      </c>
      <c r="AA93" s="201">
        <f t="shared" si="13"/>
        <v>5747.1094699999994</v>
      </c>
      <c r="AB93" s="201">
        <f t="shared" si="13"/>
        <v>1717.1605399999999</v>
      </c>
      <c r="AC93" s="201">
        <f t="shared" si="13"/>
        <v>2361.1794839999998</v>
      </c>
      <c r="AD93" s="201">
        <f t="shared" si="13"/>
        <v>2361.1794839999998</v>
      </c>
      <c r="AE93" s="201">
        <f t="shared" si="13"/>
        <v>2361.1794839999998</v>
      </c>
      <c r="AF93" s="201">
        <f t="shared" si="13"/>
        <v>2361.1794839999998</v>
      </c>
    </row>
    <row r="94" spans="2:32" hidden="1" x14ac:dyDescent="0.25">
      <c r="B94" s="200" t="s">
        <v>765</v>
      </c>
      <c r="C94" s="201">
        <f>C22</f>
        <v>24266.567900000002</v>
      </c>
      <c r="D94" s="201">
        <f t="shared" ref="D94:AF94" si="14">D22</f>
        <v>24818.755770000003</v>
      </c>
      <c r="E94" s="201">
        <f t="shared" si="14"/>
        <v>18033.261136000001</v>
      </c>
      <c r="F94" s="201">
        <f t="shared" si="14"/>
        <v>24337.58109</v>
      </c>
      <c r="G94" s="201">
        <f t="shared" si="14"/>
        <v>24868.766670000005</v>
      </c>
      <c r="H94" s="201">
        <f t="shared" si="14"/>
        <v>18250.794937999999</v>
      </c>
      <c r="I94" s="201">
        <f t="shared" si="14"/>
        <v>24266.567900000002</v>
      </c>
      <c r="J94" s="201">
        <f t="shared" si="14"/>
        <v>18177.536336000001</v>
      </c>
      <c r="K94" s="201">
        <f t="shared" si="14"/>
        <v>24337.58109</v>
      </c>
      <c r="L94" s="201">
        <f t="shared" si="14"/>
        <v>18395.070138000003</v>
      </c>
      <c r="M94" s="201">
        <f t="shared" si="14"/>
        <v>23538.988274000003</v>
      </c>
      <c r="N94" s="201">
        <f t="shared" si="14"/>
        <v>22124.401266000001</v>
      </c>
      <c r="O94" s="201">
        <f t="shared" si="14"/>
        <v>17820.552770000002</v>
      </c>
      <c r="P94" s="201">
        <f t="shared" si="14"/>
        <v>23538.988274000003</v>
      </c>
      <c r="Q94" s="201">
        <f t="shared" si="14"/>
        <v>22337.052532000002</v>
      </c>
      <c r="R94" s="201">
        <f t="shared" si="14"/>
        <v>17820.552770000002</v>
      </c>
      <c r="S94" s="201">
        <f t="shared" si="14"/>
        <v>23538.988274000003</v>
      </c>
      <c r="T94" s="201">
        <f t="shared" si="14"/>
        <v>23613.497110000004</v>
      </c>
      <c r="U94" s="201">
        <f t="shared" si="14"/>
        <v>23538.988274000003</v>
      </c>
      <c r="V94" s="201">
        <f t="shared" si="14"/>
        <v>23613.497110000004</v>
      </c>
      <c r="W94" s="201">
        <f t="shared" si="14"/>
        <v>21765.889860000003</v>
      </c>
      <c r="X94" s="201">
        <f t="shared" si="14"/>
        <v>21724.400412000003</v>
      </c>
      <c r="Y94" s="201">
        <f t="shared" si="14"/>
        <v>16908.069892</v>
      </c>
      <c r="Z94" s="201">
        <f t="shared" si="14"/>
        <v>21838.462950000001</v>
      </c>
      <c r="AA94" s="201">
        <f t="shared" si="14"/>
        <v>21940.813212000001</v>
      </c>
      <c r="AB94" s="201">
        <f t="shared" si="14"/>
        <v>16980.906790000001</v>
      </c>
      <c r="AC94" s="201">
        <f t="shared" si="14"/>
        <v>21765.889860000003</v>
      </c>
      <c r="AD94" s="201">
        <f t="shared" si="14"/>
        <v>21910.165059999999</v>
      </c>
      <c r="AE94" s="201">
        <f t="shared" si="14"/>
        <v>21838.462950000001</v>
      </c>
      <c r="AF94" s="201">
        <f t="shared" si="14"/>
        <v>21982.738149999997</v>
      </c>
    </row>
    <row r="95" spans="2:32" hidden="1" x14ac:dyDescent="0.25">
      <c r="B95" s="200" t="s">
        <v>772</v>
      </c>
      <c r="C95" s="201">
        <f>C25</f>
        <v>181903.57807600001</v>
      </c>
      <c r="D95" s="201">
        <f t="shared" ref="D95:AF104" si="15">D25</f>
        <v>181903.57807600001</v>
      </c>
      <c r="E95" s="201">
        <f t="shared" si="15"/>
        <v>181903.57807600001</v>
      </c>
      <c r="F95" s="201">
        <f t="shared" si="15"/>
        <v>181903.57807600001</v>
      </c>
      <c r="G95" s="201">
        <f t="shared" si="15"/>
        <v>181903.57807600001</v>
      </c>
      <c r="H95" s="201">
        <f t="shared" si="15"/>
        <v>181903.57807600001</v>
      </c>
      <c r="I95" s="201">
        <f t="shared" si="15"/>
        <v>181903.57807600001</v>
      </c>
      <c r="J95" s="201">
        <f t="shared" si="15"/>
        <v>181903.57807600001</v>
      </c>
      <c r="K95" s="201">
        <f t="shared" si="15"/>
        <v>181903.57807600001</v>
      </c>
      <c r="L95" s="201">
        <f t="shared" si="15"/>
        <v>181903.57807600001</v>
      </c>
      <c r="M95" s="201">
        <f t="shared" si="15"/>
        <v>182211.05086800005</v>
      </c>
      <c r="N95" s="201">
        <f t="shared" si="15"/>
        <v>182211.05086800005</v>
      </c>
      <c r="O95" s="201">
        <f t="shared" si="15"/>
        <v>182211.05086800005</v>
      </c>
      <c r="P95" s="201">
        <f t="shared" si="15"/>
        <v>182211.05086800005</v>
      </c>
      <c r="Q95" s="201">
        <f t="shared" si="15"/>
        <v>182211.05086800005</v>
      </c>
      <c r="R95" s="201">
        <f t="shared" si="15"/>
        <v>182211.05086800005</v>
      </c>
      <c r="S95" s="201">
        <f t="shared" si="15"/>
        <v>182211.05086800005</v>
      </c>
      <c r="T95" s="201">
        <f t="shared" si="15"/>
        <v>182211.05086800005</v>
      </c>
      <c r="U95" s="201">
        <f t="shared" si="15"/>
        <v>182211.05086800005</v>
      </c>
      <c r="V95" s="201">
        <f t="shared" si="15"/>
        <v>182211.05086800005</v>
      </c>
      <c r="W95" s="201">
        <f t="shared" si="15"/>
        <v>181641.62654000003</v>
      </c>
      <c r="X95" s="201">
        <f t="shared" si="15"/>
        <v>181641.62654000003</v>
      </c>
      <c r="Y95" s="201">
        <f t="shared" si="15"/>
        <v>181641.62654000003</v>
      </c>
      <c r="Z95" s="201">
        <f t="shared" si="15"/>
        <v>181641.62654000003</v>
      </c>
      <c r="AA95" s="201">
        <f t="shared" si="15"/>
        <v>181641.62654000003</v>
      </c>
      <c r="AB95" s="201">
        <f t="shared" si="15"/>
        <v>181641.62654000003</v>
      </c>
      <c r="AC95" s="201">
        <f t="shared" si="15"/>
        <v>181641.62654000003</v>
      </c>
      <c r="AD95" s="201">
        <f t="shared" si="15"/>
        <v>181641.62654000003</v>
      </c>
      <c r="AE95" s="201">
        <f t="shared" si="15"/>
        <v>181641.62654000003</v>
      </c>
      <c r="AF95" s="201">
        <f t="shared" si="15"/>
        <v>181641.62654000003</v>
      </c>
    </row>
    <row r="96" spans="2:32" hidden="1" x14ac:dyDescent="0.25">
      <c r="B96" s="200" t="s">
        <v>766</v>
      </c>
      <c r="C96" s="201">
        <f t="shared" ref="C96:R107" si="16">C26</f>
        <v>5742.8179529999998</v>
      </c>
      <c r="D96" s="201">
        <f t="shared" si="16"/>
        <v>5742.8179529999998</v>
      </c>
      <c r="E96" s="201">
        <f t="shared" si="16"/>
        <v>5742.8179529999998</v>
      </c>
      <c r="F96" s="201">
        <f t="shared" si="16"/>
        <v>2205.6635919999999</v>
      </c>
      <c r="G96" s="201">
        <f t="shared" si="16"/>
        <v>2205.6635919999999</v>
      </c>
      <c r="H96" s="201">
        <f t="shared" si="16"/>
        <v>2205.6635919999999</v>
      </c>
      <c r="I96" s="201">
        <f t="shared" si="16"/>
        <v>5742.8179529999998</v>
      </c>
      <c r="J96" s="201">
        <f t="shared" si="16"/>
        <v>5742.8179529999998</v>
      </c>
      <c r="K96" s="201">
        <f t="shared" si="16"/>
        <v>2205.6635919999999</v>
      </c>
      <c r="L96" s="201">
        <f t="shared" si="16"/>
        <v>2205.6635919999999</v>
      </c>
      <c r="M96" s="201">
        <f t="shared" si="16"/>
        <v>7313.9725410000001</v>
      </c>
      <c r="N96" s="201">
        <f t="shared" si="16"/>
        <v>7313.9725410000001</v>
      </c>
      <c r="O96" s="201">
        <f t="shared" si="16"/>
        <v>7313.9725410000001</v>
      </c>
      <c r="P96" s="201">
        <f t="shared" si="16"/>
        <v>2047.9420420000001</v>
      </c>
      <c r="Q96" s="201">
        <f t="shared" si="16"/>
        <v>2047.9420420000001</v>
      </c>
      <c r="R96" s="201">
        <f t="shared" si="16"/>
        <v>2047.9420420000001</v>
      </c>
      <c r="S96" s="201">
        <f t="shared" si="15"/>
        <v>7313.9725410000001</v>
      </c>
      <c r="T96" s="201">
        <f t="shared" si="15"/>
        <v>7313.9725410000001</v>
      </c>
      <c r="U96" s="201">
        <f t="shared" si="15"/>
        <v>2047.9420420000001</v>
      </c>
      <c r="V96" s="201">
        <f t="shared" si="15"/>
        <v>2047.9420420000001</v>
      </c>
      <c r="W96" s="201">
        <f t="shared" si="15"/>
        <v>0</v>
      </c>
      <c r="X96" s="201">
        <f t="shared" si="15"/>
        <v>0</v>
      </c>
      <c r="Y96" s="201">
        <f t="shared" si="15"/>
        <v>0</v>
      </c>
      <c r="Z96" s="201">
        <f t="shared" si="15"/>
        <v>0</v>
      </c>
      <c r="AA96" s="201">
        <f t="shared" si="15"/>
        <v>0</v>
      </c>
      <c r="AB96" s="201">
        <f t="shared" si="15"/>
        <v>0</v>
      </c>
      <c r="AC96" s="201">
        <f t="shared" si="15"/>
        <v>0</v>
      </c>
      <c r="AD96" s="201">
        <f t="shared" si="15"/>
        <v>0</v>
      </c>
      <c r="AE96" s="201">
        <f t="shared" si="15"/>
        <v>0</v>
      </c>
      <c r="AF96" s="201">
        <f t="shared" si="15"/>
        <v>0</v>
      </c>
    </row>
    <row r="97" spans="2:32" hidden="1" x14ac:dyDescent="0.25">
      <c r="B97" s="200" t="s">
        <v>767</v>
      </c>
      <c r="C97" s="201">
        <f t="shared" si="16"/>
        <v>0</v>
      </c>
      <c r="D97" s="201">
        <f t="shared" si="15"/>
        <v>0</v>
      </c>
      <c r="E97" s="201">
        <f t="shared" si="15"/>
        <v>0</v>
      </c>
      <c r="F97" s="201">
        <f t="shared" si="15"/>
        <v>0</v>
      </c>
      <c r="G97" s="201">
        <f t="shared" si="15"/>
        <v>0</v>
      </c>
      <c r="H97" s="201">
        <f t="shared" si="15"/>
        <v>0</v>
      </c>
      <c r="I97" s="201">
        <f t="shared" si="15"/>
        <v>0</v>
      </c>
      <c r="J97" s="201">
        <f t="shared" si="15"/>
        <v>0</v>
      </c>
      <c r="K97" s="201">
        <f t="shared" si="15"/>
        <v>0</v>
      </c>
      <c r="L97" s="201">
        <f t="shared" si="15"/>
        <v>0</v>
      </c>
      <c r="M97" s="201">
        <f t="shared" si="15"/>
        <v>48704.168240999999</v>
      </c>
      <c r="N97" s="201">
        <f t="shared" si="15"/>
        <v>48704.168240999999</v>
      </c>
      <c r="O97" s="201">
        <f t="shared" si="15"/>
        <v>48704.168240999999</v>
      </c>
      <c r="P97" s="201">
        <f t="shared" si="15"/>
        <v>29739.929861999997</v>
      </c>
      <c r="Q97" s="201">
        <f t="shared" si="15"/>
        <v>29739.929861999997</v>
      </c>
      <c r="R97" s="201">
        <f t="shared" si="15"/>
        <v>29739.929861999997</v>
      </c>
      <c r="S97" s="201">
        <f t="shared" si="15"/>
        <v>48704.168240999999</v>
      </c>
      <c r="T97" s="201">
        <f t="shared" si="15"/>
        <v>48704.168240999999</v>
      </c>
      <c r="U97" s="201">
        <f t="shared" si="15"/>
        <v>29739.929861999997</v>
      </c>
      <c r="V97" s="201">
        <f t="shared" si="15"/>
        <v>29739.929861999997</v>
      </c>
      <c r="W97" s="201">
        <f t="shared" si="15"/>
        <v>0</v>
      </c>
      <c r="X97" s="201">
        <f t="shared" si="15"/>
        <v>0</v>
      </c>
      <c r="Y97" s="201">
        <f t="shared" si="15"/>
        <v>0</v>
      </c>
      <c r="Z97" s="201">
        <f t="shared" si="15"/>
        <v>0</v>
      </c>
      <c r="AA97" s="201">
        <f t="shared" si="15"/>
        <v>0</v>
      </c>
      <c r="AB97" s="201">
        <f t="shared" si="15"/>
        <v>0</v>
      </c>
      <c r="AC97" s="201">
        <f t="shared" si="15"/>
        <v>0</v>
      </c>
      <c r="AD97" s="201">
        <f t="shared" si="15"/>
        <v>0</v>
      </c>
      <c r="AE97" s="201">
        <f t="shared" si="15"/>
        <v>0</v>
      </c>
      <c r="AF97" s="201">
        <f t="shared" si="15"/>
        <v>0</v>
      </c>
    </row>
    <row r="98" spans="2:32" hidden="1" x14ac:dyDescent="0.25">
      <c r="B98" s="200" t="s">
        <v>768</v>
      </c>
      <c r="C98" s="201">
        <f t="shared" si="16"/>
        <v>44729.342080999995</v>
      </c>
      <c r="D98" s="201">
        <f t="shared" si="15"/>
        <v>44729.342080999995</v>
      </c>
      <c r="E98" s="201">
        <f t="shared" si="15"/>
        <v>44729.342080999995</v>
      </c>
      <c r="F98" s="201">
        <f t="shared" si="15"/>
        <v>28794.822176999998</v>
      </c>
      <c r="G98" s="201">
        <f t="shared" si="15"/>
        <v>28794.822176999998</v>
      </c>
      <c r="H98" s="201">
        <f t="shared" si="15"/>
        <v>28794.822176999998</v>
      </c>
      <c r="I98" s="201">
        <f t="shared" si="15"/>
        <v>44729.342080999995</v>
      </c>
      <c r="J98" s="201">
        <f t="shared" si="15"/>
        <v>44729.342080999995</v>
      </c>
      <c r="K98" s="201">
        <f t="shared" si="15"/>
        <v>28794.822176999998</v>
      </c>
      <c r="L98" s="201">
        <f t="shared" si="15"/>
        <v>28794.822176999998</v>
      </c>
      <c r="M98" s="201">
        <f t="shared" si="15"/>
        <v>0</v>
      </c>
      <c r="N98" s="201">
        <f t="shared" si="15"/>
        <v>0</v>
      </c>
      <c r="O98" s="201">
        <f t="shared" si="15"/>
        <v>0</v>
      </c>
      <c r="P98" s="201">
        <f t="shared" si="15"/>
        <v>0</v>
      </c>
      <c r="Q98" s="201">
        <f t="shared" si="15"/>
        <v>0</v>
      </c>
      <c r="R98" s="201">
        <f t="shared" si="15"/>
        <v>0</v>
      </c>
      <c r="S98" s="201">
        <f t="shared" si="15"/>
        <v>0</v>
      </c>
      <c r="T98" s="201">
        <f t="shared" si="15"/>
        <v>0</v>
      </c>
      <c r="U98" s="201">
        <f t="shared" si="15"/>
        <v>0</v>
      </c>
      <c r="V98" s="201">
        <f t="shared" si="15"/>
        <v>0</v>
      </c>
      <c r="W98" s="201">
        <f t="shared" si="15"/>
        <v>0</v>
      </c>
      <c r="X98" s="201">
        <f t="shared" si="15"/>
        <v>0</v>
      </c>
      <c r="Y98" s="201">
        <f t="shared" si="15"/>
        <v>0</v>
      </c>
      <c r="Z98" s="201">
        <f t="shared" si="15"/>
        <v>0</v>
      </c>
      <c r="AA98" s="201">
        <f t="shared" si="15"/>
        <v>0</v>
      </c>
      <c r="AB98" s="201">
        <f t="shared" si="15"/>
        <v>0</v>
      </c>
      <c r="AC98" s="201">
        <f t="shared" si="15"/>
        <v>0</v>
      </c>
      <c r="AD98" s="201">
        <f t="shared" si="15"/>
        <v>0</v>
      </c>
      <c r="AE98" s="201">
        <f t="shared" si="15"/>
        <v>0</v>
      </c>
      <c r="AF98" s="201">
        <f t="shared" si="15"/>
        <v>0</v>
      </c>
    </row>
    <row r="99" spans="2:32" hidden="1" x14ac:dyDescent="0.25">
      <c r="B99" s="200" t="s">
        <v>769</v>
      </c>
      <c r="C99" s="201">
        <f t="shared" si="16"/>
        <v>35530.656041999995</v>
      </c>
      <c r="D99" s="201">
        <f t="shared" si="15"/>
        <v>35530.656041999995</v>
      </c>
      <c r="E99" s="201">
        <f t="shared" si="15"/>
        <v>35530.656041999995</v>
      </c>
      <c r="F99" s="201">
        <f t="shared" si="15"/>
        <v>18147.532648999993</v>
      </c>
      <c r="G99" s="201">
        <f t="shared" si="15"/>
        <v>18147.532648999993</v>
      </c>
      <c r="H99" s="201">
        <f t="shared" si="15"/>
        <v>18147.532648999993</v>
      </c>
      <c r="I99" s="201">
        <f t="shared" si="15"/>
        <v>35530.656041999995</v>
      </c>
      <c r="J99" s="201">
        <f t="shared" si="15"/>
        <v>35530.656041999995</v>
      </c>
      <c r="K99" s="201">
        <f t="shared" si="15"/>
        <v>18147.532648999993</v>
      </c>
      <c r="L99" s="201">
        <f t="shared" si="15"/>
        <v>18147.532648999993</v>
      </c>
      <c r="M99" s="201">
        <f t="shared" si="15"/>
        <v>0</v>
      </c>
      <c r="N99" s="201">
        <f t="shared" si="15"/>
        <v>0</v>
      </c>
      <c r="O99" s="201">
        <f t="shared" si="15"/>
        <v>0</v>
      </c>
      <c r="P99" s="201">
        <f t="shared" si="15"/>
        <v>0</v>
      </c>
      <c r="Q99" s="201">
        <f t="shared" si="15"/>
        <v>0</v>
      </c>
      <c r="R99" s="201">
        <f t="shared" si="15"/>
        <v>0</v>
      </c>
      <c r="S99" s="201">
        <f t="shared" si="15"/>
        <v>0</v>
      </c>
      <c r="T99" s="201">
        <f t="shared" si="15"/>
        <v>0</v>
      </c>
      <c r="U99" s="201">
        <f t="shared" si="15"/>
        <v>0</v>
      </c>
      <c r="V99" s="201">
        <f t="shared" si="15"/>
        <v>0</v>
      </c>
      <c r="W99" s="201">
        <f t="shared" si="15"/>
        <v>41514.053501000002</v>
      </c>
      <c r="X99" s="201">
        <f t="shared" si="15"/>
        <v>41514.053501000002</v>
      </c>
      <c r="Y99" s="201">
        <f t="shared" si="15"/>
        <v>41514.053501000002</v>
      </c>
      <c r="Z99" s="201">
        <f t="shared" si="15"/>
        <v>21217.259786999999</v>
      </c>
      <c r="AA99" s="201">
        <f t="shared" si="15"/>
        <v>21217.259786999999</v>
      </c>
      <c r="AB99" s="201">
        <f t="shared" si="15"/>
        <v>21217.259786999999</v>
      </c>
      <c r="AC99" s="201">
        <f t="shared" si="15"/>
        <v>41514.053501000002</v>
      </c>
      <c r="AD99" s="201">
        <f t="shared" si="15"/>
        <v>41514.053501000002</v>
      </c>
      <c r="AE99" s="201">
        <f t="shared" si="15"/>
        <v>21217.259786999999</v>
      </c>
      <c r="AF99" s="201">
        <f t="shared" si="15"/>
        <v>21217.259786999999</v>
      </c>
    </row>
    <row r="100" spans="2:32" hidden="1" x14ac:dyDescent="0.25">
      <c r="B100" s="200" t="s">
        <v>770</v>
      </c>
      <c r="C100" s="201">
        <f t="shared" si="16"/>
        <v>12000.38229</v>
      </c>
      <c r="D100" s="201">
        <f t="shared" si="15"/>
        <v>12000.38229</v>
      </c>
      <c r="E100" s="201">
        <f t="shared" si="15"/>
        <v>12000.38229</v>
      </c>
      <c r="F100" s="201">
        <f t="shared" si="15"/>
        <v>12827.84159</v>
      </c>
      <c r="G100" s="201">
        <f t="shared" si="15"/>
        <v>12827.84159</v>
      </c>
      <c r="H100" s="201">
        <f t="shared" si="15"/>
        <v>12827.84159</v>
      </c>
      <c r="I100" s="201">
        <f t="shared" si="15"/>
        <v>12000.38229</v>
      </c>
      <c r="J100" s="201">
        <f t="shared" si="15"/>
        <v>12000.38229</v>
      </c>
      <c r="K100" s="201">
        <f t="shared" si="15"/>
        <v>12827.84159</v>
      </c>
      <c r="L100" s="201">
        <f t="shared" si="15"/>
        <v>12827.84159</v>
      </c>
      <c r="M100" s="201">
        <f t="shared" si="15"/>
        <v>8726.7484999999997</v>
      </c>
      <c r="N100" s="201">
        <f t="shared" si="15"/>
        <v>8726.7484999999997</v>
      </c>
      <c r="O100" s="201">
        <f t="shared" si="15"/>
        <v>8726.7484999999997</v>
      </c>
      <c r="P100" s="201">
        <f t="shared" si="15"/>
        <v>9141.1317299999992</v>
      </c>
      <c r="Q100" s="201">
        <f t="shared" si="15"/>
        <v>9141.1317299999992</v>
      </c>
      <c r="R100" s="201">
        <f t="shared" si="15"/>
        <v>9141.1317299999992</v>
      </c>
      <c r="S100" s="201">
        <f t="shared" si="15"/>
        <v>8726.7484999999997</v>
      </c>
      <c r="T100" s="201">
        <f t="shared" si="15"/>
        <v>8726.7484999999997</v>
      </c>
      <c r="U100" s="201">
        <f t="shared" si="15"/>
        <v>9141.1317299999992</v>
      </c>
      <c r="V100" s="201">
        <f t="shared" si="15"/>
        <v>9141.1317299999992</v>
      </c>
      <c r="W100" s="201">
        <f t="shared" si="15"/>
        <v>8271.1319999999996</v>
      </c>
      <c r="X100" s="201">
        <f t="shared" si="15"/>
        <v>8271.1319999999996</v>
      </c>
      <c r="Y100" s="201">
        <f t="shared" si="15"/>
        <v>8271.1319999999996</v>
      </c>
      <c r="Z100" s="201">
        <f t="shared" si="15"/>
        <v>8893.9840000000004</v>
      </c>
      <c r="AA100" s="201">
        <f t="shared" si="15"/>
        <v>8893.9840000000004</v>
      </c>
      <c r="AB100" s="201">
        <f t="shared" si="15"/>
        <v>8893.9840000000004</v>
      </c>
      <c r="AC100" s="201">
        <f t="shared" si="15"/>
        <v>8271.1319999999996</v>
      </c>
      <c r="AD100" s="201">
        <f t="shared" si="15"/>
        <v>8271.1319999999996</v>
      </c>
      <c r="AE100" s="201">
        <f t="shared" si="15"/>
        <v>8893.9840000000004</v>
      </c>
      <c r="AF100" s="201">
        <f t="shared" si="15"/>
        <v>8893.9840000000004</v>
      </c>
    </row>
    <row r="101" spans="2:32" hidden="1" x14ac:dyDescent="0.25">
      <c r="B101" s="200" t="s">
        <v>771</v>
      </c>
      <c r="C101" s="201">
        <f t="shared" si="16"/>
        <v>102601.768148</v>
      </c>
      <c r="D101" s="201">
        <f t="shared" si="15"/>
        <v>102601.768148</v>
      </c>
      <c r="E101" s="201">
        <f t="shared" si="15"/>
        <v>102601.768148</v>
      </c>
      <c r="F101" s="201">
        <f t="shared" si="15"/>
        <v>24804.119450000006</v>
      </c>
      <c r="G101" s="201">
        <f t="shared" si="15"/>
        <v>24804.119450000006</v>
      </c>
      <c r="H101" s="201">
        <f t="shared" si="15"/>
        <v>24804.119450000006</v>
      </c>
      <c r="I101" s="201">
        <f t="shared" si="15"/>
        <v>102601.768148</v>
      </c>
      <c r="J101" s="201">
        <f t="shared" si="15"/>
        <v>102601.768148</v>
      </c>
      <c r="K101" s="201">
        <f t="shared" si="15"/>
        <v>24804.119450000006</v>
      </c>
      <c r="L101" s="201">
        <f t="shared" si="15"/>
        <v>24804.119450000006</v>
      </c>
      <c r="M101" s="201">
        <f t="shared" si="15"/>
        <v>107408.282328</v>
      </c>
      <c r="N101" s="201">
        <f t="shared" si="15"/>
        <v>107408.282328</v>
      </c>
      <c r="O101" s="201">
        <f t="shared" si="15"/>
        <v>107408.282328</v>
      </c>
      <c r="P101" s="201">
        <f t="shared" si="15"/>
        <v>25720.630520000002</v>
      </c>
      <c r="Q101" s="201">
        <f t="shared" si="15"/>
        <v>25720.630520000002</v>
      </c>
      <c r="R101" s="201">
        <f t="shared" si="15"/>
        <v>25720.630520000002</v>
      </c>
      <c r="S101" s="201">
        <f t="shared" si="15"/>
        <v>107408.282328</v>
      </c>
      <c r="T101" s="201">
        <f t="shared" si="15"/>
        <v>107408.282328</v>
      </c>
      <c r="U101" s="201">
        <f t="shared" si="15"/>
        <v>25720.630520000002</v>
      </c>
      <c r="V101" s="201">
        <f t="shared" si="15"/>
        <v>25720.630520000002</v>
      </c>
      <c r="W101" s="201">
        <f t="shared" si="15"/>
        <v>98784.112138000011</v>
      </c>
      <c r="X101" s="201">
        <f t="shared" si="15"/>
        <v>98784.112138000011</v>
      </c>
      <c r="Y101" s="201">
        <f t="shared" si="15"/>
        <v>98784.112138000011</v>
      </c>
      <c r="Z101" s="201">
        <f t="shared" si="15"/>
        <v>23783.753360000002</v>
      </c>
      <c r="AA101" s="201">
        <f t="shared" si="15"/>
        <v>23783.753360000002</v>
      </c>
      <c r="AB101" s="201">
        <f t="shared" si="15"/>
        <v>23783.753360000002</v>
      </c>
      <c r="AC101" s="201">
        <f t="shared" si="15"/>
        <v>98784.112138000011</v>
      </c>
      <c r="AD101" s="201">
        <f t="shared" si="15"/>
        <v>98784.112138000011</v>
      </c>
      <c r="AE101" s="201">
        <f t="shared" si="15"/>
        <v>23783.753360000002</v>
      </c>
      <c r="AF101" s="201">
        <f t="shared" si="15"/>
        <v>23783.753360000002</v>
      </c>
    </row>
    <row r="102" spans="2:32" hidden="1" x14ac:dyDescent="0.25">
      <c r="B102" s="200" t="s">
        <v>773</v>
      </c>
      <c r="C102" s="201">
        <f t="shared" si="16"/>
        <v>45788.878500000006</v>
      </c>
      <c r="D102" s="201">
        <f t="shared" si="15"/>
        <v>0</v>
      </c>
      <c r="E102" s="201">
        <f t="shared" si="15"/>
        <v>0</v>
      </c>
      <c r="F102" s="201">
        <f t="shared" si="15"/>
        <v>45788.878500000006</v>
      </c>
      <c r="G102" s="201">
        <f t="shared" si="15"/>
        <v>0</v>
      </c>
      <c r="H102" s="201">
        <f t="shared" si="15"/>
        <v>0</v>
      </c>
      <c r="I102" s="201">
        <f t="shared" si="15"/>
        <v>45788.878500000006</v>
      </c>
      <c r="J102" s="201">
        <f t="shared" si="15"/>
        <v>0</v>
      </c>
      <c r="K102" s="201">
        <f t="shared" si="15"/>
        <v>45788.878500000006</v>
      </c>
      <c r="L102" s="201">
        <f t="shared" si="15"/>
        <v>0</v>
      </c>
      <c r="M102" s="201">
        <f t="shared" si="15"/>
        <v>43635.072498000009</v>
      </c>
      <c r="N102" s="201">
        <f t="shared" si="15"/>
        <v>0</v>
      </c>
      <c r="O102" s="201">
        <f t="shared" si="15"/>
        <v>0</v>
      </c>
      <c r="P102" s="201">
        <f t="shared" si="15"/>
        <v>43635.072498000009</v>
      </c>
      <c r="Q102" s="201">
        <f t="shared" si="15"/>
        <v>0</v>
      </c>
      <c r="R102" s="201">
        <f t="shared" si="15"/>
        <v>0</v>
      </c>
      <c r="S102" s="201">
        <f t="shared" si="15"/>
        <v>43635.072498000009</v>
      </c>
      <c r="T102" s="201">
        <f t="shared" si="15"/>
        <v>0</v>
      </c>
      <c r="U102" s="201">
        <f t="shared" si="15"/>
        <v>43635.072498000009</v>
      </c>
      <c r="V102" s="201">
        <f t="shared" si="15"/>
        <v>0</v>
      </c>
      <c r="W102" s="201">
        <f t="shared" si="15"/>
        <v>40401.897328000006</v>
      </c>
      <c r="X102" s="201">
        <f t="shared" si="15"/>
        <v>0</v>
      </c>
      <c r="Y102" s="201">
        <f t="shared" si="15"/>
        <v>0</v>
      </c>
      <c r="Z102" s="201">
        <f t="shared" si="15"/>
        <v>40401.897328000006</v>
      </c>
      <c r="AA102" s="201">
        <f t="shared" si="15"/>
        <v>0</v>
      </c>
      <c r="AB102" s="201">
        <f t="shared" si="15"/>
        <v>0</v>
      </c>
      <c r="AC102" s="201">
        <f t="shared" si="15"/>
        <v>40401.897328000006</v>
      </c>
      <c r="AD102" s="201">
        <f t="shared" si="15"/>
        <v>0</v>
      </c>
      <c r="AE102" s="201">
        <f t="shared" si="15"/>
        <v>40401.897328000006</v>
      </c>
      <c r="AF102" s="201">
        <f t="shared" si="15"/>
        <v>0</v>
      </c>
    </row>
    <row r="103" spans="2:32" hidden="1" x14ac:dyDescent="0.25">
      <c r="B103" s="200" t="s">
        <v>774</v>
      </c>
      <c r="C103" s="201">
        <f t="shared" si="16"/>
        <v>51215.079360000003</v>
      </c>
      <c r="D103" s="201">
        <f t="shared" si="15"/>
        <v>0</v>
      </c>
      <c r="E103" s="201">
        <f t="shared" si="15"/>
        <v>0</v>
      </c>
      <c r="F103" s="201">
        <f t="shared" si="15"/>
        <v>51215.079360000003</v>
      </c>
      <c r="G103" s="201">
        <f t="shared" si="15"/>
        <v>0</v>
      </c>
      <c r="H103" s="201">
        <f t="shared" si="15"/>
        <v>0</v>
      </c>
      <c r="I103" s="201">
        <f t="shared" si="15"/>
        <v>51215.079360000003</v>
      </c>
      <c r="J103" s="201">
        <f t="shared" si="15"/>
        <v>0</v>
      </c>
      <c r="K103" s="201">
        <f t="shared" si="15"/>
        <v>51215.079360000003</v>
      </c>
      <c r="L103" s="201">
        <f t="shared" si="15"/>
        <v>0</v>
      </c>
      <c r="M103" s="201">
        <f t="shared" si="15"/>
        <v>49959.572329999995</v>
      </c>
      <c r="N103" s="201">
        <f t="shared" si="15"/>
        <v>0</v>
      </c>
      <c r="O103" s="201">
        <f t="shared" si="15"/>
        <v>0</v>
      </c>
      <c r="P103" s="201">
        <f t="shared" si="15"/>
        <v>49959.572329999995</v>
      </c>
      <c r="Q103" s="201">
        <f t="shared" si="15"/>
        <v>0</v>
      </c>
      <c r="R103" s="201">
        <f t="shared" si="15"/>
        <v>0</v>
      </c>
      <c r="S103" s="201">
        <f t="shared" si="15"/>
        <v>49959.572329999995</v>
      </c>
      <c r="T103" s="201">
        <f t="shared" si="15"/>
        <v>0</v>
      </c>
      <c r="U103" s="201">
        <f t="shared" si="15"/>
        <v>49959.572329999995</v>
      </c>
      <c r="V103" s="201">
        <f t="shared" si="15"/>
        <v>0</v>
      </c>
      <c r="W103" s="201">
        <f t="shared" si="15"/>
        <v>48282.74431799999</v>
      </c>
      <c r="X103" s="201">
        <f t="shared" si="15"/>
        <v>0</v>
      </c>
      <c r="Y103" s="201">
        <f t="shared" si="15"/>
        <v>0</v>
      </c>
      <c r="Z103" s="201">
        <f t="shared" si="15"/>
        <v>48282.74431799999</v>
      </c>
      <c r="AA103" s="201">
        <f t="shared" si="15"/>
        <v>0</v>
      </c>
      <c r="AB103" s="201">
        <f t="shared" si="15"/>
        <v>0</v>
      </c>
      <c r="AC103" s="201">
        <f t="shared" si="15"/>
        <v>48282.74431799999</v>
      </c>
      <c r="AD103" s="201">
        <f t="shared" si="15"/>
        <v>0</v>
      </c>
      <c r="AE103" s="201">
        <f t="shared" si="15"/>
        <v>48282.74431799999</v>
      </c>
      <c r="AF103" s="201">
        <f t="shared" si="15"/>
        <v>0</v>
      </c>
    </row>
    <row r="104" spans="2:32" hidden="1" x14ac:dyDescent="0.25">
      <c r="B104" s="200" t="s">
        <v>775</v>
      </c>
      <c r="C104" s="201">
        <f t="shared" si="16"/>
        <v>18456.830969999999</v>
      </c>
      <c r="D104" s="201">
        <f t="shared" si="15"/>
        <v>0</v>
      </c>
      <c r="E104" s="201">
        <f t="shared" si="15"/>
        <v>0</v>
      </c>
      <c r="F104" s="201">
        <f t="shared" si="15"/>
        <v>18456.830969999999</v>
      </c>
      <c r="G104" s="201">
        <f t="shared" si="15"/>
        <v>0</v>
      </c>
      <c r="H104" s="201">
        <f t="shared" si="15"/>
        <v>0</v>
      </c>
      <c r="I104" s="201">
        <f t="shared" si="15"/>
        <v>21267.694719999996</v>
      </c>
      <c r="J104" s="201">
        <f t="shared" si="15"/>
        <v>0</v>
      </c>
      <c r="K104" s="201">
        <f t="shared" si="15"/>
        <v>21267.694719999996</v>
      </c>
      <c r="L104" s="201">
        <f t="shared" si="15"/>
        <v>0</v>
      </c>
      <c r="M104" s="201">
        <f t="shared" ref="D104:AF107" si="17">M34</f>
        <v>11586.841969999998</v>
      </c>
      <c r="N104" s="201">
        <f t="shared" si="17"/>
        <v>0</v>
      </c>
      <c r="O104" s="201">
        <f t="shared" si="17"/>
        <v>0</v>
      </c>
      <c r="P104" s="201">
        <f t="shared" si="17"/>
        <v>11586.841969999998</v>
      </c>
      <c r="Q104" s="201">
        <f t="shared" si="17"/>
        <v>0</v>
      </c>
      <c r="R104" s="201">
        <f t="shared" si="17"/>
        <v>0</v>
      </c>
      <c r="S104" s="201">
        <f t="shared" si="17"/>
        <v>13053.852359999999</v>
      </c>
      <c r="T104" s="201">
        <f t="shared" si="17"/>
        <v>0</v>
      </c>
      <c r="U104" s="201">
        <f t="shared" si="17"/>
        <v>13053.852359999999</v>
      </c>
      <c r="V104" s="201">
        <f t="shared" si="17"/>
        <v>0</v>
      </c>
      <c r="W104" s="201">
        <f t="shared" si="17"/>
        <v>11590.437077999999</v>
      </c>
      <c r="X104" s="201">
        <f t="shared" si="17"/>
        <v>0</v>
      </c>
      <c r="Y104" s="201">
        <f t="shared" si="17"/>
        <v>0</v>
      </c>
      <c r="Z104" s="201">
        <f t="shared" si="17"/>
        <v>11590.437077999999</v>
      </c>
      <c r="AA104" s="201">
        <f t="shared" si="17"/>
        <v>0</v>
      </c>
      <c r="AB104" s="201">
        <f t="shared" si="17"/>
        <v>0</v>
      </c>
      <c r="AC104" s="201">
        <f t="shared" si="17"/>
        <v>13060.424875999999</v>
      </c>
      <c r="AD104" s="201">
        <f t="shared" si="17"/>
        <v>0</v>
      </c>
      <c r="AE104" s="201">
        <f t="shared" si="17"/>
        <v>13060.424875999999</v>
      </c>
      <c r="AF104" s="201">
        <f t="shared" si="17"/>
        <v>0</v>
      </c>
    </row>
    <row r="105" spans="2:32" hidden="1" x14ac:dyDescent="0.25">
      <c r="B105" s="200" t="s">
        <v>430</v>
      </c>
      <c r="C105" s="201">
        <f t="shared" si="16"/>
        <v>0</v>
      </c>
      <c r="D105" s="201">
        <f t="shared" si="17"/>
        <v>37296.411809999998</v>
      </c>
      <c r="E105" s="201">
        <f t="shared" si="17"/>
        <v>0</v>
      </c>
      <c r="F105" s="201">
        <f t="shared" si="17"/>
        <v>0</v>
      </c>
      <c r="G105" s="201">
        <f t="shared" si="17"/>
        <v>37296.411809999998</v>
      </c>
      <c r="H105" s="201">
        <f t="shared" si="17"/>
        <v>0</v>
      </c>
      <c r="I105" s="201">
        <f t="shared" si="17"/>
        <v>0</v>
      </c>
      <c r="J105" s="201">
        <f t="shared" si="17"/>
        <v>0</v>
      </c>
      <c r="K105" s="201">
        <f t="shared" si="17"/>
        <v>0</v>
      </c>
      <c r="L105" s="201">
        <f t="shared" si="17"/>
        <v>0</v>
      </c>
      <c r="M105" s="201">
        <f t="shared" si="17"/>
        <v>0</v>
      </c>
      <c r="N105" s="201">
        <f t="shared" si="17"/>
        <v>28323.474724</v>
      </c>
      <c r="O105" s="201">
        <f t="shared" si="17"/>
        <v>0</v>
      </c>
      <c r="P105" s="201">
        <f t="shared" si="17"/>
        <v>0</v>
      </c>
      <c r="Q105" s="201">
        <f t="shared" si="17"/>
        <v>28323.474724</v>
      </c>
      <c r="R105" s="201">
        <f t="shared" si="17"/>
        <v>0</v>
      </c>
      <c r="S105" s="201">
        <f t="shared" si="17"/>
        <v>0</v>
      </c>
      <c r="T105" s="201">
        <f t="shared" si="17"/>
        <v>0</v>
      </c>
      <c r="U105" s="201">
        <f t="shared" si="17"/>
        <v>0</v>
      </c>
      <c r="V105" s="201">
        <f t="shared" si="17"/>
        <v>0</v>
      </c>
      <c r="W105" s="201">
        <f t="shared" si="17"/>
        <v>0</v>
      </c>
      <c r="X105" s="201">
        <f t="shared" si="17"/>
        <v>28325.122040000002</v>
      </c>
      <c r="Y105" s="201">
        <f t="shared" si="17"/>
        <v>0</v>
      </c>
      <c r="Z105" s="201">
        <f t="shared" si="17"/>
        <v>0</v>
      </c>
      <c r="AA105" s="201">
        <f t="shared" si="17"/>
        <v>28325.122040000002</v>
      </c>
      <c r="AB105" s="201">
        <f t="shared" si="17"/>
        <v>0</v>
      </c>
      <c r="AC105" s="201">
        <f t="shared" si="17"/>
        <v>0</v>
      </c>
      <c r="AD105" s="201">
        <f t="shared" si="17"/>
        <v>0</v>
      </c>
      <c r="AE105" s="201">
        <f t="shared" si="17"/>
        <v>0</v>
      </c>
      <c r="AF105" s="201">
        <f t="shared" si="17"/>
        <v>0</v>
      </c>
    </row>
    <row r="106" spans="2:32" hidden="1" x14ac:dyDescent="0.25">
      <c r="B106" s="200" t="s">
        <v>776</v>
      </c>
      <c r="C106" s="201">
        <f t="shared" si="16"/>
        <v>0</v>
      </c>
      <c r="D106" s="201">
        <f t="shared" si="17"/>
        <v>0</v>
      </c>
      <c r="E106" s="201">
        <f t="shared" si="17"/>
        <v>34204.159116999996</v>
      </c>
      <c r="F106" s="201">
        <f t="shared" si="17"/>
        <v>0</v>
      </c>
      <c r="G106" s="201">
        <f t="shared" si="17"/>
        <v>0</v>
      </c>
      <c r="H106" s="201">
        <f t="shared" si="17"/>
        <v>34204.159116999996</v>
      </c>
      <c r="I106" s="201">
        <f t="shared" si="17"/>
        <v>0</v>
      </c>
      <c r="J106" s="201">
        <f t="shared" si="17"/>
        <v>20349.615290000002</v>
      </c>
      <c r="K106" s="201">
        <f t="shared" si="17"/>
        <v>0</v>
      </c>
      <c r="L106" s="201">
        <f t="shared" si="17"/>
        <v>20349.615290000002</v>
      </c>
      <c r="M106" s="201">
        <f t="shared" si="17"/>
        <v>0</v>
      </c>
      <c r="N106" s="201">
        <f t="shared" si="17"/>
        <v>0</v>
      </c>
      <c r="O106" s="201">
        <f t="shared" si="17"/>
        <v>32826.818632000002</v>
      </c>
      <c r="P106" s="201">
        <f t="shared" si="17"/>
        <v>0</v>
      </c>
      <c r="Q106" s="201">
        <f t="shared" si="17"/>
        <v>0</v>
      </c>
      <c r="R106" s="201">
        <f t="shared" si="17"/>
        <v>32826.818632000002</v>
      </c>
      <c r="S106" s="201">
        <f t="shared" si="17"/>
        <v>0</v>
      </c>
      <c r="T106" s="201">
        <f t="shared" si="17"/>
        <v>19643.735070000002</v>
      </c>
      <c r="U106" s="201">
        <f t="shared" si="17"/>
        <v>0</v>
      </c>
      <c r="V106" s="201">
        <f t="shared" si="17"/>
        <v>19643.735070000002</v>
      </c>
      <c r="W106" s="201">
        <f t="shared" si="17"/>
        <v>0</v>
      </c>
      <c r="X106" s="201">
        <f t="shared" si="17"/>
        <v>0</v>
      </c>
      <c r="Y106" s="201">
        <f t="shared" si="17"/>
        <v>29401.718268000001</v>
      </c>
      <c r="Z106" s="201">
        <f t="shared" si="17"/>
        <v>0</v>
      </c>
      <c r="AA106" s="201">
        <f t="shared" si="17"/>
        <v>0</v>
      </c>
      <c r="AB106" s="201">
        <f t="shared" si="17"/>
        <v>29401.718268000001</v>
      </c>
      <c r="AC106" s="201">
        <f t="shared" si="17"/>
        <v>0</v>
      </c>
      <c r="AD106" s="201">
        <f t="shared" si="17"/>
        <v>17854.816456</v>
      </c>
      <c r="AE106" s="201">
        <f t="shared" si="17"/>
        <v>0</v>
      </c>
      <c r="AF106" s="201">
        <f t="shared" si="17"/>
        <v>17854.816456</v>
      </c>
    </row>
    <row r="107" spans="2:32" hidden="1" x14ac:dyDescent="0.25">
      <c r="B107" s="200" t="s">
        <v>777</v>
      </c>
      <c r="C107" s="201">
        <f t="shared" si="16"/>
        <v>131604.34</v>
      </c>
      <c r="D107" s="201">
        <f t="shared" si="17"/>
        <v>112717.42000000001</v>
      </c>
      <c r="E107" s="201">
        <f t="shared" si="17"/>
        <v>86802.760000000009</v>
      </c>
      <c r="F107" s="201">
        <f t="shared" si="17"/>
        <v>131604.34</v>
      </c>
      <c r="G107" s="201">
        <f t="shared" si="17"/>
        <v>112717.42000000001</v>
      </c>
      <c r="H107" s="201">
        <f t="shared" si="17"/>
        <v>86802.760000000009</v>
      </c>
      <c r="I107" s="201">
        <f t="shared" si="17"/>
        <v>131604.34</v>
      </c>
      <c r="J107" s="201">
        <f t="shared" si="17"/>
        <v>86802.760000000009</v>
      </c>
      <c r="K107" s="201">
        <f t="shared" si="17"/>
        <v>131604.34</v>
      </c>
      <c r="L107" s="201">
        <f t="shared" si="17"/>
        <v>86802.760000000009</v>
      </c>
      <c r="M107" s="201">
        <f t="shared" si="17"/>
        <v>145309.85000000003</v>
      </c>
      <c r="N107" s="201">
        <f t="shared" si="17"/>
        <v>125868.29000000004</v>
      </c>
      <c r="O107" s="201">
        <f t="shared" si="17"/>
        <v>109638.07000000002</v>
      </c>
      <c r="P107" s="201">
        <f t="shared" si="17"/>
        <v>145309.85000000003</v>
      </c>
      <c r="Q107" s="201">
        <f t="shared" si="17"/>
        <v>128554.07000000004</v>
      </c>
      <c r="R107" s="201">
        <f t="shared" si="17"/>
        <v>109638.07000000002</v>
      </c>
      <c r="S107" s="201">
        <f t="shared" si="17"/>
        <v>145309.85000000003</v>
      </c>
      <c r="T107" s="201">
        <f t="shared" si="17"/>
        <v>109638.07000000002</v>
      </c>
      <c r="U107" s="201">
        <f t="shared" si="17"/>
        <v>145309.85000000003</v>
      </c>
      <c r="V107" s="201">
        <f t="shared" si="17"/>
        <v>109638.07000000002</v>
      </c>
      <c r="W107" s="201">
        <f t="shared" si="17"/>
        <v>114504.85000000003</v>
      </c>
      <c r="X107" s="201">
        <f t="shared" si="17"/>
        <v>95319.760000000009</v>
      </c>
      <c r="Y107" s="201">
        <f t="shared" si="17"/>
        <v>78930.280000000013</v>
      </c>
      <c r="Z107" s="201">
        <f t="shared" si="17"/>
        <v>114504.85000000003</v>
      </c>
      <c r="AA107" s="201">
        <f t="shared" si="17"/>
        <v>95319.760000000009</v>
      </c>
      <c r="AB107" s="201">
        <f t="shared" si="17"/>
        <v>78930.280000000013</v>
      </c>
      <c r="AC107" s="201">
        <f t="shared" si="17"/>
        <v>114504.85000000003</v>
      </c>
      <c r="AD107" s="201">
        <f t="shared" si="17"/>
        <v>78930.280000000013</v>
      </c>
      <c r="AE107" s="201">
        <f t="shared" si="17"/>
        <v>114504.85000000003</v>
      </c>
      <c r="AF107" s="201">
        <f t="shared" si="17"/>
        <v>78930.280000000013</v>
      </c>
    </row>
    <row r="108" spans="2:32" hidden="1" x14ac:dyDescent="0.25">
      <c r="B108" s="200" t="s">
        <v>778</v>
      </c>
      <c r="C108" s="201">
        <f>C40</f>
        <v>194904.92999999993</v>
      </c>
      <c r="D108" s="201">
        <f t="shared" ref="D108:AF110" si="18">D40</f>
        <v>194904.92999999993</v>
      </c>
      <c r="E108" s="201">
        <f t="shared" si="18"/>
        <v>194904.92999999993</v>
      </c>
      <c r="F108" s="201">
        <f t="shared" si="18"/>
        <v>194904.92999999993</v>
      </c>
      <c r="G108" s="201">
        <f t="shared" si="18"/>
        <v>194904.92999999993</v>
      </c>
      <c r="H108" s="201">
        <f t="shared" si="18"/>
        <v>194904.92999999993</v>
      </c>
      <c r="I108" s="201">
        <f t="shared" si="18"/>
        <v>194904.92999999993</v>
      </c>
      <c r="J108" s="201">
        <f t="shared" si="18"/>
        <v>194904.92999999993</v>
      </c>
      <c r="K108" s="201">
        <f t="shared" si="18"/>
        <v>194904.92999999993</v>
      </c>
      <c r="L108" s="201">
        <f t="shared" si="18"/>
        <v>194904.92999999993</v>
      </c>
      <c r="M108" s="201">
        <f t="shared" si="18"/>
        <v>194904.92999999993</v>
      </c>
      <c r="N108" s="201">
        <f t="shared" si="18"/>
        <v>194904.92999999993</v>
      </c>
      <c r="O108" s="201">
        <f t="shared" si="18"/>
        <v>194904.92999999993</v>
      </c>
      <c r="P108" s="201">
        <f t="shared" si="18"/>
        <v>194904.92999999993</v>
      </c>
      <c r="Q108" s="201">
        <f t="shared" si="18"/>
        <v>194904.92999999993</v>
      </c>
      <c r="R108" s="201">
        <f t="shared" si="18"/>
        <v>194904.92999999993</v>
      </c>
      <c r="S108" s="201">
        <f t="shared" si="18"/>
        <v>194904.92999999993</v>
      </c>
      <c r="T108" s="201">
        <f t="shared" si="18"/>
        <v>194904.92999999993</v>
      </c>
      <c r="U108" s="201">
        <f t="shared" si="18"/>
        <v>194904.92999999993</v>
      </c>
      <c r="V108" s="201">
        <f t="shared" si="18"/>
        <v>194904.92999999993</v>
      </c>
      <c r="W108" s="201">
        <f t="shared" si="18"/>
        <v>194904.92999999993</v>
      </c>
      <c r="X108" s="201">
        <f t="shared" si="18"/>
        <v>194904.92999999993</v>
      </c>
      <c r="Y108" s="201">
        <f t="shared" si="18"/>
        <v>194904.92999999993</v>
      </c>
      <c r="Z108" s="201">
        <f t="shared" si="18"/>
        <v>194904.92999999993</v>
      </c>
      <c r="AA108" s="201">
        <f t="shared" si="18"/>
        <v>194904.92999999993</v>
      </c>
      <c r="AB108" s="201">
        <f t="shared" si="18"/>
        <v>194904.92999999993</v>
      </c>
      <c r="AC108" s="201">
        <f t="shared" si="18"/>
        <v>194904.92999999993</v>
      </c>
      <c r="AD108" s="201">
        <f t="shared" si="18"/>
        <v>194904.92999999993</v>
      </c>
      <c r="AE108" s="201">
        <f t="shared" si="18"/>
        <v>194904.92999999993</v>
      </c>
      <c r="AF108" s="201">
        <f t="shared" si="18"/>
        <v>194904.92999999993</v>
      </c>
    </row>
    <row r="109" spans="2:32" hidden="1" x14ac:dyDescent="0.25">
      <c r="B109" s="200" t="s">
        <v>779</v>
      </c>
      <c r="C109" s="201">
        <f t="shared" ref="C109:R110" si="19">C41</f>
        <v>10067.740000000005</v>
      </c>
      <c r="D109" s="201">
        <f t="shared" si="19"/>
        <v>10067.740000000005</v>
      </c>
      <c r="E109" s="201">
        <f t="shared" si="19"/>
        <v>10067.740000000005</v>
      </c>
      <c r="F109" s="201">
        <f t="shared" si="19"/>
        <v>10067.740000000005</v>
      </c>
      <c r="G109" s="201">
        <f t="shared" si="19"/>
        <v>10067.740000000005</v>
      </c>
      <c r="H109" s="201">
        <f t="shared" si="19"/>
        <v>10067.740000000005</v>
      </c>
      <c r="I109" s="201">
        <f t="shared" si="19"/>
        <v>10067.740000000005</v>
      </c>
      <c r="J109" s="201">
        <f t="shared" si="19"/>
        <v>10067.740000000005</v>
      </c>
      <c r="K109" s="201">
        <f t="shared" si="19"/>
        <v>10067.740000000005</v>
      </c>
      <c r="L109" s="201">
        <f t="shared" si="19"/>
        <v>10067.740000000005</v>
      </c>
      <c r="M109" s="201">
        <f t="shared" si="19"/>
        <v>10067.740000000005</v>
      </c>
      <c r="N109" s="201">
        <f t="shared" si="19"/>
        <v>10067.740000000005</v>
      </c>
      <c r="O109" s="201">
        <f t="shared" si="19"/>
        <v>10067.740000000005</v>
      </c>
      <c r="P109" s="201">
        <f t="shared" si="19"/>
        <v>10067.740000000005</v>
      </c>
      <c r="Q109" s="201">
        <f t="shared" si="19"/>
        <v>10067.740000000005</v>
      </c>
      <c r="R109" s="201">
        <f t="shared" si="19"/>
        <v>10067.740000000005</v>
      </c>
      <c r="S109" s="201">
        <f t="shared" si="18"/>
        <v>10067.740000000005</v>
      </c>
      <c r="T109" s="201">
        <f t="shared" si="18"/>
        <v>10067.740000000005</v>
      </c>
      <c r="U109" s="201">
        <f t="shared" si="18"/>
        <v>10067.740000000005</v>
      </c>
      <c r="V109" s="201">
        <f t="shared" si="18"/>
        <v>10067.740000000005</v>
      </c>
      <c r="W109" s="201">
        <f t="shared" si="18"/>
        <v>10067.740000000005</v>
      </c>
      <c r="X109" s="201">
        <f t="shared" si="18"/>
        <v>10067.740000000005</v>
      </c>
      <c r="Y109" s="201">
        <f t="shared" si="18"/>
        <v>10067.740000000005</v>
      </c>
      <c r="Z109" s="201">
        <f t="shared" si="18"/>
        <v>10067.740000000005</v>
      </c>
      <c r="AA109" s="201">
        <f t="shared" si="18"/>
        <v>10067.740000000005</v>
      </c>
      <c r="AB109" s="201">
        <f t="shared" si="18"/>
        <v>10067.740000000005</v>
      </c>
      <c r="AC109" s="201">
        <f t="shared" si="18"/>
        <v>10067.740000000005</v>
      </c>
      <c r="AD109" s="201">
        <f t="shared" si="18"/>
        <v>10067.740000000005</v>
      </c>
      <c r="AE109" s="201">
        <f t="shared" si="18"/>
        <v>10067.740000000005</v>
      </c>
      <c r="AF109" s="201">
        <f t="shared" si="18"/>
        <v>10067.740000000005</v>
      </c>
    </row>
    <row r="110" spans="2:32" hidden="1" x14ac:dyDescent="0.25">
      <c r="B110" s="200" t="s">
        <v>783</v>
      </c>
      <c r="C110" s="201">
        <f t="shared" si="19"/>
        <v>78371.680000000008</v>
      </c>
      <c r="D110" s="201">
        <f t="shared" si="18"/>
        <v>52115.450000000004</v>
      </c>
      <c r="E110" s="201">
        <f t="shared" si="18"/>
        <v>77093.38</v>
      </c>
      <c r="F110" s="201">
        <f t="shared" si="18"/>
        <v>78371.680000000008</v>
      </c>
      <c r="G110" s="201">
        <f t="shared" si="18"/>
        <v>52115.450000000004</v>
      </c>
      <c r="H110" s="201">
        <f t="shared" si="18"/>
        <v>77093.38</v>
      </c>
      <c r="I110" s="201">
        <f t="shared" si="18"/>
        <v>78371.680000000008</v>
      </c>
      <c r="J110" s="201">
        <f t="shared" si="18"/>
        <v>77093.38</v>
      </c>
      <c r="K110" s="201">
        <f t="shared" si="18"/>
        <v>78371.680000000008</v>
      </c>
      <c r="L110" s="201">
        <f t="shared" si="18"/>
        <v>77093.38</v>
      </c>
      <c r="M110" s="201">
        <f t="shared" si="18"/>
        <v>87735.860000000015</v>
      </c>
      <c r="N110" s="201">
        <f t="shared" si="18"/>
        <v>61479.630000000012</v>
      </c>
      <c r="O110" s="201">
        <f t="shared" si="18"/>
        <v>86457.560000000012</v>
      </c>
      <c r="P110" s="201">
        <f t="shared" si="18"/>
        <v>87735.860000000015</v>
      </c>
      <c r="Q110" s="201">
        <f t="shared" si="18"/>
        <v>61479.630000000012</v>
      </c>
      <c r="R110" s="201">
        <f t="shared" si="18"/>
        <v>86457.560000000012</v>
      </c>
      <c r="S110" s="201">
        <f t="shared" si="18"/>
        <v>87735.860000000015</v>
      </c>
      <c r="T110" s="201">
        <f t="shared" si="18"/>
        <v>86457.560000000012</v>
      </c>
      <c r="U110" s="201">
        <f t="shared" si="18"/>
        <v>87735.860000000015</v>
      </c>
      <c r="V110" s="201">
        <f t="shared" si="18"/>
        <v>86457.560000000012</v>
      </c>
      <c r="W110" s="201">
        <f t="shared" si="18"/>
        <v>78371.680000000008</v>
      </c>
      <c r="X110" s="201">
        <f t="shared" si="18"/>
        <v>52115.450000000004</v>
      </c>
      <c r="Y110" s="201">
        <f t="shared" si="18"/>
        <v>77093.38</v>
      </c>
      <c r="Z110" s="201">
        <f t="shared" si="18"/>
        <v>78371.680000000008</v>
      </c>
      <c r="AA110" s="201">
        <f t="shared" si="18"/>
        <v>52115.450000000004</v>
      </c>
      <c r="AB110" s="201">
        <f t="shared" si="18"/>
        <v>77093.38</v>
      </c>
      <c r="AC110" s="201">
        <f t="shared" si="18"/>
        <v>78371.680000000008</v>
      </c>
      <c r="AD110" s="201">
        <f t="shared" si="18"/>
        <v>77093.38</v>
      </c>
      <c r="AE110" s="201">
        <f t="shared" si="18"/>
        <v>78371.680000000008</v>
      </c>
      <c r="AF110" s="201">
        <f t="shared" si="18"/>
        <v>77093.38</v>
      </c>
    </row>
    <row r="111" spans="2:32" hidden="1" x14ac:dyDescent="0.25">
      <c r="B111" s="202"/>
      <c r="C111" s="199" t="s">
        <v>466</v>
      </c>
      <c r="D111" s="199" t="s">
        <v>467</v>
      </c>
      <c r="E111" s="199" t="s">
        <v>468</v>
      </c>
      <c r="F111" s="199" t="s">
        <v>469</v>
      </c>
      <c r="G111" s="199" t="s">
        <v>470</v>
      </c>
      <c r="H111" s="199" t="s">
        <v>471</v>
      </c>
      <c r="I111" s="199" t="s">
        <v>472</v>
      </c>
      <c r="J111" s="199" t="s">
        <v>473</v>
      </c>
      <c r="K111" s="199" t="s">
        <v>474</v>
      </c>
      <c r="L111" s="199" t="s">
        <v>475</v>
      </c>
      <c r="M111" s="199" t="s">
        <v>476</v>
      </c>
      <c r="N111" s="199" t="s">
        <v>477</v>
      </c>
      <c r="O111" s="199" t="s">
        <v>478</v>
      </c>
      <c r="P111" s="199" t="s">
        <v>479</v>
      </c>
      <c r="Q111" s="199" t="s">
        <v>480</v>
      </c>
      <c r="R111" s="199" t="s">
        <v>481</v>
      </c>
      <c r="S111" s="199" t="s">
        <v>482</v>
      </c>
      <c r="T111" s="199" t="s">
        <v>483</v>
      </c>
      <c r="U111" s="199" t="s">
        <v>484</v>
      </c>
      <c r="V111" s="199" t="s">
        <v>485</v>
      </c>
      <c r="W111" s="199" t="s">
        <v>486</v>
      </c>
      <c r="X111" s="199" t="s">
        <v>487</v>
      </c>
      <c r="Y111" s="199" t="s">
        <v>488</v>
      </c>
      <c r="Z111" s="199" t="s">
        <v>489</v>
      </c>
      <c r="AA111" s="199" t="s">
        <v>490</v>
      </c>
      <c r="AB111" s="199" t="s">
        <v>491</v>
      </c>
      <c r="AC111" s="199" t="s">
        <v>492</v>
      </c>
      <c r="AD111" s="199" t="s">
        <v>493</v>
      </c>
      <c r="AE111" s="199" t="s">
        <v>494</v>
      </c>
      <c r="AF111" s="199" t="s">
        <v>495</v>
      </c>
    </row>
    <row r="112" spans="2:32" hidden="1" x14ac:dyDescent="0.25">
      <c r="B112" s="200" t="s">
        <v>784</v>
      </c>
      <c r="C112" s="201">
        <f>C49</f>
        <v>43545.600000000006</v>
      </c>
      <c r="D112" s="201">
        <f t="shared" ref="D112:AF115" si="20">D49</f>
        <v>43545.600000000006</v>
      </c>
      <c r="E112" s="201">
        <f t="shared" si="20"/>
        <v>43545.600000000006</v>
      </c>
      <c r="F112" s="201">
        <f t="shared" si="20"/>
        <v>43545.600000000006</v>
      </c>
      <c r="G112" s="201">
        <f t="shared" si="20"/>
        <v>43545.600000000006</v>
      </c>
      <c r="H112" s="201">
        <f t="shared" si="20"/>
        <v>43545.600000000006</v>
      </c>
      <c r="I112" s="201">
        <f t="shared" si="20"/>
        <v>43545.600000000006</v>
      </c>
      <c r="J112" s="201">
        <f t="shared" si="20"/>
        <v>43545.600000000006</v>
      </c>
      <c r="K112" s="201">
        <f t="shared" si="20"/>
        <v>43545.600000000006</v>
      </c>
      <c r="L112" s="201">
        <f t="shared" si="20"/>
        <v>43545.600000000006</v>
      </c>
      <c r="M112" s="201">
        <f t="shared" si="20"/>
        <v>43545.600000000006</v>
      </c>
      <c r="N112" s="201">
        <f t="shared" si="20"/>
        <v>43545.600000000006</v>
      </c>
      <c r="O112" s="201">
        <f t="shared" si="20"/>
        <v>43545.600000000006</v>
      </c>
      <c r="P112" s="201">
        <f t="shared" si="20"/>
        <v>43545.600000000006</v>
      </c>
      <c r="Q112" s="201">
        <f t="shared" si="20"/>
        <v>43545.600000000006</v>
      </c>
      <c r="R112" s="201">
        <f t="shared" si="20"/>
        <v>43545.600000000006</v>
      </c>
      <c r="S112" s="201">
        <f t="shared" si="20"/>
        <v>43545.600000000006</v>
      </c>
      <c r="T112" s="201">
        <f t="shared" si="20"/>
        <v>43545.600000000006</v>
      </c>
      <c r="U112" s="201">
        <f t="shared" si="20"/>
        <v>43545.600000000006</v>
      </c>
      <c r="V112" s="201">
        <f t="shared" si="20"/>
        <v>43545.600000000006</v>
      </c>
      <c r="W112" s="201">
        <f t="shared" si="20"/>
        <v>43545.600000000006</v>
      </c>
      <c r="X112" s="201">
        <f t="shared" si="20"/>
        <v>43545.600000000006</v>
      </c>
      <c r="Y112" s="201">
        <f t="shared" si="20"/>
        <v>43545.600000000006</v>
      </c>
      <c r="Z112" s="201">
        <f t="shared" si="20"/>
        <v>43545.600000000006</v>
      </c>
      <c r="AA112" s="201">
        <f t="shared" si="20"/>
        <v>43545.600000000006</v>
      </c>
      <c r="AB112" s="201">
        <f t="shared" si="20"/>
        <v>43545.600000000006</v>
      </c>
      <c r="AC112" s="201">
        <f t="shared" si="20"/>
        <v>43545.600000000006</v>
      </c>
      <c r="AD112" s="201">
        <f t="shared" si="20"/>
        <v>43545.600000000006</v>
      </c>
      <c r="AE112" s="201">
        <f t="shared" si="20"/>
        <v>43545.600000000006</v>
      </c>
      <c r="AF112" s="201">
        <f t="shared" si="20"/>
        <v>43545.600000000006</v>
      </c>
    </row>
    <row r="113" spans="1:32" hidden="1" x14ac:dyDescent="0.25">
      <c r="B113" s="200" t="s">
        <v>785</v>
      </c>
      <c r="C113" s="201">
        <f t="shared" ref="C113:R115" si="21">C50</f>
        <v>12588.01584</v>
      </c>
      <c r="D113" s="201">
        <f t="shared" si="21"/>
        <v>12588.01584</v>
      </c>
      <c r="E113" s="201">
        <f t="shared" si="21"/>
        <v>9478.0030799999986</v>
      </c>
      <c r="F113" s="201">
        <f t="shared" si="21"/>
        <v>12588.01584</v>
      </c>
      <c r="G113" s="201">
        <f t="shared" si="21"/>
        <v>12588.01584</v>
      </c>
      <c r="H113" s="201">
        <f t="shared" si="21"/>
        <v>9478.0030799999986</v>
      </c>
      <c r="I113" s="201">
        <f t="shared" si="21"/>
        <v>12588.01584</v>
      </c>
      <c r="J113" s="201">
        <f t="shared" si="21"/>
        <v>9478.0030799999986</v>
      </c>
      <c r="K113" s="201">
        <f t="shared" si="21"/>
        <v>12588.01584</v>
      </c>
      <c r="L113" s="201">
        <f t="shared" si="21"/>
        <v>9478.0030799999986</v>
      </c>
      <c r="M113" s="201">
        <f t="shared" si="21"/>
        <v>7649.9668709999996</v>
      </c>
      <c r="N113" s="201">
        <f t="shared" si="21"/>
        <v>9346.1008709999987</v>
      </c>
      <c r="O113" s="201">
        <f t="shared" si="21"/>
        <v>11031.84</v>
      </c>
      <c r="P113" s="201">
        <f t="shared" si="21"/>
        <v>7649.9668709999996</v>
      </c>
      <c r="Q113" s="201">
        <f t="shared" si="21"/>
        <v>9346.1008709999987</v>
      </c>
      <c r="R113" s="201">
        <f t="shared" si="21"/>
        <v>11031.84</v>
      </c>
      <c r="S113" s="201">
        <f t="shared" si="20"/>
        <v>7649.9668709999996</v>
      </c>
      <c r="T113" s="201">
        <f t="shared" si="20"/>
        <v>11031.84</v>
      </c>
      <c r="U113" s="201">
        <f t="shared" si="20"/>
        <v>7649.9668709999996</v>
      </c>
      <c r="V113" s="201">
        <f t="shared" si="20"/>
        <v>11031.84</v>
      </c>
      <c r="W113" s="201">
        <f t="shared" si="20"/>
        <v>7615.8991289999994</v>
      </c>
      <c r="X113" s="201">
        <f t="shared" si="20"/>
        <v>7615.8991289999994</v>
      </c>
      <c r="Y113" s="201">
        <f t="shared" si="20"/>
        <v>8409.24</v>
      </c>
      <c r="Z113" s="201">
        <f t="shared" si="20"/>
        <v>7615.8991289999994</v>
      </c>
      <c r="AA113" s="201">
        <f t="shared" si="20"/>
        <v>7615.8991289999994</v>
      </c>
      <c r="AB113" s="201">
        <f t="shared" si="20"/>
        <v>8409.24</v>
      </c>
      <c r="AC113" s="201">
        <f t="shared" si="20"/>
        <v>7615.8991289999994</v>
      </c>
      <c r="AD113" s="201">
        <f t="shared" si="20"/>
        <v>8409.24</v>
      </c>
      <c r="AE113" s="201">
        <f t="shared" si="20"/>
        <v>7615.8991289999994</v>
      </c>
      <c r="AF113" s="201">
        <f t="shared" si="20"/>
        <v>8409.24</v>
      </c>
    </row>
    <row r="114" spans="1:32" hidden="1" x14ac:dyDescent="0.25">
      <c r="B114" s="200" t="s">
        <v>786</v>
      </c>
      <c r="C114" s="201">
        <f t="shared" si="21"/>
        <v>49679.999999999585</v>
      </c>
      <c r="D114" s="201">
        <f t="shared" si="20"/>
        <v>49680</v>
      </c>
      <c r="E114" s="201">
        <f t="shared" si="20"/>
        <v>41371.200000000004</v>
      </c>
      <c r="F114" s="201">
        <f t="shared" si="20"/>
        <v>49679.999999999585</v>
      </c>
      <c r="G114" s="201">
        <f t="shared" si="20"/>
        <v>49680</v>
      </c>
      <c r="H114" s="201">
        <f t="shared" si="20"/>
        <v>41371.200000000004</v>
      </c>
      <c r="I114" s="201">
        <f t="shared" si="20"/>
        <v>49679.999999999585</v>
      </c>
      <c r="J114" s="201">
        <f t="shared" si="20"/>
        <v>41371.200000000004</v>
      </c>
      <c r="K114" s="201">
        <f t="shared" si="20"/>
        <v>49679.999999999585</v>
      </c>
      <c r="L114" s="201">
        <f t="shared" si="20"/>
        <v>41371.200000000004</v>
      </c>
      <c r="M114" s="201">
        <f t="shared" si="20"/>
        <v>41371.200000000004</v>
      </c>
      <c r="N114" s="201">
        <f t="shared" si="20"/>
        <v>41371.200000000004</v>
      </c>
      <c r="O114" s="201">
        <f t="shared" si="20"/>
        <v>41371.200000000004</v>
      </c>
      <c r="P114" s="201">
        <f t="shared" si="20"/>
        <v>41371.200000000004</v>
      </c>
      <c r="Q114" s="201">
        <f t="shared" si="20"/>
        <v>41371.200000000004</v>
      </c>
      <c r="R114" s="201">
        <f t="shared" si="20"/>
        <v>41371.200000000004</v>
      </c>
      <c r="S114" s="201">
        <f t="shared" si="20"/>
        <v>41371.200000000004</v>
      </c>
      <c r="T114" s="201">
        <f t="shared" si="20"/>
        <v>41371.200000000004</v>
      </c>
      <c r="U114" s="201">
        <f t="shared" si="20"/>
        <v>41371.200000000004</v>
      </c>
      <c r="V114" s="201">
        <f t="shared" si="20"/>
        <v>41371.200000000004</v>
      </c>
      <c r="W114" s="201">
        <f t="shared" si="20"/>
        <v>41371.200000000004</v>
      </c>
      <c r="X114" s="201">
        <f t="shared" si="20"/>
        <v>41371.200000000004</v>
      </c>
      <c r="Y114" s="201">
        <f t="shared" si="20"/>
        <v>41371.200000000004</v>
      </c>
      <c r="Z114" s="201">
        <f t="shared" si="20"/>
        <v>41371.200000000004</v>
      </c>
      <c r="AA114" s="201">
        <f t="shared" si="20"/>
        <v>41371.200000000004</v>
      </c>
      <c r="AB114" s="201">
        <f t="shared" si="20"/>
        <v>41371.200000000004</v>
      </c>
      <c r="AC114" s="201">
        <f t="shared" si="20"/>
        <v>41371.200000000004</v>
      </c>
      <c r="AD114" s="201">
        <f t="shared" si="20"/>
        <v>41371.200000000004</v>
      </c>
      <c r="AE114" s="201">
        <f t="shared" si="20"/>
        <v>41371.200000000004</v>
      </c>
      <c r="AF114" s="201">
        <f t="shared" si="20"/>
        <v>41371.200000000004</v>
      </c>
    </row>
    <row r="115" spans="1:32" hidden="1" x14ac:dyDescent="0.25">
      <c r="B115" s="200" t="s">
        <v>787</v>
      </c>
      <c r="C115" s="201">
        <f t="shared" si="21"/>
        <v>6220.5494400000007</v>
      </c>
      <c r="D115" s="201">
        <f t="shared" si="20"/>
        <v>5521.0512000000008</v>
      </c>
      <c r="E115" s="201">
        <f t="shared" si="20"/>
        <v>10327.195200000002</v>
      </c>
      <c r="F115" s="201">
        <f t="shared" si="20"/>
        <v>6220.5494400000007</v>
      </c>
      <c r="G115" s="201">
        <f t="shared" si="20"/>
        <v>5521.0512000000008</v>
      </c>
      <c r="H115" s="201">
        <f t="shared" si="20"/>
        <v>10327.195200000002</v>
      </c>
      <c r="I115" s="201">
        <f t="shared" si="20"/>
        <v>6220.5494400000007</v>
      </c>
      <c r="J115" s="201">
        <f t="shared" si="20"/>
        <v>10327.195200000002</v>
      </c>
      <c r="K115" s="201">
        <f t="shared" si="20"/>
        <v>6220.5494400000007</v>
      </c>
      <c r="L115" s="201">
        <f t="shared" si="20"/>
        <v>10327.195200000002</v>
      </c>
      <c r="M115" s="201">
        <f t="shared" si="20"/>
        <v>6835.9200000000019</v>
      </c>
      <c r="N115" s="201">
        <f t="shared" si="20"/>
        <v>6136.4352000000017</v>
      </c>
      <c r="O115" s="201">
        <f t="shared" si="20"/>
        <v>10942.579200000002</v>
      </c>
      <c r="P115" s="201">
        <f t="shared" si="20"/>
        <v>6835.9200000000019</v>
      </c>
      <c r="Q115" s="201">
        <f t="shared" si="20"/>
        <v>6136.4352000000017</v>
      </c>
      <c r="R115" s="201">
        <f t="shared" si="20"/>
        <v>10942.579200000002</v>
      </c>
      <c r="S115" s="201">
        <f t="shared" si="20"/>
        <v>6835.9200000000019</v>
      </c>
      <c r="T115" s="201">
        <f t="shared" si="20"/>
        <v>10942.579200000002</v>
      </c>
      <c r="U115" s="201">
        <f t="shared" si="20"/>
        <v>6835.9200000000019</v>
      </c>
      <c r="V115" s="201">
        <f t="shared" si="20"/>
        <v>10942.579200000002</v>
      </c>
      <c r="W115" s="201">
        <f t="shared" si="20"/>
        <v>6835.8863999999994</v>
      </c>
      <c r="X115" s="201">
        <f t="shared" si="20"/>
        <v>6136.4016000000001</v>
      </c>
      <c r="Y115" s="201">
        <f t="shared" si="20"/>
        <v>9652.3055999999997</v>
      </c>
      <c r="Z115" s="201">
        <f t="shared" si="20"/>
        <v>6835.8863999999994</v>
      </c>
      <c r="AA115" s="201">
        <f t="shared" si="20"/>
        <v>6136.4016000000001</v>
      </c>
      <c r="AB115" s="201">
        <f t="shared" si="20"/>
        <v>9652.3055999999997</v>
      </c>
      <c r="AC115" s="201">
        <f t="shared" si="20"/>
        <v>6835.8863999999994</v>
      </c>
      <c r="AD115" s="201">
        <f t="shared" si="20"/>
        <v>9652.3055999999997</v>
      </c>
      <c r="AE115" s="201">
        <f t="shared" si="20"/>
        <v>6835.8863999999994</v>
      </c>
      <c r="AF115" s="201">
        <f t="shared" si="20"/>
        <v>9652.3055999999997</v>
      </c>
    </row>
    <row r="116" spans="1:32" hidden="1" x14ac:dyDescent="0.25">
      <c r="B116" s="200" t="s">
        <v>830</v>
      </c>
      <c r="C116" s="201">
        <f>C55</f>
        <v>477355.10111999995</v>
      </c>
      <c r="D116" s="201">
        <f t="shared" ref="D116:AF116" si="22">D55</f>
        <v>477355.10111999995</v>
      </c>
      <c r="E116" s="201">
        <f t="shared" si="22"/>
        <v>477355.10111999995</v>
      </c>
      <c r="F116" s="201">
        <f t="shared" si="22"/>
        <v>477355.10111999995</v>
      </c>
      <c r="G116" s="201">
        <f t="shared" si="22"/>
        <v>477355.10111999995</v>
      </c>
      <c r="H116" s="201">
        <f t="shared" si="22"/>
        <v>477355.10111999995</v>
      </c>
      <c r="I116" s="201">
        <f t="shared" si="22"/>
        <v>477355.10111999995</v>
      </c>
      <c r="J116" s="201">
        <f t="shared" si="22"/>
        <v>477355.10111999995</v>
      </c>
      <c r="K116" s="201">
        <f t="shared" si="22"/>
        <v>477355.10111999995</v>
      </c>
      <c r="L116" s="201">
        <f t="shared" si="22"/>
        <v>477355.10111999995</v>
      </c>
      <c r="M116" s="201">
        <f t="shared" si="22"/>
        <v>477355.10111999995</v>
      </c>
      <c r="N116" s="201">
        <f t="shared" si="22"/>
        <v>477355.10111999995</v>
      </c>
      <c r="O116" s="201">
        <f t="shared" si="22"/>
        <v>477355.10111999995</v>
      </c>
      <c r="P116" s="201">
        <f t="shared" si="22"/>
        <v>477355.10111999995</v>
      </c>
      <c r="Q116" s="201">
        <f t="shared" si="22"/>
        <v>477355.10111999995</v>
      </c>
      <c r="R116" s="201">
        <f t="shared" si="22"/>
        <v>477355.10111999995</v>
      </c>
      <c r="S116" s="201">
        <f t="shared" si="22"/>
        <v>477355.10111999995</v>
      </c>
      <c r="T116" s="201">
        <f t="shared" si="22"/>
        <v>477355.10111999995</v>
      </c>
      <c r="U116" s="201">
        <f t="shared" si="22"/>
        <v>477355.10111999995</v>
      </c>
      <c r="V116" s="201">
        <f t="shared" si="22"/>
        <v>477355.10111999995</v>
      </c>
      <c r="W116" s="201">
        <f t="shared" si="22"/>
        <v>477355.10111999995</v>
      </c>
      <c r="X116" s="201">
        <f t="shared" si="22"/>
        <v>477355.10111999995</v>
      </c>
      <c r="Y116" s="201">
        <f t="shared" si="22"/>
        <v>477355.10111999995</v>
      </c>
      <c r="Z116" s="201">
        <f t="shared" si="22"/>
        <v>477355.10111999995</v>
      </c>
      <c r="AA116" s="201">
        <f t="shared" si="22"/>
        <v>477355.10111999995</v>
      </c>
      <c r="AB116" s="201">
        <f t="shared" si="22"/>
        <v>477355.10111999995</v>
      </c>
      <c r="AC116" s="201">
        <f t="shared" si="22"/>
        <v>477355.10111999995</v>
      </c>
      <c r="AD116" s="201">
        <f t="shared" si="22"/>
        <v>477355.10111999995</v>
      </c>
      <c r="AE116" s="201">
        <f t="shared" si="22"/>
        <v>477355.10111999995</v>
      </c>
      <c r="AF116" s="201">
        <f t="shared" si="22"/>
        <v>477355.10111999995</v>
      </c>
    </row>
    <row r="117" spans="1:32" hidden="1" x14ac:dyDescent="0.25">
      <c r="B117" s="200" t="s">
        <v>831</v>
      </c>
      <c r="C117" s="201">
        <f>C56</f>
        <v>10994.290000000008</v>
      </c>
      <c r="D117" s="201">
        <f t="shared" ref="D117:AF117" si="23">D56</f>
        <v>10994.290000000008</v>
      </c>
      <c r="E117" s="201">
        <f t="shared" si="23"/>
        <v>10994.290000000008</v>
      </c>
      <c r="F117" s="201">
        <f t="shared" si="23"/>
        <v>10994.290000000008</v>
      </c>
      <c r="G117" s="201">
        <f t="shared" si="23"/>
        <v>10994.290000000008</v>
      </c>
      <c r="H117" s="201">
        <f t="shared" si="23"/>
        <v>10994.290000000008</v>
      </c>
      <c r="I117" s="201">
        <f t="shared" si="23"/>
        <v>10994.290000000008</v>
      </c>
      <c r="J117" s="201">
        <f t="shared" si="23"/>
        <v>10994.290000000008</v>
      </c>
      <c r="K117" s="201">
        <f t="shared" si="23"/>
        <v>10994.290000000008</v>
      </c>
      <c r="L117" s="201">
        <f t="shared" si="23"/>
        <v>10994.290000000008</v>
      </c>
      <c r="M117" s="201">
        <f t="shared" si="23"/>
        <v>10994.290000000008</v>
      </c>
      <c r="N117" s="201">
        <f t="shared" si="23"/>
        <v>10994.290000000008</v>
      </c>
      <c r="O117" s="201">
        <f t="shared" si="23"/>
        <v>10994.290000000008</v>
      </c>
      <c r="P117" s="201">
        <f t="shared" si="23"/>
        <v>10994.290000000008</v>
      </c>
      <c r="Q117" s="201">
        <f t="shared" si="23"/>
        <v>10994.290000000008</v>
      </c>
      <c r="R117" s="201">
        <f t="shared" si="23"/>
        <v>10994.290000000008</v>
      </c>
      <c r="S117" s="201">
        <f t="shared" si="23"/>
        <v>10994.290000000008</v>
      </c>
      <c r="T117" s="201">
        <f t="shared" si="23"/>
        <v>10994.290000000008</v>
      </c>
      <c r="U117" s="201">
        <f t="shared" si="23"/>
        <v>10994.290000000008</v>
      </c>
      <c r="V117" s="201">
        <f t="shared" si="23"/>
        <v>10994.290000000008</v>
      </c>
      <c r="W117" s="201">
        <f t="shared" si="23"/>
        <v>10994.290000000008</v>
      </c>
      <c r="X117" s="201">
        <f t="shared" si="23"/>
        <v>10994.290000000008</v>
      </c>
      <c r="Y117" s="201">
        <f t="shared" si="23"/>
        <v>10994.290000000008</v>
      </c>
      <c r="Z117" s="201">
        <f t="shared" si="23"/>
        <v>10994.290000000008</v>
      </c>
      <c r="AA117" s="201">
        <f t="shared" si="23"/>
        <v>10994.290000000008</v>
      </c>
      <c r="AB117" s="201">
        <f t="shared" si="23"/>
        <v>10994.290000000008</v>
      </c>
      <c r="AC117" s="201">
        <f t="shared" si="23"/>
        <v>10994.290000000008</v>
      </c>
      <c r="AD117" s="201">
        <f t="shared" si="23"/>
        <v>10994.290000000008</v>
      </c>
      <c r="AE117" s="201">
        <f t="shared" si="23"/>
        <v>10994.290000000008</v>
      </c>
      <c r="AF117" s="201">
        <f t="shared" si="23"/>
        <v>10994.290000000008</v>
      </c>
    </row>
    <row r="118" spans="1:32" hidden="1" x14ac:dyDescent="0.25">
      <c r="B118" s="203"/>
    </row>
    <row r="119" spans="1:32" hidden="1" x14ac:dyDescent="0.25">
      <c r="B119" s="203"/>
    </row>
    <row r="120" spans="1:32" hidden="1" x14ac:dyDescent="0.25">
      <c r="A120" s="109">
        <v>1</v>
      </c>
      <c r="B120" s="200" t="s">
        <v>832</v>
      </c>
      <c r="C120" s="201">
        <f t="shared" ref="C120:C139" si="24">INDEX($C$91:$AF$110,A120,$D$120)</f>
        <v>66366.299999999988</v>
      </c>
      <c r="D120" s="109">
        <f>'Gráficos (B4)'!M4</f>
        <v>1</v>
      </c>
    </row>
    <row r="121" spans="1:32" hidden="1" x14ac:dyDescent="0.25">
      <c r="A121" s="109">
        <v>2</v>
      </c>
      <c r="B121" s="200" t="s">
        <v>810</v>
      </c>
      <c r="C121" s="201">
        <f t="shared" si="24"/>
        <v>143991.68699999995</v>
      </c>
    </row>
    <row r="122" spans="1:32" hidden="1" x14ac:dyDescent="0.25">
      <c r="A122" s="109">
        <v>3</v>
      </c>
      <c r="B122" s="200" t="s">
        <v>764</v>
      </c>
      <c r="C122" s="201">
        <f t="shared" si="24"/>
        <v>2989.7075920000007</v>
      </c>
    </row>
    <row r="123" spans="1:32" hidden="1" x14ac:dyDescent="0.25">
      <c r="A123" s="109">
        <v>4</v>
      </c>
      <c r="B123" s="200" t="s">
        <v>765</v>
      </c>
      <c r="C123" s="201">
        <f t="shared" si="24"/>
        <v>24266.567900000002</v>
      </c>
    </row>
    <row r="124" spans="1:32" hidden="1" x14ac:dyDescent="0.25">
      <c r="A124" s="109">
        <v>5</v>
      </c>
      <c r="B124" s="200" t="s">
        <v>772</v>
      </c>
      <c r="C124" s="201">
        <f t="shared" si="24"/>
        <v>181903.57807600001</v>
      </c>
    </row>
    <row r="125" spans="1:32" hidden="1" x14ac:dyDescent="0.25">
      <c r="A125" s="109">
        <v>6</v>
      </c>
      <c r="B125" s="200" t="s">
        <v>766</v>
      </c>
      <c r="C125" s="201">
        <f t="shared" si="24"/>
        <v>5742.8179529999998</v>
      </c>
    </row>
    <row r="126" spans="1:32" hidden="1" x14ac:dyDescent="0.25">
      <c r="A126" s="109">
        <v>7</v>
      </c>
      <c r="B126" s="200" t="s">
        <v>767</v>
      </c>
      <c r="C126" s="201">
        <f t="shared" si="24"/>
        <v>0</v>
      </c>
    </row>
    <row r="127" spans="1:32" hidden="1" x14ac:dyDescent="0.25">
      <c r="A127" s="109">
        <v>8</v>
      </c>
      <c r="B127" s="200" t="s">
        <v>768</v>
      </c>
      <c r="C127" s="201">
        <f t="shared" si="24"/>
        <v>44729.342080999995</v>
      </c>
    </row>
    <row r="128" spans="1:32" hidden="1" x14ac:dyDescent="0.25">
      <c r="A128" s="109">
        <v>9</v>
      </c>
      <c r="B128" s="200" t="s">
        <v>769</v>
      </c>
      <c r="C128" s="201">
        <f t="shared" si="24"/>
        <v>35530.656041999995</v>
      </c>
    </row>
    <row r="129" spans="1:4" hidden="1" x14ac:dyDescent="0.25">
      <c r="A129" s="109">
        <v>10</v>
      </c>
      <c r="B129" s="200" t="s">
        <v>770</v>
      </c>
      <c r="C129" s="201">
        <f t="shared" si="24"/>
        <v>12000.38229</v>
      </c>
    </row>
    <row r="130" spans="1:4" hidden="1" x14ac:dyDescent="0.25">
      <c r="A130" s="109">
        <v>11</v>
      </c>
      <c r="B130" s="200" t="s">
        <v>771</v>
      </c>
      <c r="C130" s="201">
        <f t="shared" si="24"/>
        <v>102601.768148</v>
      </c>
    </row>
    <row r="131" spans="1:4" hidden="1" x14ac:dyDescent="0.25">
      <c r="A131" s="109">
        <v>12</v>
      </c>
      <c r="B131" s="200" t="s">
        <v>773</v>
      </c>
      <c r="C131" s="201">
        <f t="shared" si="24"/>
        <v>45788.878500000006</v>
      </c>
    </row>
    <row r="132" spans="1:4" hidden="1" x14ac:dyDescent="0.25">
      <c r="A132" s="109">
        <v>13</v>
      </c>
      <c r="B132" s="200" t="s">
        <v>774</v>
      </c>
      <c r="C132" s="201">
        <f t="shared" si="24"/>
        <v>51215.079360000003</v>
      </c>
    </row>
    <row r="133" spans="1:4" hidden="1" x14ac:dyDescent="0.25">
      <c r="A133" s="109">
        <v>14</v>
      </c>
      <c r="B133" s="200" t="s">
        <v>775</v>
      </c>
      <c r="C133" s="201">
        <f t="shared" si="24"/>
        <v>18456.830969999999</v>
      </c>
    </row>
    <row r="134" spans="1:4" hidden="1" x14ac:dyDescent="0.25">
      <c r="A134" s="109">
        <v>15</v>
      </c>
      <c r="B134" s="200" t="s">
        <v>430</v>
      </c>
      <c r="C134" s="201">
        <f t="shared" si="24"/>
        <v>0</v>
      </c>
    </row>
    <row r="135" spans="1:4" hidden="1" x14ac:dyDescent="0.25">
      <c r="A135" s="109">
        <v>16</v>
      </c>
      <c r="B135" s="200" t="s">
        <v>776</v>
      </c>
      <c r="C135" s="201">
        <f t="shared" si="24"/>
        <v>0</v>
      </c>
    </row>
    <row r="136" spans="1:4" hidden="1" x14ac:dyDescent="0.25">
      <c r="A136" s="109">
        <v>17</v>
      </c>
      <c r="B136" s="200" t="s">
        <v>777</v>
      </c>
      <c r="C136" s="201">
        <f t="shared" si="24"/>
        <v>131604.34</v>
      </c>
    </row>
    <row r="137" spans="1:4" hidden="1" x14ac:dyDescent="0.25">
      <c r="A137" s="109">
        <v>18</v>
      </c>
      <c r="B137" s="200" t="s">
        <v>778</v>
      </c>
      <c r="C137" s="201">
        <f t="shared" si="24"/>
        <v>194904.92999999993</v>
      </c>
    </row>
    <row r="138" spans="1:4" hidden="1" x14ac:dyDescent="0.25">
      <c r="A138" s="109">
        <v>19</v>
      </c>
      <c r="B138" s="200" t="s">
        <v>779</v>
      </c>
      <c r="C138" s="201">
        <f t="shared" si="24"/>
        <v>10067.740000000005</v>
      </c>
    </row>
    <row r="139" spans="1:4" hidden="1" x14ac:dyDescent="0.25">
      <c r="A139" s="109">
        <v>20</v>
      </c>
      <c r="B139" s="200" t="s">
        <v>783</v>
      </c>
      <c r="C139" s="201">
        <f t="shared" si="24"/>
        <v>78371.680000000008</v>
      </c>
    </row>
    <row r="140" spans="1:4" hidden="1" x14ac:dyDescent="0.25"/>
    <row r="141" spans="1:4" hidden="1" x14ac:dyDescent="0.25"/>
    <row r="142" spans="1:4" hidden="1" x14ac:dyDescent="0.25">
      <c r="A142" s="109">
        <v>1</v>
      </c>
      <c r="B142" s="200" t="s">
        <v>784</v>
      </c>
      <c r="C142" s="201">
        <f t="shared" ref="C142:C147" si="25">INDEX($C$112:$AF$117,A142,$D$142)</f>
        <v>43545.600000000006</v>
      </c>
      <c r="D142" s="109">
        <f>'Gráficos (B5)'!$M$4</f>
        <v>30</v>
      </c>
    </row>
    <row r="143" spans="1:4" hidden="1" x14ac:dyDescent="0.25">
      <c r="A143" s="109">
        <v>2</v>
      </c>
      <c r="B143" s="200" t="s">
        <v>785</v>
      </c>
      <c r="C143" s="201">
        <f t="shared" si="25"/>
        <v>8409.24</v>
      </c>
    </row>
    <row r="144" spans="1:4" hidden="1" x14ac:dyDescent="0.25">
      <c r="A144" s="109">
        <v>3</v>
      </c>
      <c r="B144" s="200" t="s">
        <v>786</v>
      </c>
      <c r="C144" s="201">
        <f t="shared" si="25"/>
        <v>41371.200000000004</v>
      </c>
    </row>
    <row r="145" spans="1:3" hidden="1" x14ac:dyDescent="0.25">
      <c r="A145" s="109">
        <v>4</v>
      </c>
      <c r="B145" s="200" t="s">
        <v>787</v>
      </c>
      <c r="C145" s="201">
        <f t="shared" si="25"/>
        <v>9652.3055999999997</v>
      </c>
    </row>
    <row r="146" spans="1:3" hidden="1" x14ac:dyDescent="0.25">
      <c r="A146" s="109">
        <v>5</v>
      </c>
      <c r="B146" s="200" t="s">
        <v>830</v>
      </c>
      <c r="C146" s="201">
        <f t="shared" si="25"/>
        <v>477355.10111999995</v>
      </c>
    </row>
    <row r="147" spans="1:3" hidden="1" x14ac:dyDescent="0.25">
      <c r="A147" s="109">
        <v>6</v>
      </c>
      <c r="B147" s="200" t="s">
        <v>831</v>
      </c>
      <c r="C147" s="201">
        <f t="shared" si="25"/>
        <v>10994.290000000008</v>
      </c>
    </row>
  </sheetData>
  <sheetProtection algorithmName="SHA-512" hashValue="2IowDrY+lPYrVeHWxU6YfPDtr4B0p0NO8r6eZvo/mEnMYL4Zf2jZOzWnE6fatpV9TcQzDSAMtol9p6ExS4rjcA==" saltValue="fqy+/izcC/wMZnBaHE1ztA==" spinCount="100000" sheet="1" objects="1" scenarios="1"/>
  <mergeCells count="5">
    <mergeCell ref="A1:B2"/>
    <mergeCell ref="B10:B11"/>
    <mergeCell ref="C10:L10"/>
    <mergeCell ref="M10:V10"/>
    <mergeCell ref="W10:AF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T993"/>
  <sheetViews>
    <sheetView workbookViewId="0">
      <pane ySplit="5" topLeftCell="A6" activePane="bottomLeft" state="frozen"/>
      <selection pane="bottomLeft" activeCell="A6" sqref="A6:A43"/>
    </sheetView>
  </sheetViews>
  <sheetFormatPr defaultColWidth="0" defaultRowHeight="12.75" zeroHeight="1" x14ac:dyDescent="0.25"/>
  <cols>
    <col min="1" max="20" width="10.875" style="204" customWidth="1"/>
    <col min="21" max="16384" width="10.875" style="204" hidden="1"/>
  </cols>
  <sheetData>
    <row r="1" spans="1:20" ht="12.95" customHeight="1" x14ac:dyDescent="0.25">
      <c r="A1" s="398" t="s">
        <v>807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9"/>
    </row>
    <row r="2" spans="1:20" ht="12.9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7"/>
    </row>
    <row r="3" spans="1:20" ht="13.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"/>
    </row>
    <row r="4" spans="1:20" ht="13.5" thickBot="1" x14ac:dyDescent="0.3">
      <c r="A4" s="11"/>
      <c r="B4" s="11"/>
      <c r="C4" s="11"/>
      <c r="D4" s="11"/>
      <c r="E4" s="11"/>
      <c r="F4" s="400" t="s">
        <v>833</v>
      </c>
      <c r="G4" s="401"/>
      <c r="H4" s="402" t="s">
        <v>832</v>
      </c>
      <c r="I4" s="403"/>
      <c r="J4" s="403"/>
      <c r="K4" s="403"/>
      <c r="L4" s="404"/>
      <c r="M4" s="205" t="s">
        <v>839</v>
      </c>
      <c r="N4" s="206" t="str">
        <f>HYPERLINK("#"&amp;"'Gráficos (B3)'!A"&amp;(6+(M5-1)*36+2*(M5-1)),"IR PARA O GRÁFICO")</f>
        <v>IR PARA O GRÁFICO</v>
      </c>
      <c r="P4" s="11"/>
      <c r="Q4" s="11"/>
      <c r="R4" s="4"/>
      <c r="S4" s="4"/>
      <c r="T4" s="5"/>
    </row>
    <row r="5" spans="1:20" x14ac:dyDescent="0.25">
      <c r="A5" s="11"/>
      <c r="B5" s="11"/>
      <c r="C5" s="11"/>
      <c r="D5" s="11"/>
      <c r="E5" s="207"/>
      <c r="F5" s="207"/>
      <c r="G5" s="208"/>
      <c r="H5" s="208"/>
      <c r="I5" s="208"/>
      <c r="J5" s="208"/>
      <c r="K5" s="208"/>
      <c r="L5" s="11"/>
      <c r="M5" s="209">
        <f>MATCH(H4,'Resumo (B2)'!B63:B88,0)</f>
        <v>1</v>
      </c>
      <c r="N5" s="11"/>
      <c r="O5" s="11"/>
      <c r="P5" s="11"/>
      <c r="Q5" s="11"/>
      <c r="R5" s="11"/>
      <c r="S5" s="11"/>
      <c r="T5" s="5"/>
    </row>
    <row r="6" spans="1:20" x14ac:dyDescent="0.25">
      <c r="A6" s="39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5"/>
    </row>
    <row r="7" spans="1:20" x14ac:dyDescent="0.25">
      <c r="A7" s="39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5"/>
    </row>
    <row r="8" spans="1:20" x14ac:dyDescent="0.25">
      <c r="A8" s="39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5"/>
    </row>
    <row r="9" spans="1:20" x14ac:dyDescent="0.25">
      <c r="A9" s="39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5"/>
    </row>
    <row r="10" spans="1:20" x14ac:dyDescent="0.25">
      <c r="A10" s="39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"/>
    </row>
    <row r="11" spans="1:20" x14ac:dyDescent="0.25">
      <c r="A11" s="39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5"/>
    </row>
    <row r="12" spans="1:20" x14ac:dyDescent="0.25">
      <c r="A12" s="39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"/>
    </row>
    <row r="13" spans="1:20" x14ac:dyDescent="0.25">
      <c r="A13" s="39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</row>
    <row r="14" spans="1:20" x14ac:dyDescent="0.25">
      <c r="A14" s="39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"/>
    </row>
    <row r="15" spans="1:20" x14ac:dyDescent="0.25">
      <c r="A15" s="39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5"/>
    </row>
    <row r="16" spans="1:20" x14ac:dyDescent="0.25">
      <c r="A16" s="39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5"/>
    </row>
    <row r="17" spans="1:20" x14ac:dyDescent="0.25">
      <c r="A17" s="39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5"/>
    </row>
    <row r="18" spans="1:20" x14ac:dyDescent="0.25">
      <c r="A18" s="39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5"/>
    </row>
    <row r="19" spans="1:20" x14ac:dyDescent="0.25">
      <c r="A19" s="39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"/>
    </row>
    <row r="20" spans="1:20" x14ac:dyDescent="0.25">
      <c r="A20" s="39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5"/>
    </row>
    <row r="21" spans="1:20" x14ac:dyDescent="0.25">
      <c r="A21" s="39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"/>
    </row>
    <row r="22" spans="1:20" x14ac:dyDescent="0.25">
      <c r="A22" s="39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"/>
    </row>
    <row r="23" spans="1:20" x14ac:dyDescent="0.25">
      <c r="A23" s="39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/>
    </row>
    <row r="24" spans="1:20" x14ac:dyDescent="0.25">
      <c r="A24" s="39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"/>
    </row>
    <row r="25" spans="1:20" x14ac:dyDescent="0.25">
      <c r="A25" s="39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"/>
    </row>
    <row r="26" spans="1:20" x14ac:dyDescent="0.25">
      <c r="A26" s="39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"/>
    </row>
    <row r="27" spans="1:20" x14ac:dyDescent="0.25">
      <c r="A27" s="39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"/>
    </row>
    <row r="28" spans="1:20" x14ac:dyDescent="0.25">
      <c r="A28" s="39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"/>
    </row>
    <row r="29" spans="1:20" x14ac:dyDescent="0.25">
      <c r="A29" s="39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"/>
    </row>
    <row r="30" spans="1:20" x14ac:dyDescent="0.25">
      <c r="A30" s="39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5"/>
    </row>
    <row r="31" spans="1:20" x14ac:dyDescent="0.25">
      <c r="A31" s="39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5"/>
    </row>
    <row r="32" spans="1:20" x14ac:dyDescent="0.25">
      <c r="A32" s="39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5"/>
    </row>
    <row r="33" spans="1:20" x14ac:dyDescent="0.25">
      <c r="A33" s="39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5"/>
    </row>
    <row r="34" spans="1:20" x14ac:dyDescent="0.25">
      <c r="A34" s="39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"/>
    </row>
    <row r="35" spans="1:20" x14ac:dyDescent="0.25">
      <c r="A35" s="39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5"/>
    </row>
    <row r="36" spans="1:20" x14ac:dyDescent="0.25">
      <c r="A36" s="39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"/>
    </row>
    <row r="37" spans="1:20" x14ac:dyDescent="0.25">
      <c r="A37" s="39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5"/>
    </row>
    <row r="38" spans="1:20" x14ac:dyDescent="0.25">
      <c r="A38" s="39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"/>
    </row>
    <row r="39" spans="1:20" x14ac:dyDescent="0.25">
      <c r="A39" s="39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5"/>
    </row>
    <row r="40" spans="1:20" x14ac:dyDescent="0.25">
      <c r="A40" s="39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"/>
    </row>
    <row r="41" spans="1:20" x14ac:dyDescent="0.25">
      <c r="A41" s="39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"/>
    </row>
    <row r="42" spans="1:20" x14ac:dyDescent="0.25">
      <c r="A42" s="39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5"/>
    </row>
    <row r="43" spans="1:20" x14ac:dyDescent="0.25">
      <c r="A43" s="39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5"/>
    </row>
    <row r="44" spans="1:20" x14ac:dyDescent="0.25">
      <c r="A44" s="39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5"/>
    </row>
    <row r="45" spans="1:20" x14ac:dyDescent="0.25">
      <c r="A45" s="39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5"/>
    </row>
    <row r="46" spans="1:20" x14ac:dyDescent="0.25">
      <c r="A46" s="39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5"/>
    </row>
    <row r="47" spans="1:20" x14ac:dyDescent="0.25">
      <c r="A47" s="39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5"/>
    </row>
    <row r="48" spans="1:20" x14ac:dyDescent="0.25">
      <c r="A48" s="39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5"/>
    </row>
    <row r="49" spans="1:20" x14ac:dyDescent="0.25">
      <c r="A49" s="39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5"/>
    </row>
    <row r="50" spans="1:20" x14ac:dyDescent="0.25">
      <c r="A50" s="39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5"/>
    </row>
    <row r="51" spans="1:20" x14ac:dyDescent="0.25">
      <c r="A51" s="39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5"/>
    </row>
    <row r="52" spans="1:20" x14ac:dyDescent="0.25">
      <c r="A52" s="39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5"/>
    </row>
    <row r="53" spans="1:20" x14ac:dyDescent="0.25">
      <c r="A53" s="39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5"/>
    </row>
    <row r="54" spans="1:20" x14ac:dyDescent="0.25">
      <c r="A54" s="39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5"/>
    </row>
    <row r="55" spans="1:20" x14ac:dyDescent="0.25">
      <c r="A55" s="39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5"/>
    </row>
    <row r="56" spans="1:20" x14ac:dyDescent="0.25">
      <c r="A56" s="39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5"/>
    </row>
    <row r="57" spans="1:20" x14ac:dyDescent="0.25">
      <c r="A57" s="39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5"/>
    </row>
    <row r="58" spans="1:20" x14ac:dyDescent="0.25">
      <c r="A58" s="397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5"/>
    </row>
    <row r="59" spans="1:20" x14ac:dyDescent="0.25">
      <c r="A59" s="397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5"/>
    </row>
    <row r="60" spans="1:20" x14ac:dyDescent="0.25">
      <c r="A60" s="39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5"/>
    </row>
    <row r="61" spans="1:20" x14ac:dyDescent="0.25">
      <c r="A61" s="397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5"/>
    </row>
    <row r="62" spans="1:20" x14ac:dyDescent="0.25">
      <c r="A62" s="39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5"/>
    </row>
    <row r="63" spans="1:20" x14ac:dyDescent="0.25">
      <c r="A63" s="39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5"/>
    </row>
    <row r="64" spans="1:20" x14ac:dyDescent="0.25">
      <c r="A64" s="39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5"/>
    </row>
    <row r="65" spans="1:20" x14ac:dyDescent="0.25">
      <c r="A65" s="397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5"/>
    </row>
    <row r="66" spans="1:20" x14ac:dyDescent="0.25">
      <c r="A66" s="39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5"/>
    </row>
    <row r="67" spans="1:20" x14ac:dyDescent="0.25">
      <c r="A67" s="39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5"/>
    </row>
    <row r="68" spans="1:20" x14ac:dyDescent="0.25">
      <c r="A68" s="397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5"/>
    </row>
    <row r="69" spans="1:20" x14ac:dyDescent="0.25">
      <c r="A69" s="397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5"/>
    </row>
    <row r="70" spans="1:20" x14ac:dyDescent="0.25">
      <c r="A70" s="397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5"/>
    </row>
    <row r="71" spans="1:20" x14ac:dyDescent="0.25">
      <c r="A71" s="397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5"/>
    </row>
    <row r="72" spans="1:20" x14ac:dyDescent="0.25">
      <c r="A72" s="397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5"/>
    </row>
    <row r="73" spans="1:20" x14ac:dyDescent="0.25">
      <c r="A73" s="39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5"/>
    </row>
    <row r="74" spans="1:20" x14ac:dyDescent="0.25">
      <c r="A74" s="397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5"/>
    </row>
    <row r="75" spans="1:20" x14ac:dyDescent="0.25">
      <c r="A75" s="397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5"/>
    </row>
    <row r="76" spans="1:20" x14ac:dyDescent="0.25">
      <c r="A76" s="39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5"/>
    </row>
    <row r="77" spans="1:20" x14ac:dyDescent="0.25">
      <c r="A77" s="397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5"/>
    </row>
    <row r="78" spans="1:20" x14ac:dyDescent="0.25">
      <c r="A78" s="397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5"/>
    </row>
    <row r="79" spans="1:20" x14ac:dyDescent="0.25">
      <c r="A79" s="397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5"/>
    </row>
    <row r="80" spans="1:20" x14ac:dyDescent="0.25">
      <c r="A80" s="39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5"/>
    </row>
    <row r="81" spans="1:20" x14ac:dyDescent="0.25">
      <c r="A81" s="397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5"/>
    </row>
    <row r="82" spans="1:20" x14ac:dyDescent="0.25">
      <c r="A82" s="397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5"/>
    </row>
    <row r="83" spans="1:20" x14ac:dyDescent="0.25">
      <c r="A83" s="397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5"/>
    </row>
    <row r="84" spans="1:20" x14ac:dyDescent="0.25">
      <c r="A84" s="397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5"/>
    </row>
    <row r="85" spans="1:20" x14ac:dyDescent="0.25">
      <c r="A85" s="39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5"/>
    </row>
    <row r="86" spans="1:20" x14ac:dyDescent="0.25">
      <c r="A86" s="39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5"/>
    </row>
    <row r="87" spans="1:20" x14ac:dyDescent="0.25">
      <c r="A87" s="397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5"/>
    </row>
    <row r="88" spans="1:20" x14ac:dyDescent="0.25">
      <c r="A88" s="397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5"/>
    </row>
    <row r="89" spans="1:20" x14ac:dyDescent="0.25">
      <c r="A89" s="397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5"/>
    </row>
    <row r="90" spans="1:20" x14ac:dyDescent="0.25">
      <c r="A90" s="39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5"/>
    </row>
    <row r="91" spans="1:20" x14ac:dyDescent="0.25">
      <c r="A91" s="397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5"/>
    </row>
    <row r="92" spans="1:20" x14ac:dyDescent="0.25">
      <c r="A92" s="397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5"/>
    </row>
    <row r="93" spans="1:20" x14ac:dyDescent="0.25">
      <c r="A93" s="397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5"/>
    </row>
    <row r="94" spans="1:20" x14ac:dyDescent="0.25">
      <c r="A94" s="397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5"/>
    </row>
    <row r="95" spans="1:20" x14ac:dyDescent="0.25">
      <c r="A95" s="397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5"/>
    </row>
    <row r="96" spans="1:20" x14ac:dyDescent="0.25">
      <c r="A96" s="397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5"/>
    </row>
    <row r="97" spans="1:20" x14ac:dyDescent="0.25">
      <c r="A97" s="397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5"/>
    </row>
    <row r="98" spans="1:20" x14ac:dyDescent="0.25">
      <c r="A98" s="39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5"/>
    </row>
    <row r="99" spans="1:20" x14ac:dyDescent="0.25">
      <c r="A99" s="39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5"/>
    </row>
    <row r="100" spans="1:20" x14ac:dyDescent="0.25">
      <c r="A100" s="397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5"/>
    </row>
    <row r="101" spans="1:20" x14ac:dyDescent="0.25">
      <c r="A101" s="397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5"/>
    </row>
    <row r="102" spans="1:20" x14ac:dyDescent="0.25">
      <c r="A102" s="397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5"/>
    </row>
    <row r="103" spans="1:20" x14ac:dyDescent="0.25">
      <c r="A103" s="397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5"/>
    </row>
    <row r="104" spans="1:20" x14ac:dyDescent="0.25">
      <c r="A104" s="397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5"/>
    </row>
    <row r="105" spans="1:20" x14ac:dyDescent="0.25">
      <c r="A105" s="397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5"/>
    </row>
    <row r="106" spans="1:20" x14ac:dyDescent="0.25">
      <c r="A106" s="397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5"/>
    </row>
    <row r="107" spans="1:20" x14ac:dyDescent="0.25">
      <c r="A107" s="39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5"/>
    </row>
    <row r="108" spans="1:20" x14ac:dyDescent="0.25">
      <c r="A108" s="397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5"/>
    </row>
    <row r="109" spans="1:20" x14ac:dyDescent="0.25">
      <c r="A109" s="397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5"/>
    </row>
    <row r="110" spans="1:20" x14ac:dyDescent="0.25">
      <c r="A110" s="39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5"/>
    </row>
    <row r="111" spans="1:20" x14ac:dyDescent="0.25">
      <c r="A111" s="39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5"/>
    </row>
    <row r="112" spans="1:20" x14ac:dyDescent="0.25">
      <c r="A112" s="397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5"/>
    </row>
    <row r="113" spans="1:20" x14ac:dyDescent="0.25">
      <c r="A113" s="397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5"/>
    </row>
    <row r="114" spans="1:20" x14ac:dyDescent="0.25">
      <c r="A114" s="397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5"/>
    </row>
    <row r="115" spans="1:20" x14ac:dyDescent="0.25">
      <c r="A115" s="397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5"/>
    </row>
    <row r="116" spans="1:20" x14ac:dyDescent="0.25">
      <c r="A116" s="397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5"/>
    </row>
    <row r="117" spans="1:20" x14ac:dyDescent="0.25">
      <c r="A117" s="397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5"/>
    </row>
    <row r="118" spans="1:20" x14ac:dyDescent="0.25">
      <c r="A118" s="397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5"/>
    </row>
    <row r="119" spans="1:20" x14ac:dyDescent="0.25">
      <c r="A119" s="397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5"/>
    </row>
    <row r="120" spans="1:20" x14ac:dyDescent="0.25">
      <c r="A120" s="397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5"/>
    </row>
    <row r="121" spans="1:20" x14ac:dyDescent="0.25">
      <c r="A121" s="397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5"/>
    </row>
    <row r="122" spans="1:20" x14ac:dyDescent="0.25">
      <c r="A122" s="397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5"/>
    </row>
    <row r="123" spans="1:20" x14ac:dyDescent="0.25">
      <c r="A123" s="397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5"/>
    </row>
    <row r="124" spans="1:20" x14ac:dyDescent="0.25">
      <c r="A124" s="397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5"/>
    </row>
    <row r="125" spans="1:20" x14ac:dyDescent="0.25">
      <c r="A125" s="397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5"/>
    </row>
    <row r="126" spans="1:20" x14ac:dyDescent="0.25">
      <c r="A126" s="397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5"/>
    </row>
    <row r="127" spans="1:20" x14ac:dyDescent="0.25">
      <c r="A127" s="397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5"/>
    </row>
    <row r="128" spans="1:20" x14ac:dyDescent="0.25">
      <c r="A128" s="39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5"/>
    </row>
    <row r="129" spans="1:20" x14ac:dyDescent="0.25">
      <c r="A129" s="397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5"/>
    </row>
    <row r="130" spans="1:20" x14ac:dyDescent="0.25">
      <c r="A130" s="397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5"/>
    </row>
    <row r="131" spans="1:20" x14ac:dyDescent="0.25">
      <c r="A131" s="397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5"/>
    </row>
    <row r="132" spans="1:20" x14ac:dyDescent="0.25">
      <c r="A132" s="39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5"/>
    </row>
    <row r="133" spans="1:20" x14ac:dyDescent="0.25">
      <c r="A133" s="397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5"/>
    </row>
    <row r="134" spans="1:20" x14ac:dyDescent="0.25">
      <c r="A134" s="397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5"/>
    </row>
    <row r="135" spans="1:20" x14ac:dyDescent="0.25">
      <c r="A135" s="397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5"/>
    </row>
    <row r="136" spans="1:20" x14ac:dyDescent="0.25">
      <c r="A136" s="397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5"/>
    </row>
    <row r="137" spans="1:20" x14ac:dyDescent="0.25">
      <c r="A137" s="397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5"/>
    </row>
    <row r="138" spans="1:20" x14ac:dyDescent="0.25">
      <c r="A138" s="39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5"/>
    </row>
    <row r="139" spans="1:20" x14ac:dyDescent="0.25">
      <c r="A139" s="397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5"/>
    </row>
    <row r="140" spans="1:20" x14ac:dyDescent="0.25">
      <c r="A140" s="397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5"/>
    </row>
    <row r="141" spans="1:20" x14ac:dyDescent="0.25">
      <c r="A141" s="397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5"/>
    </row>
    <row r="142" spans="1:20" x14ac:dyDescent="0.25">
      <c r="A142" s="39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5"/>
    </row>
    <row r="143" spans="1:20" x14ac:dyDescent="0.25">
      <c r="A143" s="397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5"/>
    </row>
    <row r="144" spans="1:20" x14ac:dyDescent="0.25">
      <c r="A144" s="397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5"/>
    </row>
    <row r="145" spans="1:20" x14ac:dyDescent="0.25">
      <c r="A145" s="397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5"/>
    </row>
    <row r="146" spans="1:20" x14ac:dyDescent="0.25">
      <c r="A146" s="397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5"/>
    </row>
    <row r="147" spans="1:20" x14ac:dyDescent="0.25">
      <c r="A147" s="39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5"/>
    </row>
    <row r="148" spans="1:20" x14ac:dyDescent="0.25">
      <c r="A148" s="39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5"/>
    </row>
    <row r="149" spans="1:20" x14ac:dyDescent="0.25">
      <c r="A149" s="397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5"/>
    </row>
    <row r="150" spans="1:20" x14ac:dyDescent="0.25">
      <c r="A150" s="397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5"/>
    </row>
    <row r="151" spans="1:20" x14ac:dyDescent="0.25">
      <c r="A151" s="397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5"/>
    </row>
    <row r="152" spans="1:20" x14ac:dyDescent="0.25">
      <c r="A152" s="39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5"/>
    </row>
    <row r="153" spans="1:20" x14ac:dyDescent="0.25">
      <c r="A153" s="397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5"/>
    </row>
    <row r="154" spans="1:20" x14ac:dyDescent="0.25">
      <c r="A154" s="397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5"/>
    </row>
    <row r="155" spans="1:20" x14ac:dyDescent="0.25">
      <c r="A155" s="397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5"/>
    </row>
    <row r="156" spans="1:20" x14ac:dyDescent="0.25">
      <c r="A156" s="397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5"/>
    </row>
    <row r="157" spans="1:20" x14ac:dyDescent="0.25">
      <c r="A157" s="39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5"/>
    </row>
    <row r="158" spans="1:20" x14ac:dyDescent="0.25">
      <c r="A158" s="397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5"/>
    </row>
    <row r="159" spans="1:20" x14ac:dyDescent="0.25">
      <c r="A159" s="397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5"/>
    </row>
    <row r="160" spans="1:20" x14ac:dyDescent="0.25">
      <c r="A160" s="397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5"/>
    </row>
    <row r="161" spans="1:20" x14ac:dyDescent="0.25">
      <c r="A161" s="397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5"/>
    </row>
    <row r="162" spans="1:20" x14ac:dyDescent="0.25">
      <c r="A162" s="39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5"/>
    </row>
    <row r="163" spans="1:20" x14ac:dyDescent="0.25">
      <c r="A163" s="397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5"/>
    </row>
    <row r="164" spans="1:20" x14ac:dyDescent="0.25">
      <c r="A164" s="39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5"/>
    </row>
    <row r="165" spans="1:20" x14ac:dyDescent="0.25">
      <c r="A165" s="39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5"/>
    </row>
    <row r="166" spans="1:20" x14ac:dyDescent="0.25">
      <c r="A166" s="39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5"/>
    </row>
    <row r="167" spans="1:20" x14ac:dyDescent="0.25">
      <c r="A167" s="397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5"/>
    </row>
    <row r="168" spans="1:20" x14ac:dyDescent="0.25">
      <c r="A168" s="39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5"/>
    </row>
    <row r="169" spans="1:20" x14ac:dyDescent="0.25">
      <c r="A169" s="397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5"/>
    </row>
    <row r="170" spans="1:20" x14ac:dyDescent="0.25">
      <c r="A170" s="397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5"/>
    </row>
    <row r="171" spans="1:20" x14ac:dyDescent="0.25">
      <c r="A171" s="397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5"/>
    </row>
    <row r="172" spans="1:20" x14ac:dyDescent="0.25">
      <c r="A172" s="397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5"/>
    </row>
    <row r="173" spans="1:20" x14ac:dyDescent="0.25">
      <c r="A173" s="397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5"/>
    </row>
    <row r="174" spans="1:20" x14ac:dyDescent="0.25">
      <c r="A174" s="397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5"/>
    </row>
    <row r="175" spans="1:20" x14ac:dyDescent="0.25">
      <c r="A175" s="397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5"/>
    </row>
    <row r="176" spans="1:20" x14ac:dyDescent="0.25">
      <c r="A176" s="397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5"/>
    </row>
    <row r="177" spans="1:20" x14ac:dyDescent="0.25">
      <c r="A177" s="397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5"/>
    </row>
    <row r="178" spans="1:20" x14ac:dyDescent="0.25">
      <c r="A178" s="397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5"/>
    </row>
    <row r="179" spans="1:20" x14ac:dyDescent="0.25">
      <c r="A179" s="397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5"/>
    </row>
    <row r="180" spans="1:20" x14ac:dyDescent="0.25">
      <c r="A180" s="39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5"/>
    </row>
    <row r="181" spans="1:20" x14ac:dyDescent="0.25">
      <c r="A181" s="397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5"/>
    </row>
    <row r="182" spans="1:20" x14ac:dyDescent="0.25">
      <c r="A182" s="397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5"/>
    </row>
    <row r="183" spans="1:20" x14ac:dyDescent="0.25">
      <c r="A183" s="397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5"/>
    </row>
    <row r="184" spans="1:20" x14ac:dyDescent="0.25">
      <c r="A184" s="397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5"/>
    </row>
    <row r="185" spans="1:20" x14ac:dyDescent="0.25">
      <c r="A185" s="39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5"/>
    </row>
    <row r="186" spans="1:20" x14ac:dyDescent="0.25">
      <c r="A186" s="397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5"/>
    </row>
    <row r="187" spans="1:20" x14ac:dyDescent="0.25">
      <c r="A187" s="397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5"/>
    </row>
    <row r="188" spans="1:20" x14ac:dyDescent="0.25">
      <c r="A188" s="397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5"/>
    </row>
    <row r="189" spans="1:20" x14ac:dyDescent="0.25">
      <c r="A189" s="397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5"/>
    </row>
    <row r="190" spans="1:20" x14ac:dyDescent="0.25">
      <c r="A190" s="39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5"/>
    </row>
    <row r="191" spans="1:20" x14ac:dyDescent="0.25">
      <c r="A191" s="397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5"/>
    </row>
    <row r="192" spans="1:20" x14ac:dyDescent="0.25">
      <c r="A192" s="397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5"/>
    </row>
    <row r="193" spans="1:20" x14ac:dyDescent="0.25">
      <c r="A193" s="397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5"/>
    </row>
    <row r="194" spans="1:20" x14ac:dyDescent="0.25">
      <c r="A194" s="397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5"/>
    </row>
    <row r="195" spans="1:20" x14ac:dyDescent="0.25">
      <c r="A195" s="39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5"/>
    </row>
    <row r="196" spans="1:20" x14ac:dyDescent="0.25">
      <c r="A196" s="397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5"/>
    </row>
    <row r="197" spans="1:20" x14ac:dyDescent="0.25">
      <c r="A197" s="39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5"/>
    </row>
    <row r="198" spans="1:20" x14ac:dyDescent="0.25">
      <c r="A198" s="39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5"/>
    </row>
    <row r="199" spans="1:20" x14ac:dyDescent="0.25">
      <c r="A199" s="39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5"/>
    </row>
    <row r="200" spans="1:20" x14ac:dyDescent="0.25">
      <c r="A200" s="397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5"/>
    </row>
    <row r="201" spans="1:20" x14ac:dyDescent="0.25">
      <c r="A201" s="39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5"/>
    </row>
    <row r="202" spans="1:20" x14ac:dyDescent="0.25">
      <c r="A202" s="397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5"/>
    </row>
    <row r="203" spans="1:20" x14ac:dyDescent="0.25">
      <c r="A203" s="397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5"/>
    </row>
    <row r="204" spans="1:20" x14ac:dyDescent="0.25">
      <c r="A204" s="397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5"/>
    </row>
    <row r="205" spans="1:20" x14ac:dyDescent="0.25">
      <c r="A205" s="397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5"/>
    </row>
    <row r="206" spans="1:20" x14ac:dyDescent="0.25">
      <c r="A206" s="397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5"/>
    </row>
    <row r="207" spans="1:20" x14ac:dyDescent="0.25">
      <c r="A207" s="397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5"/>
    </row>
    <row r="208" spans="1:20" x14ac:dyDescent="0.25">
      <c r="A208" s="39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5"/>
    </row>
    <row r="209" spans="1:20" x14ac:dyDescent="0.25">
      <c r="A209" s="397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5"/>
    </row>
    <row r="210" spans="1:20" x14ac:dyDescent="0.25">
      <c r="A210" s="397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5"/>
    </row>
    <row r="211" spans="1:20" x14ac:dyDescent="0.25">
      <c r="A211" s="397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5"/>
    </row>
    <row r="212" spans="1:20" x14ac:dyDescent="0.25">
      <c r="A212" s="397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5"/>
    </row>
    <row r="213" spans="1:20" x14ac:dyDescent="0.25">
      <c r="A213" s="39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5"/>
    </row>
    <row r="214" spans="1:20" x14ac:dyDescent="0.25">
      <c r="A214" s="397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5"/>
    </row>
    <row r="215" spans="1:20" x14ac:dyDescent="0.25">
      <c r="A215" s="397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5"/>
    </row>
    <row r="216" spans="1:20" x14ac:dyDescent="0.25">
      <c r="A216" s="397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5"/>
    </row>
    <row r="217" spans="1:20" x14ac:dyDescent="0.25">
      <c r="A217" s="397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5"/>
    </row>
    <row r="218" spans="1:20" x14ac:dyDescent="0.25">
      <c r="A218" s="39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5"/>
    </row>
    <row r="219" spans="1:20" x14ac:dyDescent="0.25">
      <c r="A219" s="397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5"/>
    </row>
    <row r="220" spans="1:20" x14ac:dyDescent="0.25">
      <c r="A220" s="397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5"/>
    </row>
    <row r="221" spans="1:20" x14ac:dyDescent="0.25">
      <c r="A221" s="397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5"/>
    </row>
    <row r="222" spans="1:20" x14ac:dyDescent="0.25">
      <c r="A222" s="397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5"/>
    </row>
    <row r="223" spans="1:20" x14ac:dyDescent="0.25">
      <c r="A223" s="39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5"/>
    </row>
    <row r="224" spans="1:20" x14ac:dyDescent="0.25">
      <c r="A224" s="397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5"/>
    </row>
    <row r="225" spans="1:20" x14ac:dyDescent="0.25">
      <c r="A225" s="397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5"/>
    </row>
    <row r="226" spans="1:20" x14ac:dyDescent="0.25">
      <c r="A226" s="397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5"/>
    </row>
    <row r="227" spans="1:20" x14ac:dyDescent="0.25">
      <c r="A227" s="397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5"/>
    </row>
    <row r="228" spans="1:20" x14ac:dyDescent="0.25">
      <c r="A228" s="39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5"/>
    </row>
    <row r="229" spans="1:20" x14ac:dyDescent="0.25">
      <c r="A229" s="397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5"/>
    </row>
    <row r="230" spans="1:20" x14ac:dyDescent="0.25">
      <c r="A230" s="39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5"/>
    </row>
    <row r="231" spans="1:20" x14ac:dyDescent="0.25">
      <c r="A231" s="39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5"/>
    </row>
    <row r="232" spans="1:20" x14ac:dyDescent="0.25">
      <c r="A232" s="39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5"/>
    </row>
    <row r="233" spans="1:20" x14ac:dyDescent="0.25">
      <c r="A233" s="397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5"/>
    </row>
    <row r="234" spans="1:20" x14ac:dyDescent="0.25">
      <c r="A234" s="397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5"/>
    </row>
    <row r="235" spans="1:20" x14ac:dyDescent="0.25">
      <c r="A235" s="397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5"/>
    </row>
    <row r="236" spans="1:20" x14ac:dyDescent="0.25">
      <c r="A236" s="397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5"/>
    </row>
    <row r="237" spans="1:20" x14ac:dyDescent="0.25">
      <c r="A237" s="397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5"/>
    </row>
    <row r="238" spans="1:20" x14ac:dyDescent="0.25">
      <c r="A238" s="397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5"/>
    </row>
    <row r="239" spans="1:20" x14ac:dyDescent="0.25">
      <c r="A239" s="397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5"/>
    </row>
    <row r="240" spans="1:20" x14ac:dyDescent="0.25">
      <c r="A240" s="397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5"/>
    </row>
    <row r="241" spans="1:20" x14ac:dyDescent="0.25">
      <c r="A241" s="397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5"/>
    </row>
    <row r="242" spans="1:20" x14ac:dyDescent="0.25">
      <c r="A242" s="397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5"/>
    </row>
    <row r="243" spans="1:20" x14ac:dyDescent="0.25">
      <c r="A243" s="397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5"/>
    </row>
    <row r="244" spans="1:20" x14ac:dyDescent="0.25">
      <c r="A244" s="397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5"/>
    </row>
    <row r="245" spans="1:20" x14ac:dyDescent="0.25">
      <c r="A245" s="397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5"/>
    </row>
    <row r="246" spans="1:20" x14ac:dyDescent="0.25">
      <c r="A246" s="397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5"/>
    </row>
    <row r="247" spans="1:20" x14ac:dyDescent="0.25">
      <c r="A247" s="397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5"/>
    </row>
    <row r="248" spans="1:20" x14ac:dyDescent="0.25">
      <c r="A248" s="397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5"/>
    </row>
    <row r="249" spans="1:20" x14ac:dyDescent="0.25">
      <c r="A249" s="397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5"/>
    </row>
    <row r="250" spans="1:20" x14ac:dyDescent="0.25">
      <c r="A250" s="397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5"/>
    </row>
    <row r="251" spans="1:20" x14ac:dyDescent="0.25">
      <c r="A251" s="397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5"/>
    </row>
    <row r="252" spans="1:20" x14ac:dyDescent="0.25">
      <c r="A252" s="397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5"/>
    </row>
    <row r="253" spans="1:20" x14ac:dyDescent="0.25">
      <c r="A253" s="397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5"/>
    </row>
    <row r="254" spans="1:20" x14ac:dyDescent="0.25">
      <c r="A254" s="397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5"/>
    </row>
    <row r="255" spans="1:20" x14ac:dyDescent="0.25">
      <c r="A255" s="397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5"/>
    </row>
    <row r="256" spans="1:20" x14ac:dyDescent="0.25">
      <c r="A256" s="397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5"/>
    </row>
    <row r="257" spans="1:20" x14ac:dyDescent="0.25">
      <c r="A257" s="397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5"/>
    </row>
    <row r="258" spans="1:20" x14ac:dyDescent="0.25">
      <c r="A258" s="397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5"/>
    </row>
    <row r="259" spans="1:20" x14ac:dyDescent="0.25">
      <c r="A259" s="397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5"/>
    </row>
    <row r="260" spans="1:20" x14ac:dyDescent="0.25">
      <c r="A260" s="397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5"/>
    </row>
    <row r="261" spans="1:20" x14ac:dyDescent="0.25">
      <c r="A261" s="397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5"/>
    </row>
    <row r="262" spans="1:20" x14ac:dyDescent="0.25">
      <c r="A262" s="397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5"/>
    </row>
    <row r="263" spans="1:20" x14ac:dyDescent="0.25">
      <c r="A263" s="397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5"/>
    </row>
    <row r="264" spans="1:20" x14ac:dyDescent="0.25">
      <c r="A264" s="397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5"/>
    </row>
    <row r="265" spans="1:20" x14ac:dyDescent="0.25">
      <c r="A265" s="397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5"/>
    </row>
    <row r="266" spans="1:20" x14ac:dyDescent="0.25">
      <c r="A266" s="397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5"/>
    </row>
    <row r="267" spans="1:20" x14ac:dyDescent="0.25">
      <c r="A267" s="397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5"/>
    </row>
    <row r="268" spans="1:20" x14ac:dyDescent="0.25">
      <c r="A268" s="397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5"/>
    </row>
    <row r="269" spans="1:20" x14ac:dyDescent="0.25">
      <c r="A269" s="397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5"/>
    </row>
    <row r="270" spans="1:20" x14ac:dyDescent="0.25">
      <c r="A270" s="397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5"/>
    </row>
    <row r="271" spans="1:20" x14ac:dyDescent="0.25">
      <c r="A271" s="397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5"/>
    </row>
    <row r="272" spans="1:20" x14ac:dyDescent="0.25">
      <c r="A272" s="397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5"/>
    </row>
    <row r="273" spans="1:20" x14ac:dyDescent="0.25">
      <c r="A273" s="397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5"/>
    </row>
    <row r="274" spans="1:20" x14ac:dyDescent="0.25">
      <c r="A274" s="397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5"/>
    </row>
    <row r="275" spans="1:20" x14ac:dyDescent="0.25">
      <c r="A275" s="397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5"/>
    </row>
    <row r="276" spans="1:20" x14ac:dyDescent="0.25">
      <c r="A276" s="397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5"/>
    </row>
    <row r="277" spans="1:20" x14ac:dyDescent="0.25">
      <c r="A277" s="397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5"/>
    </row>
    <row r="278" spans="1:20" x14ac:dyDescent="0.25">
      <c r="A278" s="397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5"/>
    </row>
    <row r="279" spans="1:20" x14ac:dyDescent="0.25">
      <c r="A279" s="397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5"/>
    </row>
    <row r="280" spans="1:20" x14ac:dyDescent="0.25">
      <c r="A280" s="397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5"/>
    </row>
    <row r="281" spans="1:20" x14ac:dyDescent="0.25">
      <c r="A281" s="397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5"/>
    </row>
    <row r="282" spans="1:20" x14ac:dyDescent="0.25">
      <c r="A282" s="397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5"/>
    </row>
    <row r="283" spans="1:20" x14ac:dyDescent="0.25">
      <c r="A283" s="397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5"/>
    </row>
    <row r="284" spans="1:20" x14ac:dyDescent="0.25">
      <c r="A284" s="397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5"/>
    </row>
    <row r="285" spans="1:20" x14ac:dyDescent="0.25">
      <c r="A285" s="397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5"/>
    </row>
    <row r="286" spans="1:20" x14ac:dyDescent="0.25">
      <c r="A286" s="397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5"/>
    </row>
    <row r="287" spans="1:20" x14ac:dyDescent="0.25">
      <c r="A287" s="397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5"/>
    </row>
    <row r="288" spans="1:20" x14ac:dyDescent="0.25">
      <c r="A288" s="397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5"/>
    </row>
    <row r="289" spans="1:20" x14ac:dyDescent="0.25">
      <c r="A289" s="397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5"/>
    </row>
    <row r="290" spans="1:20" x14ac:dyDescent="0.25">
      <c r="A290" s="397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5"/>
    </row>
    <row r="291" spans="1:20" x14ac:dyDescent="0.25">
      <c r="A291" s="397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5"/>
    </row>
    <row r="292" spans="1:20" x14ac:dyDescent="0.25">
      <c r="A292" s="397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5"/>
    </row>
    <row r="293" spans="1:20" x14ac:dyDescent="0.25">
      <c r="A293" s="397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5"/>
    </row>
    <row r="294" spans="1:20" x14ac:dyDescent="0.25">
      <c r="A294" s="397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5"/>
    </row>
    <row r="295" spans="1:20" x14ac:dyDescent="0.25">
      <c r="A295" s="397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5"/>
    </row>
    <row r="296" spans="1:20" x14ac:dyDescent="0.25">
      <c r="A296" s="397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5"/>
    </row>
    <row r="297" spans="1:20" x14ac:dyDescent="0.25">
      <c r="A297" s="397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5"/>
    </row>
    <row r="298" spans="1:20" x14ac:dyDescent="0.25">
      <c r="A298" s="397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5"/>
    </row>
    <row r="299" spans="1:20" x14ac:dyDescent="0.25">
      <c r="A299" s="397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5"/>
    </row>
    <row r="300" spans="1:20" x14ac:dyDescent="0.25">
      <c r="A300" s="397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5"/>
    </row>
    <row r="301" spans="1:20" x14ac:dyDescent="0.25">
      <c r="A301" s="397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5"/>
    </row>
    <row r="302" spans="1:20" x14ac:dyDescent="0.25">
      <c r="A302" s="397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5"/>
    </row>
    <row r="303" spans="1:20" x14ac:dyDescent="0.25">
      <c r="A303" s="397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5"/>
    </row>
    <row r="304" spans="1:20" x14ac:dyDescent="0.25">
      <c r="A304" s="397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5"/>
    </row>
    <row r="305" spans="1:20" x14ac:dyDescent="0.25">
      <c r="A305" s="397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5"/>
    </row>
    <row r="306" spans="1:20" x14ac:dyDescent="0.25">
      <c r="A306" s="397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5"/>
    </row>
    <row r="307" spans="1:20" x14ac:dyDescent="0.25">
      <c r="A307" s="397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5"/>
    </row>
    <row r="308" spans="1:20" x14ac:dyDescent="0.25">
      <c r="A308" s="397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5"/>
    </row>
    <row r="309" spans="1:20" x14ac:dyDescent="0.25">
      <c r="A309" s="397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5"/>
    </row>
    <row r="310" spans="1:20" x14ac:dyDescent="0.25">
      <c r="A310" s="397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5"/>
    </row>
    <row r="311" spans="1:20" x14ac:dyDescent="0.25">
      <c r="A311" s="397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5"/>
    </row>
    <row r="312" spans="1:20" x14ac:dyDescent="0.25">
      <c r="A312" s="397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5"/>
    </row>
    <row r="313" spans="1:20" x14ac:dyDescent="0.25">
      <c r="A313" s="397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5"/>
    </row>
    <row r="314" spans="1:20" x14ac:dyDescent="0.25">
      <c r="A314" s="397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5"/>
    </row>
    <row r="315" spans="1:20" x14ac:dyDescent="0.25">
      <c r="A315" s="397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5"/>
    </row>
    <row r="316" spans="1:20" x14ac:dyDescent="0.25">
      <c r="A316" s="397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5"/>
    </row>
    <row r="317" spans="1:20" x14ac:dyDescent="0.25">
      <c r="A317" s="397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5"/>
    </row>
    <row r="318" spans="1:20" x14ac:dyDescent="0.25">
      <c r="A318" s="397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5"/>
    </row>
    <row r="319" spans="1:20" x14ac:dyDescent="0.25">
      <c r="A319" s="397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5"/>
    </row>
    <row r="320" spans="1:20" x14ac:dyDescent="0.25">
      <c r="A320" s="397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5"/>
    </row>
    <row r="321" spans="1:20" x14ac:dyDescent="0.25">
      <c r="A321" s="397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5"/>
    </row>
    <row r="322" spans="1:20" x14ac:dyDescent="0.25">
      <c r="A322" s="397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5"/>
    </row>
    <row r="323" spans="1:20" x14ac:dyDescent="0.25">
      <c r="A323" s="397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5"/>
    </row>
    <row r="324" spans="1:20" x14ac:dyDescent="0.25">
      <c r="A324" s="397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5"/>
    </row>
    <row r="325" spans="1:20" x14ac:dyDescent="0.25">
      <c r="A325" s="397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5"/>
    </row>
    <row r="326" spans="1:20" x14ac:dyDescent="0.25">
      <c r="A326" s="397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5"/>
    </row>
    <row r="327" spans="1:20" x14ac:dyDescent="0.25">
      <c r="A327" s="397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5"/>
    </row>
    <row r="328" spans="1:20" x14ac:dyDescent="0.25">
      <c r="A328" s="397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5"/>
    </row>
    <row r="329" spans="1:20" x14ac:dyDescent="0.25">
      <c r="A329" s="397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5"/>
    </row>
    <row r="330" spans="1:20" x14ac:dyDescent="0.25">
      <c r="A330" s="397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5"/>
    </row>
    <row r="331" spans="1:20" x14ac:dyDescent="0.25">
      <c r="A331" s="397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5"/>
    </row>
    <row r="332" spans="1:20" x14ac:dyDescent="0.25">
      <c r="A332" s="397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5"/>
    </row>
    <row r="333" spans="1:20" x14ac:dyDescent="0.25">
      <c r="A333" s="397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5"/>
    </row>
    <row r="334" spans="1:20" x14ac:dyDescent="0.25">
      <c r="A334" s="397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5"/>
    </row>
    <row r="335" spans="1:20" x14ac:dyDescent="0.25">
      <c r="A335" s="397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5"/>
    </row>
    <row r="336" spans="1:20" x14ac:dyDescent="0.25">
      <c r="A336" s="397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5"/>
    </row>
    <row r="337" spans="1:20" x14ac:dyDescent="0.25">
      <c r="A337" s="397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5"/>
    </row>
    <row r="338" spans="1:20" x14ac:dyDescent="0.25">
      <c r="A338" s="397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5"/>
    </row>
    <row r="339" spans="1:20" x14ac:dyDescent="0.25">
      <c r="A339" s="397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5"/>
    </row>
    <row r="340" spans="1:20" x14ac:dyDescent="0.25">
      <c r="A340" s="397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5"/>
    </row>
    <row r="341" spans="1:20" x14ac:dyDescent="0.25">
      <c r="A341" s="397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5"/>
    </row>
    <row r="342" spans="1:20" x14ac:dyDescent="0.25">
      <c r="A342" s="397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5"/>
    </row>
    <row r="343" spans="1:20" x14ac:dyDescent="0.25">
      <c r="A343" s="397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5"/>
    </row>
    <row r="344" spans="1:20" x14ac:dyDescent="0.25">
      <c r="A344" s="397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5"/>
    </row>
    <row r="345" spans="1:20" x14ac:dyDescent="0.25">
      <c r="A345" s="397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5"/>
    </row>
    <row r="346" spans="1:20" x14ac:dyDescent="0.25">
      <c r="A346" s="397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5"/>
    </row>
    <row r="347" spans="1:20" x14ac:dyDescent="0.25">
      <c r="A347" s="397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5"/>
    </row>
    <row r="348" spans="1:20" x14ac:dyDescent="0.25">
      <c r="A348" s="397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5"/>
    </row>
    <row r="349" spans="1:20" x14ac:dyDescent="0.25">
      <c r="A349" s="397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5"/>
    </row>
    <row r="350" spans="1:20" x14ac:dyDescent="0.25">
      <c r="A350" s="397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5"/>
    </row>
    <row r="351" spans="1:20" x14ac:dyDescent="0.25">
      <c r="A351" s="397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5"/>
    </row>
    <row r="352" spans="1:20" x14ac:dyDescent="0.25">
      <c r="A352" s="397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5"/>
    </row>
    <row r="353" spans="1:20" x14ac:dyDescent="0.25">
      <c r="A353" s="397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5"/>
    </row>
    <row r="354" spans="1:20" x14ac:dyDescent="0.25">
      <c r="A354" s="397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5"/>
    </row>
    <row r="355" spans="1:20" x14ac:dyDescent="0.25">
      <c r="A355" s="397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5"/>
    </row>
    <row r="356" spans="1:20" x14ac:dyDescent="0.25">
      <c r="A356" s="397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5"/>
    </row>
    <row r="357" spans="1:20" x14ac:dyDescent="0.25">
      <c r="A357" s="397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5"/>
    </row>
    <row r="358" spans="1:20" x14ac:dyDescent="0.25">
      <c r="A358" s="397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5"/>
    </row>
    <row r="359" spans="1:20" x14ac:dyDescent="0.25">
      <c r="A359" s="397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5"/>
    </row>
    <row r="360" spans="1:20" x14ac:dyDescent="0.25">
      <c r="A360" s="397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5"/>
    </row>
    <row r="361" spans="1:20" x14ac:dyDescent="0.25">
      <c r="A361" s="397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5"/>
    </row>
    <row r="362" spans="1:20" x14ac:dyDescent="0.25">
      <c r="A362" s="397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5"/>
    </row>
    <row r="363" spans="1:20" x14ac:dyDescent="0.25">
      <c r="A363" s="397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5"/>
    </row>
    <row r="364" spans="1:20" x14ac:dyDescent="0.25">
      <c r="A364" s="397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5"/>
    </row>
    <row r="365" spans="1:20" x14ac:dyDescent="0.25">
      <c r="A365" s="397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5"/>
    </row>
    <row r="366" spans="1:20" x14ac:dyDescent="0.25">
      <c r="A366" s="397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5"/>
    </row>
    <row r="367" spans="1:20" x14ac:dyDescent="0.25">
      <c r="A367" s="397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5"/>
    </row>
    <row r="368" spans="1:20" x14ac:dyDescent="0.25">
      <c r="A368" s="397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5"/>
    </row>
    <row r="369" spans="1:20" x14ac:dyDescent="0.25">
      <c r="A369" s="397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5"/>
    </row>
    <row r="370" spans="1:20" x14ac:dyDescent="0.25">
      <c r="A370" s="397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5"/>
    </row>
    <row r="371" spans="1:20" x14ac:dyDescent="0.25">
      <c r="A371" s="397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5"/>
    </row>
    <row r="372" spans="1:20" x14ac:dyDescent="0.25">
      <c r="A372" s="397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5"/>
    </row>
    <row r="373" spans="1:20" x14ac:dyDescent="0.25">
      <c r="A373" s="397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5"/>
    </row>
    <row r="374" spans="1:20" x14ac:dyDescent="0.25">
      <c r="A374" s="397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5"/>
    </row>
    <row r="375" spans="1:20" x14ac:dyDescent="0.25">
      <c r="A375" s="397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5"/>
    </row>
    <row r="376" spans="1:20" x14ac:dyDescent="0.25">
      <c r="A376" s="397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5"/>
    </row>
    <row r="377" spans="1:20" x14ac:dyDescent="0.25">
      <c r="A377" s="397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5"/>
    </row>
    <row r="378" spans="1:20" x14ac:dyDescent="0.25">
      <c r="A378" s="397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5"/>
    </row>
    <row r="379" spans="1:20" x14ac:dyDescent="0.25">
      <c r="A379" s="397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5"/>
    </row>
    <row r="380" spans="1:20" x14ac:dyDescent="0.25">
      <c r="A380" s="397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5"/>
    </row>
    <row r="381" spans="1:20" x14ac:dyDescent="0.25">
      <c r="A381" s="397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5"/>
    </row>
    <row r="382" spans="1:20" x14ac:dyDescent="0.25">
      <c r="A382" s="397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5"/>
    </row>
    <row r="383" spans="1:20" x14ac:dyDescent="0.25">
      <c r="A383" s="397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5"/>
    </row>
    <row r="384" spans="1:20" x14ac:dyDescent="0.25">
      <c r="A384" s="397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5"/>
    </row>
    <row r="385" spans="1:20" x14ac:dyDescent="0.25">
      <c r="A385" s="397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5"/>
    </row>
    <row r="386" spans="1:20" x14ac:dyDescent="0.25">
      <c r="A386" s="397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5"/>
    </row>
    <row r="387" spans="1:20" x14ac:dyDescent="0.25">
      <c r="A387" s="397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5"/>
    </row>
    <row r="388" spans="1:20" x14ac:dyDescent="0.25">
      <c r="A388" s="397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5"/>
    </row>
    <row r="389" spans="1:20" x14ac:dyDescent="0.25">
      <c r="A389" s="397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5"/>
    </row>
    <row r="390" spans="1:20" x14ac:dyDescent="0.25">
      <c r="A390" s="397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5"/>
    </row>
    <row r="391" spans="1:20" x14ac:dyDescent="0.25">
      <c r="A391" s="397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5"/>
    </row>
    <row r="392" spans="1:20" x14ac:dyDescent="0.25">
      <c r="A392" s="397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5"/>
    </row>
    <row r="393" spans="1:20" x14ac:dyDescent="0.25">
      <c r="A393" s="397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5"/>
    </row>
    <row r="394" spans="1:20" x14ac:dyDescent="0.25">
      <c r="A394" s="397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5"/>
    </row>
    <row r="395" spans="1:20" x14ac:dyDescent="0.25">
      <c r="A395" s="397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5"/>
    </row>
    <row r="396" spans="1:20" x14ac:dyDescent="0.25">
      <c r="A396" s="397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5"/>
    </row>
    <row r="397" spans="1:20" x14ac:dyDescent="0.25">
      <c r="A397" s="397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5"/>
    </row>
    <row r="398" spans="1:20" x14ac:dyDescent="0.25">
      <c r="A398" s="397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5"/>
    </row>
    <row r="399" spans="1:20" x14ac:dyDescent="0.25">
      <c r="A399" s="397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5"/>
    </row>
    <row r="400" spans="1:20" x14ac:dyDescent="0.25">
      <c r="A400" s="397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5"/>
    </row>
    <row r="401" spans="1:20" x14ac:dyDescent="0.25">
      <c r="A401" s="397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5"/>
    </row>
    <row r="402" spans="1:20" x14ac:dyDescent="0.25">
      <c r="A402" s="397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5"/>
    </row>
    <row r="403" spans="1:20" x14ac:dyDescent="0.25">
      <c r="A403" s="397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5"/>
    </row>
    <row r="404" spans="1:20" x14ac:dyDescent="0.25">
      <c r="A404" s="397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5"/>
    </row>
    <row r="405" spans="1:20" x14ac:dyDescent="0.25">
      <c r="A405" s="397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5"/>
    </row>
    <row r="406" spans="1:20" x14ac:dyDescent="0.25">
      <c r="A406" s="397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5"/>
    </row>
    <row r="407" spans="1:20" x14ac:dyDescent="0.25">
      <c r="A407" s="397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5"/>
    </row>
    <row r="408" spans="1:20" x14ac:dyDescent="0.25">
      <c r="A408" s="397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5"/>
    </row>
    <row r="409" spans="1:20" x14ac:dyDescent="0.25">
      <c r="A409" s="397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5"/>
    </row>
    <row r="410" spans="1:20" x14ac:dyDescent="0.25">
      <c r="A410" s="397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5"/>
    </row>
    <row r="411" spans="1:20" x14ac:dyDescent="0.25">
      <c r="A411" s="397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5"/>
    </row>
    <row r="412" spans="1:20" x14ac:dyDescent="0.25">
      <c r="A412" s="397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5"/>
    </row>
    <row r="413" spans="1:20" x14ac:dyDescent="0.25">
      <c r="A413" s="397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5"/>
    </row>
    <row r="414" spans="1:20" x14ac:dyDescent="0.25">
      <c r="A414" s="397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5"/>
    </row>
    <row r="415" spans="1:20" x14ac:dyDescent="0.25">
      <c r="A415" s="397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5"/>
    </row>
    <row r="416" spans="1:20" x14ac:dyDescent="0.25">
      <c r="A416" s="397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5"/>
    </row>
    <row r="417" spans="1:20" x14ac:dyDescent="0.25">
      <c r="A417" s="397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5"/>
    </row>
    <row r="418" spans="1:20" x14ac:dyDescent="0.25">
      <c r="A418" s="397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5"/>
    </row>
    <row r="419" spans="1:20" x14ac:dyDescent="0.25">
      <c r="A419" s="397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5"/>
    </row>
    <row r="420" spans="1:20" x14ac:dyDescent="0.25">
      <c r="A420" s="397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5"/>
    </row>
    <row r="421" spans="1:20" x14ac:dyDescent="0.25">
      <c r="A421" s="397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5"/>
    </row>
    <row r="422" spans="1:20" x14ac:dyDescent="0.25">
      <c r="A422" s="397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5"/>
    </row>
    <row r="423" spans="1:20" x14ac:dyDescent="0.25">
      <c r="A423" s="397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5"/>
    </row>
    <row r="424" spans="1:20" x14ac:dyDescent="0.25">
      <c r="A424" s="397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5"/>
    </row>
    <row r="425" spans="1:20" x14ac:dyDescent="0.25">
      <c r="A425" s="397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5"/>
    </row>
    <row r="426" spans="1:20" x14ac:dyDescent="0.25">
      <c r="A426" s="397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5"/>
    </row>
    <row r="427" spans="1:20" x14ac:dyDescent="0.25">
      <c r="A427" s="397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5"/>
    </row>
    <row r="428" spans="1:20" x14ac:dyDescent="0.25">
      <c r="A428" s="397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5"/>
    </row>
    <row r="429" spans="1:20" x14ac:dyDescent="0.25">
      <c r="A429" s="397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5"/>
    </row>
    <row r="430" spans="1:20" x14ac:dyDescent="0.25">
      <c r="A430" s="397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5"/>
    </row>
    <row r="431" spans="1:20" x14ac:dyDescent="0.25">
      <c r="A431" s="397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5"/>
    </row>
    <row r="432" spans="1:20" x14ac:dyDescent="0.25">
      <c r="A432" s="397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5"/>
    </row>
    <row r="433" spans="1:20" x14ac:dyDescent="0.25">
      <c r="A433" s="397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5"/>
    </row>
    <row r="434" spans="1:20" x14ac:dyDescent="0.25">
      <c r="A434" s="397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5"/>
    </row>
    <row r="435" spans="1:20" x14ac:dyDescent="0.25">
      <c r="A435" s="397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5"/>
    </row>
    <row r="436" spans="1:20" x14ac:dyDescent="0.25">
      <c r="A436" s="397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5"/>
    </row>
    <row r="437" spans="1:20" x14ac:dyDescent="0.25">
      <c r="A437" s="397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5"/>
    </row>
    <row r="438" spans="1:20" x14ac:dyDescent="0.25">
      <c r="A438" s="397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5"/>
    </row>
    <row r="439" spans="1:20" x14ac:dyDescent="0.25">
      <c r="A439" s="397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5"/>
    </row>
    <row r="440" spans="1:20" x14ac:dyDescent="0.25">
      <c r="A440" s="397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5"/>
    </row>
    <row r="441" spans="1:20" x14ac:dyDescent="0.25">
      <c r="A441" s="397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5"/>
    </row>
    <row r="442" spans="1:20" x14ac:dyDescent="0.25">
      <c r="A442" s="397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5"/>
    </row>
    <row r="443" spans="1:20" x14ac:dyDescent="0.25">
      <c r="A443" s="397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5"/>
    </row>
    <row r="444" spans="1:20" x14ac:dyDescent="0.25">
      <c r="A444" s="397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5"/>
    </row>
    <row r="445" spans="1:20" x14ac:dyDescent="0.25">
      <c r="A445" s="397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5"/>
    </row>
    <row r="446" spans="1:20" x14ac:dyDescent="0.25">
      <c r="A446" s="397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5"/>
    </row>
    <row r="447" spans="1:20" x14ac:dyDescent="0.25">
      <c r="A447" s="397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5"/>
    </row>
    <row r="448" spans="1:20" x14ac:dyDescent="0.25">
      <c r="A448" s="397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5"/>
    </row>
    <row r="449" spans="1:20" x14ac:dyDescent="0.25">
      <c r="A449" s="397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5"/>
    </row>
    <row r="450" spans="1:20" x14ac:dyDescent="0.25">
      <c r="A450" s="397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5"/>
    </row>
    <row r="451" spans="1:20" x14ac:dyDescent="0.25">
      <c r="A451" s="397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5"/>
    </row>
    <row r="452" spans="1:20" x14ac:dyDescent="0.25">
      <c r="A452" s="397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5"/>
    </row>
    <row r="453" spans="1:20" x14ac:dyDescent="0.25">
      <c r="A453" s="397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5"/>
    </row>
    <row r="454" spans="1:20" x14ac:dyDescent="0.25">
      <c r="A454" s="397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5"/>
    </row>
    <row r="455" spans="1:20" x14ac:dyDescent="0.25">
      <c r="A455" s="397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5"/>
    </row>
    <row r="456" spans="1:20" x14ac:dyDescent="0.25">
      <c r="A456" s="397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5"/>
    </row>
    <row r="457" spans="1:20" x14ac:dyDescent="0.25">
      <c r="A457" s="397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5"/>
    </row>
    <row r="458" spans="1:20" x14ac:dyDescent="0.25">
      <c r="A458" s="397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5"/>
    </row>
    <row r="459" spans="1:20" x14ac:dyDescent="0.25">
      <c r="A459" s="397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5"/>
    </row>
    <row r="460" spans="1:20" x14ac:dyDescent="0.25">
      <c r="A460" s="397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5"/>
    </row>
    <row r="461" spans="1:20" x14ac:dyDescent="0.25">
      <c r="A461" s="397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5"/>
    </row>
    <row r="462" spans="1:20" x14ac:dyDescent="0.25">
      <c r="A462" s="397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5"/>
    </row>
    <row r="463" spans="1:20" x14ac:dyDescent="0.25">
      <c r="A463" s="397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5"/>
    </row>
    <row r="464" spans="1:20" x14ac:dyDescent="0.25">
      <c r="A464" s="397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5"/>
    </row>
    <row r="465" spans="1:20" x14ac:dyDescent="0.25">
      <c r="A465" s="397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5"/>
    </row>
    <row r="466" spans="1:20" x14ac:dyDescent="0.25">
      <c r="A466" s="397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5"/>
    </row>
    <row r="467" spans="1:20" x14ac:dyDescent="0.25">
      <c r="A467" s="397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5"/>
    </row>
    <row r="468" spans="1:20" x14ac:dyDescent="0.25">
      <c r="A468" s="397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5"/>
    </row>
    <row r="469" spans="1:20" x14ac:dyDescent="0.25">
      <c r="A469" s="397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5"/>
    </row>
    <row r="470" spans="1:20" x14ac:dyDescent="0.25">
      <c r="A470" s="397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5"/>
    </row>
    <row r="471" spans="1:20" x14ac:dyDescent="0.25">
      <c r="A471" s="397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5"/>
    </row>
    <row r="472" spans="1:20" x14ac:dyDescent="0.25">
      <c r="A472" s="397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5"/>
    </row>
    <row r="473" spans="1:20" x14ac:dyDescent="0.25">
      <c r="A473" s="397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5"/>
    </row>
    <row r="474" spans="1:20" x14ac:dyDescent="0.25">
      <c r="A474" s="397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5"/>
    </row>
    <row r="475" spans="1:20" x14ac:dyDescent="0.25">
      <c r="A475" s="397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5"/>
    </row>
    <row r="476" spans="1:20" x14ac:dyDescent="0.25">
      <c r="A476" s="397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5"/>
    </row>
    <row r="477" spans="1:20" x14ac:dyDescent="0.25">
      <c r="A477" s="397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5"/>
    </row>
    <row r="478" spans="1:20" x14ac:dyDescent="0.25">
      <c r="A478" s="397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5"/>
    </row>
    <row r="479" spans="1:20" x14ac:dyDescent="0.25">
      <c r="A479" s="397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5"/>
    </row>
    <row r="480" spans="1:20" x14ac:dyDescent="0.25">
      <c r="A480" s="397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5"/>
    </row>
    <row r="481" spans="1:20" x14ac:dyDescent="0.25">
      <c r="A481" s="397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5"/>
    </row>
    <row r="482" spans="1:20" x14ac:dyDescent="0.25">
      <c r="A482" s="397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5"/>
    </row>
    <row r="483" spans="1:20" x14ac:dyDescent="0.25">
      <c r="A483" s="397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5"/>
    </row>
    <row r="484" spans="1:20" x14ac:dyDescent="0.25">
      <c r="A484" s="397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5"/>
    </row>
    <row r="485" spans="1:20" x14ac:dyDescent="0.25">
      <c r="A485" s="397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5"/>
    </row>
    <row r="486" spans="1:20" x14ac:dyDescent="0.25">
      <c r="A486" s="397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5"/>
    </row>
    <row r="487" spans="1:20" x14ac:dyDescent="0.25">
      <c r="A487" s="397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5"/>
    </row>
    <row r="488" spans="1:20" x14ac:dyDescent="0.25">
      <c r="A488" s="397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5"/>
    </row>
    <row r="489" spans="1:20" x14ac:dyDescent="0.25">
      <c r="A489" s="397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5"/>
    </row>
    <row r="490" spans="1:20" x14ac:dyDescent="0.25">
      <c r="A490" s="397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5"/>
    </row>
    <row r="491" spans="1:20" x14ac:dyDescent="0.25">
      <c r="A491" s="397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5"/>
    </row>
    <row r="492" spans="1:20" x14ac:dyDescent="0.25">
      <c r="A492" s="397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5"/>
    </row>
    <row r="493" spans="1:20" x14ac:dyDescent="0.25">
      <c r="A493" s="397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5"/>
    </row>
    <row r="494" spans="1:20" x14ac:dyDescent="0.25">
      <c r="A494" s="397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5"/>
    </row>
    <row r="495" spans="1:20" x14ac:dyDescent="0.25">
      <c r="A495" s="397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5"/>
    </row>
    <row r="496" spans="1:20" x14ac:dyDescent="0.25">
      <c r="A496" s="397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5"/>
    </row>
    <row r="497" spans="1:20" x14ac:dyDescent="0.25">
      <c r="A497" s="397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5"/>
    </row>
    <row r="498" spans="1:20" x14ac:dyDescent="0.25">
      <c r="A498" s="397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5"/>
    </row>
    <row r="499" spans="1:20" x14ac:dyDescent="0.25">
      <c r="A499" s="397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5"/>
    </row>
    <row r="500" spans="1:20" x14ac:dyDescent="0.25">
      <c r="A500" s="397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5"/>
    </row>
    <row r="501" spans="1:20" x14ac:dyDescent="0.25">
      <c r="A501" s="397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5"/>
    </row>
    <row r="502" spans="1:20" x14ac:dyDescent="0.25">
      <c r="A502" s="397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5"/>
    </row>
    <row r="503" spans="1:20" x14ac:dyDescent="0.25">
      <c r="A503" s="397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5"/>
    </row>
    <row r="504" spans="1:20" x14ac:dyDescent="0.25">
      <c r="A504" s="397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5"/>
    </row>
    <row r="505" spans="1:20" x14ac:dyDescent="0.25">
      <c r="A505" s="397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5"/>
    </row>
    <row r="506" spans="1:20" x14ac:dyDescent="0.25">
      <c r="A506" s="397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5"/>
    </row>
    <row r="507" spans="1:20" x14ac:dyDescent="0.25">
      <c r="A507" s="397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5"/>
    </row>
    <row r="508" spans="1:20" x14ac:dyDescent="0.25">
      <c r="A508" s="397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5"/>
    </row>
    <row r="509" spans="1:20" x14ac:dyDescent="0.25">
      <c r="A509" s="397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5"/>
    </row>
    <row r="510" spans="1:20" x14ac:dyDescent="0.25">
      <c r="A510" s="397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5"/>
    </row>
    <row r="511" spans="1:20" x14ac:dyDescent="0.25">
      <c r="A511" s="397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5"/>
    </row>
    <row r="512" spans="1:20" x14ac:dyDescent="0.25">
      <c r="A512" s="397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5"/>
    </row>
    <row r="513" spans="1:20" x14ac:dyDescent="0.25">
      <c r="A513" s="397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5"/>
    </row>
    <row r="514" spans="1:20" x14ac:dyDescent="0.25">
      <c r="A514" s="397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5"/>
    </row>
    <row r="515" spans="1:20" x14ac:dyDescent="0.25">
      <c r="A515" s="397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5"/>
    </row>
    <row r="516" spans="1:20" x14ac:dyDescent="0.25">
      <c r="A516" s="397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5"/>
    </row>
    <row r="517" spans="1:20" x14ac:dyDescent="0.25">
      <c r="A517" s="397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5"/>
    </row>
    <row r="518" spans="1:20" x14ac:dyDescent="0.25">
      <c r="A518" s="397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5"/>
    </row>
    <row r="519" spans="1:20" x14ac:dyDescent="0.25">
      <c r="A519" s="397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5"/>
    </row>
    <row r="520" spans="1:20" x14ac:dyDescent="0.25">
      <c r="A520" s="397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5"/>
    </row>
    <row r="521" spans="1:20" x14ac:dyDescent="0.25">
      <c r="A521" s="397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5"/>
    </row>
    <row r="522" spans="1:20" x14ac:dyDescent="0.25">
      <c r="A522" s="397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5"/>
    </row>
    <row r="523" spans="1:20" x14ac:dyDescent="0.25">
      <c r="A523" s="397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5"/>
    </row>
    <row r="524" spans="1:20" x14ac:dyDescent="0.25">
      <c r="A524" s="397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5"/>
    </row>
    <row r="525" spans="1:20" x14ac:dyDescent="0.25">
      <c r="A525" s="397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5"/>
    </row>
    <row r="526" spans="1:20" x14ac:dyDescent="0.25">
      <c r="A526" s="397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5"/>
    </row>
    <row r="527" spans="1:20" x14ac:dyDescent="0.25">
      <c r="A527" s="397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5"/>
    </row>
    <row r="528" spans="1:20" x14ac:dyDescent="0.25">
      <c r="A528" s="397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5"/>
    </row>
    <row r="529" spans="1:20" x14ac:dyDescent="0.25">
      <c r="A529" s="397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5"/>
    </row>
    <row r="530" spans="1:20" x14ac:dyDescent="0.25">
      <c r="A530" s="397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5"/>
    </row>
    <row r="531" spans="1:20" x14ac:dyDescent="0.25">
      <c r="A531" s="397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5"/>
    </row>
    <row r="532" spans="1:20" x14ac:dyDescent="0.25">
      <c r="A532" s="397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5"/>
    </row>
    <row r="533" spans="1:20" x14ac:dyDescent="0.25">
      <c r="A533" s="397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5"/>
    </row>
    <row r="534" spans="1:20" x14ac:dyDescent="0.25">
      <c r="A534" s="397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5"/>
    </row>
    <row r="535" spans="1:20" x14ac:dyDescent="0.25">
      <c r="A535" s="397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5"/>
    </row>
    <row r="536" spans="1:20" x14ac:dyDescent="0.25">
      <c r="A536" s="397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5"/>
    </row>
    <row r="537" spans="1:20" x14ac:dyDescent="0.25">
      <c r="A537" s="397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5"/>
    </row>
    <row r="538" spans="1:20" x14ac:dyDescent="0.25">
      <c r="A538" s="397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5"/>
    </row>
    <row r="539" spans="1:20" x14ac:dyDescent="0.25">
      <c r="A539" s="397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5"/>
    </row>
    <row r="540" spans="1:20" x14ac:dyDescent="0.25">
      <c r="A540" s="397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5"/>
    </row>
    <row r="541" spans="1:20" x14ac:dyDescent="0.25">
      <c r="A541" s="397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5"/>
    </row>
    <row r="542" spans="1:20" x14ac:dyDescent="0.25">
      <c r="A542" s="397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5"/>
    </row>
    <row r="543" spans="1:20" x14ac:dyDescent="0.25">
      <c r="A543" s="397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5"/>
    </row>
    <row r="544" spans="1:20" x14ac:dyDescent="0.25">
      <c r="A544" s="397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5"/>
    </row>
    <row r="545" spans="1:20" x14ac:dyDescent="0.25">
      <c r="A545" s="397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5"/>
    </row>
    <row r="546" spans="1:20" x14ac:dyDescent="0.25">
      <c r="A546" s="397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5"/>
    </row>
    <row r="547" spans="1:20" x14ac:dyDescent="0.25">
      <c r="A547" s="397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5"/>
    </row>
    <row r="548" spans="1:20" x14ac:dyDescent="0.25">
      <c r="A548" s="397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5"/>
    </row>
    <row r="549" spans="1:20" x14ac:dyDescent="0.25">
      <c r="A549" s="397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5"/>
    </row>
    <row r="550" spans="1:20" x14ac:dyDescent="0.25">
      <c r="A550" s="397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5"/>
    </row>
    <row r="551" spans="1:20" x14ac:dyDescent="0.25">
      <c r="A551" s="397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5"/>
    </row>
    <row r="552" spans="1:20" x14ac:dyDescent="0.25">
      <c r="A552" s="397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5"/>
    </row>
    <row r="553" spans="1:20" x14ac:dyDescent="0.25">
      <c r="A553" s="397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5"/>
    </row>
    <row r="554" spans="1:20" x14ac:dyDescent="0.25">
      <c r="A554" s="397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5"/>
    </row>
    <row r="555" spans="1:20" x14ac:dyDescent="0.25">
      <c r="A555" s="397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5"/>
    </row>
    <row r="556" spans="1:20" x14ac:dyDescent="0.25">
      <c r="A556" s="397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5"/>
    </row>
    <row r="557" spans="1:20" x14ac:dyDescent="0.25">
      <c r="A557" s="397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5"/>
    </row>
    <row r="558" spans="1:20" x14ac:dyDescent="0.25">
      <c r="A558" s="397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5"/>
    </row>
    <row r="559" spans="1:20" x14ac:dyDescent="0.25">
      <c r="A559" s="397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5"/>
    </row>
    <row r="560" spans="1:20" x14ac:dyDescent="0.25">
      <c r="A560" s="397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5"/>
    </row>
    <row r="561" spans="1:20" x14ac:dyDescent="0.25">
      <c r="A561" s="397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5"/>
    </row>
    <row r="562" spans="1:20" x14ac:dyDescent="0.25">
      <c r="A562" s="397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5"/>
    </row>
    <row r="563" spans="1:20" x14ac:dyDescent="0.25">
      <c r="A563" s="397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5"/>
    </row>
    <row r="564" spans="1:20" x14ac:dyDescent="0.25">
      <c r="A564" s="397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5"/>
    </row>
    <row r="565" spans="1:20" x14ac:dyDescent="0.25">
      <c r="A565" s="397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5"/>
    </row>
    <row r="566" spans="1:20" x14ac:dyDescent="0.25">
      <c r="A566" s="397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5"/>
    </row>
    <row r="567" spans="1:20" x14ac:dyDescent="0.25">
      <c r="A567" s="397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5"/>
    </row>
    <row r="568" spans="1:20" x14ac:dyDescent="0.25">
      <c r="A568" s="397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5"/>
    </row>
    <row r="569" spans="1:20" x14ac:dyDescent="0.25">
      <c r="A569" s="397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5"/>
    </row>
    <row r="570" spans="1:20" x14ac:dyDescent="0.25">
      <c r="A570" s="397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5"/>
    </row>
    <row r="571" spans="1:20" x14ac:dyDescent="0.25">
      <c r="A571" s="397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5"/>
    </row>
    <row r="572" spans="1:20" x14ac:dyDescent="0.25">
      <c r="A572" s="397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5"/>
    </row>
    <row r="573" spans="1:20" x14ac:dyDescent="0.25">
      <c r="A573" s="397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5"/>
    </row>
    <row r="574" spans="1:20" x14ac:dyDescent="0.25">
      <c r="A574" s="397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5"/>
    </row>
    <row r="575" spans="1:20" x14ac:dyDescent="0.25">
      <c r="A575" s="397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5"/>
    </row>
    <row r="576" spans="1:20" x14ac:dyDescent="0.25">
      <c r="A576" s="397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5"/>
    </row>
    <row r="577" spans="1:20" x14ac:dyDescent="0.25">
      <c r="A577" s="397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5"/>
    </row>
    <row r="578" spans="1:20" x14ac:dyDescent="0.25">
      <c r="A578" s="397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5"/>
    </row>
    <row r="579" spans="1:20" x14ac:dyDescent="0.25">
      <c r="A579" s="397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5"/>
    </row>
    <row r="580" spans="1:20" x14ac:dyDescent="0.25">
      <c r="A580" s="397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5"/>
    </row>
    <row r="581" spans="1:20" x14ac:dyDescent="0.25">
      <c r="A581" s="397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5"/>
    </row>
    <row r="582" spans="1:20" x14ac:dyDescent="0.25">
      <c r="A582" s="397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5"/>
    </row>
    <row r="583" spans="1:20" x14ac:dyDescent="0.25">
      <c r="A583" s="397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5"/>
    </row>
    <row r="584" spans="1:20" x14ac:dyDescent="0.25">
      <c r="A584" s="397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5"/>
    </row>
    <row r="585" spans="1:20" x14ac:dyDescent="0.25">
      <c r="A585" s="397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5"/>
    </row>
    <row r="586" spans="1:20" x14ac:dyDescent="0.25">
      <c r="A586" s="397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5"/>
    </row>
    <row r="587" spans="1:20" x14ac:dyDescent="0.25">
      <c r="A587" s="397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5"/>
    </row>
    <row r="588" spans="1:20" x14ac:dyDescent="0.25">
      <c r="A588" s="397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5"/>
    </row>
    <row r="589" spans="1:20" x14ac:dyDescent="0.25">
      <c r="A589" s="397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5"/>
    </row>
    <row r="590" spans="1:20" x14ac:dyDescent="0.25">
      <c r="A590" s="397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5"/>
    </row>
    <row r="591" spans="1:20" x14ac:dyDescent="0.25">
      <c r="A591" s="397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5"/>
    </row>
    <row r="592" spans="1:20" x14ac:dyDescent="0.25">
      <c r="A592" s="397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5"/>
    </row>
    <row r="593" spans="1:20" x14ac:dyDescent="0.25">
      <c r="A593" s="397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5"/>
    </row>
    <row r="594" spans="1:20" x14ac:dyDescent="0.25">
      <c r="A594" s="397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5"/>
    </row>
    <row r="595" spans="1:20" x14ac:dyDescent="0.25">
      <c r="A595" s="397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5"/>
    </row>
    <row r="596" spans="1:20" x14ac:dyDescent="0.25">
      <c r="A596" s="397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5"/>
    </row>
    <row r="597" spans="1:20" x14ac:dyDescent="0.25">
      <c r="A597" s="397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5"/>
    </row>
    <row r="598" spans="1:20" x14ac:dyDescent="0.25">
      <c r="A598" s="397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5"/>
    </row>
    <row r="599" spans="1:20" x14ac:dyDescent="0.25">
      <c r="A599" s="397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5"/>
    </row>
    <row r="600" spans="1:20" x14ac:dyDescent="0.25">
      <c r="A600" s="397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5"/>
    </row>
    <row r="601" spans="1:20" x14ac:dyDescent="0.25">
      <c r="A601" s="397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5"/>
    </row>
    <row r="602" spans="1:20" x14ac:dyDescent="0.25">
      <c r="A602" s="397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5"/>
    </row>
    <row r="603" spans="1:20" x14ac:dyDescent="0.25">
      <c r="A603" s="397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5"/>
    </row>
    <row r="604" spans="1:20" x14ac:dyDescent="0.25">
      <c r="A604" s="397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5"/>
    </row>
    <row r="605" spans="1:20" x14ac:dyDescent="0.25">
      <c r="A605" s="397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5"/>
    </row>
    <row r="606" spans="1:20" x14ac:dyDescent="0.25">
      <c r="A606" s="397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5"/>
    </row>
    <row r="607" spans="1:20" x14ac:dyDescent="0.25">
      <c r="A607" s="397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5"/>
    </row>
    <row r="608" spans="1:20" x14ac:dyDescent="0.25">
      <c r="A608" s="397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5"/>
    </row>
    <row r="609" spans="1:20" x14ac:dyDescent="0.25">
      <c r="A609" s="397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5"/>
    </row>
    <row r="610" spans="1:20" x14ac:dyDescent="0.25">
      <c r="A610" s="397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5"/>
    </row>
    <row r="611" spans="1:20" x14ac:dyDescent="0.25">
      <c r="A611" s="397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5"/>
    </row>
    <row r="612" spans="1:20" x14ac:dyDescent="0.25">
      <c r="A612" s="397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5"/>
    </row>
    <row r="613" spans="1:20" x14ac:dyDescent="0.25">
      <c r="A613" s="397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5"/>
    </row>
    <row r="614" spans="1:20" x14ac:dyDescent="0.25">
      <c r="A614" s="397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5"/>
    </row>
    <row r="615" spans="1:20" x14ac:dyDescent="0.25">
      <c r="A615" s="397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5"/>
    </row>
    <row r="616" spans="1:20" x14ac:dyDescent="0.25">
      <c r="A616" s="397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5"/>
    </row>
    <row r="617" spans="1:20" x14ac:dyDescent="0.25">
      <c r="A617" s="397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5"/>
    </row>
    <row r="618" spans="1:20" x14ac:dyDescent="0.25">
      <c r="A618" s="397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5"/>
    </row>
    <row r="619" spans="1:20" x14ac:dyDescent="0.25">
      <c r="A619" s="397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5"/>
    </row>
    <row r="620" spans="1:20" x14ac:dyDescent="0.25">
      <c r="A620" s="397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5"/>
    </row>
    <row r="621" spans="1:20" x14ac:dyDescent="0.25">
      <c r="A621" s="397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5"/>
    </row>
    <row r="622" spans="1:20" x14ac:dyDescent="0.25">
      <c r="A622" s="397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5"/>
    </row>
    <row r="623" spans="1:20" x14ac:dyDescent="0.25">
      <c r="A623" s="397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5"/>
    </row>
    <row r="624" spans="1:20" x14ac:dyDescent="0.25">
      <c r="A624" s="397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5"/>
    </row>
    <row r="625" spans="1:20" x14ac:dyDescent="0.25">
      <c r="A625" s="397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5"/>
    </row>
    <row r="626" spans="1:20" x14ac:dyDescent="0.25">
      <c r="A626" s="397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5"/>
    </row>
    <row r="627" spans="1:20" x14ac:dyDescent="0.25">
      <c r="A627" s="397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5"/>
    </row>
    <row r="628" spans="1:20" x14ac:dyDescent="0.25">
      <c r="A628" s="397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5"/>
    </row>
    <row r="629" spans="1:20" x14ac:dyDescent="0.25">
      <c r="A629" s="397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5"/>
    </row>
    <row r="630" spans="1:20" x14ac:dyDescent="0.25">
      <c r="A630" s="397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5"/>
    </row>
    <row r="631" spans="1:20" x14ac:dyDescent="0.25">
      <c r="A631" s="397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5"/>
    </row>
    <row r="632" spans="1:20" x14ac:dyDescent="0.25">
      <c r="A632" s="397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5"/>
    </row>
    <row r="633" spans="1:20" x14ac:dyDescent="0.25">
      <c r="A633" s="397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5"/>
    </row>
    <row r="634" spans="1:20" x14ac:dyDescent="0.25">
      <c r="A634" s="397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5"/>
    </row>
    <row r="635" spans="1:20" x14ac:dyDescent="0.25">
      <c r="A635" s="397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5"/>
    </row>
    <row r="636" spans="1:20" x14ac:dyDescent="0.25">
      <c r="A636" s="397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5"/>
    </row>
    <row r="637" spans="1:20" x14ac:dyDescent="0.25">
      <c r="A637" s="397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5"/>
    </row>
    <row r="638" spans="1:20" x14ac:dyDescent="0.25">
      <c r="A638" s="397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5"/>
    </row>
    <row r="639" spans="1:20" x14ac:dyDescent="0.25">
      <c r="A639" s="397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5"/>
    </row>
    <row r="640" spans="1:20" x14ac:dyDescent="0.25">
      <c r="A640" s="397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5"/>
    </row>
    <row r="641" spans="1:20" x14ac:dyDescent="0.25">
      <c r="A641" s="397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5"/>
    </row>
    <row r="642" spans="1:20" x14ac:dyDescent="0.25">
      <c r="A642" s="397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5"/>
    </row>
    <row r="643" spans="1:20" x14ac:dyDescent="0.25">
      <c r="A643" s="397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5"/>
    </row>
    <row r="644" spans="1:20" x14ac:dyDescent="0.25">
      <c r="A644" s="397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5"/>
    </row>
    <row r="645" spans="1:20" x14ac:dyDescent="0.25">
      <c r="A645" s="397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5"/>
    </row>
    <row r="646" spans="1:20" x14ac:dyDescent="0.25">
      <c r="A646" s="397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5"/>
    </row>
    <row r="647" spans="1:20" x14ac:dyDescent="0.25">
      <c r="A647" s="397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5"/>
    </row>
    <row r="648" spans="1:20" x14ac:dyDescent="0.25">
      <c r="A648" s="397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5"/>
    </row>
    <row r="649" spans="1:20" x14ac:dyDescent="0.25">
      <c r="A649" s="397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5"/>
    </row>
    <row r="650" spans="1:20" x14ac:dyDescent="0.25">
      <c r="A650" s="397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5"/>
    </row>
    <row r="651" spans="1:20" x14ac:dyDescent="0.25">
      <c r="A651" s="397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5"/>
    </row>
    <row r="652" spans="1:20" x14ac:dyDescent="0.25">
      <c r="A652" s="397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5"/>
    </row>
    <row r="653" spans="1:20" x14ac:dyDescent="0.25">
      <c r="A653" s="397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5"/>
    </row>
    <row r="654" spans="1:20" x14ac:dyDescent="0.25">
      <c r="A654" s="397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5"/>
    </row>
    <row r="655" spans="1:20" x14ac:dyDescent="0.25">
      <c r="A655" s="397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5"/>
    </row>
    <row r="656" spans="1:20" x14ac:dyDescent="0.25">
      <c r="A656" s="397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5"/>
    </row>
    <row r="657" spans="1:20" x14ac:dyDescent="0.25">
      <c r="A657" s="397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5"/>
    </row>
    <row r="658" spans="1:20" x14ac:dyDescent="0.25">
      <c r="A658" s="397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5"/>
    </row>
    <row r="659" spans="1:20" x14ac:dyDescent="0.25">
      <c r="A659" s="397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5"/>
    </row>
    <row r="660" spans="1:20" x14ac:dyDescent="0.25">
      <c r="A660" s="397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5"/>
    </row>
    <row r="661" spans="1:20" x14ac:dyDescent="0.25">
      <c r="A661" s="397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5"/>
    </row>
    <row r="662" spans="1:20" x14ac:dyDescent="0.25">
      <c r="A662" s="397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5"/>
    </row>
    <row r="663" spans="1:20" x14ac:dyDescent="0.25">
      <c r="A663" s="397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5"/>
    </row>
    <row r="664" spans="1:20" x14ac:dyDescent="0.25">
      <c r="A664" s="397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5"/>
    </row>
    <row r="665" spans="1:20" x14ac:dyDescent="0.25">
      <c r="A665" s="397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5"/>
    </row>
    <row r="666" spans="1:20" x14ac:dyDescent="0.25">
      <c r="A666" s="397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5"/>
    </row>
    <row r="667" spans="1:20" x14ac:dyDescent="0.25">
      <c r="A667" s="397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5"/>
    </row>
    <row r="668" spans="1:20" x14ac:dyDescent="0.25">
      <c r="A668" s="397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5"/>
    </row>
    <row r="669" spans="1:20" x14ac:dyDescent="0.25">
      <c r="A669" s="397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5"/>
    </row>
    <row r="670" spans="1:20" x14ac:dyDescent="0.25">
      <c r="A670" s="397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5"/>
    </row>
    <row r="671" spans="1:20" x14ac:dyDescent="0.25">
      <c r="A671" s="397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5"/>
    </row>
    <row r="672" spans="1:20" x14ac:dyDescent="0.25">
      <c r="A672" s="397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5"/>
    </row>
    <row r="673" spans="1:20" x14ac:dyDescent="0.25">
      <c r="A673" s="397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5"/>
    </row>
    <row r="674" spans="1:20" x14ac:dyDescent="0.25">
      <c r="A674" s="397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5"/>
    </row>
    <row r="675" spans="1:20" x14ac:dyDescent="0.25">
      <c r="A675" s="397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5"/>
    </row>
    <row r="676" spans="1:20" x14ac:dyDescent="0.25">
      <c r="A676" s="397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5"/>
    </row>
    <row r="677" spans="1:20" x14ac:dyDescent="0.25">
      <c r="A677" s="397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5"/>
    </row>
    <row r="678" spans="1:20" x14ac:dyDescent="0.25">
      <c r="A678" s="397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5"/>
    </row>
    <row r="679" spans="1:20" x14ac:dyDescent="0.25">
      <c r="A679" s="397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5"/>
    </row>
    <row r="680" spans="1:20" x14ac:dyDescent="0.25">
      <c r="A680" s="397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5"/>
    </row>
    <row r="681" spans="1:20" x14ac:dyDescent="0.25">
      <c r="A681" s="397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5"/>
    </row>
    <row r="682" spans="1:20" x14ac:dyDescent="0.25">
      <c r="A682" s="397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5"/>
    </row>
    <row r="683" spans="1:20" x14ac:dyDescent="0.25">
      <c r="A683" s="397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5"/>
    </row>
    <row r="684" spans="1:20" x14ac:dyDescent="0.25">
      <c r="A684" s="397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5"/>
    </row>
    <row r="685" spans="1:20" x14ac:dyDescent="0.25">
      <c r="A685" s="397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5"/>
    </row>
    <row r="686" spans="1:20" x14ac:dyDescent="0.25">
      <c r="A686" s="397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5"/>
    </row>
    <row r="687" spans="1:20" x14ac:dyDescent="0.25">
      <c r="A687" s="397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5"/>
    </row>
    <row r="688" spans="1:20" x14ac:dyDescent="0.25">
      <c r="A688" s="397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5"/>
    </row>
    <row r="689" spans="1:20" x14ac:dyDescent="0.25">
      <c r="A689" s="397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5"/>
    </row>
    <row r="690" spans="1:20" x14ac:dyDescent="0.25">
      <c r="A690" s="397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5"/>
    </row>
    <row r="691" spans="1:20" x14ac:dyDescent="0.25">
      <c r="A691" s="397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5"/>
    </row>
    <row r="692" spans="1:20" x14ac:dyDescent="0.25">
      <c r="A692" s="397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5"/>
    </row>
    <row r="693" spans="1:20" x14ac:dyDescent="0.25">
      <c r="A693" s="397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5"/>
    </row>
    <row r="694" spans="1:20" x14ac:dyDescent="0.25">
      <c r="A694" s="397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5"/>
    </row>
    <row r="695" spans="1:20" x14ac:dyDescent="0.25">
      <c r="A695" s="397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5"/>
    </row>
    <row r="696" spans="1:20" x14ac:dyDescent="0.25">
      <c r="A696" s="397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5"/>
    </row>
    <row r="697" spans="1:20" x14ac:dyDescent="0.25">
      <c r="A697" s="397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5"/>
    </row>
    <row r="698" spans="1:20" x14ac:dyDescent="0.25">
      <c r="A698" s="397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5"/>
    </row>
    <row r="699" spans="1:20" x14ac:dyDescent="0.25">
      <c r="A699" s="397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5"/>
    </row>
    <row r="700" spans="1:20" x14ac:dyDescent="0.25">
      <c r="A700" s="397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5"/>
    </row>
    <row r="701" spans="1:20" x14ac:dyDescent="0.25">
      <c r="A701" s="397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5"/>
    </row>
    <row r="702" spans="1:20" x14ac:dyDescent="0.25">
      <c r="A702" s="397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5"/>
    </row>
    <row r="703" spans="1:20" x14ac:dyDescent="0.25">
      <c r="A703" s="397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5"/>
    </row>
    <row r="704" spans="1:20" x14ac:dyDescent="0.25">
      <c r="A704" s="397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5"/>
    </row>
    <row r="705" spans="1:20" x14ac:dyDescent="0.25">
      <c r="A705" s="397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5"/>
    </row>
    <row r="706" spans="1:20" x14ac:dyDescent="0.25">
      <c r="A706" s="397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5"/>
    </row>
    <row r="707" spans="1:20" x14ac:dyDescent="0.25">
      <c r="A707" s="397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5"/>
    </row>
    <row r="708" spans="1:20" x14ac:dyDescent="0.25">
      <c r="A708" s="397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5"/>
    </row>
    <row r="709" spans="1:20" x14ac:dyDescent="0.25">
      <c r="A709" s="397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5"/>
    </row>
    <row r="710" spans="1:20" x14ac:dyDescent="0.25">
      <c r="A710" s="397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5"/>
    </row>
    <row r="711" spans="1:20" x14ac:dyDescent="0.25">
      <c r="A711" s="397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5"/>
    </row>
    <row r="712" spans="1:20" x14ac:dyDescent="0.25">
      <c r="A712" s="397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5"/>
    </row>
    <row r="713" spans="1:20" x14ac:dyDescent="0.25">
      <c r="A713" s="397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5"/>
    </row>
    <row r="714" spans="1:20" x14ac:dyDescent="0.25">
      <c r="A714" s="397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5"/>
    </row>
    <row r="715" spans="1:20" x14ac:dyDescent="0.25">
      <c r="A715" s="397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5"/>
    </row>
    <row r="716" spans="1:20" x14ac:dyDescent="0.25">
      <c r="A716" s="397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5"/>
    </row>
    <row r="717" spans="1:20" x14ac:dyDescent="0.25">
      <c r="A717" s="397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5"/>
    </row>
    <row r="718" spans="1:20" x14ac:dyDescent="0.25">
      <c r="A718" s="397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5"/>
    </row>
    <row r="719" spans="1:20" x14ac:dyDescent="0.25">
      <c r="A719" s="397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5"/>
    </row>
    <row r="720" spans="1:20" x14ac:dyDescent="0.25">
      <c r="A720" s="397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5"/>
    </row>
    <row r="721" spans="1:20" x14ac:dyDescent="0.25">
      <c r="A721" s="397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5"/>
    </row>
    <row r="722" spans="1:20" x14ac:dyDescent="0.25">
      <c r="A722" s="397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5"/>
    </row>
    <row r="723" spans="1:20" x14ac:dyDescent="0.25">
      <c r="A723" s="397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5"/>
    </row>
    <row r="724" spans="1:20" x14ac:dyDescent="0.25">
      <c r="A724" s="397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5"/>
    </row>
    <row r="725" spans="1:20" x14ac:dyDescent="0.25">
      <c r="A725" s="397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5"/>
    </row>
    <row r="726" spans="1:20" x14ac:dyDescent="0.25">
      <c r="A726" s="397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5"/>
    </row>
    <row r="727" spans="1:20" x14ac:dyDescent="0.25">
      <c r="A727" s="397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5"/>
    </row>
    <row r="728" spans="1:20" x14ac:dyDescent="0.25">
      <c r="A728" s="397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5"/>
    </row>
    <row r="729" spans="1:20" x14ac:dyDescent="0.25">
      <c r="A729" s="397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5"/>
    </row>
    <row r="730" spans="1:20" x14ac:dyDescent="0.25">
      <c r="A730" s="397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5"/>
    </row>
    <row r="731" spans="1:20" x14ac:dyDescent="0.25">
      <c r="A731" s="397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5"/>
    </row>
    <row r="732" spans="1:20" x14ac:dyDescent="0.25">
      <c r="A732" s="397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5"/>
    </row>
    <row r="733" spans="1:20" x14ac:dyDescent="0.25">
      <c r="A733" s="397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5"/>
    </row>
    <row r="734" spans="1:20" x14ac:dyDescent="0.25">
      <c r="A734" s="397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5"/>
    </row>
    <row r="735" spans="1:20" x14ac:dyDescent="0.25">
      <c r="A735" s="397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5"/>
    </row>
    <row r="736" spans="1:20" x14ac:dyDescent="0.25">
      <c r="A736" s="397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5"/>
    </row>
    <row r="737" spans="1:20" x14ac:dyDescent="0.25">
      <c r="A737" s="397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5"/>
    </row>
    <row r="738" spans="1:20" x14ac:dyDescent="0.25">
      <c r="A738" s="397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5"/>
    </row>
    <row r="739" spans="1:20" x14ac:dyDescent="0.25">
      <c r="A739" s="397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5"/>
    </row>
    <row r="740" spans="1:20" x14ac:dyDescent="0.25">
      <c r="A740" s="397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5"/>
    </row>
    <row r="741" spans="1:20" x14ac:dyDescent="0.25">
      <c r="A741" s="397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5"/>
    </row>
    <row r="742" spans="1:20" x14ac:dyDescent="0.25">
      <c r="A742" s="397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5"/>
    </row>
    <row r="743" spans="1:20" x14ac:dyDescent="0.25">
      <c r="A743" s="397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5"/>
    </row>
    <row r="744" spans="1:20" x14ac:dyDescent="0.25">
      <c r="A744" s="397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5"/>
    </row>
    <row r="745" spans="1:20" x14ac:dyDescent="0.25">
      <c r="A745" s="397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5"/>
    </row>
    <row r="746" spans="1:20" x14ac:dyDescent="0.25">
      <c r="A746" s="397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5"/>
    </row>
    <row r="747" spans="1:20" x14ac:dyDescent="0.25">
      <c r="A747" s="397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5"/>
    </row>
    <row r="748" spans="1:20" x14ac:dyDescent="0.25">
      <c r="A748" s="397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5"/>
    </row>
    <row r="749" spans="1:20" x14ac:dyDescent="0.25">
      <c r="A749" s="397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5"/>
    </row>
    <row r="750" spans="1:20" x14ac:dyDescent="0.25">
      <c r="A750" s="397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5"/>
    </row>
    <row r="751" spans="1:20" x14ac:dyDescent="0.25">
      <c r="A751" s="397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5"/>
    </row>
    <row r="752" spans="1:20" x14ac:dyDescent="0.25">
      <c r="A752" s="397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5"/>
    </row>
    <row r="753" spans="1:20" x14ac:dyDescent="0.25">
      <c r="A753" s="397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5"/>
    </row>
    <row r="754" spans="1:20" x14ac:dyDescent="0.25">
      <c r="A754" s="397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5"/>
    </row>
    <row r="755" spans="1:20" x14ac:dyDescent="0.25">
      <c r="A755" s="397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5"/>
    </row>
    <row r="756" spans="1:20" x14ac:dyDescent="0.25">
      <c r="A756" s="397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5"/>
    </row>
    <row r="757" spans="1:20" x14ac:dyDescent="0.25">
      <c r="A757" s="397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5"/>
    </row>
    <row r="758" spans="1:20" x14ac:dyDescent="0.25">
      <c r="A758" s="397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5"/>
    </row>
    <row r="759" spans="1:20" x14ac:dyDescent="0.25">
      <c r="A759" s="397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5"/>
    </row>
    <row r="760" spans="1:20" x14ac:dyDescent="0.25">
      <c r="A760" s="397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5"/>
    </row>
    <row r="761" spans="1:20" x14ac:dyDescent="0.25">
      <c r="A761" s="397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5"/>
    </row>
    <row r="762" spans="1:20" x14ac:dyDescent="0.25">
      <c r="A762" s="397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5"/>
    </row>
    <row r="763" spans="1:20" x14ac:dyDescent="0.25">
      <c r="A763" s="397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5"/>
    </row>
    <row r="764" spans="1:20" x14ac:dyDescent="0.25">
      <c r="A764" s="397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5"/>
    </row>
    <row r="765" spans="1:20" x14ac:dyDescent="0.25">
      <c r="A765" s="397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5"/>
    </row>
    <row r="766" spans="1:20" x14ac:dyDescent="0.25">
      <c r="A766" s="397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5"/>
    </row>
    <row r="767" spans="1:20" x14ac:dyDescent="0.25">
      <c r="A767" s="397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5"/>
    </row>
    <row r="768" spans="1:20" x14ac:dyDescent="0.25">
      <c r="A768" s="397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5"/>
    </row>
    <row r="769" spans="1:20" x14ac:dyDescent="0.25">
      <c r="A769" s="397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5"/>
    </row>
    <row r="770" spans="1:20" x14ac:dyDescent="0.25">
      <c r="A770" s="397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5"/>
    </row>
    <row r="771" spans="1:20" x14ac:dyDescent="0.25">
      <c r="A771" s="397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5"/>
    </row>
    <row r="772" spans="1:20" x14ac:dyDescent="0.25">
      <c r="A772" s="397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5"/>
    </row>
    <row r="773" spans="1:20" x14ac:dyDescent="0.25">
      <c r="A773" s="397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5"/>
    </row>
    <row r="774" spans="1:20" x14ac:dyDescent="0.25">
      <c r="A774" s="397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5"/>
    </row>
    <row r="775" spans="1:20" x14ac:dyDescent="0.25">
      <c r="A775" s="397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5"/>
    </row>
    <row r="776" spans="1:20" x14ac:dyDescent="0.25">
      <c r="A776" s="397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5"/>
    </row>
    <row r="777" spans="1:20" x14ac:dyDescent="0.25">
      <c r="A777" s="397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5"/>
    </row>
    <row r="778" spans="1:20" x14ac:dyDescent="0.25">
      <c r="A778" s="397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5"/>
    </row>
    <row r="779" spans="1:20" x14ac:dyDescent="0.25">
      <c r="A779" s="397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5"/>
    </row>
    <row r="780" spans="1:20" x14ac:dyDescent="0.25">
      <c r="A780" s="397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5"/>
    </row>
    <row r="781" spans="1:20" x14ac:dyDescent="0.25">
      <c r="A781" s="397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5"/>
    </row>
    <row r="782" spans="1:20" x14ac:dyDescent="0.25">
      <c r="A782" s="397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5"/>
    </row>
    <row r="783" spans="1:20" x14ac:dyDescent="0.25">
      <c r="A783" s="397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5"/>
    </row>
    <row r="784" spans="1:20" x14ac:dyDescent="0.25">
      <c r="A784" s="397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5"/>
    </row>
    <row r="785" spans="1:20" x14ac:dyDescent="0.25">
      <c r="A785" s="397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5"/>
    </row>
    <row r="786" spans="1:20" x14ac:dyDescent="0.25">
      <c r="A786" s="397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5"/>
    </row>
    <row r="787" spans="1:20" x14ac:dyDescent="0.25">
      <c r="A787" s="397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5"/>
    </row>
    <row r="788" spans="1:20" x14ac:dyDescent="0.25">
      <c r="A788" s="397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5"/>
    </row>
    <row r="789" spans="1:20" x14ac:dyDescent="0.25">
      <c r="A789" s="397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5"/>
    </row>
    <row r="790" spans="1:20" x14ac:dyDescent="0.25">
      <c r="A790" s="397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5"/>
    </row>
    <row r="791" spans="1:20" x14ac:dyDescent="0.25">
      <c r="A791" s="397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5"/>
    </row>
    <row r="792" spans="1:20" x14ac:dyDescent="0.25">
      <c r="A792" s="397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5"/>
    </row>
    <row r="793" spans="1:20" x14ac:dyDescent="0.25">
      <c r="A793" s="397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5"/>
    </row>
    <row r="794" spans="1:20" x14ac:dyDescent="0.25">
      <c r="A794" s="397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5"/>
    </row>
    <row r="795" spans="1:20" x14ac:dyDescent="0.25">
      <c r="A795" s="397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5"/>
    </row>
    <row r="796" spans="1:20" x14ac:dyDescent="0.25">
      <c r="A796" s="397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5"/>
    </row>
    <row r="797" spans="1:20" x14ac:dyDescent="0.25">
      <c r="A797" s="397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5"/>
    </row>
    <row r="798" spans="1:20" x14ac:dyDescent="0.25">
      <c r="A798" s="397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5"/>
    </row>
    <row r="799" spans="1:20" x14ac:dyDescent="0.25">
      <c r="A799" s="397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5"/>
    </row>
    <row r="800" spans="1:20" x14ac:dyDescent="0.25">
      <c r="A800" s="397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5"/>
    </row>
    <row r="801" spans="1:20" x14ac:dyDescent="0.25">
      <c r="A801" s="397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5"/>
    </row>
    <row r="802" spans="1:20" x14ac:dyDescent="0.25">
      <c r="A802" s="397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5"/>
    </row>
    <row r="803" spans="1:20" x14ac:dyDescent="0.25">
      <c r="A803" s="397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5"/>
    </row>
    <row r="804" spans="1:20" x14ac:dyDescent="0.25">
      <c r="A804" s="397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5"/>
    </row>
    <row r="805" spans="1:20" x14ac:dyDescent="0.25">
      <c r="A805" s="397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5"/>
    </row>
    <row r="806" spans="1:20" x14ac:dyDescent="0.25">
      <c r="A806" s="397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5"/>
    </row>
    <row r="807" spans="1:20" x14ac:dyDescent="0.25">
      <c r="A807" s="397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5"/>
    </row>
    <row r="808" spans="1:20" x14ac:dyDescent="0.25">
      <c r="A808" s="397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5"/>
    </row>
    <row r="809" spans="1:20" x14ac:dyDescent="0.25">
      <c r="A809" s="397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5"/>
    </row>
    <row r="810" spans="1:20" x14ac:dyDescent="0.25">
      <c r="A810" s="397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5"/>
    </row>
    <row r="811" spans="1:20" x14ac:dyDescent="0.25">
      <c r="A811" s="397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5"/>
    </row>
    <row r="812" spans="1:20" x14ac:dyDescent="0.25">
      <c r="A812" s="397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5"/>
    </row>
    <row r="813" spans="1:20" x14ac:dyDescent="0.25">
      <c r="A813" s="397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5"/>
    </row>
    <row r="814" spans="1:20" x14ac:dyDescent="0.25">
      <c r="A814" s="397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5"/>
    </row>
    <row r="815" spans="1:20" x14ac:dyDescent="0.25">
      <c r="A815" s="397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5"/>
    </row>
    <row r="816" spans="1:20" x14ac:dyDescent="0.25">
      <c r="A816" s="397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5"/>
    </row>
    <row r="817" spans="1:20" x14ac:dyDescent="0.25">
      <c r="A817" s="397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5"/>
    </row>
    <row r="818" spans="1:20" x14ac:dyDescent="0.25">
      <c r="A818" s="397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5"/>
    </row>
    <row r="819" spans="1:20" x14ac:dyDescent="0.25">
      <c r="A819" s="397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5"/>
    </row>
    <row r="820" spans="1:20" x14ac:dyDescent="0.25">
      <c r="A820" s="397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5"/>
    </row>
    <row r="821" spans="1:20" x14ac:dyDescent="0.25">
      <c r="A821" s="397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5"/>
    </row>
    <row r="822" spans="1:20" x14ac:dyDescent="0.25">
      <c r="A822" s="397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5"/>
    </row>
    <row r="823" spans="1:20" x14ac:dyDescent="0.25">
      <c r="A823" s="397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5"/>
    </row>
    <row r="824" spans="1:20" x14ac:dyDescent="0.25">
      <c r="A824" s="397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5"/>
    </row>
    <row r="825" spans="1:20" x14ac:dyDescent="0.25">
      <c r="A825" s="397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5"/>
    </row>
    <row r="826" spans="1:20" x14ac:dyDescent="0.25">
      <c r="A826" s="397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5"/>
    </row>
    <row r="827" spans="1:20" x14ac:dyDescent="0.25">
      <c r="A827" s="397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5"/>
    </row>
    <row r="828" spans="1:20" x14ac:dyDescent="0.25">
      <c r="A828" s="397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5"/>
    </row>
    <row r="829" spans="1:20" x14ac:dyDescent="0.25">
      <c r="A829" s="397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5"/>
    </row>
    <row r="830" spans="1:20" x14ac:dyDescent="0.25">
      <c r="A830" s="397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5"/>
    </row>
    <row r="831" spans="1:20" x14ac:dyDescent="0.25">
      <c r="A831" s="397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5"/>
    </row>
    <row r="832" spans="1:20" x14ac:dyDescent="0.25">
      <c r="A832" s="397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5"/>
    </row>
    <row r="833" spans="1:20" x14ac:dyDescent="0.25">
      <c r="A833" s="397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5"/>
    </row>
    <row r="834" spans="1:20" x14ac:dyDescent="0.25">
      <c r="A834" s="397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5"/>
    </row>
    <row r="835" spans="1:20" x14ac:dyDescent="0.25">
      <c r="A835" s="397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5"/>
    </row>
    <row r="836" spans="1:20" x14ac:dyDescent="0.25">
      <c r="A836" s="397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5"/>
    </row>
    <row r="837" spans="1:20" x14ac:dyDescent="0.25">
      <c r="A837" s="397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5"/>
    </row>
    <row r="838" spans="1:20" x14ac:dyDescent="0.25">
      <c r="A838" s="397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5"/>
    </row>
    <row r="839" spans="1:20" x14ac:dyDescent="0.25">
      <c r="A839" s="397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5"/>
    </row>
    <row r="840" spans="1:20" x14ac:dyDescent="0.25">
      <c r="A840" s="397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5"/>
    </row>
    <row r="841" spans="1:20" x14ac:dyDescent="0.25">
      <c r="A841" s="397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5"/>
    </row>
    <row r="842" spans="1:20" x14ac:dyDescent="0.25">
      <c r="A842" s="397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5"/>
    </row>
    <row r="843" spans="1:20" x14ac:dyDescent="0.25">
      <c r="A843" s="397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5"/>
    </row>
    <row r="844" spans="1:20" x14ac:dyDescent="0.25">
      <c r="A844" s="397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5"/>
    </row>
    <row r="845" spans="1:20" x14ac:dyDescent="0.25">
      <c r="A845" s="397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5"/>
    </row>
    <row r="846" spans="1:20" x14ac:dyDescent="0.25">
      <c r="A846" s="397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5"/>
    </row>
    <row r="847" spans="1:20" x14ac:dyDescent="0.25">
      <c r="A847" s="397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5"/>
    </row>
    <row r="848" spans="1:20" x14ac:dyDescent="0.25">
      <c r="A848" s="397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5"/>
    </row>
    <row r="849" spans="1:20" x14ac:dyDescent="0.25">
      <c r="A849" s="397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5"/>
    </row>
    <row r="850" spans="1:20" x14ac:dyDescent="0.25">
      <c r="A850" s="397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5"/>
    </row>
    <row r="851" spans="1:20" x14ac:dyDescent="0.25">
      <c r="A851" s="397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5"/>
    </row>
    <row r="852" spans="1:20" x14ac:dyDescent="0.25">
      <c r="A852" s="397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5"/>
    </row>
    <row r="853" spans="1:20" x14ac:dyDescent="0.25">
      <c r="A853" s="397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5"/>
    </row>
    <row r="854" spans="1:20" x14ac:dyDescent="0.25">
      <c r="A854" s="397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5"/>
    </row>
    <row r="855" spans="1:20" x14ac:dyDescent="0.25">
      <c r="A855" s="397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5"/>
    </row>
    <row r="856" spans="1:20" x14ac:dyDescent="0.25">
      <c r="A856" s="397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5"/>
    </row>
    <row r="857" spans="1:20" x14ac:dyDescent="0.25">
      <c r="A857" s="397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5"/>
    </row>
    <row r="858" spans="1:20" x14ac:dyDescent="0.25">
      <c r="A858" s="397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5"/>
    </row>
    <row r="859" spans="1:20" x14ac:dyDescent="0.25">
      <c r="A859" s="397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5"/>
    </row>
    <row r="860" spans="1:20" x14ac:dyDescent="0.25">
      <c r="A860" s="397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5"/>
    </row>
    <row r="861" spans="1:20" x14ac:dyDescent="0.25">
      <c r="A861" s="397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5"/>
    </row>
    <row r="862" spans="1:20" x14ac:dyDescent="0.25">
      <c r="A862" s="397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5"/>
    </row>
    <row r="863" spans="1:20" x14ac:dyDescent="0.25">
      <c r="A863" s="397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5"/>
    </row>
    <row r="864" spans="1:20" x14ac:dyDescent="0.25">
      <c r="A864" s="397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5"/>
    </row>
    <row r="865" spans="1:20" x14ac:dyDescent="0.25">
      <c r="A865" s="397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5"/>
    </row>
    <row r="866" spans="1:20" x14ac:dyDescent="0.25">
      <c r="A866" s="397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5"/>
    </row>
    <row r="867" spans="1:20" x14ac:dyDescent="0.25">
      <c r="A867" s="397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5"/>
    </row>
    <row r="868" spans="1:20" x14ac:dyDescent="0.25">
      <c r="A868" s="397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5"/>
    </row>
    <row r="869" spans="1:20" x14ac:dyDescent="0.25">
      <c r="A869" s="397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5"/>
    </row>
    <row r="870" spans="1:20" x14ac:dyDescent="0.25">
      <c r="A870" s="397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5"/>
    </row>
    <row r="871" spans="1:20" x14ac:dyDescent="0.25">
      <c r="A871" s="397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5"/>
    </row>
    <row r="872" spans="1:20" x14ac:dyDescent="0.25">
      <c r="A872" s="397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5"/>
    </row>
    <row r="873" spans="1:20" x14ac:dyDescent="0.25">
      <c r="A873" s="397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5"/>
    </row>
    <row r="874" spans="1:20" x14ac:dyDescent="0.25">
      <c r="A874" s="397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5"/>
    </row>
    <row r="875" spans="1:20" x14ac:dyDescent="0.25">
      <c r="A875" s="397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5"/>
    </row>
    <row r="876" spans="1:20" x14ac:dyDescent="0.25">
      <c r="A876" s="397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5"/>
    </row>
    <row r="877" spans="1:20" x14ac:dyDescent="0.25">
      <c r="A877" s="397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5"/>
    </row>
    <row r="878" spans="1:20" x14ac:dyDescent="0.25">
      <c r="A878" s="397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5"/>
    </row>
    <row r="879" spans="1:20" x14ac:dyDescent="0.25">
      <c r="A879" s="397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5"/>
    </row>
    <row r="880" spans="1:20" x14ac:dyDescent="0.25">
      <c r="A880" s="397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5"/>
    </row>
    <row r="881" spans="1:20" x14ac:dyDescent="0.25">
      <c r="A881" s="397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5"/>
    </row>
    <row r="882" spans="1:20" x14ac:dyDescent="0.25">
      <c r="A882" s="397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5"/>
    </row>
    <row r="883" spans="1:20" x14ac:dyDescent="0.25">
      <c r="A883" s="397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5"/>
    </row>
    <row r="884" spans="1:20" x14ac:dyDescent="0.25">
      <c r="A884" s="397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5"/>
    </row>
    <row r="885" spans="1:20" x14ac:dyDescent="0.25">
      <c r="A885" s="397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5"/>
    </row>
    <row r="886" spans="1:20" x14ac:dyDescent="0.25">
      <c r="A886" s="397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5"/>
    </row>
    <row r="887" spans="1:20" x14ac:dyDescent="0.25">
      <c r="A887" s="397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5"/>
    </row>
    <row r="888" spans="1:20" x14ac:dyDescent="0.25">
      <c r="A888" s="397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5"/>
    </row>
    <row r="889" spans="1:20" x14ac:dyDescent="0.25">
      <c r="A889" s="397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5"/>
    </row>
    <row r="890" spans="1:20" x14ac:dyDescent="0.25">
      <c r="A890" s="397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5"/>
    </row>
    <row r="891" spans="1:20" x14ac:dyDescent="0.25">
      <c r="A891" s="397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5"/>
    </row>
    <row r="892" spans="1:20" x14ac:dyDescent="0.25">
      <c r="A892" s="397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5"/>
    </row>
    <row r="893" spans="1:20" x14ac:dyDescent="0.25">
      <c r="A893" s="397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5"/>
    </row>
    <row r="894" spans="1:20" x14ac:dyDescent="0.25">
      <c r="A894" s="397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5"/>
    </row>
    <row r="895" spans="1:20" x14ac:dyDescent="0.25">
      <c r="A895" s="397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5"/>
    </row>
    <row r="896" spans="1:20" x14ac:dyDescent="0.25">
      <c r="A896" s="397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5"/>
    </row>
    <row r="897" spans="1:20" x14ac:dyDescent="0.25">
      <c r="A897" s="397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5"/>
    </row>
    <row r="898" spans="1:20" x14ac:dyDescent="0.25">
      <c r="A898" s="397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5"/>
    </row>
    <row r="899" spans="1:20" x14ac:dyDescent="0.25">
      <c r="A899" s="397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5"/>
    </row>
    <row r="900" spans="1:20" x14ac:dyDescent="0.25">
      <c r="A900" s="397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5"/>
    </row>
    <row r="901" spans="1:20" x14ac:dyDescent="0.25">
      <c r="A901" s="397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5"/>
    </row>
    <row r="902" spans="1:20" x14ac:dyDescent="0.25">
      <c r="A902" s="397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5"/>
    </row>
    <row r="903" spans="1:20" x14ac:dyDescent="0.25">
      <c r="A903" s="397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5"/>
    </row>
    <row r="904" spans="1:20" x14ac:dyDescent="0.25">
      <c r="A904" s="397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5"/>
    </row>
    <row r="905" spans="1:20" x14ac:dyDescent="0.25">
      <c r="A905" s="397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5"/>
    </row>
    <row r="906" spans="1:20" x14ac:dyDescent="0.25">
      <c r="A906" s="397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5"/>
    </row>
    <row r="907" spans="1:20" x14ac:dyDescent="0.25">
      <c r="A907" s="397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5"/>
    </row>
    <row r="908" spans="1:20" x14ac:dyDescent="0.25">
      <c r="A908" s="397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5"/>
    </row>
    <row r="909" spans="1:20" x14ac:dyDescent="0.25">
      <c r="A909" s="397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5"/>
    </row>
    <row r="910" spans="1:20" x14ac:dyDescent="0.25">
      <c r="A910" s="397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5"/>
    </row>
    <row r="911" spans="1:20" x14ac:dyDescent="0.25">
      <c r="A911" s="397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5"/>
    </row>
    <row r="912" spans="1:20" x14ac:dyDescent="0.25">
      <c r="A912" s="397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5"/>
    </row>
    <row r="913" spans="1:20" x14ac:dyDescent="0.25">
      <c r="A913" s="397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5"/>
    </row>
    <row r="914" spans="1:20" x14ac:dyDescent="0.25">
      <c r="A914" s="397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5"/>
    </row>
    <row r="915" spans="1:20" x14ac:dyDescent="0.25">
      <c r="A915" s="397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5"/>
    </row>
    <row r="916" spans="1:20" x14ac:dyDescent="0.25">
      <c r="A916" s="397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5"/>
    </row>
    <row r="917" spans="1:20" x14ac:dyDescent="0.25">
      <c r="A917" s="397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5"/>
    </row>
    <row r="918" spans="1:20" x14ac:dyDescent="0.25">
      <c r="A918" s="397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5"/>
    </row>
    <row r="919" spans="1:20" x14ac:dyDescent="0.25">
      <c r="A919" s="397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5"/>
    </row>
    <row r="920" spans="1:20" x14ac:dyDescent="0.25">
      <c r="A920" s="397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5"/>
    </row>
    <row r="921" spans="1:20" x14ac:dyDescent="0.25">
      <c r="A921" s="397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5"/>
    </row>
    <row r="922" spans="1:20" x14ac:dyDescent="0.25">
      <c r="A922" s="397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5"/>
    </row>
    <row r="923" spans="1:20" x14ac:dyDescent="0.25">
      <c r="A923" s="397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5"/>
    </row>
    <row r="924" spans="1:20" x14ac:dyDescent="0.25">
      <c r="A924" s="397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5"/>
    </row>
    <row r="925" spans="1:20" x14ac:dyDescent="0.25">
      <c r="A925" s="397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5"/>
    </row>
    <row r="926" spans="1:20" x14ac:dyDescent="0.25">
      <c r="A926" s="397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5"/>
    </row>
    <row r="927" spans="1:20" x14ac:dyDescent="0.25">
      <c r="A927" s="397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5"/>
    </row>
    <row r="928" spans="1:20" x14ac:dyDescent="0.25">
      <c r="A928" s="397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5"/>
    </row>
    <row r="929" spans="1:20" x14ac:dyDescent="0.25">
      <c r="A929" s="397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5"/>
    </row>
    <row r="930" spans="1:20" x14ac:dyDescent="0.25">
      <c r="A930" s="397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5"/>
    </row>
    <row r="931" spans="1:20" x14ac:dyDescent="0.25">
      <c r="A931" s="397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5"/>
    </row>
    <row r="932" spans="1:20" x14ac:dyDescent="0.25">
      <c r="A932" s="397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5"/>
    </row>
    <row r="933" spans="1:20" x14ac:dyDescent="0.25">
      <c r="A933" s="397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5"/>
    </row>
    <row r="934" spans="1:20" x14ac:dyDescent="0.25">
      <c r="A934" s="397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5"/>
    </row>
    <row r="935" spans="1:20" x14ac:dyDescent="0.25">
      <c r="A935" s="397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5"/>
    </row>
    <row r="936" spans="1:20" x14ac:dyDescent="0.25">
      <c r="A936" s="397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5"/>
    </row>
    <row r="937" spans="1:20" x14ac:dyDescent="0.25">
      <c r="A937" s="397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5"/>
    </row>
    <row r="938" spans="1:20" x14ac:dyDescent="0.25">
      <c r="A938" s="397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5"/>
    </row>
    <row r="939" spans="1:20" x14ac:dyDescent="0.25">
      <c r="A939" s="397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5"/>
    </row>
    <row r="940" spans="1:20" x14ac:dyDescent="0.25">
      <c r="A940" s="397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5"/>
    </row>
    <row r="941" spans="1:20" x14ac:dyDescent="0.25">
      <c r="A941" s="397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5"/>
    </row>
    <row r="942" spans="1:20" x14ac:dyDescent="0.25">
      <c r="A942" s="397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5"/>
    </row>
    <row r="943" spans="1:20" x14ac:dyDescent="0.25">
      <c r="A943" s="397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5"/>
    </row>
    <row r="944" spans="1:20" x14ac:dyDescent="0.25">
      <c r="A944" s="397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5"/>
    </row>
    <row r="945" spans="1:20" x14ac:dyDescent="0.25">
      <c r="A945" s="397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5"/>
    </row>
    <row r="946" spans="1:20" x14ac:dyDescent="0.25">
      <c r="A946" s="397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5"/>
    </row>
    <row r="947" spans="1:20" x14ac:dyDescent="0.25">
      <c r="A947" s="397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5"/>
    </row>
    <row r="948" spans="1:20" x14ac:dyDescent="0.25">
      <c r="A948" s="397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5"/>
    </row>
    <row r="949" spans="1:20" x14ac:dyDescent="0.25">
      <c r="A949" s="397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5"/>
    </row>
    <row r="950" spans="1:20" x14ac:dyDescent="0.25">
      <c r="A950" s="397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5"/>
    </row>
    <row r="951" spans="1:20" x14ac:dyDescent="0.25">
      <c r="A951" s="397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5"/>
    </row>
    <row r="952" spans="1:20" x14ac:dyDescent="0.25">
      <c r="A952" s="397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5"/>
    </row>
    <row r="953" spans="1:20" x14ac:dyDescent="0.25">
      <c r="A953" s="397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5"/>
    </row>
    <row r="954" spans="1:20" x14ac:dyDescent="0.25">
      <c r="A954" s="397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5"/>
    </row>
    <row r="955" spans="1:20" x14ac:dyDescent="0.25">
      <c r="A955" s="397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5"/>
    </row>
    <row r="956" spans="1:20" x14ac:dyDescent="0.25">
      <c r="A956" s="298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5"/>
    </row>
    <row r="957" spans="1:20" x14ac:dyDescent="0.25">
      <c r="A957" s="298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5"/>
    </row>
    <row r="958" spans="1:20" x14ac:dyDescent="0.25">
      <c r="A958" s="298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5"/>
    </row>
    <row r="959" spans="1:20" x14ac:dyDescent="0.25">
      <c r="A959" s="298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5"/>
    </row>
    <row r="960" spans="1:20" x14ac:dyDescent="0.25">
      <c r="A960" s="298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5"/>
    </row>
    <row r="961" spans="1:20" x14ac:dyDescent="0.25">
      <c r="A961" s="298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5"/>
    </row>
    <row r="962" spans="1:20" x14ac:dyDescent="0.25">
      <c r="A962" s="298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5"/>
    </row>
    <row r="963" spans="1:20" x14ac:dyDescent="0.25">
      <c r="A963" s="298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5"/>
    </row>
    <row r="964" spans="1:20" x14ac:dyDescent="0.25">
      <c r="A964" s="298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5"/>
    </row>
    <row r="965" spans="1:20" x14ac:dyDescent="0.25">
      <c r="A965" s="298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5"/>
    </row>
    <row r="966" spans="1:20" x14ac:dyDescent="0.25">
      <c r="A966" s="298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5"/>
    </row>
    <row r="967" spans="1:20" x14ac:dyDescent="0.25">
      <c r="A967" s="298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5"/>
    </row>
    <row r="968" spans="1:20" x14ac:dyDescent="0.25">
      <c r="A968" s="298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5"/>
    </row>
    <row r="969" spans="1:20" x14ac:dyDescent="0.25">
      <c r="A969" s="298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5"/>
    </row>
    <row r="970" spans="1:20" x14ac:dyDescent="0.25">
      <c r="A970" s="298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5"/>
    </row>
    <row r="971" spans="1:20" x14ac:dyDescent="0.25">
      <c r="A971" s="298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5"/>
    </row>
    <row r="972" spans="1:20" x14ac:dyDescent="0.25">
      <c r="A972" s="298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5"/>
    </row>
    <row r="973" spans="1:20" x14ac:dyDescent="0.25">
      <c r="A973" s="298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5"/>
    </row>
    <row r="974" spans="1:20" x14ac:dyDescent="0.25">
      <c r="A974" s="298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5"/>
    </row>
    <row r="975" spans="1:20" x14ac:dyDescent="0.25">
      <c r="A975" s="298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5"/>
    </row>
    <row r="976" spans="1:20" x14ac:dyDescent="0.25">
      <c r="A976" s="298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5"/>
    </row>
    <row r="977" spans="1:20" x14ac:dyDescent="0.25">
      <c r="A977" s="298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5"/>
    </row>
    <row r="978" spans="1:20" x14ac:dyDescent="0.25">
      <c r="A978" s="298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5"/>
    </row>
    <row r="979" spans="1:20" x14ac:dyDescent="0.25">
      <c r="A979" s="298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5"/>
    </row>
    <row r="980" spans="1:20" x14ac:dyDescent="0.25">
      <c r="A980" s="298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5"/>
    </row>
    <row r="981" spans="1:20" x14ac:dyDescent="0.25">
      <c r="A981" s="298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5"/>
    </row>
    <row r="982" spans="1:20" x14ac:dyDescent="0.25">
      <c r="A982" s="298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5"/>
    </row>
    <row r="983" spans="1:20" x14ac:dyDescent="0.25">
      <c r="A983" s="298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5"/>
    </row>
    <row r="984" spans="1:20" x14ac:dyDescent="0.25">
      <c r="A984" s="298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5"/>
    </row>
    <row r="985" spans="1:20" x14ac:dyDescent="0.25">
      <c r="A985" s="298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5"/>
    </row>
    <row r="986" spans="1:20" x14ac:dyDescent="0.25">
      <c r="A986" s="298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5"/>
    </row>
    <row r="987" spans="1:20" x14ac:dyDescent="0.25">
      <c r="A987" s="298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5"/>
    </row>
    <row r="988" spans="1:20" x14ac:dyDescent="0.25">
      <c r="A988" s="298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5"/>
    </row>
    <row r="989" spans="1:20" x14ac:dyDescent="0.25">
      <c r="A989" s="298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5"/>
    </row>
    <row r="990" spans="1:20" x14ac:dyDescent="0.25">
      <c r="A990" s="298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5"/>
    </row>
    <row r="991" spans="1:20" x14ac:dyDescent="0.25">
      <c r="A991" s="298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5"/>
    </row>
    <row r="992" spans="1:20" x14ac:dyDescent="0.25">
      <c r="A992" s="298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5"/>
    </row>
    <row r="993" spans="1:20" x14ac:dyDescent="0.25">
      <c r="A993" s="30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210"/>
    </row>
  </sheetData>
  <sheetProtection algorithmName="SHA-512" hashValue="KJUJNwoGpNdAAsC6QDHR0DeIkP5cz1yhyZsqyZPeQphMlmdfAO+Ftt9jxELiHO9rQwmmKuqjhX5jQ21FxjUtTQ==" saltValue="75T8MjQmFPBil1uQf9BcBg==" spinCount="100000" sheet="1" objects="1" scenarios="1"/>
  <mergeCells count="29">
    <mergeCell ref="A6:A43"/>
    <mergeCell ref="A44:A81"/>
    <mergeCell ref="A82:A119"/>
    <mergeCell ref="A120:A157"/>
    <mergeCell ref="A1:T2"/>
    <mergeCell ref="F4:G4"/>
    <mergeCell ref="H4:L4"/>
    <mergeCell ref="A500:A537"/>
    <mergeCell ref="A158:A195"/>
    <mergeCell ref="A196:A233"/>
    <mergeCell ref="A234:A271"/>
    <mergeCell ref="A272:A309"/>
    <mergeCell ref="A310:A347"/>
    <mergeCell ref="A348:A385"/>
    <mergeCell ref="A386:A423"/>
    <mergeCell ref="A424:A461"/>
    <mergeCell ref="A462:A499"/>
    <mergeCell ref="A538:A575"/>
    <mergeCell ref="A576:A613"/>
    <mergeCell ref="A614:A651"/>
    <mergeCell ref="A652:A689"/>
    <mergeCell ref="A690:A727"/>
    <mergeCell ref="A956:A993"/>
    <mergeCell ref="A728:A765"/>
    <mergeCell ref="A766:A803"/>
    <mergeCell ref="A804:A841"/>
    <mergeCell ref="A842:A879"/>
    <mergeCell ref="A880:A917"/>
    <mergeCell ref="A918:A95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'Resumo (B2)'!$B$63:$B$88</xm:f>
          </x14:formula1>
          <xm:sqref>G5 H4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T43"/>
  <sheetViews>
    <sheetView zoomScaleNormal="100" workbookViewId="0">
      <pane ySplit="5" topLeftCell="A6" activePane="bottomLeft" state="frozen"/>
      <selection pane="bottomLeft" activeCell="A6" sqref="A6:A43"/>
    </sheetView>
  </sheetViews>
  <sheetFormatPr defaultColWidth="0" defaultRowHeight="12.75" zeroHeight="1" x14ac:dyDescent="0.25"/>
  <cols>
    <col min="1" max="15" width="10.875" style="109" customWidth="1"/>
    <col min="16" max="20" width="10.875" style="109" hidden="1" customWidth="1"/>
    <col min="21" max="16384" width="10.875" style="109" hidden="1"/>
  </cols>
  <sheetData>
    <row r="1" spans="1:20" ht="12.95" customHeight="1" x14ac:dyDescent="0.25">
      <c r="A1" s="384" t="s">
        <v>908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  <c r="P1" s="213"/>
      <c r="Q1" s="213"/>
      <c r="R1" s="213"/>
      <c r="S1" s="213"/>
      <c r="T1" s="214"/>
    </row>
    <row r="2" spans="1:20" ht="12.95" customHeigh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7"/>
      <c r="P2" s="216"/>
      <c r="Q2" s="216"/>
      <c r="R2" s="216"/>
      <c r="S2" s="216"/>
      <c r="T2" s="217"/>
    </row>
    <row r="3" spans="1:20" ht="13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1"/>
      <c r="N3" s="21"/>
      <c r="O3" s="22"/>
      <c r="P3" s="112"/>
      <c r="Q3" s="112"/>
      <c r="R3" s="112"/>
      <c r="S3" s="112"/>
      <c r="T3" s="174"/>
    </row>
    <row r="4" spans="1:20" ht="13.5" thickBot="1" x14ac:dyDescent="0.3">
      <c r="A4" s="4"/>
      <c r="B4" s="4"/>
      <c r="C4" s="4"/>
      <c r="D4" s="4"/>
      <c r="E4" s="407" t="s">
        <v>840</v>
      </c>
      <c r="F4" s="408"/>
      <c r="G4" s="408"/>
      <c r="H4" s="408"/>
      <c r="I4" s="409"/>
      <c r="J4" s="405" t="s">
        <v>466</v>
      </c>
      <c r="K4" s="406"/>
      <c r="L4" s="4" t="s">
        <v>839</v>
      </c>
      <c r="M4" s="211">
        <f>MATCH(J4,'Resumo (B2)'!C90:AF90,0)</f>
        <v>1</v>
      </c>
      <c r="N4" s="21"/>
      <c r="O4" s="22"/>
      <c r="P4" s="112"/>
      <c r="Q4" s="112"/>
      <c r="R4" s="112"/>
      <c r="S4" s="112"/>
      <c r="T4" s="22"/>
    </row>
    <row r="5" spans="1:20" x14ac:dyDescent="0.25">
      <c r="A5" s="4"/>
      <c r="B5" s="4"/>
      <c r="C5" s="4"/>
      <c r="D5" s="4"/>
      <c r="E5" s="4"/>
      <c r="F5" s="273"/>
      <c r="G5" s="212"/>
      <c r="H5" s="212"/>
      <c r="I5" s="212"/>
      <c r="J5" s="212"/>
      <c r="K5" s="212"/>
      <c r="L5" s="4"/>
      <c r="M5" s="4"/>
      <c r="N5" s="21"/>
      <c r="O5" s="22"/>
      <c r="P5" s="112"/>
      <c r="Q5" s="112"/>
      <c r="R5" s="112"/>
      <c r="S5" s="112"/>
      <c r="T5" s="22"/>
    </row>
    <row r="6" spans="1:20" x14ac:dyDescent="0.25">
      <c r="A6" s="298"/>
      <c r="B6" s="4"/>
      <c r="C6" s="4"/>
      <c r="D6" s="4"/>
      <c r="E6" s="273"/>
      <c r="F6" s="273"/>
      <c r="G6" s="212"/>
      <c r="H6" s="212"/>
      <c r="I6" s="212"/>
      <c r="J6" s="212"/>
      <c r="K6" s="212"/>
      <c r="L6" s="4"/>
      <c r="M6" s="21"/>
      <c r="N6" s="21"/>
      <c r="O6" s="22"/>
      <c r="P6" s="21"/>
      <c r="Q6" s="21"/>
      <c r="R6" s="21"/>
      <c r="S6" s="21"/>
      <c r="T6" s="22"/>
    </row>
    <row r="7" spans="1:20" x14ac:dyDescent="0.25">
      <c r="A7" s="29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1"/>
      <c r="S7" s="21"/>
      <c r="T7" s="22"/>
    </row>
    <row r="8" spans="1:20" x14ac:dyDescent="0.25">
      <c r="A8" s="29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1"/>
      <c r="Q8" s="21"/>
      <c r="R8" s="21"/>
      <c r="S8" s="21"/>
      <c r="T8" s="22"/>
    </row>
    <row r="9" spans="1:20" x14ac:dyDescent="0.25">
      <c r="A9" s="29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  <c r="R9" s="21"/>
      <c r="S9" s="21"/>
      <c r="T9" s="22"/>
    </row>
    <row r="10" spans="1:20" x14ac:dyDescent="0.25">
      <c r="A10" s="29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1"/>
      <c r="Q10" s="21"/>
      <c r="R10" s="21"/>
      <c r="S10" s="21"/>
      <c r="T10" s="22"/>
    </row>
    <row r="11" spans="1:20" x14ac:dyDescent="0.25">
      <c r="A11" s="29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1"/>
      <c r="Q11" s="21"/>
      <c r="R11" s="21"/>
      <c r="S11" s="21"/>
      <c r="T11" s="22"/>
    </row>
    <row r="12" spans="1:20" x14ac:dyDescent="0.25">
      <c r="A12" s="29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1"/>
      <c r="Q12" s="21"/>
      <c r="R12" s="21"/>
      <c r="S12" s="21"/>
      <c r="T12" s="22"/>
    </row>
    <row r="13" spans="1:20" x14ac:dyDescent="0.25">
      <c r="A13" s="29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1"/>
      <c r="Q13" s="21"/>
      <c r="R13" s="21"/>
      <c r="S13" s="21"/>
      <c r="T13" s="22"/>
    </row>
    <row r="14" spans="1:20" x14ac:dyDescent="0.25">
      <c r="A14" s="29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1"/>
      <c r="Q14" s="21"/>
      <c r="R14" s="21"/>
      <c r="S14" s="21"/>
      <c r="T14" s="22"/>
    </row>
    <row r="15" spans="1:20" x14ac:dyDescent="0.25">
      <c r="A15" s="29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1"/>
      <c r="Q15" s="21"/>
      <c r="R15" s="21"/>
      <c r="S15" s="21"/>
      <c r="T15" s="22"/>
    </row>
    <row r="16" spans="1:20" x14ac:dyDescent="0.25">
      <c r="A16" s="29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1"/>
      <c r="Q16" s="21"/>
      <c r="R16" s="21"/>
      <c r="S16" s="21"/>
      <c r="T16" s="22"/>
    </row>
    <row r="17" spans="1:20" x14ac:dyDescent="0.25">
      <c r="A17" s="29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1"/>
      <c r="Q17" s="21"/>
      <c r="R17" s="21"/>
      <c r="S17" s="21"/>
      <c r="T17" s="22"/>
    </row>
    <row r="18" spans="1:20" x14ac:dyDescent="0.25">
      <c r="A18" s="29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1"/>
      <c r="Q18" s="21"/>
      <c r="R18" s="21"/>
      <c r="S18" s="21"/>
      <c r="T18" s="22"/>
    </row>
    <row r="19" spans="1:20" x14ac:dyDescent="0.25">
      <c r="A19" s="29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1"/>
      <c r="R19" s="21"/>
      <c r="S19" s="21"/>
      <c r="T19" s="22"/>
    </row>
    <row r="20" spans="1:20" x14ac:dyDescent="0.25">
      <c r="A20" s="29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1"/>
      <c r="R20" s="21"/>
      <c r="S20" s="21"/>
      <c r="T20" s="22"/>
    </row>
    <row r="21" spans="1:20" x14ac:dyDescent="0.25">
      <c r="A21" s="29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1"/>
      <c r="R21" s="21"/>
      <c r="S21" s="21"/>
      <c r="T21" s="22"/>
    </row>
    <row r="22" spans="1:20" x14ac:dyDescent="0.25">
      <c r="A22" s="29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1"/>
      <c r="R22" s="21"/>
      <c r="S22" s="21"/>
      <c r="T22" s="22"/>
    </row>
    <row r="23" spans="1:20" x14ac:dyDescent="0.25">
      <c r="A23" s="29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1"/>
      <c r="Q23" s="21"/>
      <c r="R23" s="21"/>
      <c r="S23" s="21"/>
      <c r="T23" s="22"/>
    </row>
    <row r="24" spans="1:20" x14ac:dyDescent="0.25">
      <c r="A24" s="29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1"/>
      <c r="Q24" s="21"/>
      <c r="R24" s="21"/>
      <c r="S24" s="21"/>
      <c r="T24" s="22"/>
    </row>
    <row r="25" spans="1:20" x14ac:dyDescent="0.25">
      <c r="A25" s="29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1"/>
      <c r="Q25" s="21"/>
      <c r="R25" s="21"/>
      <c r="S25" s="21"/>
      <c r="T25" s="22"/>
    </row>
    <row r="26" spans="1:20" x14ac:dyDescent="0.25">
      <c r="A26" s="29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1"/>
      <c r="Q26" s="21"/>
      <c r="R26" s="21"/>
      <c r="S26" s="21"/>
      <c r="T26" s="22"/>
    </row>
    <row r="27" spans="1:20" x14ac:dyDescent="0.25">
      <c r="A27" s="29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  <c r="R27" s="21"/>
      <c r="S27" s="21"/>
      <c r="T27" s="22"/>
    </row>
    <row r="28" spans="1:20" x14ac:dyDescent="0.25">
      <c r="A28" s="29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1"/>
      <c r="Q28" s="21"/>
      <c r="R28" s="21"/>
      <c r="S28" s="21"/>
      <c r="T28" s="22"/>
    </row>
    <row r="29" spans="1:20" x14ac:dyDescent="0.25">
      <c r="A29" s="29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1"/>
      <c r="Q29" s="21"/>
      <c r="R29" s="21"/>
      <c r="S29" s="21"/>
      <c r="T29" s="22"/>
    </row>
    <row r="30" spans="1:20" x14ac:dyDescent="0.25">
      <c r="A30" s="29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1"/>
      <c r="Q30" s="21"/>
      <c r="R30" s="21"/>
      <c r="S30" s="21"/>
      <c r="T30" s="22"/>
    </row>
    <row r="31" spans="1:20" x14ac:dyDescent="0.25">
      <c r="A31" s="29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1"/>
      <c r="Q31" s="21"/>
      <c r="R31" s="21"/>
      <c r="S31" s="21"/>
      <c r="T31" s="22"/>
    </row>
    <row r="32" spans="1:20" x14ac:dyDescent="0.25">
      <c r="A32" s="29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  <c r="R32" s="21"/>
      <c r="S32" s="21"/>
      <c r="T32" s="22"/>
    </row>
    <row r="33" spans="1:20" x14ac:dyDescent="0.25">
      <c r="A33" s="29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1"/>
      <c r="Q33" s="21"/>
      <c r="R33" s="21"/>
      <c r="S33" s="21"/>
      <c r="T33" s="22"/>
    </row>
    <row r="34" spans="1:20" x14ac:dyDescent="0.25">
      <c r="A34" s="29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1"/>
      <c r="Q34" s="21"/>
      <c r="R34" s="21"/>
      <c r="S34" s="21"/>
      <c r="T34" s="22"/>
    </row>
    <row r="35" spans="1:20" x14ac:dyDescent="0.25">
      <c r="A35" s="29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1"/>
      <c r="Q35" s="21"/>
      <c r="R35" s="21"/>
      <c r="S35" s="21"/>
      <c r="T35" s="22"/>
    </row>
    <row r="36" spans="1:20" x14ac:dyDescent="0.25">
      <c r="A36" s="29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1"/>
      <c r="Q36" s="21"/>
      <c r="R36" s="21"/>
      <c r="S36" s="21"/>
      <c r="T36" s="22"/>
    </row>
    <row r="37" spans="1:20" x14ac:dyDescent="0.25">
      <c r="A37" s="29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1"/>
      <c r="Q37" s="21"/>
      <c r="R37" s="21"/>
      <c r="S37" s="21"/>
      <c r="T37" s="22"/>
    </row>
    <row r="38" spans="1:20" x14ac:dyDescent="0.25">
      <c r="A38" s="29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1"/>
      <c r="Q38" s="21"/>
      <c r="R38" s="21"/>
      <c r="S38" s="21"/>
      <c r="T38" s="22"/>
    </row>
    <row r="39" spans="1:20" x14ac:dyDescent="0.25">
      <c r="A39" s="29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1"/>
      <c r="Q39" s="21"/>
      <c r="R39" s="21"/>
      <c r="S39" s="21"/>
      <c r="T39" s="22"/>
    </row>
    <row r="40" spans="1:20" x14ac:dyDescent="0.25">
      <c r="A40" s="29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1"/>
      <c r="Q40" s="21"/>
      <c r="R40" s="21"/>
      <c r="S40" s="21"/>
      <c r="T40" s="22"/>
    </row>
    <row r="41" spans="1:20" x14ac:dyDescent="0.25">
      <c r="A41" s="29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1"/>
      <c r="Q41" s="21"/>
      <c r="R41" s="21"/>
      <c r="S41" s="21"/>
      <c r="T41" s="22"/>
    </row>
    <row r="42" spans="1:20" x14ac:dyDescent="0.25">
      <c r="A42" s="29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1"/>
      <c r="Q42" s="21"/>
      <c r="R42" s="21"/>
      <c r="S42" s="21"/>
      <c r="T42" s="22"/>
    </row>
    <row r="43" spans="1:20" x14ac:dyDescent="0.25">
      <c r="A43" s="301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7"/>
      <c r="P43" s="145"/>
      <c r="Q43" s="145"/>
      <c r="R43" s="145"/>
      <c r="S43" s="145"/>
      <c r="T43" s="147"/>
    </row>
  </sheetData>
  <sheetProtection algorithmName="SHA-512" hashValue="rtUUEGpFTv4RV7VPNF8u9jZ6GXZAEmhAaIKrQ2VQQH/fnNSwKDy8UPD38ag30LKxTSfKqi8F4DWgggr9U/BEGQ==" saltValue="mcOTUGeIFXFEll5Yspqfnw==" spinCount="100000" sheet="1" objects="1" scenarios="1"/>
  <mergeCells count="4">
    <mergeCell ref="A6:A43"/>
    <mergeCell ref="J4:K4"/>
    <mergeCell ref="A1:O2"/>
    <mergeCell ref="E4:I4"/>
  </mergeCells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'Resumo (B2)'!$C$90:$AF$90</xm:f>
          </x14:formula1>
          <xm:sqref>J4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1:T43"/>
  <sheetViews>
    <sheetView workbookViewId="0">
      <pane ySplit="5" topLeftCell="A6" activePane="bottomLeft" state="frozen"/>
      <selection pane="bottomLeft" activeCell="A6" sqref="A6:A43"/>
    </sheetView>
  </sheetViews>
  <sheetFormatPr defaultColWidth="0" defaultRowHeight="12.75" zeroHeight="1" x14ac:dyDescent="0.25"/>
  <cols>
    <col min="1" max="15" width="10.875" style="109" customWidth="1"/>
    <col min="16" max="20" width="10.875" style="109" hidden="1" customWidth="1"/>
    <col min="21" max="16384" width="10.875" style="109" hidden="1"/>
  </cols>
  <sheetData>
    <row r="1" spans="1:20" ht="12.95" customHeight="1" x14ac:dyDescent="0.25">
      <c r="A1" s="384" t="s">
        <v>909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  <c r="P1" s="213"/>
      <c r="Q1" s="213"/>
      <c r="R1" s="213"/>
      <c r="S1" s="213"/>
      <c r="T1" s="214"/>
    </row>
    <row r="2" spans="1:20" ht="12.95" customHeigh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7"/>
      <c r="P2" s="216"/>
      <c r="Q2" s="216"/>
      <c r="R2" s="216"/>
      <c r="S2" s="216"/>
      <c r="T2" s="217"/>
    </row>
    <row r="3" spans="1:20" ht="13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1"/>
      <c r="N3" s="21"/>
      <c r="O3" s="22"/>
      <c r="P3" s="112"/>
      <c r="Q3" s="112"/>
      <c r="R3" s="112"/>
      <c r="S3" s="112"/>
      <c r="T3" s="174"/>
    </row>
    <row r="4" spans="1:20" ht="13.5" thickBot="1" x14ac:dyDescent="0.3">
      <c r="A4" s="4"/>
      <c r="B4" s="4"/>
      <c r="C4" s="4"/>
      <c r="D4" s="4"/>
      <c r="E4" s="407" t="s">
        <v>840</v>
      </c>
      <c r="F4" s="408"/>
      <c r="G4" s="408"/>
      <c r="H4" s="408"/>
      <c r="I4" s="409"/>
      <c r="J4" s="405" t="s">
        <v>495</v>
      </c>
      <c r="K4" s="406"/>
      <c r="L4" s="4" t="s">
        <v>839</v>
      </c>
      <c r="M4" s="223">
        <f>MATCH(J4,'Resumo (B2)'!C111:AF111,0)</f>
        <v>30</v>
      </c>
      <c r="N4" s="21"/>
      <c r="O4" s="22"/>
      <c r="P4" s="112"/>
      <c r="Q4" s="112"/>
      <c r="R4" s="112"/>
      <c r="S4" s="112"/>
      <c r="T4" s="22"/>
    </row>
    <row r="5" spans="1:20" x14ac:dyDescent="0.25">
      <c r="A5" s="4"/>
      <c r="B5" s="4"/>
      <c r="C5" s="4"/>
      <c r="D5" s="4"/>
      <c r="E5" s="4"/>
      <c r="F5" s="274"/>
      <c r="G5" s="212"/>
      <c r="H5" s="212"/>
      <c r="I5" s="212"/>
      <c r="J5" s="212"/>
      <c r="K5" s="212"/>
      <c r="L5" s="4"/>
      <c r="M5" s="4"/>
      <c r="N5" s="21"/>
      <c r="O5" s="22"/>
      <c r="P5" s="112"/>
      <c r="Q5" s="112"/>
      <c r="R5" s="112"/>
      <c r="S5" s="112"/>
      <c r="T5" s="22"/>
    </row>
    <row r="6" spans="1:20" x14ac:dyDescent="0.25">
      <c r="A6" s="298"/>
      <c r="B6" s="4"/>
      <c r="C6" s="4"/>
      <c r="D6" s="4"/>
      <c r="E6" s="274"/>
      <c r="F6" s="274"/>
      <c r="G6" s="212"/>
      <c r="H6" s="212"/>
      <c r="I6" s="212"/>
      <c r="J6" s="212"/>
      <c r="K6" s="212"/>
      <c r="L6" s="4"/>
      <c r="M6" s="21"/>
      <c r="N6" s="21"/>
      <c r="O6" s="22"/>
      <c r="P6" s="21"/>
      <c r="Q6" s="21"/>
      <c r="R6" s="21"/>
      <c r="S6" s="21"/>
      <c r="T6" s="22"/>
    </row>
    <row r="7" spans="1:20" x14ac:dyDescent="0.25">
      <c r="A7" s="29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1"/>
      <c r="S7" s="21"/>
      <c r="T7" s="22"/>
    </row>
    <row r="8" spans="1:20" x14ac:dyDescent="0.25">
      <c r="A8" s="29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1"/>
      <c r="Q8" s="21"/>
      <c r="R8" s="21"/>
      <c r="S8" s="21"/>
      <c r="T8" s="22"/>
    </row>
    <row r="9" spans="1:20" x14ac:dyDescent="0.25">
      <c r="A9" s="29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  <c r="R9" s="21"/>
      <c r="S9" s="21"/>
      <c r="T9" s="22"/>
    </row>
    <row r="10" spans="1:20" x14ac:dyDescent="0.25">
      <c r="A10" s="29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1"/>
      <c r="Q10" s="21"/>
      <c r="R10" s="21"/>
      <c r="S10" s="21"/>
      <c r="T10" s="22"/>
    </row>
    <row r="11" spans="1:20" x14ac:dyDescent="0.25">
      <c r="A11" s="29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1"/>
      <c r="Q11" s="21"/>
      <c r="R11" s="21"/>
      <c r="S11" s="21"/>
      <c r="T11" s="22"/>
    </row>
    <row r="12" spans="1:20" x14ac:dyDescent="0.25">
      <c r="A12" s="29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1"/>
      <c r="Q12" s="21"/>
      <c r="R12" s="21"/>
      <c r="S12" s="21"/>
      <c r="T12" s="22"/>
    </row>
    <row r="13" spans="1:20" x14ac:dyDescent="0.25">
      <c r="A13" s="29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1"/>
      <c r="Q13" s="21"/>
      <c r="R13" s="21"/>
      <c r="S13" s="21"/>
      <c r="T13" s="22"/>
    </row>
    <row r="14" spans="1:20" x14ac:dyDescent="0.25">
      <c r="A14" s="29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1"/>
      <c r="Q14" s="21"/>
      <c r="R14" s="21"/>
      <c r="S14" s="21"/>
      <c r="T14" s="22"/>
    </row>
    <row r="15" spans="1:20" x14ac:dyDescent="0.25">
      <c r="A15" s="29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1"/>
      <c r="Q15" s="21"/>
      <c r="R15" s="21"/>
      <c r="S15" s="21"/>
      <c r="T15" s="22"/>
    </row>
    <row r="16" spans="1:20" x14ac:dyDescent="0.25">
      <c r="A16" s="29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1"/>
      <c r="Q16" s="21"/>
      <c r="R16" s="21"/>
      <c r="S16" s="21"/>
      <c r="T16" s="22"/>
    </row>
    <row r="17" spans="1:20" x14ac:dyDescent="0.25">
      <c r="A17" s="29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1"/>
      <c r="Q17" s="21"/>
      <c r="R17" s="21"/>
      <c r="S17" s="21"/>
      <c r="T17" s="22"/>
    </row>
    <row r="18" spans="1:20" x14ac:dyDescent="0.25">
      <c r="A18" s="29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1"/>
      <c r="Q18" s="21"/>
      <c r="R18" s="21"/>
      <c r="S18" s="21"/>
      <c r="T18" s="22"/>
    </row>
    <row r="19" spans="1:20" x14ac:dyDescent="0.25">
      <c r="A19" s="29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1"/>
      <c r="R19" s="21"/>
      <c r="S19" s="21"/>
      <c r="T19" s="22"/>
    </row>
    <row r="20" spans="1:20" x14ac:dyDescent="0.25">
      <c r="A20" s="29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1"/>
      <c r="R20" s="21"/>
      <c r="S20" s="21"/>
      <c r="T20" s="22"/>
    </row>
    <row r="21" spans="1:20" x14ac:dyDescent="0.25">
      <c r="A21" s="29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1"/>
      <c r="R21" s="21"/>
      <c r="S21" s="21"/>
      <c r="T21" s="22"/>
    </row>
    <row r="22" spans="1:20" x14ac:dyDescent="0.25">
      <c r="A22" s="29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1"/>
      <c r="R22" s="21"/>
      <c r="S22" s="21"/>
      <c r="T22" s="22"/>
    </row>
    <row r="23" spans="1:20" x14ac:dyDescent="0.25">
      <c r="A23" s="29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1"/>
      <c r="Q23" s="21"/>
      <c r="R23" s="21"/>
      <c r="S23" s="21"/>
      <c r="T23" s="22"/>
    </row>
    <row r="24" spans="1:20" x14ac:dyDescent="0.25">
      <c r="A24" s="29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1"/>
      <c r="Q24" s="21"/>
      <c r="R24" s="21"/>
      <c r="S24" s="21"/>
      <c r="T24" s="22"/>
    </row>
    <row r="25" spans="1:20" x14ac:dyDescent="0.25">
      <c r="A25" s="29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1"/>
      <c r="Q25" s="21"/>
      <c r="R25" s="21"/>
      <c r="S25" s="21"/>
      <c r="T25" s="22"/>
    </row>
    <row r="26" spans="1:20" x14ac:dyDescent="0.25">
      <c r="A26" s="29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1"/>
      <c r="Q26" s="21"/>
      <c r="R26" s="21"/>
      <c r="S26" s="21"/>
      <c r="T26" s="22"/>
    </row>
    <row r="27" spans="1:20" x14ac:dyDescent="0.25">
      <c r="A27" s="29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  <c r="R27" s="21"/>
      <c r="S27" s="21"/>
      <c r="T27" s="22"/>
    </row>
    <row r="28" spans="1:20" x14ac:dyDescent="0.25">
      <c r="A28" s="29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1"/>
      <c r="Q28" s="21"/>
      <c r="R28" s="21"/>
      <c r="S28" s="21"/>
      <c r="T28" s="22"/>
    </row>
    <row r="29" spans="1:20" x14ac:dyDescent="0.25">
      <c r="A29" s="29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1"/>
      <c r="Q29" s="21"/>
      <c r="R29" s="21"/>
      <c r="S29" s="21"/>
      <c r="T29" s="22"/>
    </row>
    <row r="30" spans="1:20" x14ac:dyDescent="0.25">
      <c r="A30" s="29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1"/>
      <c r="Q30" s="21"/>
      <c r="R30" s="21"/>
      <c r="S30" s="21"/>
      <c r="T30" s="22"/>
    </row>
    <row r="31" spans="1:20" x14ac:dyDescent="0.25">
      <c r="A31" s="29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1"/>
      <c r="Q31" s="21"/>
      <c r="R31" s="21"/>
      <c r="S31" s="21"/>
      <c r="T31" s="22"/>
    </row>
    <row r="32" spans="1:20" x14ac:dyDescent="0.25">
      <c r="A32" s="29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  <c r="R32" s="21"/>
      <c r="S32" s="21"/>
      <c r="T32" s="22"/>
    </row>
    <row r="33" spans="1:20" x14ac:dyDescent="0.25">
      <c r="A33" s="29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1"/>
      <c r="Q33" s="21"/>
      <c r="R33" s="21"/>
      <c r="S33" s="21"/>
      <c r="T33" s="22"/>
    </row>
    <row r="34" spans="1:20" x14ac:dyDescent="0.25">
      <c r="A34" s="29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1"/>
      <c r="Q34" s="21"/>
      <c r="R34" s="21"/>
      <c r="S34" s="21"/>
      <c r="T34" s="22"/>
    </row>
    <row r="35" spans="1:20" x14ac:dyDescent="0.25">
      <c r="A35" s="29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1"/>
      <c r="Q35" s="21"/>
      <c r="R35" s="21"/>
      <c r="S35" s="21"/>
      <c r="T35" s="22"/>
    </row>
    <row r="36" spans="1:20" x14ac:dyDescent="0.25">
      <c r="A36" s="29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1"/>
      <c r="Q36" s="21"/>
      <c r="R36" s="21"/>
      <c r="S36" s="21"/>
      <c r="T36" s="22"/>
    </row>
    <row r="37" spans="1:20" x14ac:dyDescent="0.25">
      <c r="A37" s="29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1"/>
      <c r="Q37" s="21"/>
      <c r="R37" s="21"/>
      <c r="S37" s="21"/>
      <c r="T37" s="22"/>
    </row>
    <row r="38" spans="1:20" x14ac:dyDescent="0.25">
      <c r="A38" s="29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1"/>
      <c r="Q38" s="21"/>
      <c r="R38" s="21"/>
      <c r="S38" s="21"/>
      <c r="T38" s="22"/>
    </row>
    <row r="39" spans="1:20" x14ac:dyDescent="0.25">
      <c r="A39" s="29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1"/>
      <c r="Q39" s="21"/>
      <c r="R39" s="21"/>
      <c r="S39" s="21"/>
      <c r="T39" s="22"/>
    </row>
    <row r="40" spans="1:20" x14ac:dyDescent="0.25">
      <c r="A40" s="29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1"/>
      <c r="Q40" s="21"/>
      <c r="R40" s="21"/>
      <c r="S40" s="21"/>
      <c r="T40" s="22"/>
    </row>
    <row r="41" spans="1:20" x14ac:dyDescent="0.25">
      <c r="A41" s="29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1"/>
      <c r="Q41" s="21"/>
      <c r="R41" s="21"/>
      <c r="S41" s="21"/>
      <c r="T41" s="22"/>
    </row>
    <row r="42" spans="1:20" x14ac:dyDescent="0.25">
      <c r="A42" s="29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1"/>
      <c r="Q42" s="21"/>
      <c r="R42" s="21"/>
      <c r="S42" s="21"/>
      <c r="T42" s="22"/>
    </row>
    <row r="43" spans="1:20" x14ac:dyDescent="0.25">
      <c r="A43" s="301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7"/>
      <c r="P43" s="145"/>
      <c r="Q43" s="145"/>
      <c r="R43" s="145"/>
      <c r="S43" s="145"/>
      <c r="T43" s="147"/>
    </row>
  </sheetData>
  <sheetProtection algorithmName="SHA-512" hashValue="9Lv+an/qZjSC1iclSx1w159pyhCkRbGvb4T1bTkN8FDZ18qwPx7ayutzCPEJDD1/K3UhuYX4Y+byCx4/tP13fQ==" saltValue="2vgB4bpWuLU1/7Yffd29fw==" spinCount="100000" sheet="1" objects="1" scenarios="1"/>
  <mergeCells count="4">
    <mergeCell ref="J4:K4"/>
    <mergeCell ref="A6:A43"/>
    <mergeCell ref="A1:O2"/>
    <mergeCell ref="E4:I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'Resumo (B2)'!$C$111:$AF$111</xm:f>
          </x14:formula1>
          <xm:sqref>J4:K4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Info</vt:lpstr>
      <vt:lpstr>Dados (F)</vt:lpstr>
      <vt:lpstr>Quant. mod. (oc)</vt:lpstr>
      <vt:lpstr>Quantitativos (A)</vt:lpstr>
      <vt:lpstr>Custos (B1)</vt:lpstr>
      <vt:lpstr>Resumo (B2)</vt:lpstr>
      <vt:lpstr>Gráficos (B3)</vt:lpstr>
      <vt:lpstr>Gráficos (B4)</vt:lpstr>
      <vt:lpstr>Gráficos (B5)</vt:lpstr>
      <vt:lpstr>Seleção (S)</vt:lpstr>
      <vt:lpstr>Análise (R)</vt:lpstr>
      <vt:lpstr>b</vt:lpstr>
      <vt:lpstr>group_box_12</vt:lpstr>
      <vt:lpstr>group_box_13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Lima</dc:creator>
  <cp:lastModifiedBy>Raphael Leite de Almeida</cp:lastModifiedBy>
  <dcterms:created xsi:type="dcterms:W3CDTF">2018-11-21T11:43:09Z</dcterms:created>
  <dcterms:modified xsi:type="dcterms:W3CDTF">2021-11-24T13:21:13Z</dcterms:modified>
</cp:coreProperties>
</file>